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04"/>
  <workbookPr/>
  <xr:revisionPtr revIDLastSave="0" documentId="8_{BA37C5BE-081D-48A2-A38D-A2746420D1AB}" xr6:coauthVersionLast="47" xr6:coauthVersionMax="47" xr10:uidLastSave="{00000000-0000-0000-0000-000000000000}"/>
  <bookViews>
    <workbookView xWindow="924" yWindow="-108" windowWidth="23256" windowHeight="9252" tabRatio="701" firstSheet="10" activeTab="8" xr2:uid="{00000000-000D-0000-FFFF-FFFF00000000}"/>
  </bookViews>
  <sheets>
    <sheet name="Index" sheetId="13" r:id="rId1"/>
    <sheet name="General Calc's" sheetId="42" r:id="rId2"/>
    <sheet name="Beer Kit" sheetId="54" r:id="rId3"/>
    <sheet name="Extract" sheetId="52" r:id="rId4"/>
    <sheet name="Beer" sheetId="55" r:id="rId5"/>
    <sheet name="Beer Scaling" sheetId="53" r:id="rId6"/>
    <sheet name="Beer Data Sheet" sheetId="4" r:id="rId7"/>
    <sheet name="Gluten-Free" sheetId="9" r:id="rId8"/>
    <sheet name="Primer" sheetId="46" r:id="rId9"/>
    <sheet name="Water" sheetId="16" r:id="rId10"/>
    <sheet name="BJCP" sheetId="15" r:id="rId11"/>
  </sheets>
  <definedNames>
    <definedName name="_71.1_EBU" localSheetId="8">#REF!</definedName>
    <definedName name="_xlnm._FilterDatabase" localSheetId="3" hidden="1">Extract!#REF!</definedName>
    <definedName name="_Toc185863040" localSheetId="3">Extract!#REF!</definedName>
    <definedName name="_Toc269412869" localSheetId="3">#REF!</definedName>
    <definedName name="BS" localSheetId="4">#REF!</definedName>
    <definedName name="BS" localSheetId="2">#REF!</definedName>
    <definedName name="BS" localSheetId="5">#REF!</definedName>
    <definedName name="BS" localSheetId="3">#REF!</definedName>
    <definedName name="BS" localSheetId="8">#REF!</definedName>
    <definedName name="BS">#REF!</definedName>
    <definedName name="Fermentable_sugar__sucrose_equiv._inc._primer" localSheetId="4">#REF!</definedName>
    <definedName name="Fermentable_sugar__sucrose_equiv._inc._primer" localSheetId="2">#REF!</definedName>
    <definedName name="Fermentable_sugar__sucrose_equiv._inc._primer" localSheetId="5">'Beer Scaling'!$C$63</definedName>
    <definedName name="Fermentable_sugar__sucrose_equiv._inc._primer" localSheetId="3">#REF!</definedName>
    <definedName name="Fermentable_sugar__sucrose_equiv._inc._primer" localSheetId="8">#REF!</definedName>
    <definedName name="Fermentable_sugar__sucrose_equiv._inc._primer">#REF!</definedName>
    <definedName name="OLE_LINK1" localSheetId="1">'General Calc''s'!#REF!</definedName>
    <definedName name="_xlnm.Print_Area" localSheetId="4">Beer!$A$1:$AZ$101</definedName>
    <definedName name="_xlnm.Print_Area" localSheetId="6">'Beer Data Sheet'!$A$1:$AJ$181</definedName>
    <definedName name="_xlnm.Print_Area" localSheetId="2">'Beer Kit'!$A$7:$Z$115</definedName>
    <definedName name="_xlnm.Print_Area" localSheetId="5">'Beer Scaling'!$R$29</definedName>
    <definedName name="_xlnm.Print_Area" localSheetId="3">Extract!$A$1:$BN$199</definedName>
    <definedName name="_xlnm.Print_Area" localSheetId="1">'General Calc''s'!#REF!</definedName>
    <definedName name="_xlnm.Print_Area" localSheetId="7">'Gluten-Free'!$C$36</definedName>
    <definedName name="_xlnm.Print_Area" localSheetId="0">Index!$A$1:$G$71</definedName>
    <definedName name="_xlnm.Print_Area" localSheetId="8">Primer!$A$1:$T$140</definedName>
    <definedName name="_xlnm.Print_Area" localSheetId="9">Water!$A$1:$T$49</definedName>
    <definedName name="sewewqeqe" localSheetId="4">#REF!</definedName>
    <definedName name="sewewqeqe" localSheetId="2">#REF!</definedName>
    <definedName name="sewewqeqe" localSheetId="5">#REF!</definedName>
    <definedName name="sewewqeqe" localSheetId="3">#REF!</definedName>
    <definedName name="sewewqeq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54" l="1"/>
  <c r="E12" i="54"/>
  <c r="E16" i="54"/>
  <c r="C19" i="46"/>
  <c r="I57" i="46"/>
  <c r="I58" i="46"/>
  <c r="Q196" i="42"/>
  <c r="Q197" i="42"/>
  <c r="Q198" i="42"/>
  <c r="D148" i="53"/>
  <c r="AG51" i="9"/>
  <c r="AD51" i="9"/>
  <c r="AA51" i="9"/>
  <c r="S36" i="55"/>
  <c r="O36" i="55"/>
  <c r="O37" i="55"/>
  <c r="O34" i="55"/>
  <c r="O35" i="55"/>
  <c r="I8" i="55"/>
  <c r="I7" i="55"/>
  <c r="B68" i="52"/>
  <c r="B117" i="53"/>
  <c r="Q205" i="42"/>
  <c r="Q204" i="42"/>
  <c r="Q203" i="42"/>
  <c r="Q202" i="42"/>
  <c r="Q201" i="42"/>
  <c r="Q200" i="42"/>
  <c r="Q199" i="42"/>
  <c r="E200" i="42"/>
  <c r="D200" i="42"/>
  <c r="Q192" i="42"/>
  <c r="I64" i="42"/>
  <c r="G64" i="42" s="1"/>
  <c r="H69" i="42"/>
  <c r="C187" i="42" l="1"/>
  <c r="F184" i="42" l="1"/>
  <c r="F186" i="42"/>
  <c r="I186" i="42"/>
  <c r="I187" i="42"/>
  <c r="K187" i="42"/>
  <c r="K186" i="42"/>
  <c r="G115" i="53"/>
  <c r="G116" i="53"/>
  <c r="G117" i="53"/>
  <c r="G118" i="53"/>
  <c r="G119" i="53"/>
  <c r="F187" i="42" l="1"/>
  <c r="Q175" i="42"/>
  <c r="Q176" i="42"/>
  <c r="Q177" i="42"/>
  <c r="Q178" i="42"/>
  <c r="Q179" i="42"/>
  <c r="Q180" i="42"/>
  <c r="Q181" i="42"/>
  <c r="Q182" i="42"/>
  <c r="Q183" i="42"/>
  <c r="Q184" i="42"/>
  <c r="Q185" i="42"/>
  <c r="Q186" i="42"/>
  <c r="Q187" i="42"/>
  <c r="Q188" i="42"/>
  <c r="Q189" i="42"/>
  <c r="Q190" i="42"/>
  <c r="Q191" i="42"/>
  <c r="Q193" i="42"/>
  <c r="Q194" i="42"/>
  <c r="Q195" i="42"/>
  <c r="N28" i="42"/>
  <c r="P28" i="42"/>
  <c r="Q28" i="42"/>
  <c r="D187" i="42" l="1"/>
  <c r="H67" i="42"/>
  <c r="T68" i="9" l="1"/>
  <c r="AC109" i="52"/>
  <c r="AB109" i="52"/>
  <c r="AC107" i="52"/>
  <c r="AB107" i="52"/>
  <c r="AC105" i="52"/>
  <c r="AB105" i="52"/>
  <c r="AC103" i="52"/>
  <c r="AB103" i="52"/>
  <c r="AC101" i="52"/>
  <c r="AB101" i="52"/>
  <c r="AC99" i="52"/>
  <c r="AB99" i="52"/>
  <c r="AC97" i="52"/>
  <c r="AB97" i="52"/>
  <c r="AC95" i="52"/>
  <c r="AB95" i="52"/>
  <c r="AC93" i="52"/>
  <c r="AB93" i="52"/>
  <c r="AC91" i="52"/>
  <c r="AB91" i="52"/>
  <c r="AC89" i="52"/>
  <c r="AB89" i="52"/>
  <c r="AC87" i="52"/>
  <c r="AB87" i="52"/>
  <c r="AC85" i="52"/>
  <c r="AB85" i="52"/>
  <c r="T58" i="9"/>
  <c r="S58" i="9"/>
  <c r="S60" i="9"/>
  <c r="T60" i="9"/>
  <c r="B186" i="42" l="1"/>
  <c r="J166" i="42"/>
  <c r="G129" i="15"/>
  <c r="D5" i="52"/>
  <c r="Y68" i="55"/>
  <c r="AA68" i="55" s="1"/>
  <c r="Y67" i="55"/>
  <c r="AA67" i="55" s="1"/>
  <c r="AB67" i="55" s="1"/>
  <c r="AW56" i="52" l="1"/>
  <c r="AX65" i="55"/>
  <c r="AW65" i="55"/>
  <c r="AS65" i="55"/>
  <c r="AP65" i="55" s="1"/>
  <c r="AQ65" i="55" s="1"/>
  <c r="AX64" i="55"/>
  <c r="AW64" i="55"/>
  <c r="AS64" i="55"/>
  <c r="AP64" i="55" s="1"/>
  <c r="AQ64" i="55" s="1"/>
  <c r="AX63" i="55"/>
  <c r="AW63" i="55"/>
  <c r="AS63" i="55"/>
  <c r="AP63" i="55" s="1"/>
  <c r="AQ63" i="55" s="1"/>
  <c r="AX62" i="55"/>
  <c r="AW62" i="55"/>
  <c r="AS62" i="55"/>
  <c r="AP62" i="55" s="1"/>
  <c r="AQ62" i="55" s="1"/>
  <c r="AX61" i="55"/>
  <c r="AW61" i="55"/>
  <c r="AS61" i="55"/>
  <c r="AP61" i="55" s="1"/>
  <c r="AQ61" i="55" s="1"/>
  <c r="AX60" i="55"/>
  <c r="AW60" i="55"/>
  <c r="AS60" i="55"/>
  <c r="AP60" i="55" s="1"/>
  <c r="AQ60" i="55" s="1"/>
  <c r="AX59" i="55"/>
  <c r="AW59" i="55"/>
  <c r="AS59" i="55"/>
  <c r="AP59" i="55" s="1"/>
  <c r="AQ59" i="55" s="1"/>
  <c r="AX58" i="55"/>
  <c r="AW58" i="55"/>
  <c r="AS58" i="55"/>
  <c r="AP58" i="55" s="1"/>
  <c r="AQ58" i="55" s="1"/>
  <c r="AX57" i="55"/>
  <c r="AW57" i="55"/>
  <c r="AS57" i="55"/>
  <c r="AP57" i="55" s="1"/>
  <c r="AQ57" i="55" s="1"/>
  <c r="AX56" i="55"/>
  <c r="AW56" i="55"/>
  <c r="AS56" i="55"/>
  <c r="AP56" i="55" s="1"/>
  <c r="AQ56" i="55" s="1"/>
  <c r="AX55" i="55"/>
  <c r="AW55" i="55"/>
  <c r="AS55" i="55"/>
  <c r="AP55" i="55" s="1"/>
  <c r="AQ55" i="55" s="1"/>
  <c r="AX54" i="55"/>
  <c r="AW54" i="55"/>
  <c r="AS54" i="55"/>
  <c r="AP54" i="55" s="1"/>
  <c r="AQ54" i="55" s="1"/>
  <c r="AX53" i="55"/>
  <c r="AW53" i="55"/>
  <c r="AS53" i="55"/>
  <c r="AP53" i="55" s="1"/>
  <c r="AQ53" i="55" s="1"/>
  <c r="AX52" i="55"/>
  <c r="AW52" i="55"/>
  <c r="AS52" i="55"/>
  <c r="AP52" i="55" s="1"/>
  <c r="AQ52" i="55" s="1"/>
  <c r="AY47" i="55"/>
  <c r="AX47" i="55"/>
  <c r="AT47" i="55"/>
  <c r="AU47" i="55" s="1"/>
  <c r="AQ47" i="55"/>
  <c r="AP47" i="55" s="1"/>
  <c r="AY46" i="55"/>
  <c r="AX46" i="55"/>
  <c r="AT46" i="55"/>
  <c r="AU46" i="55" s="1"/>
  <c r="AQ46" i="55"/>
  <c r="AP46" i="55" s="1"/>
  <c r="AY45" i="55"/>
  <c r="AX45" i="55"/>
  <c r="AT45" i="55"/>
  <c r="AU45" i="55" s="1"/>
  <c r="AQ45" i="55"/>
  <c r="AP45" i="55" s="1"/>
  <c r="AY44" i="55"/>
  <c r="AX44" i="55"/>
  <c r="AT44" i="55"/>
  <c r="AU44" i="55" s="1"/>
  <c r="AQ44" i="55"/>
  <c r="AP44" i="55" s="1"/>
  <c r="AY43" i="55"/>
  <c r="AX43" i="55"/>
  <c r="AT43" i="55"/>
  <c r="AU43" i="55" s="1"/>
  <c r="AQ43" i="55"/>
  <c r="AP43" i="55" s="1"/>
  <c r="AY42" i="55"/>
  <c r="AX42" i="55"/>
  <c r="AT42" i="55"/>
  <c r="AU42" i="55" s="1"/>
  <c r="AQ42" i="55"/>
  <c r="AP42" i="55" s="1"/>
  <c r="AY41" i="55"/>
  <c r="AX41" i="55"/>
  <c r="AT41" i="55"/>
  <c r="AU41" i="55" s="1"/>
  <c r="AQ41" i="55"/>
  <c r="AP41" i="55" s="1"/>
  <c r="AY40" i="55"/>
  <c r="AX40" i="55"/>
  <c r="AT40" i="55"/>
  <c r="AU40" i="55" s="1"/>
  <c r="AQ40" i="55"/>
  <c r="AP40" i="55" s="1"/>
  <c r="AY39" i="55"/>
  <c r="AX39" i="55"/>
  <c r="AT39" i="55"/>
  <c r="AU39" i="55" s="1"/>
  <c r="AQ39" i="55"/>
  <c r="AP39" i="55" s="1"/>
  <c r="AY38" i="55"/>
  <c r="AX38" i="55"/>
  <c r="AT38" i="55"/>
  <c r="AU38" i="55" s="1"/>
  <c r="AQ38" i="55"/>
  <c r="AP38" i="55" s="1"/>
  <c r="AY37" i="55"/>
  <c r="AX37" i="55"/>
  <c r="AT37" i="55"/>
  <c r="AU37" i="55" s="1"/>
  <c r="AQ37" i="55"/>
  <c r="AP37" i="55" s="1"/>
  <c r="AY36" i="55"/>
  <c r="AX36" i="55"/>
  <c r="AT36" i="55"/>
  <c r="AU36" i="55" s="1"/>
  <c r="AQ36" i="55"/>
  <c r="AP36" i="55" s="1"/>
  <c r="AY35" i="55"/>
  <c r="AX35" i="55"/>
  <c r="AT35" i="55"/>
  <c r="AU35" i="55" s="1"/>
  <c r="AQ35" i="55"/>
  <c r="AP35" i="55" s="1"/>
  <c r="AY34" i="55"/>
  <c r="AX34" i="55"/>
  <c r="AT34" i="55"/>
  <c r="AU34" i="55" s="1"/>
  <c r="AQ34" i="55"/>
  <c r="AP34" i="55" s="1"/>
  <c r="AM82" i="9"/>
  <c r="AN82" i="9"/>
  <c r="AM83" i="9"/>
  <c r="AN83" i="9"/>
  <c r="AM84" i="9"/>
  <c r="AN84" i="9"/>
  <c r="AO69" i="9"/>
  <c r="AL69" i="9" s="1"/>
  <c r="AM69" i="9" s="1"/>
  <c r="AO70" i="9"/>
  <c r="AL70" i="9" s="1"/>
  <c r="AM70" i="9" s="1"/>
  <c r="AO71" i="9"/>
  <c r="AL71" i="9" s="1"/>
  <c r="AM71" i="9" s="1"/>
  <c r="AM56" i="9"/>
  <c r="AL56" i="9" s="1"/>
  <c r="AM57" i="9"/>
  <c r="AL57" i="9" s="1"/>
  <c r="AL44" i="9"/>
  <c r="AM44" i="9"/>
  <c r="AL45" i="9"/>
  <c r="AM45" i="9"/>
  <c r="AL31" i="9"/>
  <c r="AM31" i="9" s="1"/>
  <c r="AL32" i="9"/>
  <c r="AM32" i="9" s="1"/>
  <c r="AL33" i="9"/>
  <c r="AM33" i="9" s="1"/>
  <c r="AE136" i="4"/>
  <c r="AG136" i="4"/>
  <c r="AH136" i="4"/>
  <c r="AE137" i="4"/>
  <c r="AG137" i="4"/>
  <c r="AH137" i="4"/>
  <c r="AE138" i="4"/>
  <c r="AG138" i="4"/>
  <c r="AH138" i="4"/>
  <c r="AE139" i="4"/>
  <c r="AG139" i="4"/>
  <c r="AH139" i="4"/>
  <c r="AE140" i="4"/>
  <c r="AG140" i="4"/>
  <c r="AH140" i="4"/>
  <c r="E117" i="53" l="1"/>
  <c r="E111" i="53"/>
  <c r="E115" i="53"/>
  <c r="E101" i="53"/>
  <c r="E102" i="53"/>
  <c r="E103" i="53"/>
  <c r="E104" i="53"/>
  <c r="E105" i="53"/>
  <c r="E106" i="53"/>
  <c r="E107" i="53"/>
  <c r="E108" i="53"/>
  <c r="E109" i="53"/>
  <c r="E110" i="53"/>
  <c r="E112" i="53"/>
  <c r="E113" i="53"/>
  <c r="E114" i="53"/>
  <c r="E86" i="53"/>
  <c r="E87" i="53"/>
  <c r="E88" i="53"/>
  <c r="E89" i="53"/>
  <c r="E90" i="53"/>
  <c r="E91" i="53"/>
  <c r="E92" i="53"/>
  <c r="E93" i="53"/>
  <c r="E94" i="53"/>
  <c r="E95" i="53"/>
  <c r="E96" i="53"/>
  <c r="E97" i="53"/>
  <c r="E98" i="53"/>
  <c r="E99" i="53"/>
  <c r="E100" i="53"/>
  <c r="E84" i="53"/>
  <c r="E14" i="16" l="1"/>
  <c r="E18" i="16" s="1"/>
  <c r="E19" i="16" s="1"/>
  <c r="E21" i="16" s="1"/>
  <c r="C16" i="16"/>
  <c r="D15" i="16"/>
  <c r="C15" i="16"/>
  <c r="C14" i="16"/>
  <c r="D13" i="16"/>
  <c r="C13" i="16"/>
  <c r="D12" i="16"/>
  <c r="C12" i="16"/>
  <c r="AO74" i="55" l="1"/>
  <c r="D153" i="53" l="1"/>
  <c r="AO77" i="55"/>
  <c r="AQ77" i="55" s="1"/>
  <c r="H83" i="42" l="1"/>
  <c r="B58" i="55" l="1"/>
  <c r="B48" i="46" l="1"/>
  <c r="D21" i="54" l="1"/>
  <c r="E21" i="54" s="1"/>
  <c r="D23" i="54"/>
  <c r="E23" i="54" s="1"/>
  <c r="H17" i="55"/>
  <c r="S66" i="46"/>
  <c r="C25" i="42"/>
  <c r="P69" i="46"/>
  <c r="M11" i="46"/>
  <c r="L29" i="42"/>
  <c r="F29" i="42"/>
  <c r="E25" i="42"/>
  <c r="K22" i="42"/>
  <c r="I23" i="42" s="1"/>
  <c r="I22" i="42"/>
  <c r="I24" i="42" s="1"/>
  <c r="E22" i="42"/>
  <c r="C22" i="42"/>
  <c r="K19" i="42"/>
  <c r="I19" i="42"/>
  <c r="E19" i="42"/>
  <c r="C19" i="42"/>
  <c r="K16" i="42"/>
  <c r="J16" i="42" s="1"/>
  <c r="L16" i="42" s="1"/>
  <c r="E16" i="42"/>
  <c r="C16" i="42"/>
  <c r="K13" i="42"/>
  <c r="L13" i="42" s="1"/>
  <c r="E13" i="42"/>
  <c r="C13" i="42"/>
  <c r="K10" i="42"/>
  <c r="I10" i="42" s="1"/>
  <c r="E10" i="42"/>
  <c r="C10" i="42" s="1"/>
  <c r="K7" i="42"/>
  <c r="I7" i="42" s="1"/>
  <c r="E7" i="42"/>
  <c r="C7" i="42"/>
  <c r="BB54" i="52" l="1"/>
  <c r="D9" i="54"/>
  <c r="D10" i="54"/>
  <c r="E10" i="54" s="1"/>
  <c r="D11" i="54"/>
  <c r="E11" i="54" s="1"/>
  <c r="F11" i="54" s="1"/>
  <c r="D12" i="54"/>
  <c r="D13" i="54"/>
  <c r="E13" i="54" s="1"/>
  <c r="D14" i="54"/>
  <c r="E15" i="54"/>
  <c r="D17" i="54"/>
  <c r="D18" i="54"/>
  <c r="E18" i="54" s="1"/>
  <c r="D19" i="54"/>
  <c r="E19" i="54" s="1"/>
  <c r="C20" i="54"/>
  <c r="C22" i="54"/>
  <c r="C24" i="54"/>
  <c r="D24" i="54" s="1"/>
  <c r="E24" i="54" s="1"/>
  <c r="C26" i="54"/>
  <c r="D26" i="54"/>
  <c r="E26" i="54"/>
  <c r="B31" i="54"/>
  <c r="D31" i="54"/>
  <c r="E31" i="54"/>
  <c r="D32" i="54"/>
  <c r="E32" i="54" s="1"/>
  <c r="C33" i="54"/>
  <c r="C34" i="54"/>
  <c r="E40" i="54"/>
  <c r="I15" i="52"/>
  <c r="B22" i="54" l="1"/>
  <c r="B20" i="54"/>
  <c r="D33" i="54"/>
  <c r="E17" i="54"/>
  <c r="D20" i="54"/>
  <c r="D34" i="54"/>
  <c r="E9" i="54"/>
  <c r="D22" i="54"/>
  <c r="BB42" i="55"/>
  <c r="BA42" i="55"/>
  <c r="BB40" i="55"/>
  <c r="BA40" i="55"/>
  <c r="BB38" i="55"/>
  <c r="BA38" i="55"/>
  <c r="BB36" i="55"/>
  <c r="BA36" i="55"/>
  <c r="BB34" i="55"/>
  <c r="BA34" i="55"/>
  <c r="BB32" i="55"/>
  <c r="BA32" i="55"/>
  <c r="AU12" i="55"/>
  <c r="AU11" i="55"/>
  <c r="AW10" i="55"/>
  <c r="AU10" i="55"/>
  <c r="AU9" i="55"/>
  <c r="AW8" i="55"/>
  <c r="AU8" i="55"/>
  <c r="AW7" i="55"/>
  <c r="AU7" i="55"/>
  <c r="BB1" i="55"/>
  <c r="E20" i="54" l="1"/>
  <c r="E22" i="54"/>
  <c r="E33" i="54"/>
  <c r="E34" i="54"/>
  <c r="BB18" i="55"/>
  <c r="BA18" i="55"/>
  <c r="BB16" i="55"/>
  <c r="BA16" i="55"/>
  <c r="BB14" i="55"/>
  <c r="BA14" i="55"/>
  <c r="BB30" i="55"/>
  <c r="BA30" i="55"/>
  <c r="BB28" i="55"/>
  <c r="BA28" i="55"/>
  <c r="BB26" i="55"/>
  <c r="BA26" i="55"/>
  <c r="BB24" i="55"/>
  <c r="BA24" i="55"/>
  <c r="BE30" i="55"/>
  <c r="BS30" i="55"/>
  <c r="BD7" i="55"/>
  <c r="BE7" i="55" s="1"/>
  <c r="BF5" i="55"/>
  <c r="BG5" i="55" l="1"/>
  <c r="BS7" i="55"/>
  <c r="BF7" i="55"/>
  <c r="BF30" i="55"/>
  <c r="BD8" i="55"/>
  <c r="BG30" i="55" l="1"/>
  <c r="BH5" i="55"/>
  <c r="BG7" i="55"/>
  <c r="BE8" i="55"/>
  <c r="BS8" i="55"/>
  <c r="BG8" i="55"/>
  <c r="BF8" i="55"/>
  <c r="BD9" i="55"/>
  <c r="BH30" i="55" l="1"/>
  <c r="BH7" i="55"/>
  <c r="BH8" i="55"/>
  <c r="BI5" i="55"/>
  <c r="BI30" i="55" s="1"/>
  <c r="BE9" i="55"/>
  <c r="BF9" i="55"/>
  <c r="BS9" i="55"/>
  <c r="BG9" i="55"/>
  <c r="BH9" i="55"/>
  <c r="BD10" i="55"/>
  <c r="BJ5" i="55" l="1"/>
  <c r="BJ30" i="55" s="1"/>
  <c r="BI7" i="55"/>
  <c r="BI8" i="55"/>
  <c r="BI9" i="55"/>
  <c r="BI10" i="55"/>
  <c r="BS10" i="55"/>
  <c r="BE10" i="55"/>
  <c r="BG10" i="55"/>
  <c r="BF10" i="55"/>
  <c r="BH10" i="55"/>
  <c r="BD11" i="55"/>
  <c r="BK5" i="55" l="1"/>
  <c r="BJ8" i="55"/>
  <c r="BJ7" i="55"/>
  <c r="BJ9" i="55"/>
  <c r="BJ10" i="55"/>
  <c r="BS11" i="55"/>
  <c r="BE11" i="55"/>
  <c r="BG11" i="55"/>
  <c r="BF11" i="55"/>
  <c r="BH11" i="55"/>
  <c r="BI11" i="55"/>
  <c r="BJ11" i="55"/>
  <c r="BD12" i="55"/>
  <c r="BK11" i="55" l="1"/>
  <c r="BK9" i="55"/>
  <c r="BK10" i="55"/>
  <c r="BK30" i="55"/>
  <c r="BK8" i="55"/>
  <c r="BL5" i="55"/>
  <c r="BL10" i="55" s="1"/>
  <c r="BK7" i="55"/>
  <c r="BS12" i="55"/>
  <c r="BE12" i="55"/>
  <c r="BF12" i="55"/>
  <c r="BG12" i="55"/>
  <c r="BH12" i="55"/>
  <c r="BI12" i="55"/>
  <c r="BJ12" i="55"/>
  <c r="BK12" i="55"/>
  <c r="BD13" i="55"/>
  <c r="BL7" i="55" l="1"/>
  <c r="BL30" i="55"/>
  <c r="BL8" i="55"/>
  <c r="BM5" i="55"/>
  <c r="BL9" i="55"/>
  <c r="BL11" i="55"/>
  <c r="BL12" i="55"/>
  <c r="BE13" i="55"/>
  <c r="BS13" i="55"/>
  <c r="BF13" i="55"/>
  <c r="BG13" i="55"/>
  <c r="BH13" i="55"/>
  <c r="BI13" i="55"/>
  <c r="BJ13" i="55"/>
  <c r="BK13" i="55"/>
  <c r="BM9" i="55"/>
  <c r="BM13" i="55"/>
  <c r="BM8" i="55"/>
  <c r="BM12" i="55"/>
  <c r="BM10" i="55"/>
  <c r="BM30" i="55"/>
  <c r="BM11" i="55"/>
  <c r="BM7" i="55"/>
  <c r="BL13" i="55"/>
  <c r="BD14" i="55"/>
  <c r="BN5" i="55"/>
  <c r="BG14" i="55" l="1"/>
  <c r="BE14" i="55"/>
  <c r="BS14" i="55"/>
  <c r="BF14" i="55"/>
  <c r="BH14" i="55"/>
  <c r="BI14" i="55"/>
  <c r="BJ14" i="55"/>
  <c r="BK14" i="55"/>
  <c r="BL14" i="55"/>
  <c r="BN10" i="55"/>
  <c r="BN14" i="55"/>
  <c r="BN30" i="55"/>
  <c r="BN13" i="55"/>
  <c r="BN11" i="55"/>
  <c r="BN8" i="55"/>
  <c r="BN12" i="55"/>
  <c r="BN7" i="55"/>
  <c r="BN9" i="55"/>
  <c r="BM14" i="55"/>
  <c r="BD15" i="55"/>
  <c r="BN15" i="55" s="1"/>
  <c r="BO5" i="55"/>
  <c r="BS15" i="55" l="1"/>
  <c r="BE15" i="55"/>
  <c r="BF15" i="55"/>
  <c r="BG15" i="55"/>
  <c r="BH15" i="55"/>
  <c r="BI15" i="55"/>
  <c r="BJ15" i="55"/>
  <c r="BK15" i="55"/>
  <c r="BL15" i="55"/>
  <c r="BM15" i="55"/>
  <c r="BO11" i="55"/>
  <c r="BO15" i="55"/>
  <c r="BO10" i="55"/>
  <c r="BO30" i="55"/>
  <c r="BO8" i="55"/>
  <c r="BO12" i="55"/>
  <c r="BO7" i="55"/>
  <c r="BO9" i="55"/>
  <c r="BO13" i="55"/>
  <c r="BO14" i="55"/>
  <c r="BD16" i="55"/>
  <c r="BP5" i="55"/>
  <c r="BS16" i="55" l="1"/>
  <c r="BE16" i="55"/>
  <c r="BG16" i="55"/>
  <c r="BF16" i="55"/>
  <c r="BH16" i="55"/>
  <c r="BI16" i="55"/>
  <c r="BJ16" i="55"/>
  <c r="BK16" i="55"/>
  <c r="BL16" i="55"/>
  <c r="BM16" i="55"/>
  <c r="BN16" i="55"/>
  <c r="BP8" i="55"/>
  <c r="BP12" i="55"/>
  <c r="BP16" i="55"/>
  <c r="BP7" i="55"/>
  <c r="BP11" i="55"/>
  <c r="BP15" i="55"/>
  <c r="BP9" i="55"/>
  <c r="BP13" i="55"/>
  <c r="BP10" i="55"/>
  <c r="BP14" i="55"/>
  <c r="BP30" i="55"/>
  <c r="BO16" i="55"/>
  <c r="BD17" i="55"/>
  <c r="BQ5" i="55"/>
  <c r="BE17" i="55" l="1"/>
  <c r="BF17" i="55"/>
  <c r="BS17" i="55"/>
  <c r="BG17" i="55"/>
  <c r="BH17" i="55"/>
  <c r="BI17" i="55"/>
  <c r="BJ17" i="55"/>
  <c r="BK17" i="55"/>
  <c r="BL17" i="55"/>
  <c r="BM17" i="55"/>
  <c r="BN17" i="55"/>
  <c r="BO17" i="55"/>
  <c r="BQ9" i="55"/>
  <c r="BQ13" i="55"/>
  <c r="BQ17" i="55"/>
  <c r="BQ15" i="55"/>
  <c r="BQ12" i="55"/>
  <c r="BQ16" i="55"/>
  <c r="BQ10" i="55"/>
  <c r="BQ14" i="55"/>
  <c r="BQ30" i="55"/>
  <c r="BQ11" i="55"/>
  <c r="BQ8" i="55"/>
  <c r="BQ7" i="55"/>
  <c r="BP17" i="55"/>
  <c r="BD18" i="55"/>
  <c r="BR5" i="55"/>
  <c r="BG18" i="55" l="1"/>
  <c r="BE18" i="55"/>
  <c r="BS18" i="55"/>
  <c r="BF18" i="55"/>
  <c r="BH18" i="55"/>
  <c r="BI18" i="55"/>
  <c r="BJ18" i="55"/>
  <c r="BK18" i="55"/>
  <c r="BL18" i="55"/>
  <c r="BM18" i="55"/>
  <c r="BN18" i="55"/>
  <c r="BO18" i="55"/>
  <c r="BP18" i="55"/>
  <c r="BQ18" i="55"/>
  <c r="BR10" i="55"/>
  <c r="BR14" i="55"/>
  <c r="BR18" i="55"/>
  <c r="BR30" i="55"/>
  <c r="BR12" i="55"/>
  <c r="BR7" i="55"/>
  <c r="BR13" i="55"/>
  <c r="BR11" i="55"/>
  <c r="BR15" i="55"/>
  <c r="BR8" i="55"/>
  <c r="BR16" i="55"/>
  <c r="BR9" i="55"/>
  <c r="BR17" i="55"/>
  <c r="BD19" i="55"/>
  <c r="BR19" i="55" s="1"/>
  <c r="BS19" i="55" l="1"/>
  <c r="BE19" i="55"/>
  <c r="BG19" i="55"/>
  <c r="BF19" i="55"/>
  <c r="BH19" i="55"/>
  <c r="BI19" i="55"/>
  <c r="BJ19" i="55"/>
  <c r="BK19" i="55"/>
  <c r="BL19" i="55"/>
  <c r="BM19" i="55"/>
  <c r="BN19" i="55"/>
  <c r="BO19" i="55"/>
  <c r="BP19" i="55"/>
  <c r="BQ19" i="55"/>
  <c r="BD20" i="55"/>
  <c r="BB53" i="52"/>
  <c r="AW24" i="52"/>
  <c r="AW25" i="52"/>
  <c r="AW26" i="52"/>
  <c r="AW27" i="52"/>
  <c r="AW28" i="52"/>
  <c r="AW29" i="52"/>
  <c r="AW30" i="52"/>
  <c r="AW31" i="52"/>
  <c r="AW32" i="52"/>
  <c r="AW33" i="52"/>
  <c r="AW34" i="52"/>
  <c r="AW35" i="52"/>
  <c r="AW36" i="52"/>
  <c r="AW37" i="52"/>
  <c r="AW38" i="52"/>
  <c r="AW39" i="52"/>
  <c r="AW40" i="52"/>
  <c r="AW41" i="52"/>
  <c r="AW42" i="52"/>
  <c r="AW43" i="52"/>
  <c r="AW44" i="52"/>
  <c r="AW45" i="52"/>
  <c r="AW46" i="52"/>
  <c r="AW47" i="52"/>
  <c r="AW48" i="52"/>
  <c r="AW49" i="52"/>
  <c r="AW50" i="52"/>
  <c r="AW51" i="52"/>
  <c r="AW52" i="52"/>
  <c r="BE20" i="55" l="1"/>
  <c r="BS20" i="55"/>
  <c r="BG20" i="55"/>
  <c r="BF20" i="55"/>
  <c r="BH20" i="55"/>
  <c r="BI20" i="55"/>
  <c r="BJ20" i="55"/>
  <c r="BK20" i="55"/>
  <c r="BL20" i="55"/>
  <c r="BM20" i="55"/>
  <c r="BN20" i="55"/>
  <c r="BO20" i="55"/>
  <c r="BP20" i="55"/>
  <c r="BQ20" i="55"/>
  <c r="BR20" i="55"/>
  <c r="BD21" i="55"/>
  <c r="F143" i="53"/>
  <c r="D143" i="53"/>
  <c r="D144" i="53"/>
  <c r="D145" i="53"/>
  <c r="D146" i="53"/>
  <c r="BE21" i="55" l="1"/>
  <c r="BF21" i="55"/>
  <c r="BS21" i="55"/>
  <c r="BG21" i="55"/>
  <c r="BH21" i="55"/>
  <c r="BI21" i="55"/>
  <c r="BJ21" i="55"/>
  <c r="BK21" i="55"/>
  <c r="BL21" i="55"/>
  <c r="BM21" i="55"/>
  <c r="BN21" i="55"/>
  <c r="BO21" i="55"/>
  <c r="BP21" i="55"/>
  <c r="BQ21" i="55"/>
  <c r="BR21" i="55"/>
  <c r="BD22" i="55"/>
  <c r="BH22" i="55" s="1"/>
  <c r="E86" i="42"/>
  <c r="F86" i="42" s="1"/>
  <c r="Q83" i="42"/>
  <c r="O83" i="42"/>
  <c r="C83" i="42"/>
  <c r="BS22" i="55" l="1"/>
  <c r="BE22" i="55"/>
  <c r="BG22" i="55"/>
  <c r="BF22" i="55"/>
  <c r="BI22" i="55"/>
  <c r="BJ22" i="55"/>
  <c r="BK22" i="55"/>
  <c r="BL22" i="55"/>
  <c r="BM22" i="55"/>
  <c r="BN22" i="55"/>
  <c r="BO22" i="55"/>
  <c r="BP22" i="55"/>
  <c r="BQ22" i="55"/>
  <c r="BR22" i="55"/>
  <c r="BD23" i="55"/>
  <c r="BK23" i="55" s="1"/>
  <c r="I16" i="16"/>
  <c r="F16" i="16"/>
  <c r="H15" i="16"/>
  <c r="H14" i="16"/>
  <c r="G13" i="16"/>
  <c r="I12" i="16"/>
  <c r="G11" i="16"/>
  <c r="F11" i="16"/>
  <c r="C11" i="16"/>
  <c r="C138" i="46"/>
  <c r="C137" i="46"/>
  <c r="C136" i="46"/>
  <c r="C135" i="46"/>
  <c r="C134" i="46"/>
  <c r="D133" i="46"/>
  <c r="B133" i="46"/>
  <c r="C132" i="46"/>
  <c r="D131" i="46"/>
  <c r="B131" i="46"/>
  <c r="C130" i="46"/>
  <c r="C131" i="46" s="1"/>
  <c r="D129" i="46"/>
  <c r="B129" i="46"/>
  <c r="C128" i="46"/>
  <c r="D127" i="46"/>
  <c r="B127" i="46"/>
  <c r="C126" i="46"/>
  <c r="D125" i="46"/>
  <c r="B125" i="46"/>
  <c r="C124" i="46"/>
  <c r="D123" i="46"/>
  <c r="B123" i="46"/>
  <c r="C122" i="46"/>
  <c r="C123" i="46" s="1"/>
  <c r="D121" i="46"/>
  <c r="B121" i="46"/>
  <c r="E11" i="46" s="1"/>
  <c r="F11" i="46" s="1"/>
  <c r="F12" i="46" s="1"/>
  <c r="C120" i="46"/>
  <c r="D119" i="46"/>
  <c r="B119" i="46"/>
  <c r="C118" i="46"/>
  <c r="C119" i="46" s="1"/>
  <c r="D117" i="46"/>
  <c r="B117" i="46"/>
  <c r="C116" i="46"/>
  <c r="D115" i="46"/>
  <c r="B115" i="46"/>
  <c r="C114" i="46"/>
  <c r="C115" i="46" s="1"/>
  <c r="D113" i="46"/>
  <c r="B113" i="46"/>
  <c r="C112" i="46"/>
  <c r="D111" i="46"/>
  <c r="B111" i="46"/>
  <c r="C110" i="46"/>
  <c r="C111" i="46" s="1"/>
  <c r="D109" i="46"/>
  <c r="B109" i="46"/>
  <c r="C108" i="46"/>
  <c r="C107" i="46"/>
  <c r="C106" i="46"/>
  <c r="C105" i="46"/>
  <c r="C104" i="46"/>
  <c r="C103" i="46"/>
  <c r="C102" i="46"/>
  <c r="C101" i="46"/>
  <c r="C100" i="46"/>
  <c r="C99" i="46"/>
  <c r="C98" i="46"/>
  <c r="C97" i="46"/>
  <c r="C96" i="46"/>
  <c r="C95" i="46"/>
  <c r="K81" i="46"/>
  <c r="K73" i="46"/>
  <c r="L69" i="46"/>
  <c r="M69" i="46" s="1"/>
  <c r="S68" i="46"/>
  <c r="S65" i="46"/>
  <c r="S64" i="46"/>
  <c r="S63" i="46"/>
  <c r="C63" i="46"/>
  <c r="D63" i="46" s="1"/>
  <c r="B63" i="46"/>
  <c r="S62" i="46"/>
  <c r="S61" i="46"/>
  <c r="S60" i="46"/>
  <c r="S59" i="46"/>
  <c r="S58" i="46"/>
  <c r="E58" i="46"/>
  <c r="B58" i="46"/>
  <c r="S57" i="46"/>
  <c r="S56" i="46"/>
  <c r="K56" i="46"/>
  <c r="K57" i="46" s="1"/>
  <c r="S55" i="46"/>
  <c r="S54" i="46"/>
  <c r="S53" i="46"/>
  <c r="E53" i="46"/>
  <c r="S52" i="46"/>
  <c r="S51" i="46"/>
  <c r="S50" i="46"/>
  <c r="B50" i="46"/>
  <c r="S49" i="46"/>
  <c r="S48" i="46"/>
  <c r="S47" i="46"/>
  <c r="A47" i="46"/>
  <c r="S46" i="46"/>
  <c r="S45" i="46"/>
  <c r="S44" i="46"/>
  <c r="S43" i="46"/>
  <c r="D43" i="46"/>
  <c r="B43" i="46"/>
  <c r="S42" i="46"/>
  <c r="H42" i="46"/>
  <c r="F42" i="46"/>
  <c r="S41" i="46"/>
  <c r="S40" i="46"/>
  <c r="S39" i="46"/>
  <c r="N39" i="46"/>
  <c r="F39" i="46"/>
  <c r="H39" i="46" s="1"/>
  <c r="D39" i="46"/>
  <c r="B39" i="46"/>
  <c r="S38" i="46"/>
  <c r="N38" i="46"/>
  <c r="S37" i="46"/>
  <c r="N37" i="46"/>
  <c r="S36" i="46"/>
  <c r="N36" i="46"/>
  <c r="S35" i="46"/>
  <c r="N35" i="46"/>
  <c r="S34" i="46"/>
  <c r="N34" i="46"/>
  <c r="G34" i="46"/>
  <c r="D34" i="46" s="1"/>
  <c r="S33" i="46"/>
  <c r="N33" i="46"/>
  <c r="S32" i="46"/>
  <c r="N32" i="46"/>
  <c r="S31" i="46"/>
  <c r="N31" i="46"/>
  <c r="K41" i="46" s="1"/>
  <c r="S30" i="46"/>
  <c r="N30" i="46"/>
  <c r="S29" i="46"/>
  <c r="N29" i="46"/>
  <c r="S28" i="46"/>
  <c r="N28" i="46"/>
  <c r="D28" i="46"/>
  <c r="C28" i="46"/>
  <c r="S27" i="46"/>
  <c r="N27" i="46"/>
  <c r="H27" i="46"/>
  <c r="F27" i="46"/>
  <c r="S26" i="46"/>
  <c r="N26" i="46"/>
  <c r="S25" i="46"/>
  <c r="N25" i="46"/>
  <c r="S24" i="46"/>
  <c r="N24" i="46"/>
  <c r="S23" i="46"/>
  <c r="N23" i="46"/>
  <c r="S22" i="46"/>
  <c r="N22" i="46"/>
  <c r="S21" i="46"/>
  <c r="N21" i="46"/>
  <c r="S20" i="46"/>
  <c r="S19" i="46"/>
  <c r="S18" i="46"/>
  <c r="H18" i="46"/>
  <c r="F18" i="46"/>
  <c r="S17" i="46"/>
  <c r="S16" i="46"/>
  <c r="S15" i="46"/>
  <c r="S14" i="46"/>
  <c r="S13" i="46"/>
  <c r="S12" i="46"/>
  <c r="S11" i="46"/>
  <c r="M8" i="46"/>
  <c r="G11" i="46"/>
  <c r="H11" i="46" s="1"/>
  <c r="H12" i="46" s="1"/>
  <c r="S10" i="46"/>
  <c r="H10" i="46"/>
  <c r="F10" i="46"/>
  <c r="S9" i="46"/>
  <c r="M9" i="46"/>
  <c r="M15" i="46" s="1"/>
  <c r="S8" i="46"/>
  <c r="O174" i="4"/>
  <c r="O173" i="4"/>
  <c r="O172" i="4"/>
  <c r="O171" i="4"/>
  <c r="S170" i="4"/>
  <c r="S175" i="4" s="1"/>
  <c r="O168" i="4"/>
  <c r="T167" i="4"/>
  <c r="U167" i="4" s="1"/>
  <c r="Q167" i="4" s="1"/>
  <c r="O167" i="4"/>
  <c r="U166" i="4"/>
  <c r="S166" i="4"/>
  <c r="T166" i="4" s="1"/>
  <c r="O166" i="4"/>
  <c r="U165" i="4"/>
  <c r="S165" i="4"/>
  <c r="T165" i="4" s="1"/>
  <c r="O165" i="4"/>
  <c r="U164" i="4"/>
  <c r="S164" i="4"/>
  <c r="T164" i="4" s="1"/>
  <c r="O164" i="4"/>
  <c r="U163" i="4"/>
  <c r="S163" i="4"/>
  <c r="T163" i="4" s="1"/>
  <c r="U162" i="4"/>
  <c r="S162" i="4"/>
  <c r="M161" i="4"/>
  <c r="M160" i="4"/>
  <c r="O159" i="4"/>
  <c r="M159" i="4"/>
  <c r="M158" i="4"/>
  <c r="M157" i="4"/>
  <c r="M156" i="4"/>
  <c r="M155" i="4"/>
  <c r="M154" i="4"/>
  <c r="M152" i="4"/>
  <c r="M151" i="4"/>
  <c r="M150" i="4"/>
  <c r="M149" i="4"/>
  <c r="M148" i="4"/>
  <c r="M147" i="4"/>
  <c r="M146" i="4"/>
  <c r="M145" i="4"/>
  <c r="M144" i="4"/>
  <c r="M143" i="4"/>
  <c r="M142" i="4"/>
  <c r="M141" i="4"/>
  <c r="M140" i="4"/>
  <c r="M139" i="4"/>
  <c r="M138" i="4"/>
  <c r="M137" i="4"/>
  <c r="K137" i="4"/>
  <c r="M136" i="4"/>
  <c r="AH135" i="4"/>
  <c r="AG135" i="4"/>
  <c r="AE135" i="4"/>
  <c r="M135" i="4"/>
  <c r="AH134" i="4"/>
  <c r="AG134" i="4"/>
  <c r="AE134" i="4"/>
  <c r="M134" i="4"/>
  <c r="AH133" i="4"/>
  <c r="AG133" i="4"/>
  <c r="AE133" i="4"/>
  <c r="M133" i="4"/>
  <c r="AH132" i="4"/>
  <c r="AG132" i="4"/>
  <c r="AE132" i="4"/>
  <c r="M132" i="4"/>
  <c r="AH131" i="4"/>
  <c r="AG131" i="4"/>
  <c r="AE131" i="4"/>
  <c r="AH130" i="4"/>
  <c r="AG130" i="4"/>
  <c r="AE130" i="4"/>
  <c r="M130" i="4"/>
  <c r="AH129" i="4"/>
  <c r="AG129" i="4"/>
  <c r="AE129" i="4"/>
  <c r="M129" i="4"/>
  <c r="AH128" i="4"/>
  <c r="AG128" i="4"/>
  <c r="AE128" i="4"/>
  <c r="M128" i="4"/>
  <c r="AH127" i="4"/>
  <c r="AG127" i="4"/>
  <c r="AE127" i="4"/>
  <c r="M127" i="4"/>
  <c r="AH126" i="4"/>
  <c r="AG126" i="4"/>
  <c r="AE126" i="4"/>
  <c r="M126" i="4"/>
  <c r="AH125" i="4"/>
  <c r="AG125" i="4"/>
  <c r="AE125" i="4"/>
  <c r="M125" i="4"/>
  <c r="AH124" i="4"/>
  <c r="AG124" i="4"/>
  <c r="AE124" i="4"/>
  <c r="M124" i="4"/>
  <c r="AH123" i="4"/>
  <c r="AG123" i="4"/>
  <c r="M123" i="4"/>
  <c r="AH122" i="4"/>
  <c r="AG122" i="4"/>
  <c r="AE122" i="4"/>
  <c r="M122" i="4"/>
  <c r="AH121" i="4"/>
  <c r="AG121" i="4"/>
  <c r="AE121" i="4"/>
  <c r="M121" i="4"/>
  <c r="AH120" i="4"/>
  <c r="AG120" i="4"/>
  <c r="AE120" i="4"/>
  <c r="M120" i="4"/>
  <c r="AH119" i="4"/>
  <c r="AG119" i="4"/>
  <c r="AE119" i="4"/>
  <c r="M119" i="4"/>
  <c r="AH118" i="4"/>
  <c r="AG118" i="4"/>
  <c r="M118" i="4"/>
  <c r="AH117" i="4"/>
  <c r="AG117" i="4"/>
  <c r="AE117" i="4"/>
  <c r="M117" i="4"/>
  <c r="AH116" i="4"/>
  <c r="AG116" i="4"/>
  <c r="M116" i="4"/>
  <c r="AH115" i="4"/>
  <c r="AG115" i="4"/>
  <c r="AE115" i="4"/>
  <c r="M115" i="4"/>
  <c r="AH114" i="4"/>
  <c r="AG114" i="4"/>
  <c r="AH113" i="4"/>
  <c r="AG113" i="4"/>
  <c r="M113" i="4"/>
  <c r="AH112" i="4"/>
  <c r="AG112" i="4"/>
  <c r="AE112" i="4"/>
  <c r="M112" i="4"/>
  <c r="AH111" i="4"/>
  <c r="AG111" i="4"/>
  <c r="AE111" i="4"/>
  <c r="M111" i="4"/>
  <c r="AH110" i="4"/>
  <c r="AG110" i="4"/>
  <c r="AE110" i="4"/>
  <c r="M110" i="4"/>
  <c r="AH109" i="4"/>
  <c r="AG109" i="4"/>
  <c r="AE109" i="4"/>
  <c r="M109" i="4"/>
  <c r="AH108" i="4"/>
  <c r="AG108" i="4"/>
  <c r="AE108" i="4"/>
  <c r="M108" i="4"/>
  <c r="AH107" i="4"/>
  <c r="AG107" i="4"/>
  <c r="AE107" i="4"/>
  <c r="M107" i="4"/>
  <c r="AH106" i="4"/>
  <c r="AG106" i="4"/>
  <c r="AE106" i="4"/>
  <c r="M106" i="4"/>
  <c r="AH105" i="4"/>
  <c r="AG105" i="4"/>
  <c r="M105" i="4"/>
  <c r="AH104" i="4"/>
  <c r="AG104" i="4"/>
  <c r="M104" i="4"/>
  <c r="AH103" i="4"/>
  <c r="AG103" i="4"/>
  <c r="AE103" i="4"/>
  <c r="M103" i="4"/>
  <c r="AH102" i="4"/>
  <c r="AG102" i="4"/>
  <c r="AE102" i="4"/>
  <c r="M102" i="4"/>
  <c r="AH101" i="4"/>
  <c r="AG101" i="4"/>
  <c r="AE101" i="4"/>
  <c r="M101" i="4"/>
  <c r="AH100" i="4"/>
  <c r="AG100" i="4"/>
  <c r="AE100" i="4"/>
  <c r="AH99" i="4"/>
  <c r="AG99" i="4"/>
  <c r="AE99" i="4"/>
  <c r="M99" i="4"/>
  <c r="AH98" i="4"/>
  <c r="AG98" i="4"/>
  <c r="AE98" i="4"/>
  <c r="M98" i="4"/>
  <c r="AH97" i="4"/>
  <c r="AG97" i="4"/>
  <c r="AE97" i="4"/>
  <c r="M97" i="4"/>
  <c r="AH96" i="4"/>
  <c r="AG96" i="4"/>
  <c r="AE96" i="4"/>
  <c r="M96" i="4"/>
  <c r="AH95" i="4"/>
  <c r="AG95" i="4"/>
  <c r="AE95" i="4"/>
  <c r="M95" i="4"/>
  <c r="AH94" i="4"/>
  <c r="AG94" i="4"/>
  <c r="AE94" i="4"/>
  <c r="M94" i="4"/>
  <c r="AH93" i="4"/>
  <c r="AG93" i="4"/>
  <c r="AE93" i="4"/>
  <c r="M93" i="4"/>
  <c r="AH92" i="4"/>
  <c r="AG92" i="4"/>
  <c r="AE92" i="4"/>
  <c r="M92" i="4"/>
  <c r="AH91" i="4"/>
  <c r="AG91" i="4"/>
  <c r="AE91" i="4"/>
  <c r="M91" i="4"/>
  <c r="AH90" i="4"/>
  <c r="AG90" i="4"/>
  <c r="AE90" i="4"/>
  <c r="M90" i="4"/>
  <c r="AH89" i="4"/>
  <c r="AG89" i="4"/>
  <c r="AE89" i="4"/>
  <c r="M89" i="4"/>
  <c r="AH88" i="4"/>
  <c r="AG88" i="4"/>
  <c r="AE88" i="4"/>
  <c r="M88" i="4"/>
  <c r="E88" i="4"/>
  <c r="AH87" i="4"/>
  <c r="AG87" i="4"/>
  <c r="AE87" i="4"/>
  <c r="M87" i="4"/>
  <c r="E87" i="4"/>
  <c r="AH86" i="4"/>
  <c r="AG86" i="4"/>
  <c r="AE86" i="4"/>
  <c r="M86" i="4"/>
  <c r="E86" i="4"/>
  <c r="AF149" i="53" s="1"/>
  <c r="AJ149" i="53" s="1"/>
  <c r="AH85" i="4"/>
  <c r="AG85" i="4"/>
  <c r="AE85" i="4"/>
  <c r="M85" i="4"/>
  <c r="E85" i="4"/>
  <c r="AH84" i="4"/>
  <c r="AG84" i="4"/>
  <c r="AE84" i="4"/>
  <c r="M84" i="4"/>
  <c r="E84" i="4"/>
  <c r="AH83" i="4"/>
  <c r="AG83" i="4"/>
  <c r="AE83" i="4"/>
  <c r="E83" i="4"/>
  <c r="AH82" i="4"/>
  <c r="AG82" i="4"/>
  <c r="E82" i="4"/>
  <c r="AH81" i="4"/>
  <c r="AG81" i="4"/>
  <c r="AE81" i="4"/>
  <c r="E81" i="4"/>
  <c r="AH80" i="4"/>
  <c r="AG80" i="4"/>
  <c r="AE80" i="4"/>
  <c r="E80" i="4"/>
  <c r="AH79" i="4"/>
  <c r="AG79" i="4"/>
  <c r="AE79" i="4"/>
  <c r="M79" i="4"/>
  <c r="E79" i="4"/>
  <c r="AH78" i="4"/>
  <c r="AG78" i="4"/>
  <c r="AE78" i="4"/>
  <c r="M78" i="4"/>
  <c r="E78" i="4"/>
  <c r="AH77" i="4"/>
  <c r="AG77" i="4"/>
  <c r="AE77" i="4"/>
  <c r="M77" i="4"/>
  <c r="E77" i="4"/>
  <c r="AF140" i="53" s="1"/>
  <c r="AJ140" i="53" s="1"/>
  <c r="AH76" i="4"/>
  <c r="AG76" i="4"/>
  <c r="AE76" i="4"/>
  <c r="M76" i="4"/>
  <c r="E76" i="4"/>
  <c r="AH75" i="4"/>
  <c r="AG75" i="4"/>
  <c r="AE75" i="4"/>
  <c r="M75" i="4"/>
  <c r="E75" i="4"/>
  <c r="AH74" i="4"/>
  <c r="AG74" i="4"/>
  <c r="AE74" i="4"/>
  <c r="M74" i="4"/>
  <c r="E74" i="4"/>
  <c r="AH73" i="4"/>
  <c r="AG73" i="4"/>
  <c r="AE73" i="4"/>
  <c r="M73" i="4"/>
  <c r="E73" i="4"/>
  <c r="AF136" i="53" s="1"/>
  <c r="AJ136" i="53" s="1"/>
  <c r="AH72" i="4"/>
  <c r="AG72" i="4"/>
  <c r="AE72" i="4"/>
  <c r="M72" i="4"/>
  <c r="E72" i="4"/>
  <c r="AH71" i="4"/>
  <c r="AG71" i="4"/>
  <c r="AE71" i="4"/>
  <c r="M71" i="4"/>
  <c r="E71" i="4"/>
  <c r="AH70" i="4"/>
  <c r="AG70" i="4"/>
  <c r="M70" i="4"/>
  <c r="E70" i="4"/>
  <c r="AH69" i="4"/>
  <c r="AG69" i="4"/>
  <c r="AE69" i="4"/>
  <c r="M69" i="4"/>
  <c r="E69" i="4"/>
  <c r="AH68" i="4"/>
  <c r="AG68" i="4"/>
  <c r="AE68" i="4"/>
  <c r="M68" i="4"/>
  <c r="E68" i="4"/>
  <c r="AH42" i="53" s="1"/>
  <c r="AH67" i="4"/>
  <c r="AG67" i="4"/>
  <c r="AE67" i="4"/>
  <c r="M67" i="4"/>
  <c r="E67" i="4"/>
  <c r="AH66" i="4"/>
  <c r="AG66" i="4"/>
  <c r="AE66" i="4"/>
  <c r="M66" i="4"/>
  <c r="E66" i="4"/>
  <c r="AH65" i="4"/>
  <c r="AG65" i="4"/>
  <c r="AE65" i="4"/>
  <c r="M65" i="4"/>
  <c r="E65" i="4"/>
  <c r="AH64" i="4"/>
  <c r="AG64" i="4"/>
  <c r="AE64" i="4"/>
  <c r="M64" i="4"/>
  <c r="E64" i="4"/>
  <c r="AH38" i="53" s="1"/>
  <c r="AH63" i="4"/>
  <c r="AG63" i="4"/>
  <c r="AE63" i="4"/>
  <c r="M63" i="4"/>
  <c r="E63" i="4"/>
  <c r="AH62" i="4"/>
  <c r="AG62" i="4"/>
  <c r="AE62" i="4"/>
  <c r="M62" i="4"/>
  <c r="E62" i="4"/>
  <c r="AH61" i="4"/>
  <c r="AG61" i="4"/>
  <c r="M61" i="4"/>
  <c r="E61" i="4"/>
  <c r="AH60" i="4"/>
  <c r="AG60" i="4"/>
  <c r="M60" i="4"/>
  <c r="E60" i="4"/>
  <c r="AH59" i="4"/>
  <c r="AG59" i="4"/>
  <c r="M59" i="4"/>
  <c r="E59" i="4"/>
  <c r="AH58" i="4"/>
  <c r="AG58" i="4"/>
  <c r="M58" i="4"/>
  <c r="E58" i="4"/>
  <c r="AH57" i="4"/>
  <c r="AG57" i="4"/>
  <c r="AH56" i="4"/>
  <c r="AG56" i="4"/>
  <c r="AH55" i="4"/>
  <c r="AG55" i="4"/>
  <c r="AE55" i="4"/>
  <c r="AH54" i="4"/>
  <c r="AG54" i="4"/>
  <c r="AH53" i="4"/>
  <c r="AG53" i="4"/>
  <c r="AE53" i="4"/>
  <c r="AH52" i="4"/>
  <c r="AG52" i="4"/>
  <c r="AE52" i="4"/>
  <c r="S52" i="4"/>
  <c r="Q52" i="4"/>
  <c r="AH51" i="4"/>
  <c r="AG51" i="4"/>
  <c r="AE51" i="4"/>
  <c r="AH50" i="4"/>
  <c r="AG50" i="4"/>
  <c r="AE50" i="4"/>
  <c r="AH49" i="4"/>
  <c r="AG49" i="4"/>
  <c r="AE49" i="4"/>
  <c r="AH48" i="4"/>
  <c r="AG48" i="4"/>
  <c r="AE48" i="4"/>
  <c r="AH47" i="4"/>
  <c r="AG47" i="4"/>
  <c r="AE47" i="4"/>
  <c r="AH46" i="4"/>
  <c r="AG46" i="4"/>
  <c r="AE46" i="4"/>
  <c r="AH45" i="4"/>
  <c r="AG45" i="4"/>
  <c r="AE45" i="4"/>
  <c r="W45" i="4"/>
  <c r="V45" i="4"/>
  <c r="AH44" i="4"/>
  <c r="AG44" i="4"/>
  <c r="AE44" i="4"/>
  <c r="Q44" i="4"/>
  <c r="P44" i="4"/>
  <c r="AH43" i="4"/>
  <c r="AG43" i="4"/>
  <c r="AE43" i="4"/>
  <c r="W43" i="4"/>
  <c r="V43" i="4"/>
  <c r="Q43" i="4"/>
  <c r="AE42" i="4"/>
  <c r="Q42" i="4"/>
  <c r="AH41" i="4"/>
  <c r="AG41" i="4"/>
  <c r="AE41" i="4"/>
  <c r="W41" i="4"/>
  <c r="V41" i="4"/>
  <c r="Q41" i="4"/>
  <c r="AH40" i="4"/>
  <c r="AG40" i="4"/>
  <c r="AE40" i="4"/>
  <c r="Q40" i="4"/>
  <c r="AH39" i="4"/>
  <c r="AG39" i="4"/>
  <c r="AE39" i="4"/>
  <c r="W39" i="4"/>
  <c r="V39" i="4"/>
  <c r="Q39" i="4"/>
  <c r="AH38" i="4"/>
  <c r="AG38" i="4"/>
  <c r="AE38" i="4"/>
  <c r="AH37" i="4"/>
  <c r="AG37" i="4"/>
  <c r="AE37" i="4"/>
  <c r="W37" i="4"/>
  <c r="V37" i="4"/>
  <c r="AH36" i="4"/>
  <c r="AG36" i="4"/>
  <c r="AE36" i="4"/>
  <c r="Q36" i="4"/>
  <c r="AH35" i="4"/>
  <c r="AG35" i="4"/>
  <c r="AE35" i="4"/>
  <c r="W35" i="4"/>
  <c r="V35" i="4"/>
  <c r="Q35" i="4"/>
  <c r="AH34" i="4"/>
  <c r="AG34" i="4"/>
  <c r="AE34" i="4"/>
  <c r="Q34" i="4"/>
  <c r="AH33" i="4"/>
  <c r="AG33" i="4"/>
  <c r="AE33" i="4"/>
  <c r="W33" i="4"/>
  <c r="V33" i="4"/>
  <c r="Q33" i="4"/>
  <c r="AH32" i="4"/>
  <c r="AG32" i="4"/>
  <c r="AE32" i="4"/>
  <c r="S32" i="4"/>
  <c r="Q32" i="4"/>
  <c r="AH31" i="4"/>
  <c r="AG31" i="4"/>
  <c r="AE31" i="4"/>
  <c r="W31" i="4"/>
  <c r="V31" i="4"/>
  <c r="S31" i="4"/>
  <c r="Q31" i="4"/>
  <c r="AH30" i="4"/>
  <c r="AG30" i="4"/>
  <c r="AE30" i="4"/>
  <c r="S30" i="4"/>
  <c r="Q30" i="4"/>
  <c r="AH29" i="4"/>
  <c r="AG29" i="4"/>
  <c r="AE29" i="4"/>
  <c r="W29" i="4"/>
  <c r="V29" i="4"/>
  <c r="AH28" i="4"/>
  <c r="AG28" i="4"/>
  <c r="AE28" i="4"/>
  <c r="AH27" i="4"/>
  <c r="AG27" i="4"/>
  <c r="AE27" i="4"/>
  <c r="W27" i="4"/>
  <c r="V27" i="4"/>
  <c r="AH26" i="4"/>
  <c r="AG26" i="4"/>
  <c r="AE26" i="4"/>
  <c r="AH25" i="4"/>
  <c r="AG25" i="4"/>
  <c r="AE25" i="4"/>
  <c r="W25" i="4"/>
  <c r="V25" i="4"/>
  <c r="AH24" i="4"/>
  <c r="AG24" i="4"/>
  <c r="AE24" i="4"/>
  <c r="AH23" i="4"/>
  <c r="AG23" i="4"/>
  <c r="AE23" i="4"/>
  <c r="W23" i="4"/>
  <c r="V23" i="4"/>
  <c r="AH22" i="4"/>
  <c r="AG22" i="4"/>
  <c r="AE22" i="4"/>
  <c r="AH21" i="4"/>
  <c r="AG21" i="4"/>
  <c r="AE21" i="4"/>
  <c r="W21" i="4"/>
  <c r="V21" i="4"/>
  <c r="AH20" i="4"/>
  <c r="AG20" i="4"/>
  <c r="AE20" i="4"/>
  <c r="AH19" i="4"/>
  <c r="AG19" i="4"/>
  <c r="AE19" i="4"/>
  <c r="AH18" i="4"/>
  <c r="AG18" i="4"/>
  <c r="AH17" i="4"/>
  <c r="AG17" i="4"/>
  <c r="AE17" i="4"/>
  <c r="AH16" i="4"/>
  <c r="AG16" i="4"/>
  <c r="AE16" i="4"/>
  <c r="AH15" i="4"/>
  <c r="AG15" i="4"/>
  <c r="AE15" i="4"/>
  <c r="AH14" i="4"/>
  <c r="AG14" i="4"/>
  <c r="AE14" i="4"/>
  <c r="AH13" i="4"/>
  <c r="AG13" i="4"/>
  <c r="AE13" i="4"/>
  <c r="AH12" i="4"/>
  <c r="AG12" i="4"/>
  <c r="AE12" i="4"/>
  <c r="AH11" i="4"/>
  <c r="AG11" i="4"/>
  <c r="AE11" i="4"/>
  <c r="AH10" i="4"/>
  <c r="AG10" i="4"/>
  <c r="AH9" i="4"/>
  <c r="AG9" i="4"/>
  <c r="AE9" i="4"/>
  <c r="AH8" i="4"/>
  <c r="AG8" i="4"/>
  <c r="AE8" i="4"/>
  <c r="AH7" i="4"/>
  <c r="AG7" i="4"/>
  <c r="AE7" i="4"/>
  <c r="W4" i="4"/>
  <c r="C133" i="9"/>
  <c r="C121" i="9"/>
  <c r="S34" i="9" s="1"/>
  <c r="W34" i="9" s="1"/>
  <c r="C108" i="9"/>
  <c r="C107" i="9"/>
  <c r="C106" i="9"/>
  <c r="N95" i="9"/>
  <c r="L95" i="9"/>
  <c r="J94" i="9"/>
  <c r="H95" i="9" s="1"/>
  <c r="H94" i="9"/>
  <c r="H96" i="9" s="1"/>
  <c r="H91" i="9"/>
  <c r="I91" i="9" s="1"/>
  <c r="T80" i="9"/>
  <c r="S80" i="9"/>
  <c r="N79" i="9"/>
  <c r="T78" i="9"/>
  <c r="S78" i="9"/>
  <c r="T76" i="9"/>
  <c r="S76" i="9"/>
  <c r="T74" i="9"/>
  <c r="S74" i="9"/>
  <c r="N73" i="9"/>
  <c r="L73" i="9"/>
  <c r="J73" i="9"/>
  <c r="T72" i="9"/>
  <c r="S72" i="9"/>
  <c r="T70" i="9"/>
  <c r="S70" i="9"/>
  <c r="O69" i="9"/>
  <c r="N69" i="9"/>
  <c r="M69" i="9"/>
  <c r="L69" i="9"/>
  <c r="AN81" i="9"/>
  <c r="AM81" i="9"/>
  <c r="V69" i="9"/>
  <c r="V72" i="9" s="1"/>
  <c r="AN80" i="9"/>
  <c r="AM80" i="9"/>
  <c r="AN79" i="9"/>
  <c r="AM79" i="9"/>
  <c r="T66" i="9"/>
  <c r="S66" i="9"/>
  <c r="AN78" i="9"/>
  <c r="AM78" i="9"/>
  <c r="AN77" i="9"/>
  <c r="AM77" i="9"/>
  <c r="T64" i="9"/>
  <c r="S64" i="9"/>
  <c r="AN76" i="9"/>
  <c r="AM76" i="9"/>
  <c r="AN75" i="9"/>
  <c r="AM75" i="9"/>
  <c r="T62" i="9"/>
  <c r="S62" i="9"/>
  <c r="AO68" i="9"/>
  <c r="AL68" i="9" s="1"/>
  <c r="AM68" i="9" s="1"/>
  <c r="AO67" i="9"/>
  <c r="AL67" i="9" s="1"/>
  <c r="AM67" i="9" s="1"/>
  <c r="AO66" i="9"/>
  <c r="AL66" i="9" s="1"/>
  <c r="AM66" i="9" s="1"/>
  <c r="I57" i="9"/>
  <c r="AO65" i="9"/>
  <c r="AL65" i="9" s="1"/>
  <c r="AM65" i="9" s="1"/>
  <c r="T56" i="9"/>
  <c r="S56" i="9"/>
  <c r="AO64" i="9"/>
  <c r="AL64" i="9" s="1"/>
  <c r="AM64" i="9" s="1"/>
  <c r="O55" i="9"/>
  <c r="AO63" i="9"/>
  <c r="AL63" i="9" s="1"/>
  <c r="AM63" i="9" s="1"/>
  <c r="AO62" i="9"/>
  <c r="AL62" i="9" s="1"/>
  <c r="AM62" i="9" s="1"/>
  <c r="N53" i="9"/>
  <c r="Q53" i="9" s="1"/>
  <c r="Q55" i="9" s="1"/>
  <c r="M53" i="9"/>
  <c r="P53" i="9" s="1"/>
  <c r="P55" i="9" s="1"/>
  <c r="AG50" i="9"/>
  <c r="O58" i="9" s="1"/>
  <c r="AA50" i="9"/>
  <c r="I58" i="9" s="1"/>
  <c r="O57" i="9"/>
  <c r="L49" i="9"/>
  <c r="M49" i="9" s="1"/>
  <c r="J49" i="9"/>
  <c r="AM55" i="9"/>
  <c r="AL55" i="9" s="1"/>
  <c r="AI48" i="9"/>
  <c r="AH48" i="9"/>
  <c r="AG48" i="9"/>
  <c r="AC48" i="9"/>
  <c r="AB48" i="9"/>
  <c r="AA48" i="9"/>
  <c r="N48" i="9"/>
  <c r="AF48" i="9" s="1"/>
  <c r="M48" i="9"/>
  <c r="AE48" i="9" s="1"/>
  <c r="L48" i="9"/>
  <c r="AD48" i="9" s="1"/>
  <c r="AM54" i="9"/>
  <c r="AL54" i="9" s="1"/>
  <c r="AI47" i="9"/>
  <c r="AH47" i="9"/>
  <c r="AG47" i="9"/>
  <c r="AC47" i="9"/>
  <c r="AB47" i="9"/>
  <c r="AA47" i="9"/>
  <c r="N47" i="9"/>
  <c r="AF47" i="9" s="1"/>
  <c r="M47" i="9"/>
  <c r="AE47" i="9" s="1"/>
  <c r="L47" i="9"/>
  <c r="AD47" i="9" s="1"/>
  <c r="AM53" i="9"/>
  <c r="AL53" i="9" s="1"/>
  <c r="AI46" i="9"/>
  <c r="AH46" i="9"/>
  <c r="AG46" i="9"/>
  <c r="AC46" i="9"/>
  <c r="AB46" i="9"/>
  <c r="AA46" i="9"/>
  <c r="N46" i="9"/>
  <c r="AF46" i="9" s="1"/>
  <c r="M46" i="9"/>
  <c r="AE46" i="9" s="1"/>
  <c r="L46" i="9"/>
  <c r="AD46" i="9" s="1"/>
  <c r="AM52" i="9"/>
  <c r="AL52" i="9" s="1"/>
  <c r="AI45" i="9"/>
  <c r="AH45" i="9"/>
  <c r="AG45" i="9"/>
  <c r="AC45" i="9"/>
  <c r="AB45" i="9"/>
  <c r="AA45" i="9"/>
  <c r="N45" i="9"/>
  <c r="AF45" i="9" s="1"/>
  <c r="M45" i="9"/>
  <c r="AE45" i="9" s="1"/>
  <c r="L45" i="9"/>
  <c r="AD45" i="9" s="1"/>
  <c r="AM51" i="9"/>
  <c r="AL51" i="9" s="1"/>
  <c r="AI44" i="9"/>
  <c r="AH44" i="9"/>
  <c r="AG44" i="9"/>
  <c r="AC44" i="9"/>
  <c r="AB44" i="9"/>
  <c r="AA44" i="9"/>
  <c r="N44" i="9"/>
  <c r="AF44" i="9" s="1"/>
  <c r="M44" i="9"/>
  <c r="AE44" i="9" s="1"/>
  <c r="L44" i="9"/>
  <c r="AD44" i="9" s="1"/>
  <c r="AM50" i="9"/>
  <c r="AL50" i="9" s="1"/>
  <c r="AI43" i="9"/>
  <c r="AH43" i="9"/>
  <c r="AG43" i="9"/>
  <c r="AC43" i="9"/>
  <c r="AB43" i="9"/>
  <c r="AA43" i="9"/>
  <c r="N43" i="9"/>
  <c r="AF43" i="9" s="1"/>
  <c r="M43" i="9"/>
  <c r="AE43" i="9" s="1"/>
  <c r="L43" i="9"/>
  <c r="AD43" i="9" s="1"/>
  <c r="E43" i="9"/>
  <c r="E19" i="9" s="1"/>
  <c r="AM49" i="9"/>
  <c r="AL49" i="9" s="1"/>
  <c r="AI42" i="9"/>
  <c r="AH42" i="9"/>
  <c r="AG42" i="9"/>
  <c r="AC42" i="9"/>
  <c r="AB42" i="9"/>
  <c r="AA42" i="9"/>
  <c r="N42" i="9"/>
  <c r="AF42" i="9" s="1"/>
  <c r="M42" i="9"/>
  <c r="AE42" i="9" s="1"/>
  <c r="L42" i="9"/>
  <c r="AD42" i="9" s="1"/>
  <c r="C42" i="9"/>
  <c r="AI41" i="9"/>
  <c r="AH41" i="9"/>
  <c r="AG41" i="9"/>
  <c r="AC41" i="9"/>
  <c r="AB41" i="9"/>
  <c r="AA41" i="9"/>
  <c r="N41" i="9"/>
  <c r="AF41" i="9" s="1"/>
  <c r="M41" i="9"/>
  <c r="AE41" i="9" s="1"/>
  <c r="L41" i="9"/>
  <c r="AD41" i="9" s="1"/>
  <c r="AI40" i="9"/>
  <c r="AH40" i="9"/>
  <c r="AG40" i="9"/>
  <c r="AC40" i="9"/>
  <c r="AB40" i="9"/>
  <c r="AA40" i="9"/>
  <c r="N40" i="9"/>
  <c r="AF40" i="9" s="1"/>
  <c r="M40" i="9"/>
  <c r="AE40" i="9" s="1"/>
  <c r="L40" i="9"/>
  <c r="AD40" i="9" s="1"/>
  <c r="C40" i="9"/>
  <c r="AM43" i="9"/>
  <c r="AL43" i="9"/>
  <c r="AI39" i="9"/>
  <c r="AH39" i="9"/>
  <c r="AG39" i="9"/>
  <c r="AC39" i="9"/>
  <c r="AB39" i="9"/>
  <c r="AA39" i="9"/>
  <c r="T39" i="9"/>
  <c r="N39" i="9"/>
  <c r="AF39" i="9" s="1"/>
  <c r="M39" i="9"/>
  <c r="AE39" i="9" s="1"/>
  <c r="L39" i="9"/>
  <c r="AD39" i="9" s="1"/>
  <c r="B39" i="9"/>
  <c r="AM42" i="9"/>
  <c r="AL42" i="9"/>
  <c r="AI38" i="9"/>
  <c r="AH38" i="9"/>
  <c r="AG38" i="9"/>
  <c r="AC38" i="9"/>
  <c r="AB38" i="9"/>
  <c r="AA38" i="9"/>
  <c r="W38" i="9"/>
  <c r="N38" i="9"/>
  <c r="AF38" i="9" s="1"/>
  <c r="M38" i="9"/>
  <c r="AE38" i="9" s="1"/>
  <c r="L38" i="9"/>
  <c r="AD38" i="9" s="1"/>
  <c r="AM41" i="9"/>
  <c r="AL41" i="9"/>
  <c r="AI37" i="9"/>
  <c r="AH37" i="9"/>
  <c r="AG37" i="9"/>
  <c r="AC37" i="9"/>
  <c r="AB37" i="9"/>
  <c r="AA37" i="9"/>
  <c r="N37" i="9"/>
  <c r="AF37" i="9" s="1"/>
  <c r="M37" i="9"/>
  <c r="AE37" i="9" s="1"/>
  <c r="L37" i="9"/>
  <c r="AD37" i="9" s="1"/>
  <c r="AM40" i="9"/>
  <c r="AL40" i="9"/>
  <c r="AI36" i="9"/>
  <c r="AH36" i="9"/>
  <c r="AG36" i="9"/>
  <c r="AC36" i="9"/>
  <c r="AB36" i="9"/>
  <c r="AA36" i="9"/>
  <c r="N36" i="9"/>
  <c r="AF36" i="9" s="1"/>
  <c r="M36" i="9"/>
  <c r="AE36" i="9" s="1"/>
  <c r="L36" i="9"/>
  <c r="AD36" i="9" s="1"/>
  <c r="AM39" i="9"/>
  <c r="AL39" i="9"/>
  <c r="AI35" i="9"/>
  <c r="AH35" i="9"/>
  <c r="AG35" i="9"/>
  <c r="AC35" i="9"/>
  <c r="AB35" i="9"/>
  <c r="AA35" i="9"/>
  <c r="U35" i="9"/>
  <c r="Y35" i="9" s="1"/>
  <c r="T35" i="9"/>
  <c r="S35" i="9"/>
  <c r="W35" i="9" s="1"/>
  <c r="N35" i="9"/>
  <c r="AF35" i="9" s="1"/>
  <c r="M35" i="9"/>
  <c r="AE35" i="9" s="1"/>
  <c r="L35" i="9"/>
  <c r="AD35" i="9" s="1"/>
  <c r="E35" i="9"/>
  <c r="B35" i="9"/>
  <c r="AM38" i="9"/>
  <c r="AL38" i="9"/>
  <c r="AI34" i="9"/>
  <c r="AH34" i="9"/>
  <c r="AG34" i="9"/>
  <c r="AC34" i="9"/>
  <c r="AB34" i="9"/>
  <c r="AA34" i="9"/>
  <c r="U34" i="9"/>
  <c r="Y34" i="9" s="1"/>
  <c r="T34" i="9"/>
  <c r="N34" i="9"/>
  <c r="AF34" i="9" s="1"/>
  <c r="M34" i="9"/>
  <c r="AE34" i="9" s="1"/>
  <c r="L34" i="9"/>
  <c r="AD34" i="9" s="1"/>
  <c r="E34" i="9"/>
  <c r="B34" i="9"/>
  <c r="AM37" i="9"/>
  <c r="AL37" i="9"/>
  <c r="AI33" i="9"/>
  <c r="AH33" i="9"/>
  <c r="AG33" i="9"/>
  <c r="AC33" i="9"/>
  <c r="AB33" i="9"/>
  <c r="AA33" i="9"/>
  <c r="U33" i="9"/>
  <c r="Y33" i="9" s="1"/>
  <c r="T33" i="9"/>
  <c r="S33" i="9"/>
  <c r="W33" i="9" s="1"/>
  <c r="N33" i="9"/>
  <c r="AF33" i="9" s="1"/>
  <c r="M33" i="9"/>
  <c r="AE33" i="9" s="1"/>
  <c r="L33" i="9"/>
  <c r="AD33" i="9" s="1"/>
  <c r="E33" i="9"/>
  <c r="B33" i="9"/>
  <c r="AI32" i="9"/>
  <c r="AH32" i="9"/>
  <c r="AG32" i="9"/>
  <c r="AC32" i="9"/>
  <c r="AB32" i="9"/>
  <c r="AA32" i="9"/>
  <c r="U32" i="9"/>
  <c r="Y32" i="9" s="1"/>
  <c r="T32" i="9"/>
  <c r="S32" i="9"/>
  <c r="W32" i="9" s="1"/>
  <c r="N32" i="9"/>
  <c r="AF32" i="9" s="1"/>
  <c r="M32" i="9"/>
  <c r="AE32" i="9" s="1"/>
  <c r="L32" i="9"/>
  <c r="AD32" i="9" s="1"/>
  <c r="E32" i="9"/>
  <c r="B32" i="9"/>
  <c r="AI31" i="9"/>
  <c r="AH31" i="9"/>
  <c r="AG31" i="9"/>
  <c r="AC31" i="9"/>
  <c r="AB31" i="9"/>
  <c r="AA31" i="9"/>
  <c r="U31" i="9"/>
  <c r="Y31" i="9" s="1"/>
  <c r="T31" i="9"/>
  <c r="S31" i="9"/>
  <c r="W31" i="9" s="1"/>
  <c r="N31" i="9"/>
  <c r="AF31" i="9" s="1"/>
  <c r="M31" i="9"/>
  <c r="AE31" i="9" s="1"/>
  <c r="L31" i="9"/>
  <c r="AD31" i="9" s="1"/>
  <c r="E31" i="9"/>
  <c r="B31" i="9"/>
  <c r="AL30" i="9"/>
  <c r="AM30" i="9" s="1"/>
  <c r="AI30" i="9"/>
  <c r="AH30" i="9"/>
  <c r="AG30" i="9"/>
  <c r="AC30" i="9"/>
  <c r="AB30" i="9"/>
  <c r="AA30" i="9"/>
  <c r="U30" i="9"/>
  <c r="Y30" i="9" s="1"/>
  <c r="T30" i="9"/>
  <c r="S30" i="9"/>
  <c r="W30" i="9" s="1"/>
  <c r="N30" i="9"/>
  <c r="AF30" i="9" s="1"/>
  <c r="M30" i="9"/>
  <c r="AE30" i="9" s="1"/>
  <c r="L30" i="9"/>
  <c r="AD30" i="9" s="1"/>
  <c r="B30" i="9"/>
  <c r="AL29" i="9"/>
  <c r="AM29" i="9" s="1"/>
  <c r="AI29" i="9"/>
  <c r="AH29" i="9"/>
  <c r="AG29" i="9"/>
  <c r="AC29" i="9"/>
  <c r="AB29" i="9"/>
  <c r="AA29" i="9"/>
  <c r="N29" i="9"/>
  <c r="AF29" i="9" s="1"/>
  <c r="M29" i="9"/>
  <c r="AE29" i="9" s="1"/>
  <c r="L29" i="9"/>
  <c r="AD29" i="9" s="1"/>
  <c r="AL28" i="9"/>
  <c r="AM28" i="9" s="1"/>
  <c r="AI28" i="9"/>
  <c r="AH28" i="9"/>
  <c r="AG28" i="9"/>
  <c r="AC28" i="9"/>
  <c r="AB28" i="9"/>
  <c r="AA28" i="9"/>
  <c r="N28" i="9"/>
  <c r="AF28" i="9" s="1"/>
  <c r="M28" i="9"/>
  <c r="AE28" i="9" s="1"/>
  <c r="L28" i="9"/>
  <c r="AD28" i="9" s="1"/>
  <c r="AL27" i="9"/>
  <c r="AM27" i="9" s="1"/>
  <c r="AI27" i="9"/>
  <c r="AH27" i="9"/>
  <c r="AG27" i="9"/>
  <c r="AC27" i="9"/>
  <c r="AB27" i="9"/>
  <c r="AA27" i="9"/>
  <c r="U27" i="9"/>
  <c r="Y27" i="9" s="1"/>
  <c r="S27" i="9"/>
  <c r="W27" i="9" s="1"/>
  <c r="F27" i="9" s="1"/>
  <c r="N27" i="9"/>
  <c r="AF27" i="9" s="1"/>
  <c r="M27" i="9"/>
  <c r="AE27" i="9" s="1"/>
  <c r="L27" i="9"/>
  <c r="AD27" i="9" s="1"/>
  <c r="E27" i="9"/>
  <c r="B27" i="9"/>
  <c r="AL26" i="9"/>
  <c r="AM26" i="9" s="1"/>
  <c r="AI26" i="9"/>
  <c r="AH26" i="9"/>
  <c r="AG26" i="9"/>
  <c r="AC26" i="9"/>
  <c r="AB26" i="9"/>
  <c r="AA26" i="9"/>
  <c r="U26" i="9"/>
  <c r="Y26" i="9" s="1"/>
  <c r="S26" i="9"/>
  <c r="W26" i="9" s="1"/>
  <c r="N26" i="9"/>
  <c r="AF26" i="9" s="1"/>
  <c r="M26" i="9"/>
  <c r="AE26" i="9" s="1"/>
  <c r="L26" i="9"/>
  <c r="AD26" i="9" s="1"/>
  <c r="E26" i="9"/>
  <c r="B26" i="9"/>
  <c r="AL25" i="9"/>
  <c r="AM25" i="9" s="1"/>
  <c r="AI25" i="9"/>
  <c r="AH25" i="9"/>
  <c r="AG25" i="9"/>
  <c r="AC25" i="9"/>
  <c r="AB25" i="9"/>
  <c r="AA25" i="9"/>
  <c r="U25" i="9"/>
  <c r="Y25" i="9" s="1"/>
  <c r="S25" i="9"/>
  <c r="W25" i="9" s="1"/>
  <c r="N25" i="9"/>
  <c r="AF25" i="9" s="1"/>
  <c r="M25" i="9"/>
  <c r="AE25" i="9" s="1"/>
  <c r="L25" i="9"/>
  <c r="AD25" i="9" s="1"/>
  <c r="E25" i="9"/>
  <c r="B25" i="9"/>
  <c r="AL24" i="9"/>
  <c r="AM24" i="9" s="1"/>
  <c r="AI24" i="9"/>
  <c r="AH24" i="9"/>
  <c r="AG24" i="9"/>
  <c r="AC24" i="9"/>
  <c r="AB24" i="9"/>
  <c r="AA24" i="9"/>
  <c r="U24" i="9"/>
  <c r="Y24" i="9" s="1"/>
  <c r="S24" i="9"/>
  <c r="W24" i="9" s="1"/>
  <c r="N24" i="9"/>
  <c r="AF24" i="9" s="1"/>
  <c r="M24" i="9"/>
  <c r="AE24" i="9" s="1"/>
  <c r="L24" i="9"/>
  <c r="AD24" i="9" s="1"/>
  <c r="E24" i="9"/>
  <c r="B24" i="9"/>
  <c r="AI23" i="9"/>
  <c r="AH23" i="9"/>
  <c r="AG23" i="9"/>
  <c r="AC23" i="9"/>
  <c r="AB23" i="9"/>
  <c r="AA23" i="9"/>
  <c r="U23" i="9"/>
  <c r="Y23" i="9" s="1"/>
  <c r="S23" i="9"/>
  <c r="W23" i="9" s="1"/>
  <c r="N23" i="9"/>
  <c r="AF23" i="9" s="1"/>
  <c r="M23" i="9"/>
  <c r="AE23" i="9" s="1"/>
  <c r="L23" i="9"/>
  <c r="AD23" i="9" s="1"/>
  <c r="E23" i="9"/>
  <c r="B23" i="9"/>
  <c r="AI22" i="9"/>
  <c r="AH22" i="9"/>
  <c r="AG22" i="9"/>
  <c r="AC22" i="9"/>
  <c r="AB22" i="9"/>
  <c r="AA22" i="9"/>
  <c r="U22" i="9"/>
  <c r="Y22" i="9" s="1"/>
  <c r="S22" i="9"/>
  <c r="W22" i="9" s="1"/>
  <c r="N22" i="9"/>
  <c r="AF22" i="9" s="1"/>
  <c r="M22" i="9"/>
  <c r="AE22" i="9" s="1"/>
  <c r="L22" i="9"/>
  <c r="E22" i="9"/>
  <c r="B22" i="9"/>
  <c r="U21" i="9"/>
  <c r="Y21" i="9" s="1"/>
  <c r="S21" i="9"/>
  <c r="W21" i="9" s="1"/>
  <c r="X21" i="9" s="1"/>
  <c r="E21" i="9"/>
  <c r="B21" i="9"/>
  <c r="U20" i="9"/>
  <c r="Y20" i="9" s="1"/>
  <c r="S20" i="9"/>
  <c r="W20" i="9" s="1"/>
  <c r="X20" i="9" s="1"/>
  <c r="E20" i="9"/>
  <c r="B20" i="9"/>
  <c r="U19" i="9"/>
  <c r="Y19" i="9" s="1"/>
  <c r="S19" i="9"/>
  <c r="W19" i="9" s="1"/>
  <c r="B19" i="9"/>
  <c r="S12" i="9"/>
  <c r="I4" i="9"/>
  <c r="O162" i="53"/>
  <c r="P162" i="53" s="1"/>
  <c r="N162" i="53"/>
  <c r="K162" i="53"/>
  <c r="L162" i="53" s="1"/>
  <c r="J162" i="53"/>
  <c r="P161" i="53"/>
  <c r="O161" i="53"/>
  <c r="L161" i="53"/>
  <c r="K161" i="53"/>
  <c r="H161" i="53"/>
  <c r="AC159" i="53" s="1"/>
  <c r="G161" i="53"/>
  <c r="P160" i="53"/>
  <c r="O160" i="53"/>
  <c r="L160" i="53"/>
  <c r="K160" i="53"/>
  <c r="H160" i="53"/>
  <c r="AD158" i="53" s="1"/>
  <c r="G160" i="53"/>
  <c r="P159" i="53"/>
  <c r="O159" i="53"/>
  <c r="L159" i="53"/>
  <c r="K159" i="53"/>
  <c r="H159" i="53"/>
  <c r="AD157" i="53" s="1"/>
  <c r="G159" i="53"/>
  <c r="P158" i="53"/>
  <c r="O158" i="53"/>
  <c r="L158" i="53"/>
  <c r="K158" i="53"/>
  <c r="H158" i="53"/>
  <c r="AD156" i="53" s="1"/>
  <c r="G158" i="53"/>
  <c r="P157" i="53"/>
  <c r="O157" i="53"/>
  <c r="L157" i="53"/>
  <c r="K157" i="53"/>
  <c r="H157" i="53"/>
  <c r="AD155" i="53" s="1"/>
  <c r="G157" i="53"/>
  <c r="P156" i="53"/>
  <c r="O156" i="53"/>
  <c r="L156" i="53"/>
  <c r="K156" i="53"/>
  <c r="H156" i="53"/>
  <c r="AD154" i="53" s="1"/>
  <c r="G156" i="53"/>
  <c r="E156" i="53"/>
  <c r="P155" i="53"/>
  <c r="O155" i="53"/>
  <c r="L155" i="53"/>
  <c r="K155" i="53"/>
  <c r="H155" i="53"/>
  <c r="AB153" i="53" s="1"/>
  <c r="G155" i="53"/>
  <c r="P154" i="53"/>
  <c r="O154" i="53"/>
  <c r="L154" i="53"/>
  <c r="K154" i="53"/>
  <c r="H154" i="53"/>
  <c r="AB152" i="53" s="1"/>
  <c r="G154" i="53"/>
  <c r="AM153" i="53"/>
  <c r="AI153" i="53"/>
  <c r="P153" i="53"/>
  <c r="O153" i="53"/>
  <c r="L153" i="53"/>
  <c r="K153" i="53"/>
  <c r="H153" i="53"/>
  <c r="AD151" i="53" s="1"/>
  <c r="G153" i="53"/>
  <c r="F153" i="53"/>
  <c r="B153" i="53"/>
  <c r="P152" i="53"/>
  <c r="O152" i="53"/>
  <c r="L152" i="53"/>
  <c r="K152" i="53"/>
  <c r="H152" i="53"/>
  <c r="G152" i="53"/>
  <c r="AK151" i="53"/>
  <c r="AG151" i="53"/>
  <c r="AE151" i="53" s="1"/>
  <c r="AH151" i="53" s="1"/>
  <c r="AI151" i="53" s="1"/>
  <c r="AF151" i="53"/>
  <c r="AJ151" i="53" s="1"/>
  <c r="P151" i="53"/>
  <c r="O151" i="53"/>
  <c r="L151" i="53"/>
  <c r="K151" i="53"/>
  <c r="H151" i="53"/>
  <c r="AD149" i="53" s="1"/>
  <c r="G151" i="53"/>
  <c r="F151" i="53"/>
  <c r="D151" i="53"/>
  <c r="B151" i="53"/>
  <c r="AK150" i="53"/>
  <c r="AF150" i="53"/>
  <c r="AJ150" i="53" s="1"/>
  <c r="AE150" i="53"/>
  <c r="AH150" i="53" s="1"/>
  <c r="AI150" i="53" s="1"/>
  <c r="P150" i="53"/>
  <c r="O150" i="53"/>
  <c r="L150" i="53"/>
  <c r="K150" i="53"/>
  <c r="H150" i="53"/>
  <c r="AD148" i="53" s="1"/>
  <c r="G150" i="53"/>
  <c r="F150" i="53"/>
  <c r="D150" i="53"/>
  <c r="B150" i="53"/>
  <c r="AK149" i="53"/>
  <c r="AE149" i="53"/>
  <c r="AH149" i="53" s="1"/>
  <c r="AI149" i="53" s="1"/>
  <c r="P149" i="53"/>
  <c r="O149" i="53"/>
  <c r="L149" i="53"/>
  <c r="K149" i="53"/>
  <c r="H149" i="53"/>
  <c r="AD147" i="53" s="1"/>
  <c r="G149" i="53"/>
  <c r="F149" i="53"/>
  <c r="D149" i="53"/>
  <c r="B149" i="53"/>
  <c r="AK148" i="53"/>
  <c r="AF148" i="53"/>
  <c r="AJ148" i="53" s="1"/>
  <c r="AE148" i="53"/>
  <c r="P148" i="53"/>
  <c r="O148" i="53"/>
  <c r="L148" i="53"/>
  <c r="K148" i="53"/>
  <c r="H148" i="53"/>
  <c r="AC146" i="53" s="1"/>
  <c r="G148" i="53"/>
  <c r="AN148" i="53"/>
  <c r="B148" i="53"/>
  <c r="AK147" i="53"/>
  <c r="AF147" i="53"/>
  <c r="AJ147" i="53" s="1"/>
  <c r="AE147" i="53"/>
  <c r="P147" i="53"/>
  <c r="O147" i="53"/>
  <c r="L147" i="53"/>
  <c r="K147" i="53"/>
  <c r="H147" i="53"/>
  <c r="AD145" i="53" s="1"/>
  <c r="G147" i="53"/>
  <c r="D147" i="53"/>
  <c r="B147" i="53"/>
  <c r="AK146" i="53"/>
  <c r="AG146" i="53"/>
  <c r="AF146" i="53"/>
  <c r="AJ146" i="53" s="1"/>
  <c r="AE146" i="53"/>
  <c r="P146" i="53"/>
  <c r="O146" i="53"/>
  <c r="L146" i="53"/>
  <c r="K146" i="53"/>
  <c r="H146" i="53"/>
  <c r="G146" i="53"/>
  <c r="F146" i="53"/>
  <c r="B146" i="53"/>
  <c r="AK145" i="53"/>
  <c r="AG145" i="53"/>
  <c r="AF145" i="53"/>
  <c r="AJ145" i="53" s="1"/>
  <c r="AE145" i="53"/>
  <c r="AH145" i="53" s="1"/>
  <c r="P145" i="53"/>
  <c r="O145" i="53"/>
  <c r="L145" i="53"/>
  <c r="K145" i="53"/>
  <c r="H145" i="53"/>
  <c r="AD143" i="53" s="1"/>
  <c r="G145" i="53"/>
  <c r="B145" i="53"/>
  <c r="AK144" i="53"/>
  <c r="AG144" i="53"/>
  <c r="AF144" i="53"/>
  <c r="AE144" i="53"/>
  <c r="P144" i="53"/>
  <c r="O144" i="53"/>
  <c r="L144" i="53"/>
  <c r="K144" i="53"/>
  <c r="H144" i="53"/>
  <c r="AD142" i="53" s="1"/>
  <c r="G144" i="53"/>
  <c r="F144" i="53"/>
  <c r="B144" i="53"/>
  <c r="AK143" i="53"/>
  <c r="AG143" i="53"/>
  <c r="AF143" i="53"/>
  <c r="AE143" i="53"/>
  <c r="P143" i="53"/>
  <c r="O143" i="53"/>
  <c r="L143" i="53"/>
  <c r="K143" i="53"/>
  <c r="H143" i="53"/>
  <c r="AD141" i="53" s="1"/>
  <c r="G143" i="53"/>
  <c r="B143" i="53"/>
  <c r="AK142" i="53"/>
  <c r="AG142" i="53"/>
  <c r="AF142" i="53"/>
  <c r="AJ142" i="53" s="1"/>
  <c r="AE142" i="53"/>
  <c r="P142" i="53"/>
  <c r="O142" i="53"/>
  <c r="L142" i="53"/>
  <c r="K142" i="53"/>
  <c r="H142" i="53"/>
  <c r="AD140" i="53" s="1"/>
  <c r="G142" i="53"/>
  <c r="D142" i="53"/>
  <c r="B142" i="53"/>
  <c r="AK141" i="53"/>
  <c r="AG141" i="53"/>
  <c r="AF141" i="53"/>
  <c r="AJ141" i="53" s="1"/>
  <c r="AE141" i="53"/>
  <c r="P141" i="53"/>
  <c r="O141" i="53"/>
  <c r="L141" i="53"/>
  <c r="K141" i="53"/>
  <c r="H141" i="53"/>
  <c r="AD139" i="53" s="1"/>
  <c r="G141" i="53"/>
  <c r="AN141" i="53"/>
  <c r="D141" i="53"/>
  <c r="B141" i="53"/>
  <c r="AK140" i="53"/>
  <c r="AG140" i="53"/>
  <c r="AE140" i="53"/>
  <c r="P140" i="53"/>
  <c r="O140" i="53"/>
  <c r="L140" i="53"/>
  <c r="K140" i="53"/>
  <c r="H140" i="53"/>
  <c r="AD138" i="53" s="1"/>
  <c r="G140" i="53"/>
  <c r="D140" i="53"/>
  <c r="B140" i="53"/>
  <c r="AK139" i="53"/>
  <c r="AG139" i="53"/>
  <c r="AF139" i="53"/>
  <c r="AJ139" i="53" s="1"/>
  <c r="AE139" i="53"/>
  <c r="P139" i="53"/>
  <c r="O139" i="53"/>
  <c r="L139" i="53"/>
  <c r="K139" i="53"/>
  <c r="H139" i="53"/>
  <c r="AD137" i="53" s="1"/>
  <c r="G139" i="53"/>
  <c r="D139" i="53"/>
  <c r="B139" i="53"/>
  <c r="AK138" i="53"/>
  <c r="AG138" i="53"/>
  <c r="AF138" i="53"/>
  <c r="AJ138" i="53" s="1"/>
  <c r="AE138" i="53"/>
  <c r="P138" i="53"/>
  <c r="O138" i="53"/>
  <c r="L138" i="53"/>
  <c r="K138" i="53"/>
  <c r="H138" i="53"/>
  <c r="AD136" i="53" s="1"/>
  <c r="G138" i="53"/>
  <c r="D138" i="53"/>
  <c r="B138" i="53"/>
  <c r="AK137" i="53"/>
  <c r="AG137" i="53"/>
  <c r="AF137" i="53"/>
  <c r="AN137" i="53" s="1"/>
  <c r="AE137" i="53"/>
  <c r="AL137" i="53" s="1"/>
  <c r="P137" i="53"/>
  <c r="O137" i="53"/>
  <c r="L137" i="53"/>
  <c r="K137" i="53"/>
  <c r="H137" i="53"/>
  <c r="AD135" i="53" s="1"/>
  <c r="G137" i="53"/>
  <c r="F137" i="53"/>
  <c r="D137" i="53"/>
  <c r="B137" i="53"/>
  <c r="AK136" i="53"/>
  <c r="AG136" i="53"/>
  <c r="AE136" i="53"/>
  <c r="P136" i="53"/>
  <c r="O136" i="53"/>
  <c r="L136" i="53"/>
  <c r="K136" i="53"/>
  <c r="H136" i="53"/>
  <c r="AC134" i="53" s="1"/>
  <c r="G136" i="53"/>
  <c r="D136" i="53"/>
  <c r="B136" i="53"/>
  <c r="AK135" i="53"/>
  <c r="AG135" i="53"/>
  <c r="AF135" i="53"/>
  <c r="AJ135" i="53" s="1"/>
  <c r="AE135" i="53"/>
  <c r="P135" i="53"/>
  <c r="O135" i="53"/>
  <c r="L135" i="53"/>
  <c r="K135" i="53"/>
  <c r="H135" i="53"/>
  <c r="AC133" i="53" s="1"/>
  <c r="G135" i="53"/>
  <c r="D135" i="53"/>
  <c r="B135" i="53"/>
  <c r="P134" i="53"/>
  <c r="O134" i="53"/>
  <c r="L134" i="53"/>
  <c r="K134" i="53"/>
  <c r="H134" i="53"/>
  <c r="AD132" i="53" s="1"/>
  <c r="G134" i="53"/>
  <c r="P133" i="53"/>
  <c r="O133" i="53"/>
  <c r="L133" i="53"/>
  <c r="K133" i="53"/>
  <c r="H133" i="53"/>
  <c r="AC131" i="53" s="1"/>
  <c r="G133" i="53"/>
  <c r="D132" i="53"/>
  <c r="F131" i="53"/>
  <c r="F132" i="53" s="1"/>
  <c r="P125" i="53"/>
  <c r="O125" i="53"/>
  <c r="L125" i="53"/>
  <c r="K125" i="53"/>
  <c r="P124" i="53"/>
  <c r="O124" i="53"/>
  <c r="L124" i="53"/>
  <c r="K124" i="53"/>
  <c r="K120" i="53"/>
  <c r="L120" i="53" s="1"/>
  <c r="J120" i="53"/>
  <c r="L119" i="53"/>
  <c r="K119" i="53"/>
  <c r="H119" i="53"/>
  <c r="AB119" i="53" s="1"/>
  <c r="L118" i="53"/>
  <c r="K118" i="53"/>
  <c r="H118" i="53"/>
  <c r="AA118" i="53" s="1"/>
  <c r="AK117" i="53"/>
  <c r="AH117" i="53"/>
  <c r="L117" i="53"/>
  <c r="K117" i="53"/>
  <c r="H117" i="53"/>
  <c r="AB117" i="53" s="1"/>
  <c r="F117" i="53"/>
  <c r="D117" i="53"/>
  <c r="L116" i="53"/>
  <c r="K116" i="53"/>
  <c r="H116" i="53"/>
  <c r="AA116" i="53" s="1"/>
  <c r="AF115" i="53"/>
  <c r="AE115" i="53"/>
  <c r="AD115" i="53" s="1"/>
  <c r="L115" i="53"/>
  <c r="K115" i="53"/>
  <c r="H115" i="53"/>
  <c r="AA115" i="53" s="1"/>
  <c r="B115" i="53"/>
  <c r="AF114" i="53"/>
  <c r="AI114" i="53" s="1"/>
  <c r="AD114" i="53"/>
  <c r="L114" i="53"/>
  <c r="K114" i="53"/>
  <c r="H114" i="53"/>
  <c r="AA114" i="53" s="1"/>
  <c r="G114" i="53"/>
  <c r="B114" i="53"/>
  <c r="AD113" i="53"/>
  <c r="L113" i="53"/>
  <c r="K113" i="53"/>
  <c r="H113" i="53"/>
  <c r="AB113" i="53" s="1"/>
  <c r="G113" i="53"/>
  <c r="B113" i="53"/>
  <c r="AF112" i="53"/>
  <c r="AD112" i="53"/>
  <c r="AJ112" i="53" s="1"/>
  <c r="AK112" i="53" s="1"/>
  <c r="L112" i="53"/>
  <c r="K112" i="53"/>
  <c r="H112" i="53"/>
  <c r="AB112" i="53" s="1"/>
  <c r="G112" i="53"/>
  <c r="B112" i="53"/>
  <c r="AF111" i="53"/>
  <c r="AL111" i="53" s="1"/>
  <c r="AD111" i="53"/>
  <c r="AJ111" i="53" s="1"/>
  <c r="AK111" i="53" s="1"/>
  <c r="L111" i="53"/>
  <c r="K111" i="53"/>
  <c r="H111" i="53"/>
  <c r="AB111" i="53" s="1"/>
  <c r="G111" i="53"/>
  <c r="B111" i="53"/>
  <c r="AF110" i="53"/>
  <c r="AE110" i="53"/>
  <c r="AD110" i="53"/>
  <c r="L110" i="53"/>
  <c r="K110" i="53"/>
  <c r="H110" i="53"/>
  <c r="AA110" i="53" s="1"/>
  <c r="G110" i="53"/>
  <c r="B110" i="53"/>
  <c r="AF109" i="53"/>
  <c r="AL109" i="53" s="1"/>
  <c r="AE109" i="53"/>
  <c r="AD109" i="53"/>
  <c r="L109" i="53"/>
  <c r="K109" i="53"/>
  <c r="H109" i="53"/>
  <c r="AB109" i="53" s="1"/>
  <c r="G109" i="53"/>
  <c r="B109" i="53"/>
  <c r="AF108" i="53"/>
  <c r="AL108" i="53" s="1"/>
  <c r="AE108" i="53"/>
  <c r="AD108" i="53"/>
  <c r="AJ108" i="53" s="1"/>
  <c r="L108" i="53"/>
  <c r="K108" i="53"/>
  <c r="H108" i="53"/>
  <c r="AA108" i="53" s="1"/>
  <c r="G108" i="53"/>
  <c r="B108" i="53"/>
  <c r="AF107" i="53"/>
  <c r="AE107" i="53"/>
  <c r="AD107" i="53"/>
  <c r="AG107" i="53" s="1"/>
  <c r="L107" i="53"/>
  <c r="K107" i="53"/>
  <c r="H107" i="53"/>
  <c r="AA107" i="53" s="1"/>
  <c r="G107" i="53"/>
  <c r="B107" i="53"/>
  <c r="AF106" i="53"/>
  <c r="AI106" i="53" s="1"/>
  <c r="AE106" i="53"/>
  <c r="AD106" i="53"/>
  <c r="L106" i="53"/>
  <c r="K106" i="53"/>
  <c r="H106" i="53"/>
  <c r="AB106" i="53" s="1"/>
  <c r="G106" i="53"/>
  <c r="B106" i="53"/>
  <c r="AF105" i="53"/>
  <c r="AI105" i="53" s="1"/>
  <c r="AE105" i="53"/>
  <c r="AD105" i="53"/>
  <c r="AG105" i="53" s="1"/>
  <c r="L105" i="53"/>
  <c r="K105" i="53"/>
  <c r="H105" i="53"/>
  <c r="AA105" i="53" s="1"/>
  <c r="G105" i="53"/>
  <c r="B105" i="53"/>
  <c r="AE104" i="53"/>
  <c r="AD104" i="53"/>
  <c r="AG104" i="53" s="1"/>
  <c r="L104" i="53"/>
  <c r="K104" i="53"/>
  <c r="H104" i="53"/>
  <c r="AB104" i="53" s="1"/>
  <c r="G104" i="53"/>
  <c r="B104" i="53"/>
  <c r="AF103" i="53"/>
  <c r="AE103" i="53"/>
  <c r="AD103" i="53"/>
  <c r="L103" i="53"/>
  <c r="K103" i="53"/>
  <c r="H103" i="53"/>
  <c r="AA103" i="53" s="1"/>
  <c r="G103" i="53"/>
  <c r="B103" i="53"/>
  <c r="AF102" i="53"/>
  <c r="AI102" i="53" s="1"/>
  <c r="AE102" i="53"/>
  <c r="AD102" i="53"/>
  <c r="L102" i="53"/>
  <c r="K102" i="53"/>
  <c r="H102" i="53"/>
  <c r="AB102" i="53" s="1"/>
  <c r="G102" i="53"/>
  <c r="B102" i="53"/>
  <c r="AF101" i="53"/>
  <c r="AI101" i="53" s="1"/>
  <c r="AE101" i="53"/>
  <c r="AD101" i="53"/>
  <c r="L101" i="53"/>
  <c r="K101" i="53"/>
  <c r="H101" i="53"/>
  <c r="AA101" i="53" s="1"/>
  <c r="G101" i="53"/>
  <c r="B101" i="53"/>
  <c r="AE100" i="53"/>
  <c r="AD100" i="53"/>
  <c r="AG100" i="53" s="1"/>
  <c r="L100" i="53"/>
  <c r="K100" i="53"/>
  <c r="H100" i="53"/>
  <c r="AB100" i="53" s="1"/>
  <c r="G100" i="53"/>
  <c r="B100" i="53"/>
  <c r="AF99" i="53"/>
  <c r="AI99" i="53" s="1"/>
  <c r="AE99" i="53"/>
  <c r="AD99" i="53"/>
  <c r="AG99" i="53" s="1"/>
  <c r="L99" i="53"/>
  <c r="K99" i="53"/>
  <c r="H99" i="53"/>
  <c r="AA99" i="53" s="1"/>
  <c r="G99" i="53"/>
  <c r="B99" i="53"/>
  <c r="AF98" i="53"/>
  <c r="AI98" i="53" s="1"/>
  <c r="AE98" i="53"/>
  <c r="AD98" i="53"/>
  <c r="L98" i="53"/>
  <c r="K98" i="53"/>
  <c r="H98" i="53"/>
  <c r="AB98" i="53" s="1"/>
  <c r="G98" i="53"/>
  <c r="B98" i="53"/>
  <c r="AF97" i="53"/>
  <c r="AI97" i="53" s="1"/>
  <c r="AE97" i="53"/>
  <c r="AD97" i="53"/>
  <c r="L97" i="53"/>
  <c r="K97" i="53"/>
  <c r="H97" i="53"/>
  <c r="AA97" i="53" s="1"/>
  <c r="G97" i="53"/>
  <c r="B97" i="53"/>
  <c r="AF96" i="53"/>
  <c r="AE96" i="53"/>
  <c r="AD96" i="53"/>
  <c r="AG96" i="53" s="1"/>
  <c r="L96" i="53"/>
  <c r="K96" i="53"/>
  <c r="H96" i="53"/>
  <c r="AB96" i="53" s="1"/>
  <c r="G96" i="53"/>
  <c r="B96" i="53"/>
  <c r="AE95" i="53"/>
  <c r="AD95" i="53"/>
  <c r="AG95" i="53" s="1"/>
  <c r="L95" i="53"/>
  <c r="K95" i="53"/>
  <c r="H95" i="53"/>
  <c r="AA95" i="53" s="1"/>
  <c r="G95" i="53"/>
  <c r="B95" i="53"/>
  <c r="AF94" i="53"/>
  <c r="AI94" i="53" s="1"/>
  <c r="AE94" i="53"/>
  <c r="AD94" i="53"/>
  <c r="L94" i="53"/>
  <c r="K94" i="53"/>
  <c r="H94" i="53"/>
  <c r="AB94" i="53" s="1"/>
  <c r="G94" i="53"/>
  <c r="B94" i="53"/>
  <c r="AF93" i="53"/>
  <c r="AI93" i="53" s="1"/>
  <c r="AE93" i="53"/>
  <c r="AD93" i="53"/>
  <c r="L93" i="53"/>
  <c r="K93" i="53"/>
  <c r="H93" i="53"/>
  <c r="AA93" i="53" s="1"/>
  <c r="G93" i="53"/>
  <c r="B93" i="53"/>
  <c r="AF92" i="53"/>
  <c r="AE92" i="53"/>
  <c r="AD92" i="53"/>
  <c r="AG92" i="53" s="1"/>
  <c r="L92" i="53"/>
  <c r="K92" i="53"/>
  <c r="H92" i="53"/>
  <c r="AB92" i="53" s="1"/>
  <c r="G92" i="53"/>
  <c r="B92" i="53"/>
  <c r="AE91" i="53"/>
  <c r="AD91" i="53"/>
  <c r="AG91" i="53" s="1"/>
  <c r="L91" i="53"/>
  <c r="K91" i="53"/>
  <c r="H91" i="53"/>
  <c r="AA91" i="53" s="1"/>
  <c r="G91" i="53"/>
  <c r="B91" i="53"/>
  <c r="AF90" i="53"/>
  <c r="AI90" i="53" s="1"/>
  <c r="AE90" i="53"/>
  <c r="AD90" i="53"/>
  <c r="L90" i="53"/>
  <c r="K90" i="53"/>
  <c r="H90" i="53"/>
  <c r="AB90" i="53" s="1"/>
  <c r="G90" i="53"/>
  <c r="AQ57" i="53"/>
  <c r="B90" i="53"/>
  <c r="AF89" i="53"/>
  <c r="AI89" i="53" s="1"/>
  <c r="AE89" i="53"/>
  <c r="AD89" i="53"/>
  <c r="L89" i="53"/>
  <c r="K89" i="53"/>
  <c r="H89" i="53"/>
  <c r="AA89" i="53" s="1"/>
  <c r="G89" i="53"/>
  <c r="B89" i="53"/>
  <c r="AF88" i="53"/>
  <c r="AE88" i="53"/>
  <c r="AD88" i="53"/>
  <c r="AG88" i="53" s="1"/>
  <c r="L88" i="53"/>
  <c r="K88" i="53"/>
  <c r="H88" i="53"/>
  <c r="AB88" i="53" s="1"/>
  <c r="G88" i="53"/>
  <c r="B88" i="53"/>
  <c r="AF87" i="53"/>
  <c r="AI87" i="53" s="1"/>
  <c r="AE87" i="53"/>
  <c r="AD87" i="53"/>
  <c r="AG87" i="53" s="1"/>
  <c r="L87" i="53"/>
  <c r="K87" i="53"/>
  <c r="H87" i="53"/>
  <c r="AA87" i="53" s="1"/>
  <c r="G87" i="53"/>
  <c r="B87" i="53"/>
  <c r="AF86" i="53"/>
  <c r="AI86" i="53" s="1"/>
  <c r="AE86" i="53"/>
  <c r="AD86" i="53"/>
  <c r="L86" i="53"/>
  <c r="K86" i="53"/>
  <c r="H86" i="53"/>
  <c r="AB86" i="53" s="1"/>
  <c r="G86" i="53"/>
  <c r="B86" i="53"/>
  <c r="L85" i="53"/>
  <c r="K85" i="53"/>
  <c r="H85" i="53"/>
  <c r="AB85" i="53" s="1"/>
  <c r="G85" i="53"/>
  <c r="AF84" i="53"/>
  <c r="AI84" i="53" s="1"/>
  <c r="AE84" i="53"/>
  <c r="AD84" i="53"/>
  <c r="L84" i="53"/>
  <c r="K84" i="53"/>
  <c r="H84" i="53"/>
  <c r="AB84" i="53" s="1"/>
  <c r="G84" i="53"/>
  <c r="B84" i="53"/>
  <c r="Y81" i="53"/>
  <c r="V81" i="53" s="1"/>
  <c r="W81" i="53" s="1"/>
  <c r="Y80" i="53"/>
  <c r="V80" i="53" s="1"/>
  <c r="W80" i="53" s="1"/>
  <c r="Y79" i="53"/>
  <c r="V79" i="53" s="1"/>
  <c r="W79" i="53" s="1"/>
  <c r="Y78" i="53"/>
  <c r="V78" i="53" s="1"/>
  <c r="W78" i="53" s="1"/>
  <c r="Y77" i="53"/>
  <c r="V77" i="53" s="1"/>
  <c r="W77" i="53" s="1"/>
  <c r="Y76" i="53"/>
  <c r="V76" i="53" s="1"/>
  <c r="W76" i="53" s="1"/>
  <c r="L76" i="53"/>
  <c r="K76" i="53"/>
  <c r="Y75" i="53"/>
  <c r="V75" i="53" s="1"/>
  <c r="W75" i="53" s="1"/>
  <c r="L75" i="53"/>
  <c r="K75" i="53"/>
  <c r="Y74" i="53"/>
  <c r="V74" i="53" s="1"/>
  <c r="W74" i="53" s="1"/>
  <c r="Y73" i="53"/>
  <c r="V73" i="53" s="1"/>
  <c r="W73" i="53" s="1"/>
  <c r="Y72" i="53"/>
  <c r="V72" i="53" s="1"/>
  <c r="W72" i="53" s="1"/>
  <c r="AA70" i="53"/>
  <c r="X69" i="53"/>
  <c r="Y69" i="53" s="1"/>
  <c r="X68" i="53"/>
  <c r="Y68" i="53" s="1"/>
  <c r="X67" i="53"/>
  <c r="Y67" i="53" s="1"/>
  <c r="X66" i="53"/>
  <c r="Y66" i="53" s="1"/>
  <c r="N66" i="53"/>
  <c r="L66" i="53"/>
  <c r="J66" i="53"/>
  <c r="D66" i="53"/>
  <c r="AM57" i="53" s="1"/>
  <c r="X65" i="53"/>
  <c r="Y65" i="53" s="1"/>
  <c r="N65" i="53"/>
  <c r="L65" i="53"/>
  <c r="K65" i="53"/>
  <c r="M65" i="53" s="1"/>
  <c r="H65" i="53"/>
  <c r="G65" i="53"/>
  <c r="E65" i="53"/>
  <c r="AS64" i="53"/>
  <c r="AK64" i="53"/>
  <c r="X64" i="53"/>
  <c r="Y64" i="53" s="1"/>
  <c r="N64" i="53"/>
  <c r="L64" i="53"/>
  <c r="K64" i="53"/>
  <c r="M64" i="53" s="1"/>
  <c r="H64" i="53"/>
  <c r="G64" i="53"/>
  <c r="F64" i="53"/>
  <c r="D64" i="53"/>
  <c r="B64" i="53"/>
  <c r="X63" i="53"/>
  <c r="Y63" i="53" s="1"/>
  <c r="N63" i="53"/>
  <c r="L63" i="53"/>
  <c r="K63" i="53"/>
  <c r="M63" i="53" s="1"/>
  <c r="H63" i="53"/>
  <c r="G63" i="53"/>
  <c r="AH62" i="53"/>
  <c r="AL62" i="53" s="1"/>
  <c r="AG62" i="53"/>
  <c r="AJ62" i="53" s="1"/>
  <c r="AK62" i="53" s="1"/>
  <c r="X62" i="53"/>
  <c r="Y62" i="53" s="1"/>
  <c r="N62" i="53"/>
  <c r="L62" i="53"/>
  <c r="K62" i="53"/>
  <c r="M62" i="53" s="1"/>
  <c r="H62" i="53"/>
  <c r="G62" i="53"/>
  <c r="D62" i="53"/>
  <c r="E62" i="53" s="1"/>
  <c r="B62" i="53"/>
  <c r="AH61" i="53"/>
  <c r="AG61" i="53"/>
  <c r="X61" i="53"/>
  <c r="Y61" i="53" s="1"/>
  <c r="N61" i="53"/>
  <c r="L61" i="53"/>
  <c r="K61" i="53"/>
  <c r="M61" i="53" s="1"/>
  <c r="H61" i="53"/>
  <c r="G61" i="53"/>
  <c r="D61" i="53"/>
  <c r="E61" i="53" s="1"/>
  <c r="B61" i="53"/>
  <c r="AG60" i="53"/>
  <c r="AJ60" i="53" s="1"/>
  <c r="AK60" i="53" s="1"/>
  <c r="X60" i="53"/>
  <c r="Y60" i="53" s="1"/>
  <c r="N60" i="53"/>
  <c r="L60" i="53"/>
  <c r="K60" i="53"/>
  <c r="M60" i="53" s="1"/>
  <c r="H60" i="53"/>
  <c r="G60" i="53"/>
  <c r="D60" i="53"/>
  <c r="E60" i="53" s="1"/>
  <c r="B60" i="53"/>
  <c r="AH59" i="53"/>
  <c r="AL59" i="53" s="1"/>
  <c r="AG59" i="53"/>
  <c r="AJ59" i="53" s="1"/>
  <c r="AK59" i="53" s="1"/>
  <c r="N59" i="53"/>
  <c r="L59" i="53"/>
  <c r="K59" i="53"/>
  <c r="M59" i="53" s="1"/>
  <c r="H59" i="53"/>
  <c r="G59" i="53"/>
  <c r="D59" i="53"/>
  <c r="E59" i="53" s="1"/>
  <c r="B59" i="53"/>
  <c r="AH58" i="53"/>
  <c r="AL58" i="53" s="1"/>
  <c r="AG58" i="53"/>
  <c r="N58" i="53"/>
  <c r="L58" i="53"/>
  <c r="K58" i="53"/>
  <c r="M58" i="53" s="1"/>
  <c r="H58" i="53"/>
  <c r="AA58" i="53" s="1"/>
  <c r="G58" i="53"/>
  <c r="D58" i="53"/>
  <c r="E58" i="53" s="1"/>
  <c r="B58" i="53"/>
  <c r="AI57" i="53"/>
  <c r="AH57" i="53"/>
  <c r="AG57" i="53"/>
  <c r="N57" i="53"/>
  <c r="L57" i="53"/>
  <c r="K57" i="53"/>
  <c r="M57" i="53" s="1"/>
  <c r="H57" i="53"/>
  <c r="G57" i="53"/>
  <c r="D57" i="53"/>
  <c r="E57" i="53" s="1"/>
  <c r="B57" i="53"/>
  <c r="AI56" i="53"/>
  <c r="AH56" i="53"/>
  <c r="AG56" i="53"/>
  <c r="N56" i="53"/>
  <c r="L56" i="53"/>
  <c r="K56" i="53"/>
  <c r="M56" i="53" s="1"/>
  <c r="H56" i="53"/>
  <c r="AA56" i="53" s="1"/>
  <c r="G56" i="53"/>
  <c r="D56" i="53"/>
  <c r="E56" i="53" s="1"/>
  <c r="B56" i="53"/>
  <c r="AI55" i="53"/>
  <c r="AH55" i="53"/>
  <c r="AL55" i="53" s="1"/>
  <c r="AG55" i="53"/>
  <c r="AR55" i="53" s="1"/>
  <c r="X55" i="53"/>
  <c r="W55" i="53"/>
  <c r="N55" i="53"/>
  <c r="L55" i="53"/>
  <c r="K55" i="53"/>
  <c r="M55" i="53" s="1"/>
  <c r="H55" i="53"/>
  <c r="G55" i="53"/>
  <c r="D55" i="53"/>
  <c r="B55" i="53"/>
  <c r="AI54" i="53"/>
  <c r="AH54" i="53"/>
  <c r="AL54" i="53" s="1"/>
  <c r="AG54" i="53"/>
  <c r="AJ54" i="53" s="1"/>
  <c r="X54" i="53"/>
  <c r="W54" i="53"/>
  <c r="N54" i="53"/>
  <c r="L54" i="53"/>
  <c r="K54" i="53"/>
  <c r="M54" i="53" s="1"/>
  <c r="H54" i="53"/>
  <c r="AA54" i="53" s="1"/>
  <c r="G54" i="53"/>
  <c r="D54" i="53"/>
  <c r="E54" i="53" s="1"/>
  <c r="B54" i="53"/>
  <c r="AI53" i="53"/>
  <c r="AH53" i="53"/>
  <c r="AG53" i="53"/>
  <c r="AJ53" i="53" s="1"/>
  <c r="X53" i="53"/>
  <c r="W53" i="53"/>
  <c r="N53" i="53"/>
  <c r="L53" i="53"/>
  <c r="K53" i="53"/>
  <c r="M53" i="53" s="1"/>
  <c r="H53" i="53"/>
  <c r="G53" i="53"/>
  <c r="D53" i="53"/>
  <c r="E53" i="53" s="1"/>
  <c r="AR53" i="53" s="1"/>
  <c r="B53" i="53"/>
  <c r="AI52" i="53"/>
  <c r="AH52" i="53"/>
  <c r="AG52" i="53"/>
  <c r="X52" i="53"/>
  <c r="W52" i="53"/>
  <c r="N52" i="53"/>
  <c r="L52" i="53"/>
  <c r="K52" i="53"/>
  <c r="M52" i="53" s="1"/>
  <c r="H52" i="53"/>
  <c r="G52" i="53"/>
  <c r="D52" i="53"/>
  <c r="E52" i="53" s="1"/>
  <c r="B52" i="53"/>
  <c r="AI51" i="53"/>
  <c r="AG51" i="53"/>
  <c r="AJ51" i="53" s="1"/>
  <c r="X51" i="53"/>
  <c r="W51" i="53"/>
  <c r="N51" i="53"/>
  <c r="L51" i="53"/>
  <c r="K51" i="53"/>
  <c r="M51" i="53" s="1"/>
  <c r="H51" i="53"/>
  <c r="G51" i="53"/>
  <c r="D51" i="53"/>
  <c r="B51" i="53"/>
  <c r="AI50" i="53"/>
  <c r="AH50" i="53"/>
  <c r="AG50" i="53"/>
  <c r="X50" i="53"/>
  <c r="W50" i="53"/>
  <c r="N50" i="53"/>
  <c r="L50" i="53"/>
  <c r="K50" i="53"/>
  <c r="M50" i="53" s="1"/>
  <c r="H50" i="53"/>
  <c r="G50" i="53"/>
  <c r="D50" i="53"/>
  <c r="E50" i="53" s="1"/>
  <c r="B50" i="53"/>
  <c r="AI49" i="53"/>
  <c r="AH49" i="53"/>
  <c r="AG49" i="53"/>
  <c r="AJ49" i="53" s="1"/>
  <c r="X49" i="53"/>
  <c r="W49" i="53"/>
  <c r="N49" i="53"/>
  <c r="L49" i="53"/>
  <c r="K49" i="53"/>
  <c r="M49" i="53" s="1"/>
  <c r="H49" i="53"/>
  <c r="G49" i="53"/>
  <c r="D49" i="53"/>
  <c r="E49" i="53" s="1"/>
  <c r="B49" i="53"/>
  <c r="AI48" i="53"/>
  <c r="AH48" i="53"/>
  <c r="AL48" i="53" s="1"/>
  <c r="AG48" i="53"/>
  <c r="X48" i="53"/>
  <c r="W48" i="53"/>
  <c r="N48" i="53"/>
  <c r="L48" i="53"/>
  <c r="K48" i="53"/>
  <c r="M48" i="53" s="1"/>
  <c r="H48" i="53"/>
  <c r="G48" i="53"/>
  <c r="D48" i="53"/>
  <c r="E48" i="53" s="1"/>
  <c r="B48" i="53"/>
  <c r="AI47" i="53"/>
  <c r="AG47" i="53"/>
  <c r="AJ47" i="53" s="1"/>
  <c r="X47" i="53"/>
  <c r="W47" i="53"/>
  <c r="N47" i="53"/>
  <c r="L47" i="53"/>
  <c r="K47" i="53"/>
  <c r="M47" i="53" s="1"/>
  <c r="H47" i="53"/>
  <c r="G47" i="53"/>
  <c r="D47" i="53"/>
  <c r="E47" i="53" s="1"/>
  <c r="B47" i="53"/>
  <c r="AI46" i="53"/>
  <c r="AH46" i="53"/>
  <c r="AG46" i="53"/>
  <c r="AJ46" i="53" s="1"/>
  <c r="X46" i="53"/>
  <c r="W46" i="53"/>
  <c r="N46" i="53"/>
  <c r="L46" i="53"/>
  <c r="K46" i="53"/>
  <c r="M46" i="53" s="1"/>
  <c r="H46" i="53"/>
  <c r="G46" i="53"/>
  <c r="D46" i="53"/>
  <c r="E46" i="53" s="1"/>
  <c r="B46" i="53"/>
  <c r="AI45" i="53"/>
  <c r="AH45" i="53"/>
  <c r="AG45" i="53"/>
  <c r="AJ45" i="53" s="1"/>
  <c r="N45" i="53"/>
  <c r="L45" i="53"/>
  <c r="K45" i="53"/>
  <c r="M45" i="53" s="1"/>
  <c r="H45" i="53"/>
  <c r="G45" i="53"/>
  <c r="D45" i="53"/>
  <c r="E45" i="53" s="1"/>
  <c r="B45" i="53"/>
  <c r="AI44" i="53"/>
  <c r="AH44" i="53"/>
  <c r="AG44" i="53"/>
  <c r="N44" i="53"/>
  <c r="L44" i="53"/>
  <c r="K44" i="53"/>
  <c r="M44" i="53" s="1"/>
  <c r="H44" i="53"/>
  <c r="G44" i="53"/>
  <c r="D44" i="53"/>
  <c r="E44" i="53" s="1"/>
  <c r="B44" i="53"/>
  <c r="AI43" i="53"/>
  <c r="AH43" i="53"/>
  <c r="AG43" i="53"/>
  <c r="AJ43" i="53" s="1"/>
  <c r="W43" i="53"/>
  <c r="X43" i="53" s="1"/>
  <c r="N43" i="53"/>
  <c r="L43" i="53"/>
  <c r="K43" i="53"/>
  <c r="M43" i="53" s="1"/>
  <c r="H43" i="53"/>
  <c r="AB43" i="53" s="1"/>
  <c r="G43" i="53"/>
  <c r="D43" i="53"/>
  <c r="E43" i="53" s="1"/>
  <c r="B43" i="53"/>
  <c r="AI42" i="53"/>
  <c r="AG42" i="53"/>
  <c r="W42" i="53"/>
  <c r="X42" i="53" s="1"/>
  <c r="N42" i="53"/>
  <c r="L42" i="53"/>
  <c r="K42" i="53"/>
  <c r="M42" i="53" s="1"/>
  <c r="H42" i="53"/>
  <c r="G42" i="53"/>
  <c r="D42" i="53"/>
  <c r="E42" i="53" s="1"/>
  <c r="B42" i="53"/>
  <c r="AI41" i="53"/>
  <c r="AH41" i="53"/>
  <c r="AG41" i="53"/>
  <c r="AJ41" i="53" s="1"/>
  <c r="W41" i="53"/>
  <c r="X41" i="53" s="1"/>
  <c r="N41" i="53"/>
  <c r="L41" i="53"/>
  <c r="K41" i="53"/>
  <c r="M41" i="53" s="1"/>
  <c r="H41" i="53"/>
  <c r="AB41" i="53" s="1"/>
  <c r="G41" i="53"/>
  <c r="D41" i="53"/>
  <c r="E41" i="53" s="1"/>
  <c r="B41" i="53"/>
  <c r="AI40" i="53"/>
  <c r="AH40" i="53"/>
  <c r="AG40" i="53"/>
  <c r="AJ40" i="53" s="1"/>
  <c r="W40" i="53"/>
  <c r="X40" i="53" s="1"/>
  <c r="N40" i="53"/>
  <c r="L40" i="53"/>
  <c r="K40" i="53"/>
  <c r="M40" i="53" s="1"/>
  <c r="H40" i="53"/>
  <c r="G40" i="53"/>
  <c r="D40" i="53"/>
  <c r="E40" i="53" s="1"/>
  <c r="B40" i="53"/>
  <c r="AI39" i="53"/>
  <c r="AH39" i="53"/>
  <c r="AG39" i="53"/>
  <c r="W39" i="53"/>
  <c r="X39" i="53" s="1"/>
  <c r="N39" i="53"/>
  <c r="L39" i="53"/>
  <c r="K39" i="53"/>
  <c r="M39" i="53" s="1"/>
  <c r="H39" i="53"/>
  <c r="G39" i="53"/>
  <c r="D39" i="53"/>
  <c r="E39" i="53" s="1"/>
  <c r="B39" i="53"/>
  <c r="AI38" i="53"/>
  <c r="AG38" i="53"/>
  <c r="AJ38" i="53" s="1"/>
  <c r="W38" i="53"/>
  <c r="X38" i="53" s="1"/>
  <c r="N38" i="53"/>
  <c r="L38" i="53"/>
  <c r="K38" i="53"/>
  <c r="M38" i="53" s="1"/>
  <c r="H38" i="53"/>
  <c r="G38" i="53"/>
  <c r="D38" i="53"/>
  <c r="E38" i="53" s="1"/>
  <c r="B38" i="53"/>
  <c r="AI37" i="53"/>
  <c r="AH37" i="53"/>
  <c r="AL37" i="53" s="1"/>
  <c r="AG37" i="53"/>
  <c r="AJ37" i="53" s="1"/>
  <c r="W37" i="53"/>
  <c r="X37" i="53" s="1"/>
  <c r="N37" i="53"/>
  <c r="L37" i="53"/>
  <c r="K37" i="53"/>
  <c r="M37" i="53" s="1"/>
  <c r="H37" i="53"/>
  <c r="G37" i="53"/>
  <c r="D37" i="53"/>
  <c r="E37" i="53" s="1"/>
  <c r="B37" i="53"/>
  <c r="AI36" i="53"/>
  <c r="AH36" i="53"/>
  <c r="AG36" i="53"/>
  <c r="W36" i="53"/>
  <c r="X36" i="53" s="1"/>
  <c r="N36" i="53"/>
  <c r="L36" i="53"/>
  <c r="K36" i="53"/>
  <c r="M36" i="53" s="1"/>
  <c r="H36" i="53"/>
  <c r="G36" i="53"/>
  <c r="D36" i="53"/>
  <c r="E36" i="53" s="1"/>
  <c r="B36" i="53"/>
  <c r="AI35" i="53"/>
  <c r="AH35" i="53"/>
  <c r="AL35" i="53" s="1"/>
  <c r="AG35" i="53"/>
  <c r="W35" i="53"/>
  <c r="X35" i="53" s="1"/>
  <c r="N35" i="53"/>
  <c r="L35" i="53"/>
  <c r="K35" i="53"/>
  <c r="M35" i="53" s="1"/>
  <c r="H35" i="53"/>
  <c r="G35" i="53"/>
  <c r="D35" i="53"/>
  <c r="B35" i="53"/>
  <c r="AI34" i="53"/>
  <c r="AH34" i="53"/>
  <c r="AG34" i="53"/>
  <c r="W34" i="53"/>
  <c r="X34" i="53" s="1"/>
  <c r="N34" i="53"/>
  <c r="L34" i="53"/>
  <c r="K34" i="53"/>
  <c r="M34" i="53" s="1"/>
  <c r="H34" i="53"/>
  <c r="G34" i="53"/>
  <c r="D34" i="53"/>
  <c r="E34" i="53" s="1"/>
  <c r="B34" i="53"/>
  <c r="AI33" i="53"/>
  <c r="AH33" i="53"/>
  <c r="AG33" i="53"/>
  <c r="AJ33" i="53" s="1"/>
  <c r="N33" i="53"/>
  <c r="L33" i="53"/>
  <c r="K33" i="53"/>
  <c r="M33" i="53" s="1"/>
  <c r="H33" i="53"/>
  <c r="AB33" i="53" s="1"/>
  <c r="G33" i="53"/>
  <c r="D33" i="53"/>
  <c r="E33" i="53" s="1"/>
  <c r="B33" i="53"/>
  <c r="AI32" i="53"/>
  <c r="AH32" i="53"/>
  <c r="AT32" i="53" s="1"/>
  <c r="AG32" i="53"/>
  <c r="AR32" i="53" s="1"/>
  <c r="N32" i="53"/>
  <c r="L32" i="53"/>
  <c r="K32" i="53"/>
  <c r="M32" i="53" s="1"/>
  <c r="H32" i="53"/>
  <c r="G32" i="53"/>
  <c r="D32" i="53"/>
  <c r="B32" i="53"/>
  <c r="X31" i="53"/>
  <c r="W31" i="53" s="1"/>
  <c r="X30" i="53"/>
  <c r="W30" i="53" s="1"/>
  <c r="X29" i="53"/>
  <c r="W29" i="53" s="1"/>
  <c r="X28" i="53"/>
  <c r="W28" i="53" s="1"/>
  <c r="X27" i="53"/>
  <c r="W27" i="53" s="1"/>
  <c r="X26" i="53"/>
  <c r="W26" i="53" s="1"/>
  <c r="X25" i="53"/>
  <c r="W25" i="53" s="1"/>
  <c r="X24" i="53"/>
  <c r="W24" i="53" s="1"/>
  <c r="X23" i="53"/>
  <c r="W23" i="53" s="1"/>
  <c r="P19" i="53"/>
  <c r="I18" i="53"/>
  <c r="I17" i="53"/>
  <c r="K16" i="53"/>
  <c r="I16" i="53"/>
  <c r="I15" i="53"/>
  <c r="K14" i="53"/>
  <c r="I14" i="53"/>
  <c r="K13" i="53"/>
  <c r="I13" i="53"/>
  <c r="Y12" i="53"/>
  <c r="U12" i="53"/>
  <c r="S12" i="53"/>
  <c r="S9" i="53"/>
  <c r="M9" i="53"/>
  <c r="K8" i="53"/>
  <c r="V7" i="53"/>
  <c r="S7" i="53"/>
  <c r="T4" i="53"/>
  <c r="Y117" i="55"/>
  <c r="Y116" i="55"/>
  <c r="Y113" i="55"/>
  <c r="Y112" i="55"/>
  <c r="Y111" i="55"/>
  <c r="Y110" i="55"/>
  <c r="Y109" i="55"/>
  <c r="J98" i="55"/>
  <c r="AR83" i="55"/>
  <c r="AO83" i="55"/>
  <c r="H82" i="55"/>
  <c r="O81" i="55"/>
  <c r="M81" i="55"/>
  <c r="AP80" i="55"/>
  <c r="AB76" i="55"/>
  <c r="E75" i="55" s="1"/>
  <c r="AA76" i="55"/>
  <c r="V74" i="55"/>
  <c r="V80" i="55" s="1"/>
  <c r="P74" i="55"/>
  <c r="O74" i="55"/>
  <c r="Y72" i="55"/>
  <c r="AA72" i="55" s="1"/>
  <c r="Y71" i="55"/>
  <c r="AA71" i="55" s="1"/>
  <c r="AB71" i="55" s="1"/>
  <c r="Y69" i="55"/>
  <c r="AA69" i="55" s="1"/>
  <c r="V63" i="55"/>
  <c r="V64" i="55" s="1"/>
  <c r="E62" i="55"/>
  <c r="E25" i="55" s="1"/>
  <c r="AB61" i="55"/>
  <c r="V61" i="55"/>
  <c r="T61" i="55"/>
  <c r="S61" i="55"/>
  <c r="R61" i="55"/>
  <c r="Q61" i="55"/>
  <c r="P61" i="55"/>
  <c r="C61" i="55"/>
  <c r="AB60" i="55"/>
  <c r="V60" i="55"/>
  <c r="V59" i="55"/>
  <c r="C59" i="55"/>
  <c r="AL58" i="55"/>
  <c r="P57" i="55"/>
  <c r="J57" i="55"/>
  <c r="T56" i="55"/>
  <c r="S56" i="55"/>
  <c r="R56" i="55"/>
  <c r="Q56" i="55"/>
  <c r="P56" i="55"/>
  <c r="O56" i="55"/>
  <c r="H56" i="55"/>
  <c r="AE56" i="55" s="1"/>
  <c r="G56" i="55"/>
  <c r="U56" i="55" s="1"/>
  <c r="AJ55" i="55"/>
  <c r="AM55" i="55" s="1"/>
  <c r="AI55" i="55"/>
  <c r="AH55" i="55"/>
  <c r="AK55" i="55" s="1"/>
  <c r="T55" i="55"/>
  <c r="S55" i="55"/>
  <c r="R55" i="55"/>
  <c r="Q55" i="55"/>
  <c r="P55" i="55"/>
  <c r="O55" i="55"/>
  <c r="H55" i="55"/>
  <c r="G55" i="55"/>
  <c r="U55" i="55" s="1"/>
  <c r="E55" i="55"/>
  <c r="B55" i="55"/>
  <c r="AJ54" i="55"/>
  <c r="AM54" i="55" s="1"/>
  <c r="AI54" i="55"/>
  <c r="AH54" i="55"/>
  <c r="T54" i="55"/>
  <c r="S54" i="55"/>
  <c r="R54" i="55"/>
  <c r="Q54" i="55"/>
  <c r="P54" i="55"/>
  <c r="O54" i="55"/>
  <c r="H54" i="55"/>
  <c r="G54" i="55"/>
  <c r="U54" i="55" s="1"/>
  <c r="E54" i="55"/>
  <c r="B54" i="55"/>
  <c r="AI53" i="55"/>
  <c r="AH53" i="55"/>
  <c r="T53" i="55"/>
  <c r="S53" i="55"/>
  <c r="R53" i="55"/>
  <c r="Q53" i="55"/>
  <c r="P53" i="55"/>
  <c r="O53" i="55"/>
  <c r="H53" i="55"/>
  <c r="G53" i="55"/>
  <c r="U53" i="55" s="1"/>
  <c r="E53" i="55"/>
  <c r="B53" i="55"/>
  <c r="AJ52" i="55"/>
  <c r="AM52" i="55" s="1"/>
  <c r="AI52" i="55"/>
  <c r="AH52" i="55"/>
  <c r="T52" i="55"/>
  <c r="S52" i="55"/>
  <c r="R52" i="55"/>
  <c r="Q52" i="55"/>
  <c r="P52" i="55"/>
  <c r="O52" i="55"/>
  <c r="H52" i="55"/>
  <c r="G52" i="55"/>
  <c r="U52" i="55" s="1"/>
  <c r="E52" i="55"/>
  <c r="B52" i="55"/>
  <c r="AJ51" i="55"/>
  <c r="AM51" i="55" s="1"/>
  <c r="AI51" i="55"/>
  <c r="AH51" i="55"/>
  <c r="T51" i="55"/>
  <c r="S51" i="55"/>
  <c r="R51" i="55"/>
  <c r="Q51" i="55"/>
  <c r="P51" i="55"/>
  <c r="O51" i="55"/>
  <c r="H51" i="55"/>
  <c r="G51" i="55"/>
  <c r="U51" i="55" s="1"/>
  <c r="E51" i="55"/>
  <c r="B51" i="55"/>
  <c r="AJ50" i="55"/>
  <c r="AM50" i="55" s="1"/>
  <c r="AI50" i="55"/>
  <c r="AH50" i="55"/>
  <c r="AK50" i="55" s="1"/>
  <c r="T50" i="55"/>
  <c r="S50" i="55"/>
  <c r="R50" i="55"/>
  <c r="Q50" i="55"/>
  <c r="P50" i="55"/>
  <c r="O50" i="55"/>
  <c r="H50" i="55"/>
  <c r="W50" i="55" s="1"/>
  <c r="G50" i="55"/>
  <c r="U50" i="55" s="1"/>
  <c r="E50" i="55"/>
  <c r="B50" i="55"/>
  <c r="AJ49" i="55"/>
  <c r="AM49" i="55" s="1"/>
  <c r="AI49" i="55"/>
  <c r="AH49" i="55"/>
  <c r="AK49" i="55" s="1"/>
  <c r="F49" i="55" s="1"/>
  <c r="T49" i="55"/>
  <c r="S49" i="55"/>
  <c r="R49" i="55"/>
  <c r="Q49" i="55"/>
  <c r="P49" i="55"/>
  <c r="O49" i="55"/>
  <c r="H49" i="55"/>
  <c r="Y49" i="55" s="1"/>
  <c r="G49" i="55"/>
  <c r="U49" i="55" s="1"/>
  <c r="E49" i="55"/>
  <c r="B49" i="55"/>
  <c r="AJ48" i="55"/>
  <c r="AM48" i="55" s="1"/>
  <c r="AI48" i="55"/>
  <c r="AH48" i="55"/>
  <c r="AK48" i="55" s="1"/>
  <c r="T48" i="55"/>
  <c r="S48" i="55"/>
  <c r="R48" i="55"/>
  <c r="Q48" i="55"/>
  <c r="P48" i="55"/>
  <c r="O48" i="55"/>
  <c r="H48" i="55"/>
  <c r="G48" i="55"/>
  <c r="U48" i="55" s="1"/>
  <c r="E48" i="55"/>
  <c r="B48" i="55"/>
  <c r="AJ47" i="55"/>
  <c r="AM47" i="55" s="1"/>
  <c r="AI47" i="55"/>
  <c r="AH47" i="55"/>
  <c r="AK47" i="55" s="1"/>
  <c r="T47" i="55"/>
  <c r="S47" i="55"/>
  <c r="R47" i="55"/>
  <c r="Q47" i="55"/>
  <c r="P47" i="55"/>
  <c r="O47" i="55"/>
  <c r="H47" i="55"/>
  <c r="W47" i="55" s="1"/>
  <c r="G47" i="55"/>
  <c r="U47" i="55" s="1"/>
  <c r="B47" i="55"/>
  <c r="AJ46" i="55"/>
  <c r="AM46" i="55" s="1"/>
  <c r="AI46" i="55"/>
  <c r="AH46" i="55"/>
  <c r="AK46" i="55" s="1"/>
  <c r="T46" i="55"/>
  <c r="S46" i="55"/>
  <c r="R46" i="55"/>
  <c r="Q46" i="55"/>
  <c r="P46" i="55"/>
  <c r="O46" i="55"/>
  <c r="H46" i="55"/>
  <c r="G46" i="55"/>
  <c r="U46" i="55" s="1"/>
  <c r="E46" i="55"/>
  <c r="B46" i="55"/>
  <c r="AJ45" i="55"/>
  <c r="AM45" i="55" s="1"/>
  <c r="AI45" i="55"/>
  <c r="AH45" i="55"/>
  <c r="AK45" i="55" s="1"/>
  <c r="T45" i="55"/>
  <c r="S45" i="55"/>
  <c r="R45" i="55"/>
  <c r="Q45" i="55"/>
  <c r="P45" i="55"/>
  <c r="O45" i="55"/>
  <c r="H45" i="55"/>
  <c r="G45" i="55"/>
  <c r="U45" i="55" s="1"/>
  <c r="E45" i="55"/>
  <c r="B45" i="55"/>
  <c r="AI44" i="55"/>
  <c r="AH44" i="55"/>
  <c r="AK44" i="55" s="1"/>
  <c r="T44" i="55"/>
  <c r="S44" i="55"/>
  <c r="R44" i="55"/>
  <c r="Q44" i="55"/>
  <c r="P44" i="55"/>
  <c r="O44" i="55"/>
  <c r="H44" i="55"/>
  <c r="AE44" i="55" s="1"/>
  <c r="G44" i="55"/>
  <c r="U44" i="55" s="1"/>
  <c r="E44" i="55"/>
  <c r="B44" i="55"/>
  <c r="AJ43" i="55"/>
  <c r="AM43" i="55" s="1"/>
  <c r="AI43" i="55"/>
  <c r="AH43" i="55"/>
  <c r="AK43" i="55" s="1"/>
  <c r="T43" i="55"/>
  <c r="S43" i="55"/>
  <c r="R43" i="55"/>
  <c r="Q43" i="55"/>
  <c r="P43" i="55"/>
  <c r="O43" i="55"/>
  <c r="H43" i="55"/>
  <c r="G43" i="55"/>
  <c r="U43" i="55" s="1"/>
  <c r="E43" i="55"/>
  <c r="B43" i="55"/>
  <c r="AJ42" i="55"/>
  <c r="AM42" i="55" s="1"/>
  <c r="AI42" i="55"/>
  <c r="AH42" i="55"/>
  <c r="AK42" i="55" s="1"/>
  <c r="T42" i="55"/>
  <c r="S42" i="55"/>
  <c r="R42" i="55"/>
  <c r="Q42" i="55"/>
  <c r="P42" i="55"/>
  <c r="O42" i="55"/>
  <c r="H42" i="55"/>
  <c r="G42" i="55"/>
  <c r="U42" i="55" s="1"/>
  <c r="E42" i="55"/>
  <c r="B42" i="55"/>
  <c r="AJ41" i="55"/>
  <c r="AM41" i="55" s="1"/>
  <c r="AI41" i="55"/>
  <c r="AH41" i="55"/>
  <c r="AK41" i="55" s="1"/>
  <c r="T41" i="55"/>
  <c r="S41" i="55"/>
  <c r="R41" i="55"/>
  <c r="Q41" i="55"/>
  <c r="P41" i="55"/>
  <c r="O41" i="55"/>
  <c r="H41" i="55"/>
  <c r="G41" i="55"/>
  <c r="U41" i="55" s="1"/>
  <c r="B41" i="55"/>
  <c r="AI40" i="55"/>
  <c r="AH40" i="55"/>
  <c r="AK40" i="55" s="1"/>
  <c r="T40" i="55"/>
  <c r="S40" i="55"/>
  <c r="R40" i="55"/>
  <c r="Q40" i="55"/>
  <c r="P40" i="55"/>
  <c r="O40" i="55"/>
  <c r="H40" i="55"/>
  <c r="G40" i="55"/>
  <c r="U40" i="55" s="1"/>
  <c r="B40" i="55"/>
  <c r="AJ39" i="55"/>
  <c r="AM39" i="55" s="1"/>
  <c r="AI39" i="55"/>
  <c r="AH39" i="55"/>
  <c r="AK39" i="55" s="1"/>
  <c r="T39" i="55"/>
  <c r="S39" i="55"/>
  <c r="R39" i="55"/>
  <c r="Q39" i="55"/>
  <c r="P39" i="55"/>
  <c r="O39" i="55"/>
  <c r="H39" i="55"/>
  <c r="G39" i="55"/>
  <c r="U39" i="55" s="1"/>
  <c r="E39" i="55"/>
  <c r="B39" i="55"/>
  <c r="AJ38" i="55"/>
  <c r="AM38" i="55" s="1"/>
  <c r="AI38" i="55"/>
  <c r="AH38" i="55"/>
  <c r="AK38" i="55" s="1"/>
  <c r="T38" i="55"/>
  <c r="S38" i="55"/>
  <c r="R38" i="55"/>
  <c r="Q38" i="55"/>
  <c r="P38" i="55"/>
  <c r="O38" i="55"/>
  <c r="H38" i="55"/>
  <c r="G38" i="55"/>
  <c r="U38" i="55" s="1"/>
  <c r="E38" i="55"/>
  <c r="B38" i="55"/>
  <c r="AJ37" i="55"/>
  <c r="AM37" i="55" s="1"/>
  <c r="AI37" i="55"/>
  <c r="AH37" i="55"/>
  <c r="AK37" i="55" s="1"/>
  <c r="T37" i="55"/>
  <c r="S37" i="55"/>
  <c r="R37" i="55"/>
  <c r="Q37" i="55"/>
  <c r="P37" i="55"/>
  <c r="H37" i="55"/>
  <c r="W37" i="55" s="1"/>
  <c r="G37" i="55"/>
  <c r="U37" i="55" s="1"/>
  <c r="E37" i="55"/>
  <c r="B37" i="55"/>
  <c r="AJ36" i="55"/>
  <c r="AM36" i="55" s="1"/>
  <c r="AI36" i="55"/>
  <c r="AH36" i="55"/>
  <c r="AK36" i="55" s="1"/>
  <c r="T36" i="55"/>
  <c r="R36" i="55"/>
  <c r="Q36" i="55"/>
  <c r="P36" i="55"/>
  <c r="H36" i="55"/>
  <c r="X36" i="55" s="1"/>
  <c r="G36" i="55"/>
  <c r="U36" i="55" s="1"/>
  <c r="E36" i="55"/>
  <c r="B36" i="55"/>
  <c r="AI35" i="55"/>
  <c r="AH35" i="55"/>
  <c r="AK35" i="55" s="1"/>
  <c r="T35" i="55"/>
  <c r="S35" i="55"/>
  <c r="R35" i="55"/>
  <c r="Q35" i="55"/>
  <c r="P35" i="55"/>
  <c r="H35" i="55"/>
  <c r="G35" i="55"/>
  <c r="U35" i="55" s="1"/>
  <c r="E35" i="55"/>
  <c r="B35" i="55"/>
  <c r="AJ34" i="55"/>
  <c r="AM34" i="55" s="1"/>
  <c r="AI34" i="55"/>
  <c r="AH34" i="55"/>
  <c r="AK34" i="55" s="1"/>
  <c r="T34" i="55"/>
  <c r="S34" i="55"/>
  <c r="R34" i="55"/>
  <c r="Q34" i="55"/>
  <c r="P34" i="55"/>
  <c r="H34" i="55"/>
  <c r="G34" i="55"/>
  <c r="U34" i="55" s="1"/>
  <c r="E34" i="55"/>
  <c r="B34" i="55"/>
  <c r="AJ33" i="55"/>
  <c r="AM33" i="55" s="1"/>
  <c r="AI33" i="55"/>
  <c r="AH33" i="55"/>
  <c r="AK33" i="55" s="1"/>
  <c r="T33" i="55"/>
  <c r="S33" i="55"/>
  <c r="R33" i="55"/>
  <c r="Q33" i="55"/>
  <c r="P33" i="55"/>
  <c r="O33" i="55"/>
  <c r="H33" i="55"/>
  <c r="X33" i="55" s="1"/>
  <c r="G33" i="55"/>
  <c r="U33" i="55" s="1"/>
  <c r="E33" i="55"/>
  <c r="B33" i="55"/>
  <c r="AJ32" i="55"/>
  <c r="AM32" i="55" s="1"/>
  <c r="AI32" i="55"/>
  <c r="AH32" i="55"/>
  <c r="AK32" i="55" s="1"/>
  <c r="T32" i="55"/>
  <c r="S32" i="55"/>
  <c r="R32" i="55"/>
  <c r="Q32" i="55"/>
  <c r="P32" i="55"/>
  <c r="O32" i="55"/>
  <c r="H32" i="55"/>
  <c r="G32" i="55"/>
  <c r="U32" i="55" s="1"/>
  <c r="E32" i="55"/>
  <c r="B32" i="55"/>
  <c r="AJ31" i="55"/>
  <c r="AM31" i="55" s="1"/>
  <c r="AI31" i="55"/>
  <c r="AH31" i="55"/>
  <c r="AK31" i="55" s="1"/>
  <c r="T31" i="55"/>
  <c r="S31" i="55"/>
  <c r="R31" i="55"/>
  <c r="Q31" i="55"/>
  <c r="P31" i="55"/>
  <c r="O31" i="55"/>
  <c r="H31" i="55"/>
  <c r="G31" i="55"/>
  <c r="U31" i="55" s="1"/>
  <c r="E31" i="55"/>
  <c r="B31" i="55"/>
  <c r="AJ30" i="55"/>
  <c r="AM30" i="55" s="1"/>
  <c r="AI30" i="55"/>
  <c r="AH30" i="55"/>
  <c r="AK30" i="55" s="1"/>
  <c r="T30" i="55"/>
  <c r="S30" i="55"/>
  <c r="R30" i="55"/>
  <c r="Q30" i="55"/>
  <c r="P30" i="55"/>
  <c r="O30" i="55"/>
  <c r="H30" i="55"/>
  <c r="G30" i="55"/>
  <c r="U30" i="55" s="1"/>
  <c r="E30" i="55"/>
  <c r="B30" i="55"/>
  <c r="AJ29" i="55"/>
  <c r="AM29" i="55" s="1"/>
  <c r="AI29" i="55"/>
  <c r="AH29" i="55"/>
  <c r="AK29" i="55" s="1"/>
  <c r="F29" i="55" s="1"/>
  <c r="T29" i="55"/>
  <c r="S29" i="55"/>
  <c r="R29" i="55"/>
  <c r="Q29" i="55"/>
  <c r="P29" i="55"/>
  <c r="O29" i="55"/>
  <c r="H29" i="55"/>
  <c r="W29" i="55" s="1"/>
  <c r="G29" i="55"/>
  <c r="U29" i="55" s="1"/>
  <c r="E29" i="55"/>
  <c r="B29" i="55"/>
  <c r="AJ28" i="55"/>
  <c r="AM28" i="55" s="1"/>
  <c r="AI28" i="55"/>
  <c r="AH28" i="55"/>
  <c r="AK28" i="55" s="1"/>
  <c r="F28" i="55" s="1"/>
  <c r="T28" i="55"/>
  <c r="S28" i="55"/>
  <c r="R28" i="55"/>
  <c r="Q28" i="55"/>
  <c r="P28" i="55"/>
  <c r="O28" i="55"/>
  <c r="H28" i="55"/>
  <c r="G28" i="55"/>
  <c r="U28" i="55" s="1"/>
  <c r="E28" i="55"/>
  <c r="B28" i="55"/>
  <c r="AJ27" i="55"/>
  <c r="AM27" i="55" s="1"/>
  <c r="AI27" i="55"/>
  <c r="AH27" i="55"/>
  <c r="AK27" i="55" s="1"/>
  <c r="T27" i="55"/>
  <c r="S27" i="55"/>
  <c r="R27" i="55"/>
  <c r="Q27" i="55"/>
  <c r="P27" i="55"/>
  <c r="O27" i="55"/>
  <c r="H27" i="55"/>
  <c r="AE27" i="55" s="1"/>
  <c r="G27" i="55"/>
  <c r="U27" i="55" s="1"/>
  <c r="E27" i="55"/>
  <c r="B27" i="55"/>
  <c r="AJ26" i="55"/>
  <c r="AM26" i="55" s="1"/>
  <c r="AI26" i="55"/>
  <c r="AH26" i="55"/>
  <c r="AK26" i="55" s="1"/>
  <c r="T26" i="55"/>
  <c r="S26" i="55"/>
  <c r="R26" i="55"/>
  <c r="Q26" i="55"/>
  <c r="P26" i="55"/>
  <c r="O26" i="55"/>
  <c r="H26" i="55"/>
  <c r="AE26" i="55" s="1"/>
  <c r="G26" i="55"/>
  <c r="U26" i="55" s="1"/>
  <c r="E26" i="55"/>
  <c r="B26" i="55"/>
  <c r="AJ25" i="55"/>
  <c r="AM25" i="55" s="1"/>
  <c r="AI25" i="55"/>
  <c r="AH25" i="55"/>
  <c r="AK25" i="55" s="1"/>
  <c r="B25" i="55"/>
  <c r="V14" i="55"/>
  <c r="C179" i="52"/>
  <c r="C159" i="52"/>
  <c r="AB57" i="52" s="1"/>
  <c r="I151" i="52"/>
  <c r="D151" i="52"/>
  <c r="C151" i="52"/>
  <c r="I150" i="52"/>
  <c r="D150" i="52"/>
  <c r="AD48" i="52" s="1"/>
  <c r="AH48" i="52" s="1"/>
  <c r="C150" i="52"/>
  <c r="AB48" i="52" s="1"/>
  <c r="AF48" i="52" s="1"/>
  <c r="I149" i="52"/>
  <c r="D149" i="52"/>
  <c r="AD47" i="52" s="1"/>
  <c r="AH47" i="52" s="1"/>
  <c r="C149" i="52"/>
  <c r="AB47" i="52" s="1"/>
  <c r="AF47" i="52" s="1"/>
  <c r="I148" i="52"/>
  <c r="D148" i="52"/>
  <c r="C148" i="52"/>
  <c r="AB46" i="52" s="1"/>
  <c r="AF46" i="52" s="1"/>
  <c r="I147" i="52"/>
  <c r="D147" i="52"/>
  <c r="C147" i="52"/>
  <c r="I146" i="52"/>
  <c r="D146" i="52"/>
  <c r="AD44" i="52" s="1"/>
  <c r="AH44" i="52" s="1"/>
  <c r="C146" i="52"/>
  <c r="AB44" i="52" s="1"/>
  <c r="AF44" i="52" s="1"/>
  <c r="I145" i="52"/>
  <c r="D145" i="52"/>
  <c r="AD43" i="52" s="1"/>
  <c r="AH43" i="52" s="1"/>
  <c r="C145" i="52"/>
  <c r="AB43" i="52" s="1"/>
  <c r="AF43" i="52" s="1"/>
  <c r="I144" i="52"/>
  <c r="D144" i="52"/>
  <c r="C144" i="52"/>
  <c r="AB42" i="52" s="1"/>
  <c r="AF42" i="52" s="1"/>
  <c r="I143" i="52"/>
  <c r="D143" i="52"/>
  <c r="C143" i="52"/>
  <c r="I142" i="52"/>
  <c r="D142" i="52"/>
  <c r="AD40" i="52" s="1"/>
  <c r="AH40" i="52" s="1"/>
  <c r="C142" i="52"/>
  <c r="I141" i="52"/>
  <c r="D141" i="52"/>
  <c r="AD39" i="52" s="1"/>
  <c r="AH39" i="52" s="1"/>
  <c r="C141" i="52"/>
  <c r="AB39" i="52" s="1"/>
  <c r="AF39" i="52" s="1"/>
  <c r="L113" i="52"/>
  <c r="J113" i="52"/>
  <c r="BI94" i="52"/>
  <c r="BE94" i="52"/>
  <c r="BE96" i="52" s="1"/>
  <c r="BH91" i="52"/>
  <c r="BE95" i="52" s="1"/>
  <c r="BE91" i="52"/>
  <c r="BF88" i="52"/>
  <c r="BG84" i="52"/>
  <c r="BE84" i="52"/>
  <c r="Z79" i="52"/>
  <c r="X79" i="52"/>
  <c r="V79" i="52"/>
  <c r="Q78" i="52"/>
  <c r="Y72" i="52"/>
  <c r="AA72" i="52" s="1"/>
  <c r="X72" i="52"/>
  <c r="Z72" i="52" s="1"/>
  <c r="C71" i="52"/>
  <c r="F70" i="52"/>
  <c r="F23" i="52" s="1"/>
  <c r="C69" i="52"/>
  <c r="AF68" i="52"/>
  <c r="AC68" i="52"/>
  <c r="C13" i="52" s="1"/>
  <c r="F68" i="52"/>
  <c r="AD65" i="52"/>
  <c r="AH65" i="52" s="1"/>
  <c r="AC65" i="52"/>
  <c r="AB65" i="52"/>
  <c r="F65" i="52"/>
  <c r="B65" i="52"/>
  <c r="AD64" i="52"/>
  <c r="AH64" i="52" s="1"/>
  <c r="AC64" i="52"/>
  <c r="AB64" i="52"/>
  <c r="F64" i="52"/>
  <c r="B64" i="52"/>
  <c r="AD63" i="52"/>
  <c r="AH63" i="52" s="1"/>
  <c r="AC63" i="52"/>
  <c r="AB63" i="52"/>
  <c r="F63" i="52"/>
  <c r="B63" i="52"/>
  <c r="AD62" i="52"/>
  <c r="AH62" i="52" s="1"/>
  <c r="AC62" i="52"/>
  <c r="AB62" i="52"/>
  <c r="F62" i="52"/>
  <c r="B62" i="52"/>
  <c r="AD61" i="52"/>
  <c r="AH61" i="52" s="1"/>
  <c r="AC61" i="52"/>
  <c r="AB61" i="52"/>
  <c r="F61" i="52"/>
  <c r="B61" i="52"/>
  <c r="AD60" i="52"/>
  <c r="AH60" i="52" s="1"/>
  <c r="AC60" i="52"/>
  <c r="AB60" i="52"/>
  <c r="F60" i="52"/>
  <c r="B60" i="52"/>
  <c r="AD59" i="52"/>
  <c r="AH59" i="52" s="1"/>
  <c r="AC59" i="52"/>
  <c r="AB59" i="52"/>
  <c r="U59" i="52"/>
  <c r="T59" i="52"/>
  <c r="S59" i="52"/>
  <c r="R59" i="52"/>
  <c r="X59" i="52" s="1"/>
  <c r="Q59" i="52"/>
  <c r="W59" i="52" s="1"/>
  <c r="F59" i="52"/>
  <c r="B59" i="52"/>
  <c r="AL72" i="52"/>
  <c r="AL78" i="52" s="1"/>
  <c r="AW58" i="52"/>
  <c r="AQ58" i="52"/>
  <c r="AK58" i="52"/>
  <c r="AD58" i="52"/>
  <c r="AH58" i="52" s="1"/>
  <c r="AC58" i="52"/>
  <c r="AB58" i="52"/>
  <c r="F58" i="52"/>
  <c r="B58" i="52"/>
  <c r="AD57" i="52"/>
  <c r="AH57" i="52" s="1"/>
  <c r="AC57" i="52"/>
  <c r="F57" i="52"/>
  <c r="B57" i="52"/>
  <c r="AK56" i="52"/>
  <c r="J64" i="52" s="1"/>
  <c r="AD56" i="52"/>
  <c r="AH56" i="52" s="1"/>
  <c r="AC56" i="52"/>
  <c r="AB56" i="52"/>
  <c r="F56" i="52"/>
  <c r="B56" i="52"/>
  <c r="BJ55" i="52"/>
  <c r="BK55" i="52" s="1"/>
  <c r="AD55" i="52"/>
  <c r="AH55" i="52" s="1"/>
  <c r="AC55" i="52"/>
  <c r="AB55" i="52"/>
  <c r="W55" i="52"/>
  <c r="P55" i="52"/>
  <c r="Q55" i="52" s="1"/>
  <c r="K55" i="52"/>
  <c r="F55" i="52"/>
  <c r="B55" i="52"/>
  <c r="BJ54" i="52"/>
  <c r="BK54" i="52" s="1"/>
  <c r="BC54" i="52"/>
  <c r="BA54" i="52"/>
  <c r="AZ54" i="52"/>
  <c r="AY54" i="52"/>
  <c r="AX54" i="52"/>
  <c r="AW54" i="52"/>
  <c r="AP54" i="52"/>
  <c r="AO54" i="52"/>
  <c r="AN54" i="52"/>
  <c r="AM54" i="52"/>
  <c r="AL54" i="52"/>
  <c r="AK54" i="52"/>
  <c r="AD54" i="52"/>
  <c r="AH54" i="52" s="1"/>
  <c r="AC54" i="52"/>
  <c r="AB54" i="52"/>
  <c r="U54" i="52"/>
  <c r="AV54" i="52" s="1"/>
  <c r="T54" i="52"/>
  <c r="AU54" i="52" s="1"/>
  <c r="S54" i="52"/>
  <c r="AT54" i="52" s="1"/>
  <c r="R54" i="52"/>
  <c r="AS54" i="52" s="1"/>
  <c r="Q54" i="52"/>
  <c r="AR54" i="52" s="1"/>
  <c r="P54" i="52"/>
  <c r="AQ54" i="52" s="1"/>
  <c r="F54" i="52"/>
  <c r="B54" i="52"/>
  <c r="BJ53" i="52"/>
  <c r="BK53" i="52" s="1"/>
  <c r="BC53" i="52"/>
  <c r="BA53" i="52"/>
  <c r="AZ53" i="52"/>
  <c r="AY53" i="52"/>
  <c r="AX53" i="52"/>
  <c r="AW53" i="52"/>
  <c r="AP53" i="52"/>
  <c r="AO53" i="52"/>
  <c r="AN53" i="52"/>
  <c r="AM53" i="52"/>
  <c r="AL53" i="52"/>
  <c r="AK53" i="52"/>
  <c r="AD53" i="52"/>
  <c r="AH53" i="52" s="1"/>
  <c r="AC53" i="52"/>
  <c r="AB53" i="52"/>
  <c r="U53" i="52"/>
  <c r="AV53" i="52" s="1"/>
  <c r="T53" i="52"/>
  <c r="AU53" i="52" s="1"/>
  <c r="S53" i="52"/>
  <c r="AT53" i="52" s="1"/>
  <c r="R53" i="52"/>
  <c r="AS53" i="52" s="1"/>
  <c r="Q53" i="52"/>
  <c r="AR53" i="52" s="1"/>
  <c r="P53" i="52"/>
  <c r="AQ53" i="52" s="1"/>
  <c r="F53" i="52"/>
  <c r="B53" i="52"/>
  <c r="BJ52" i="52"/>
  <c r="BK52" i="52" s="1"/>
  <c r="BC52" i="52"/>
  <c r="BB52" i="52"/>
  <c r="BA52" i="52"/>
  <c r="AZ52" i="52"/>
  <c r="AY52" i="52"/>
  <c r="AX52" i="52"/>
  <c r="AP52" i="52"/>
  <c r="AO52" i="52"/>
  <c r="AN52" i="52"/>
  <c r="AM52" i="52"/>
  <c r="AL52" i="52"/>
  <c r="AK52" i="52"/>
  <c r="AD52" i="52"/>
  <c r="AH52" i="52" s="1"/>
  <c r="AC52" i="52"/>
  <c r="AB52" i="52"/>
  <c r="U52" i="52"/>
  <c r="AV52" i="52" s="1"/>
  <c r="T52" i="52"/>
  <c r="AU52" i="52" s="1"/>
  <c r="S52" i="52"/>
  <c r="AT52" i="52" s="1"/>
  <c r="R52" i="52"/>
  <c r="AS52" i="52" s="1"/>
  <c r="Q52" i="52"/>
  <c r="AR52" i="52" s="1"/>
  <c r="P52" i="52"/>
  <c r="AQ52" i="52" s="1"/>
  <c r="B52" i="52"/>
  <c r="BJ51" i="52"/>
  <c r="BK51" i="52" s="1"/>
  <c r="BC51" i="52"/>
  <c r="BB51" i="52"/>
  <c r="BA51" i="52"/>
  <c r="AZ51" i="52"/>
  <c r="AY51" i="52"/>
  <c r="AX51" i="52"/>
  <c r="AP51" i="52"/>
  <c r="AO51" i="52"/>
  <c r="AN51" i="52"/>
  <c r="AM51" i="52"/>
  <c r="AL51" i="52"/>
  <c r="AK51" i="52"/>
  <c r="U51" i="52"/>
  <c r="AV51" i="52" s="1"/>
  <c r="T51" i="52"/>
  <c r="AU51" i="52" s="1"/>
  <c r="S51" i="52"/>
  <c r="AT51" i="52" s="1"/>
  <c r="R51" i="52"/>
  <c r="AS51" i="52" s="1"/>
  <c r="Q51" i="52"/>
  <c r="AR51" i="52" s="1"/>
  <c r="P51" i="52"/>
  <c r="AQ51" i="52" s="1"/>
  <c r="BJ50" i="52"/>
  <c r="BK50" i="52" s="1"/>
  <c r="BC50" i="52"/>
  <c r="BB50" i="52"/>
  <c r="BA50" i="52"/>
  <c r="AZ50" i="52"/>
  <c r="AY50" i="52"/>
  <c r="AX50" i="52"/>
  <c r="AP50" i="52"/>
  <c r="AO50" i="52"/>
  <c r="AN50" i="52"/>
  <c r="AM50" i="52"/>
  <c r="AL50" i="52"/>
  <c r="AK50" i="52"/>
  <c r="U50" i="52"/>
  <c r="AV50" i="52" s="1"/>
  <c r="T50" i="52"/>
  <c r="AU50" i="52" s="1"/>
  <c r="S50" i="52"/>
  <c r="AT50" i="52" s="1"/>
  <c r="R50" i="52"/>
  <c r="AS50" i="52" s="1"/>
  <c r="Q50" i="52"/>
  <c r="AR50" i="52" s="1"/>
  <c r="P50" i="52"/>
  <c r="AQ50" i="52" s="1"/>
  <c r="BJ49" i="52"/>
  <c r="BK49" i="52" s="1"/>
  <c r="BC49" i="52"/>
  <c r="BB49" i="52"/>
  <c r="BA49" i="52"/>
  <c r="AZ49" i="52"/>
  <c r="AY49" i="52"/>
  <c r="AX49" i="52"/>
  <c r="AP49" i="52"/>
  <c r="AO49" i="52"/>
  <c r="AN49" i="52"/>
  <c r="AM49" i="52"/>
  <c r="AL49" i="52"/>
  <c r="AK49" i="52"/>
  <c r="AD49" i="52"/>
  <c r="AH49" i="52" s="1"/>
  <c r="AC49" i="52"/>
  <c r="AB49" i="52"/>
  <c r="AF49" i="52" s="1"/>
  <c r="U49" i="52"/>
  <c r="AV49" i="52" s="1"/>
  <c r="T49" i="52"/>
  <c r="AU49" i="52" s="1"/>
  <c r="S49" i="52"/>
  <c r="AT49" i="52" s="1"/>
  <c r="R49" i="52"/>
  <c r="AS49" i="52" s="1"/>
  <c r="Q49" i="52"/>
  <c r="AR49" i="52" s="1"/>
  <c r="P49" i="52"/>
  <c r="AQ49" i="52" s="1"/>
  <c r="F49" i="52"/>
  <c r="B49" i="52"/>
  <c r="BC48" i="52"/>
  <c r="BB48" i="52"/>
  <c r="BA48" i="52"/>
  <c r="AZ48" i="52"/>
  <c r="AY48" i="52"/>
  <c r="AX48" i="52"/>
  <c r="AP48" i="52"/>
  <c r="AO48" i="52"/>
  <c r="AN48" i="52"/>
  <c r="AM48" i="52"/>
  <c r="AL48" i="52"/>
  <c r="AK48" i="52"/>
  <c r="AC48" i="52"/>
  <c r="U48" i="52"/>
  <c r="AV48" i="52" s="1"/>
  <c r="T48" i="52"/>
  <c r="AU48" i="52" s="1"/>
  <c r="S48" i="52"/>
  <c r="AT48" i="52" s="1"/>
  <c r="R48" i="52"/>
  <c r="AS48" i="52" s="1"/>
  <c r="Q48" i="52"/>
  <c r="AR48" i="52" s="1"/>
  <c r="P48" i="52"/>
  <c r="AQ48" i="52" s="1"/>
  <c r="F48" i="52"/>
  <c r="B48" i="52"/>
  <c r="BC47" i="52"/>
  <c r="BB47" i="52"/>
  <c r="BA47" i="52"/>
  <c r="AZ47" i="52"/>
  <c r="AY47" i="52"/>
  <c r="AX47" i="52"/>
  <c r="AP47" i="52"/>
  <c r="AO47" i="52"/>
  <c r="AN47" i="52"/>
  <c r="AM47" i="52"/>
  <c r="AL47" i="52"/>
  <c r="AK47" i="52"/>
  <c r="AC47" i="52"/>
  <c r="U47" i="52"/>
  <c r="AV47" i="52" s="1"/>
  <c r="T47" i="52"/>
  <c r="AU47" i="52" s="1"/>
  <c r="S47" i="52"/>
  <c r="AT47" i="52" s="1"/>
  <c r="R47" i="52"/>
  <c r="AS47" i="52" s="1"/>
  <c r="Q47" i="52"/>
  <c r="AR47" i="52" s="1"/>
  <c r="P47" i="52"/>
  <c r="AQ47" i="52" s="1"/>
  <c r="B47" i="52"/>
  <c r="BL46" i="52"/>
  <c r="BI46" i="52" s="1"/>
  <c r="BJ46" i="52" s="1"/>
  <c r="BC46" i="52"/>
  <c r="BB46" i="52"/>
  <c r="BA46" i="52"/>
  <c r="AZ46" i="52"/>
  <c r="AY46" i="52"/>
  <c r="AX46" i="52"/>
  <c r="AP46" i="52"/>
  <c r="AO46" i="52"/>
  <c r="AN46" i="52"/>
  <c r="AM46" i="52"/>
  <c r="AL46" i="52"/>
  <c r="AK46" i="52"/>
  <c r="AD46" i="52"/>
  <c r="AH46" i="52" s="1"/>
  <c r="AC46" i="52"/>
  <c r="U46" i="52"/>
  <c r="AV46" i="52" s="1"/>
  <c r="T46" i="52"/>
  <c r="AU46" i="52" s="1"/>
  <c r="S46" i="52"/>
  <c r="AT46" i="52" s="1"/>
  <c r="R46" i="52"/>
  <c r="AS46" i="52" s="1"/>
  <c r="Q46" i="52"/>
  <c r="AR46" i="52" s="1"/>
  <c r="P46" i="52"/>
  <c r="AQ46" i="52" s="1"/>
  <c r="F46" i="52"/>
  <c r="B46" i="52"/>
  <c r="BL45" i="52"/>
  <c r="BI45" i="52" s="1"/>
  <c r="BJ45" i="52" s="1"/>
  <c r="BC45" i="52"/>
  <c r="BB45" i="52"/>
  <c r="BA45" i="52"/>
  <c r="AZ45" i="52"/>
  <c r="AY45" i="52"/>
  <c r="AX45" i="52"/>
  <c r="AP45" i="52"/>
  <c r="AO45" i="52"/>
  <c r="AN45" i="52"/>
  <c r="AM45" i="52"/>
  <c r="AL45" i="52"/>
  <c r="AK45" i="52"/>
  <c r="AD45" i="52"/>
  <c r="AH45" i="52" s="1"/>
  <c r="AC45" i="52"/>
  <c r="AB45" i="52"/>
  <c r="AF45" i="52" s="1"/>
  <c r="U45" i="52"/>
  <c r="AV45" i="52" s="1"/>
  <c r="T45" i="52"/>
  <c r="AU45" i="52" s="1"/>
  <c r="S45" i="52"/>
  <c r="AT45" i="52" s="1"/>
  <c r="R45" i="52"/>
  <c r="AS45" i="52" s="1"/>
  <c r="Q45" i="52"/>
  <c r="AR45" i="52" s="1"/>
  <c r="P45" i="52"/>
  <c r="AQ45" i="52" s="1"/>
  <c r="B45" i="52"/>
  <c r="BL44" i="52"/>
  <c r="BI44" i="52" s="1"/>
  <c r="BJ44" i="52" s="1"/>
  <c r="BC44" i="52"/>
  <c r="BB44" i="52"/>
  <c r="BA44" i="52"/>
  <c r="AZ44" i="52"/>
  <c r="AY44" i="52"/>
  <c r="AX44" i="52"/>
  <c r="AP44" i="52"/>
  <c r="AO44" i="52"/>
  <c r="AN44" i="52"/>
  <c r="AM44" i="52"/>
  <c r="AL44" i="52"/>
  <c r="AK44" i="52"/>
  <c r="AC44" i="52"/>
  <c r="U44" i="52"/>
  <c r="AV44" i="52" s="1"/>
  <c r="T44" i="52"/>
  <c r="AU44" i="52" s="1"/>
  <c r="S44" i="52"/>
  <c r="AT44" i="52" s="1"/>
  <c r="R44" i="52"/>
  <c r="AS44" i="52" s="1"/>
  <c r="Q44" i="52"/>
  <c r="AR44" i="52" s="1"/>
  <c r="P44" i="52"/>
  <c r="AQ44" i="52" s="1"/>
  <c r="B44" i="52"/>
  <c r="BL43" i="52"/>
  <c r="BI43" i="52" s="1"/>
  <c r="BJ43" i="52" s="1"/>
  <c r="BC43" i="52"/>
  <c r="BB43" i="52"/>
  <c r="BA43" i="52"/>
  <c r="AZ43" i="52"/>
  <c r="AY43" i="52"/>
  <c r="AX43" i="52"/>
  <c r="AP43" i="52"/>
  <c r="AO43" i="52"/>
  <c r="AN43" i="52"/>
  <c r="AM43" i="52"/>
  <c r="AL43" i="52"/>
  <c r="AK43" i="52"/>
  <c r="AC43" i="52"/>
  <c r="U43" i="52"/>
  <c r="AV43" i="52" s="1"/>
  <c r="T43" i="52"/>
  <c r="AU43" i="52" s="1"/>
  <c r="S43" i="52"/>
  <c r="AT43" i="52" s="1"/>
  <c r="R43" i="52"/>
  <c r="AS43" i="52" s="1"/>
  <c r="Q43" i="52"/>
  <c r="AR43" i="52" s="1"/>
  <c r="P43" i="52"/>
  <c r="AQ43" i="52" s="1"/>
  <c r="B43" i="52"/>
  <c r="BL42" i="52"/>
  <c r="BI42" i="52" s="1"/>
  <c r="BJ42" i="52" s="1"/>
  <c r="BC42" i="52"/>
  <c r="BB42" i="52"/>
  <c r="BA42" i="52"/>
  <c r="AZ42" i="52"/>
  <c r="AY42" i="52"/>
  <c r="AX42" i="52"/>
  <c r="AP42" i="52"/>
  <c r="AO42" i="52"/>
  <c r="AN42" i="52"/>
  <c r="AM42" i="52"/>
  <c r="AL42" i="52"/>
  <c r="AK42" i="52"/>
  <c r="AD42" i="52"/>
  <c r="AH42" i="52" s="1"/>
  <c r="AC42" i="52"/>
  <c r="U42" i="52"/>
  <c r="AV42" i="52" s="1"/>
  <c r="T42" i="52"/>
  <c r="AU42" i="52" s="1"/>
  <c r="S42" i="52"/>
  <c r="AT42" i="52" s="1"/>
  <c r="R42" i="52"/>
  <c r="AS42" i="52" s="1"/>
  <c r="Q42" i="52"/>
  <c r="AR42" i="52" s="1"/>
  <c r="P42" i="52"/>
  <c r="AQ42" i="52" s="1"/>
  <c r="F42" i="52"/>
  <c r="B42" i="52"/>
  <c r="BL41" i="52"/>
  <c r="BI41" i="52" s="1"/>
  <c r="BJ41" i="52" s="1"/>
  <c r="BC41" i="52"/>
  <c r="BB41" i="52"/>
  <c r="BA41" i="52"/>
  <c r="AZ41" i="52"/>
  <c r="AY41" i="52"/>
  <c r="AX41" i="52"/>
  <c r="AP41" i="52"/>
  <c r="AO41" i="52"/>
  <c r="AN41" i="52"/>
  <c r="AM41" i="52"/>
  <c r="AL41" i="52"/>
  <c r="AK41" i="52"/>
  <c r="AD41" i="52"/>
  <c r="AH41" i="52" s="1"/>
  <c r="AC41" i="52"/>
  <c r="AB41" i="52"/>
  <c r="AF41" i="52" s="1"/>
  <c r="U41" i="52"/>
  <c r="AV41" i="52" s="1"/>
  <c r="T41" i="52"/>
  <c r="AU41" i="52" s="1"/>
  <c r="S41" i="52"/>
  <c r="AT41" i="52" s="1"/>
  <c r="R41" i="52"/>
  <c r="AS41" i="52" s="1"/>
  <c r="Q41" i="52"/>
  <c r="AR41" i="52" s="1"/>
  <c r="P41" i="52"/>
  <c r="AQ41" i="52" s="1"/>
  <c r="F41" i="52"/>
  <c r="B41" i="52"/>
  <c r="BL40" i="52"/>
  <c r="BI40" i="52" s="1"/>
  <c r="BJ40" i="52" s="1"/>
  <c r="BC40" i="52"/>
  <c r="BB40" i="52"/>
  <c r="BA40" i="52"/>
  <c r="AZ40" i="52"/>
  <c r="AY40" i="52"/>
  <c r="AX40" i="52"/>
  <c r="AP40" i="52"/>
  <c r="AO40" i="52"/>
  <c r="AN40" i="52"/>
  <c r="AM40" i="52"/>
  <c r="AL40" i="52"/>
  <c r="AK40" i="52"/>
  <c r="AC40" i="52"/>
  <c r="AB40" i="52"/>
  <c r="AF40" i="52" s="1"/>
  <c r="U40" i="52"/>
  <c r="AV40" i="52" s="1"/>
  <c r="T40" i="52"/>
  <c r="AU40" i="52" s="1"/>
  <c r="S40" i="52"/>
  <c r="AT40" i="52" s="1"/>
  <c r="R40" i="52"/>
  <c r="AS40" i="52" s="1"/>
  <c r="Q40" i="52"/>
  <c r="AR40" i="52" s="1"/>
  <c r="P40" i="52"/>
  <c r="AQ40" i="52" s="1"/>
  <c r="F40" i="52"/>
  <c r="B40" i="52"/>
  <c r="BC39" i="52"/>
  <c r="BB39" i="52"/>
  <c r="BA39" i="52"/>
  <c r="AZ39" i="52"/>
  <c r="AY39" i="52"/>
  <c r="AX39" i="52"/>
  <c r="AP39" i="52"/>
  <c r="AO39" i="52"/>
  <c r="AN39" i="52"/>
  <c r="AM39" i="52"/>
  <c r="AL39" i="52"/>
  <c r="AK39" i="52"/>
  <c r="AC39" i="52"/>
  <c r="U39" i="52"/>
  <c r="AV39" i="52" s="1"/>
  <c r="T39" i="52"/>
  <c r="AU39" i="52" s="1"/>
  <c r="S39" i="52"/>
  <c r="AT39" i="52" s="1"/>
  <c r="R39" i="52"/>
  <c r="AS39" i="52" s="1"/>
  <c r="Q39" i="52"/>
  <c r="AR39" i="52" s="1"/>
  <c r="P39" i="52"/>
  <c r="AQ39" i="52" s="1"/>
  <c r="B39" i="52"/>
  <c r="BC38" i="52"/>
  <c r="BB38" i="52"/>
  <c r="BA38" i="52"/>
  <c r="AZ38" i="52"/>
  <c r="AY38" i="52"/>
  <c r="AX38" i="52"/>
  <c r="AP38" i="52"/>
  <c r="AO38" i="52"/>
  <c r="AN38" i="52"/>
  <c r="AM38" i="52"/>
  <c r="AL38" i="52"/>
  <c r="AK38" i="52"/>
  <c r="U38" i="52"/>
  <c r="AV38" i="52" s="1"/>
  <c r="T38" i="52"/>
  <c r="AU38" i="52" s="1"/>
  <c r="S38" i="52"/>
  <c r="AT38" i="52" s="1"/>
  <c r="R38" i="52"/>
  <c r="AS38" i="52" s="1"/>
  <c r="Q38" i="52"/>
  <c r="AR38" i="52" s="1"/>
  <c r="P38" i="52"/>
  <c r="AQ38" i="52" s="1"/>
  <c r="BC37" i="52"/>
  <c r="BB37" i="52"/>
  <c r="BA37" i="52"/>
  <c r="AZ37" i="52"/>
  <c r="AY37" i="52"/>
  <c r="AX37" i="52"/>
  <c r="AP37" i="52"/>
  <c r="AO37" i="52"/>
  <c r="AN37" i="52"/>
  <c r="AM37" i="52"/>
  <c r="AL37" i="52"/>
  <c r="AK37" i="52"/>
  <c r="U37" i="52"/>
  <c r="AV37" i="52" s="1"/>
  <c r="T37" i="52"/>
  <c r="AU37" i="52" s="1"/>
  <c r="S37" i="52"/>
  <c r="AT37" i="52" s="1"/>
  <c r="R37" i="52"/>
  <c r="AS37" i="52" s="1"/>
  <c r="Q37" i="52"/>
  <c r="AR37" i="52" s="1"/>
  <c r="P37" i="52"/>
  <c r="AQ37" i="52" s="1"/>
  <c r="BJ36" i="52"/>
  <c r="BI36" i="52"/>
  <c r="BC36" i="52"/>
  <c r="BB36" i="52"/>
  <c r="BA36" i="52"/>
  <c r="AZ36" i="52"/>
  <c r="AY36" i="52"/>
  <c r="AX36" i="52"/>
  <c r="AP36" i="52"/>
  <c r="AO36" i="52"/>
  <c r="AN36" i="52"/>
  <c r="AM36" i="52"/>
  <c r="AL36" i="52"/>
  <c r="AK36" i="52"/>
  <c r="AD36" i="52"/>
  <c r="AH36" i="52" s="1"/>
  <c r="AC36" i="52"/>
  <c r="AB36" i="52"/>
  <c r="AF36" i="52" s="1"/>
  <c r="U36" i="52"/>
  <c r="AV36" i="52" s="1"/>
  <c r="T36" i="52"/>
  <c r="AU36" i="52" s="1"/>
  <c r="S36" i="52"/>
  <c r="AT36" i="52" s="1"/>
  <c r="R36" i="52"/>
  <c r="AS36" i="52" s="1"/>
  <c r="Q36" i="52"/>
  <c r="AR36" i="52" s="1"/>
  <c r="P36" i="52"/>
  <c r="AQ36" i="52" s="1"/>
  <c r="F36" i="52"/>
  <c r="B36" i="52"/>
  <c r="BJ35" i="52"/>
  <c r="BI35" i="52"/>
  <c r="BC35" i="52"/>
  <c r="BB35" i="52"/>
  <c r="BA35" i="52"/>
  <c r="AZ35" i="52"/>
  <c r="AY35" i="52"/>
  <c r="AX35" i="52"/>
  <c r="AP35" i="52"/>
  <c r="AO35" i="52"/>
  <c r="AN35" i="52"/>
  <c r="AM35" i="52"/>
  <c r="AL35" i="52"/>
  <c r="AK35" i="52"/>
  <c r="AD35" i="52"/>
  <c r="AH35" i="52" s="1"/>
  <c r="AC35" i="52"/>
  <c r="AB35" i="52"/>
  <c r="AF35" i="52" s="1"/>
  <c r="U35" i="52"/>
  <c r="AV35" i="52" s="1"/>
  <c r="T35" i="52"/>
  <c r="AU35" i="52" s="1"/>
  <c r="S35" i="52"/>
  <c r="AT35" i="52" s="1"/>
  <c r="R35" i="52"/>
  <c r="AS35" i="52" s="1"/>
  <c r="Q35" i="52"/>
  <c r="AR35" i="52" s="1"/>
  <c r="P35" i="52"/>
  <c r="AQ35" i="52" s="1"/>
  <c r="F35" i="52"/>
  <c r="B35" i="52"/>
  <c r="BJ34" i="52"/>
  <c r="BI34" i="52"/>
  <c r="BC34" i="52"/>
  <c r="BB34" i="52"/>
  <c r="BA34" i="52"/>
  <c r="AZ34" i="52"/>
  <c r="AY34" i="52"/>
  <c r="AX34" i="52"/>
  <c r="AP34" i="52"/>
  <c r="AO34" i="52"/>
  <c r="AN34" i="52"/>
  <c r="AM34" i="52"/>
  <c r="AL34" i="52"/>
  <c r="AK34" i="52"/>
  <c r="AD34" i="52"/>
  <c r="AH34" i="52" s="1"/>
  <c r="AC34" i="52"/>
  <c r="AB34" i="52"/>
  <c r="AF34" i="52" s="1"/>
  <c r="U34" i="52"/>
  <c r="AV34" i="52" s="1"/>
  <c r="T34" i="52"/>
  <c r="AU34" i="52" s="1"/>
  <c r="S34" i="52"/>
  <c r="AT34" i="52" s="1"/>
  <c r="R34" i="52"/>
  <c r="AS34" i="52" s="1"/>
  <c r="Q34" i="52"/>
  <c r="AR34" i="52" s="1"/>
  <c r="P34" i="52"/>
  <c r="AQ34" i="52" s="1"/>
  <c r="F34" i="52"/>
  <c r="B34" i="52"/>
  <c r="BJ33" i="52"/>
  <c r="BI33" i="52"/>
  <c r="BC33" i="52"/>
  <c r="BB33" i="52"/>
  <c r="BA33" i="52"/>
  <c r="AZ33" i="52"/>
  <c r="AY33" i="52"/>
  <c r="AX33" i="52"/>
  <c r="AP33" i="52"/>
  <c r="AO33" i="52"/>
  <c r="AN33" i="52"/>
  <c r="AM33" i="52"/>
  <c r="AL33" i="52"/>
  <c r="AK33" i="52"/>
  <c r="AD33" i="52"/>
  <c r="AH33" i="52" s="1"/>
  <c r="AC33" i="52"/>
  <c r="AB33" i="52"/>
  <c r="AF33" i="52" s="1"/>
  <c r="U33" i="52"/>
  <c r="AV33" i="52" s="1"/>
  <c r="T33" i="52"/>
  <c r="AU33" i="52" s="1"/>
  <c r="S33" i="52"/>
  <c r="AT33" i="52" s="1"/>
  <c r="R33" i="52"/>
  <c r="AS33" i="52" s="1"/>
  <c r="Q33" i="52"/>
  <c r="AR33" i="52" s="1"/>
  <c r="P33" i="52"/>
  <c r="AQ33" i="52" s="1"/>
  <c r="F33" i="52"/>
  <c r="B33" i="52"/>
  <c r="BJ32" i="52"/>
  <c r="BI32" i="52"/>
  <c r="BC32" i="52"/>
  <c r="BB32" i="52"/>
  <c r="BA32" i="52"/>
  <c r="AZ32" i="52"/>
  <c r="AY32" i="52"/>
  <c r="AX32" i="52"/>
  <c r="AP32" i="52"/>
  <c r="AO32" i="52"/>
  <c r="AN32" i="52"/>
  <c r="AM32" i="52"/>
  <c r="AL32" i="52"/>
  <c r="AK32" i="52"/>
  <c r="AD32" i="52"/>
  <c r="AH32" i="52" s="1"/>
  <c r="AC32" i="52"/>
  <c r="AB32" i="52"/>
  <c r="AF32" i="52" s="1"/>
  <c r="U32" i="52"/>
  <c r="AV32" i="52" s="1"/>
  <c r="T32" i="52"/>
  <c r="AU32" i="52" s="1"/>
  <c r="S32" i="52"/>
  <c r="AT32" i="52" s="1"/>
  <c r="R32" i="52"/>
  <c r="AS32" i="52" s="1"/>
  <c r="Q32" i="52"/>
  <c r="AR32" i="52" s="1"/>
  <c r="P32" i="52"/>
  <c r="AQ32" i="52" s="1"/>
  <c r="B32" i="52"/>
  <c r="BJ31" i="52"/>
  <c r="BI31" i="52"/>
  <c r="BC31" i="52"/>
  <c r="BB31" i="52"/>
  <c r="BA31" i="52"/>
  <c r="AZ31" i="52"/>
  <c r="AY31" i="52"/>
  <c r="AX31" i="52"/>
  <c r="AP31" i="52"/>
  <c r="AO31" i="52"/>
  <c r="AN31" i="52"/>
  <c r="AM31" i="52"/>
  <c r="AL31" i="52"/>
  <c r="AK31" i="52"/>
  <c r="AD31" i="52"/>
  <c r="AH31" i="52" s="1"/>
  <c r="AC31" i="52"/>
  <c r="AB31" i="52"/>
  <c r="AF31" i="52" s="1"/>
  <c r="U31" i="52"/>
  <c r="AV31" i="52" s="1"/>
  <c r="T31" i="52"/>
  <c r="AU31" i="52" s="1"/>
  <c r="S31" i="52"/>
  <c r="AT31" i="52" s="1"/>
  <c r="R31" i="52"/>
  <c r="AS31" i="52" s="1"/>
  <c r="Q31" i="52"/>
  <c r="AR31" i="52" s="1"/>
  <c r="P31" i="52"/>
  <c r="AQ31" i="52" s="1"/>
  <c r="F31" i="52"/>
  <c r="B31" i="52"/>
  <c r="BJ30" i="52"/>
  <c r="BI30" i="52"/>
  <c r="BC30" i="52"/>
  <c r="BB30" i="52"/>
  <c r="BA30" i="52"/>
  <c r="AZ30" i="52"/>
  <c r="AY30" i="52"/>
  <c r="AX30" i="52"/>
  <c r="AP30" i="52"/>
  <c r="AO30" i="52"/>
  <c r="AN30" i="52"/>
  <c r="AM30" i="52"/>
  <c r="AL30" i="52"/>
  <c r="AK30" i="52"/>
  <c r="U30" i="52"/>
  <c r="AV30" i="52" s="1"/>
  <c r="T30" i="52"/>
  <c r="AU30" i="52" s="1"/>
  <c r="S30" i="52"/>
  <c r="AT30" i="52" s="1"/>
  <c r="R30" i="52"/>
  <c r="AS30" i="52" s="1"/>
  <c r="Q30" i="52"/>
  <c r="AR30" i="52" s="1"/>
  <c r="P30" i="52"/>
  <c r="AQ30" i="52" s="1"/>
  <c r="BC29" i="52"/>
  <c r="BB29" i="52"/>
  <c r="BA29" i="52"/>
  <c r="AZ29" i="52"/>
  <c r="AY29" i="52"/>
  <c r="AX29" i="52"/>
  <c r="AP29" i="52"/>
  <c r="AO29" i="52"/>
  <c r="AN29" i="52"/>
  <c r="AM29" i="52"/>
  <c r="AL29" i="52"/>
  <c r="AK29" i="52"/>
  <c r="U29" i="52"/>
  <c r="AV29" i="52" s="1"/>
  <c r="T29" i="52"/>
  <c r="AU29" i="52" s="1"/>
  <c r="S29" i="52"/>
  <c r="AT29" i="52" s="1"/>
  <c r="R29" i="52"/>
  <c r="AS29" i="52" s="1"/>
  <c r="Q29" i="52"/>
  <c r="AR29" i="52" s="1"/>
  <c r="P29" i="52"/>
  <c r="AQ29" i="52" s="1"/>
  <c r="BC28" i="52"/>
  <c r="BB28" i="52"/>
  <c r="BA28" i="52"/>
  <c r="AZ28" i="52"/>
  <c r="AY28" i="52"/>
  <c r="AX28" i="52"/>
  <c r="AP28" i="52"/>
  <c r="AO28" i="52"/>
  <c r="AN28" i="52"/>
  <c r="AM28" i="52"/>
  <c r="AL28" i="52"/>
  <c r="AK28" i="52"/>
  <c r="AD28" i="52"/>
  <c r="AH28" i="52" s="1"/>
  <c r="AC28" i="52"/>
  <c r="AB28" i="52"/>
  <c r="AF28" i="52" s="1"/>
  <c r="U28" i="52"/>
  <c r="AV28" i="52" s="1"/>
  <c r="T28" i="52"/>
  <c r="AU28" i="52" s="1"/>
  <c r="S28" i="52"/>
  <c r="AT28" i="52" s="1"/>
  <c r="R28" i="52"/>
  <c r="AS28" i="52" s="1"/>
  <c r="Q28" i="52"/>
  <c r="AR28" i="52" s="1"/>
  <c r="P28" i="52"/>
  <c r="AQ28" i="52" s="1"/>
  <c r="F28" i="52"/>
  <c r="B28" i="52"/>
  <c r="BI27" i="52"/>
  <c r="BJ27" i="52" s="1"/>
  <c r="BC27" i="52"/>
  <c r="BB27" i="52"/>
  <c r="BA27" i="52"/>
  <c r="AZ27" i="52"/>
  <c r="AY27" i="52"/>
  <c r="AX27" i="52"/>
  <c r="AP27" i="52"/>
  <c r="AO27" i="52"/>
  <c r="AN27" i="52"/>
  <c r="AM27" i="52"/>
  <c r="AL27" i="52"/>
  <c r="AK27" i="52"/>
  <c r="AD27" i="52"/>
  <c r="AH27" i="52" s="1"/>
  <c r="AC27" i="52"/>
  <c r="AB27" i="52"/>
  <c r="AF27" i="52" s="1"/>
  <c r="U27" i="52"/>
  <c r="AV27" i="52" s="1"/>
  <c r="T27" i="52"/>
  <c r="AU27" i="52" s="1"/>
  <c r="S27" i="52"/>
  <c r="AT27" i="52" s="1"/>
  <c r="R27" i="52"/>
  <c r="AS27" i="52" s="1"/>
  <c r="Q27" i="52"/>
  <c r="AR27" i="52" s="1"/>
  <c r="P27" i="52"/>
  <c r="AQ27" i="52" s="1"/>
  <c r="F27" i="52"/>
  <c r="B27" i="52"/>
  <c r="BI26" i="52"/>
  <c r="BJ26" i="52" s="1"/>
  <c r="BC26" i="52"/>
  <c r="BB26" i="52"/>
  <c r="BA26" i="52"/>
  <c r="AZ26" i="52"/>
  <c r="AY26" i="52"/>
  <c r="AX26" i="52"/>
  <c r="AP26" i="52"/>
  <c r="AO26" i="52"/>
  <c r="AN26" i="52"/>
  <c r="AM26" i="52"/>
  <c r="AL26" i="52"/>
  <c r="AK26" i="52"/>
  <c r="AD26" i="52"/>
  <c r="AH26" i="52" s="1"/>
  <c r="AC26" i="52"/>
  <c r="AB26" i="52"/>
  <c r="AF26" i="52" s="1"/>
  <c r="U26" i="52"/>
  <c r="AV26" i="52" s="1"/>
  <c r="T26" i="52"/>
  <c r="AU26" i="52" s="1"/>
  <c r="S26" i="52"/>
  <c r="AT26" i="52" s="1"/>
  <c r="R26" i="52"/>
  <c r="AS26" i="52" s="1"/>
  <c r="Q26" i="52"/>
  <c r="AR26" i="52" s="1"/>
  <c r="P26" i="52"/>
  <c r="AQ26" i="52" s="1"/>
  <c r="F26" i="52"/>
  <c r="B26" i="52"/>
  <c r="BI25" i="52"/>
  <c r="BJ25" i="52" s="1"/>
  <c r="BC25" i="52"/>
  <c r="BB25" i="52"/>
  <c r="BA25" i="52"/>
  <c r="AZ25" i="52"/>
  <c r="AY25" i="52"/>
  <c r="AX25" i="52"/>
  <c r="AP25" i="52"/>
  <c r="AO25" i="52"/>
  <c r="AN25" i="52"/>
  <c r="AM25" i="52"/>
  <c r="AL25" i="52"/>
  <c r="AK25" i="52"/>
  <c r="AD25" i="52"/>
  <c r="AH25" i="52" s="1"/>
  <c r="AC25" i="52"/>
  <c r="AB25" i="52"/>
  <c r="AF25" i="52" s="1"/>
  <c r="U25" i="52"/>
  <c r="AV25" i="52" s="1"/>
  <c r="T25" i="52"/>
  <c r="AU25" i="52" s="1"/>
  <c r="S25" i="52"/>
  <c r="AT25" i="52" s="1"/>
  <c r="R25" i="52"/>
  <c r="AS25" i="52" s="1"/>
  <c r="Q25" i="52"/>
  <c r="AR25" i="52" s="1"/>
  <c r="P25" i="52"/>
  <c r="AQ25" i="52" s="1"/>
  <c r="F25" i="52"/>
  <c r="B25" i="52"/>
  <c r="BI24" i="52"/>
  <c r="BJ24" i="52" s="1"/>
  <c r="BC24" i="52"/>
  <c r="BB24" i="52"/>
  <c r="BA24" i="52"/>
  <c r="AZ24" i="52"/>
  <c r="AY24" i="52"/>
  <c r="AX24" i="52"/>
  <c r="AP24" i="52"/>
  <c r="AO24" i="52"/>
  <c r="AN24" i="52"/>
  <c r="AM24" i="52"/>
  <c r="AL24" i="52"/>
  <c r="AK24" i="52"/>
  <c r="AD24" i="52"/>
  <c r="AH24" i="52" s="1"/>
  <c r="AC24" i="52"/>
  <c r="AB24" i="52"/>
  <c r="AF24" i="52" s="1"/>
  <c r="U24" i="52"/>
  <c r="AV24" i="52" s="1"/>
  <c r="T24" i="52"/>
  <c r="AU24" i="52" s="1"/>
  <c r="S24" i="52"/>
  <c r="AT24" i="52" s="1"/>
  <c r="R24" i="52"/>
  <c r="AS24" i="52" s="1"/>
  <c r="Q24" i="52"/>
  <c r="AR24" i="52" s="1"/>
  <c r="P24" i="52"/>
  <c r="AQ24" i="52" s="1"/>
  <c r="F24" i="52"/>
  <c r="B24" i="52"/>
  <c r="BI23" i="52"/>
  <c r="BJ23" i="52" s="1"/>
  <c r="AD23" i="52"/>
  <c r="AH23" i="52" s="1"/>
  <c r="AC23" i="52"/>
  <c r="AB23" i="52"/>
  <c r="AF23" i="52" s="1"/>
  <c r="B23" i="52"/>
  <c r="BI22" i="52"/>
  <c r="BJ22" i="52" s="1"/>
  <c r="AD22" i="52"/>
  <c r="AH22" i="52" s="1"/>
  <c r="AC22" i="52"/>
  <c r="AB22" i="52"/>
  <c r="AF22" i="52" s="1"/>
  <c r="F22" i="52"/>
  <c r="B22" i="52"/>
  <c r="BI21" i="52"/>
  <c r="BJ21" i="52" s="1"/>
  <c r="BJ14" i="52"/>
  <c r="BH14" i="52"/>
  <c r="BE14" i="52"/>
  <c r="BC14" i="52"/>
  <c r="AB14" i="52"/>
  <c r="T75" i="54"/>
  <c r="V75" i="54" s="1"/>
  <c r="E75" i="54"/>
  <c r="G75" i="54" s="1"/>
  <c r="T68" i="54"/>
  <c r="P69" i="54" s="1"/>
  <c r="P68" i="54"/>
  <c r="P70" i="54" s="1"/>
  <c r="D68" i="54"/>
  <c r="M66" i="54"/>
  <c r="K66" i="54"/>
  <c r="I66" i="54"/>
  <c r="G66" i="54"/>
  <c r="E66" i="54"/>
  <c r="S65" i="54"/>
  <c r="P65" i="54"/>
  <c r="M65" i="54"/>
  <c r="K65" i="54"/>
  <c r="I65" i="54"/>
  <c r="G65" i="54"/>
  <c r="E65" i="54"/>
  <c r="M64" i="54"/>
  <c r="AB62" i="54"/>
  <c r="AA62" i="54"/>
  <c r="D62" i="54"/>
  <c r="AB60" i="54"/>
  <c r="AA60" i="54"/>
  <c r="AB58" i="54"/>
  <c r="AA58" i="54"/>
  <c r="E58" i="54"/>
  <c r="B59" i="54" s="1"/>
  <c r="E57" i="54"/>
  <c r="AB56" i="54"/>
  <c r="AA56" i="54"/>
  <c r="E56" i="54"/>
  <c r="E55" i="54"/>
  <c r="AB54" i="54"/>
  <c r="AA54" i="54"/>
  <c r="E54" i="54"/>
  <c r="E53" i="54"/>
  <c r="AB52" i="54"/>
  <c r="AA52" i="54"/>
  <c r="E52" i="54"/>
  <c r="E51" i="54"/>
  <c r="AB50" i="54"/>
  <c r="AA50" i="54"/>
  <c r="AB48" i="54"/>
  <c r="AA48" i="54"/>
  <c r="AB46" i="54"/>
  <c r="AA46" i="54"/>
  <c r="B45" i="54"/>
  <c r="AE44" i="54"/>
  <c r="AB43" i="54"/>
  <c r="AA43" i="54"/>
  <c r="AB41" i="54"/>
  <c r="AA41" i="54"/>
  <c r="U41" i="54"/>
  <c r="P41" i="54" s="1"/>
  <c r="U40" i="54"/>
  <c r="AB39" i="54"/>
  <c r="AA39" i="54"/>
  <c r="AJ33" i="54"/>
  <c r="AG33" i="54"/>
  <c r="AD33" i="54"/>
  <c r="F31" i="54"/>
  <c r="Q26" i="54"/>
  <c r="Q25" i="54"/>
  <c r="Q24" i="54"/>
  <c r="AJ23" i="54"/>
  <c r="AG23" i="54"/>
  <c r="AD23" i="54"/>
  <c r="F23" i="54"/>
  <c r="AB22" i="54"/>
  <c r="AI18" i="54"/>
  <c r="AF18" i="54"/>
  <c r="AC18" i="54"/>
  <c r="AH17" i="54"/>
  <c r="AE17" i="54"/>
  <c r="AA17" i="54"/>
  <c r="AI17" i="54" s="1"/>
  <c r="AI16" i="54"/>
  <c r="AH16" i="54"/>
  <c r="AF16" i="54"/>
  <c r="AE16" i="54"/>
  <c r="AC16" i="54"/>
  <c r="AD16" i="54" s="1"/>
  <c r="AI15" i="54"/>
  <c r="AH15" i="54"/>
  <c r="AF15" i="54"/>
  <c r="AE15" i="54"/>
  <c r="AC15" i="54"/>
  <c r="AB15" i="54"/>
  <c r="AI14" i="54"/>
  <c r="AH14" i="54"/>
  <c r="AF14" i="54"/>
  <c r="AE14" i="54"/>
  <c r="AC14" i="54"/>
  <c r="AB14" i="54"/>
  <c r="AI13" i="54"/>
  <c r="AH13" i="54"/>
  <c r="AF13" i="54"/>
  <c r="AE13" i="54"/>
  <c r="AC13" i="54"/>
  <c r="AB13" i="54"/>
  <c r="AI12" i="54"/>
  <c r="AH12" i="54"/>
  <c r="AF12" i="54"/>
  <c r="AE12" i="54"/>
  <c r="AC12" i="54"/>
  <c r="AB12" i="54"/>
  <c r="G216" i="42"/>
  <c r="G215" i="42"/>
  <c r="D207" i="42"/>
  <c r="J203" i="42"/>
  <c r="K203" i="42" s="1"/>
  <c r="E203" i="42"/>
  <c r="D203" i="42" s="1"/>
  <c r="F203" i="42" s="1"/>
  <c r="K200" i="42"/>
  <c r="J200" i="42"/>
  <c r="H177" i="42"/>
  <c r="G177" i="42"/>
  <c r="H176" i="42"/>
  <c r="G176" i="42"/>
  <c r="H175" i="42"/>
  <c r="G175" i="42"/>
  <c r="N166" i="42"/>
  <c r="J163" i="42"/>
  <c r="F157" i="42"/>
  <c r="C157" i="42"/>
  <c r="O156" i="42"/>
  <c r="G156" i="42"/>
  <c r="F156" i="42"/>
  <c r="E156" i="42"/>
  <c r="E154" i="42"/>
  <c r="N154" i="42" s="1"/>
  <c r="N163" i="42" s="1"/>
  <c r="J145" i="42"/>
  <c r="J146" i="42" s="1"/>
  <c r="M140" i="42"/>
  <c r="L140" i="42"/>
  <c r="K140" i="42"/>
  <c r="J140" i="42"/>
  <c r="I140" i="42"/>
  <c r="H140" i="42"/>
  <c r="G140" i="42"/>
  <c r="F140" i="42"/>
  <c r="E140" i="42"/>
  <c r="D140" i="42"/>
  <c r="C140" i="42"/>
  <c r="Q139" i="42"/>
  <c r="O140" i="42" s="1"/>
  <c r="O139" i="42"/>
  <c r="O141" i="42" s="1"/>
  <c r="O126" i="42"/>
  <c r="M127" i="42" s="1"/>
  <c r="M126" i="42"/>
  <c r="M128" i="42" s="1"/>
  <c r="C124" i="42"/>
  <c r="C125" i="42" s="1"/>
  <c r="M121" i="42"/>
  <c r="N121" i="42" s="1"/>
  <c r="F121" i="42"/>
  <c r="G121" i="42" s="1"/>
  <c r="I116" i="42"/>
  <c r="I114" i="42"/>
  <c r="M109" i="42"/>
  <c r="N104" i="42"/>
  <c r="M98" i="42"/>
  <c r="K98" i="42"/>
  <c r="F98" i="42"/>
  <c r="F93" i="42"/>
  <c r="M92" i="42"/>
  <c r="G214" i="42"/>
  <c r="G213" i="42"/>
  <c r="Q75" i="42"/>
  <c r="I75" i="42"/>
  <c r="J75" i="42" s="1"/>
  <c r="C75" i="42"/>
  <c r="D75" i="42" s="1"/>
  <c r="I74" i="42"/>
  <c r="L74" i="42" s="1"/>
  <c r="C74" i="42"/>
  <c r="F74" i="42" s="1"/>
  <c r="L73" i="42"/>
  <c r="J73" i="42"/>
  <c r="F73" i="42"/>
  <c r="D73" i="42"/>
  <c r="E58" i="42"/>
  <c r="M56" i="42"/>
  <c r="M59" i="42" s="1"/>
  <c r="J56" i="42"/>
  <c r="J59" i="42" s="1"/>
  <c r="M54" i="42"/>
  <c r="J54" i="42"/>
  <c r="E53" i="42"/>
  <c r="K46" i="42"/>
  <c r="J46" i="42"/>
  <c r="F46" i="42"/>
  <c r="E46" i="42"/>
  <c r="Q39" i="42"/>
  <c r="O39" i="42"/>
  <c r="L39" i="42"/>
  <c r="D38" i="42"/>
  <c r="D37" i="42"/>
  <c r="Q36" i="42"/>
  <c r="O36" i="42"/>
  <c r="F36" i="42"/>
  <c r="D36" i="42"/>
  <c r="D35" i="42"/>
  <c r="F34" i="42"/>
  <c r="D34" i="42"/>
  <c r="Q33" i="42"/>
  <c r="O33" i="42"/>
  <c r="F33" i="42"/>
  <c r="D33" i="42"/>
  <c r="Q25" i="42"/>
  <c r="O25" i="42"/>
  <c r="Q22" i="42"/>
  <c r="O22" i="42"/>
  <c r="Q19" i="42"/>
  <c r="O19" i="42"/>
  <c r="P16" i="42"/>
  <c r="Q16" i="42" s="1"/>
  <c r="Q13" i="42"/>
  <c r="O13" i="42"/>
  <c r="Q10" i="42"/>
  <c r="O10" i="42"/>
  <c r="Q7" i="42"/>
  <c r="O7" i="42"/>
  <c r="AJ15" i="54" l="1"/>
  <c r="C65" i="53"/>
  <c r="E63" i="46"/>
  <c r="AG15" i="54"/>
  <c r="B85" i="53"/>
  <c r="C127" i="46"/>
  <c r="F45" i="52"/>
  <c r="F39" i="52"/>
  <c r="F32" i="52"/>
  <c r="AJ40" i="55"/>
  <c r="AM40" i="55" s="1"/>
  <c r="AJ35" i="55"/>
  <c r="AM35" i="55" s="1"/>
  <c r="AJ44" i="55"/>
  <c r="AM44" i="55" s="1"/>
  <c r="AJ53" i="55"/>
  <c r="AM53" i="55" s="1"/>
  <c r="AH47" i="53"/>
  <c r="AT47" i="53" s="1"/>
  <c r="AH51" i="53"/>
  <c r="AL51" i="53" s="1"/>
  <c r="AF91" i="53"/>
  <c r="AI91" i="53" s="1"/>
  <c r="AF95" i="53"/>
  <c r="AI95" i="53" s="1"/>
  <c r="AF100" i="53"/>
  <c r="AL100" i="53" s="1"/>
  <c r="AF104" i="53"/>
  <c r="C118" i="53"/>
  <c r="E154" i="53"/>
  <c r="T175" i="4"/>
  <c r="AN147" i="53"/>
  <c r="E30" i="9"/>
  <c r="F44" i="52"/>
  <c r="M66" i="55"/>
  <c r="AM72" i="52"/>
  <c r="AM78" i="52" s="1"/>
  <c r="X78" i="52" s="1"/>
  <c r="F52" i="52"/>
  <c r="AE62" i="53"/>
  <c r="V41" i="54"/>
  <c r="H63" i="46"/>
  <c r="H64" i="46" s="1"/>
  <c r="C117" i="46"/>
  <c r="C109" i="46"/>
  <c r="C125" i="46"/>
  <c r="C133" i="46"/>
  <c r="AH60" i="53"/>
  <c r="AL60" i="53" s="1"/>
  <c r="D65" i="53"/>
  <c r="C154" i="53"/>
  <c r="S176" i="4"/>
  <c r="T176" i="4" s="1"/>
  <c r="T177" i="4"/>
  <c r="U177" i="4" s="1"/>
  <c r="Q177" i="4" s="1"/>
  <c r="E118" i="53"/>
  <c r="C62" i="55"/>
  <c r="G15" i="55" s="1"/>
  <c r="AF113" i="53"/>
  <c r="AL113" i="53" s="1"/>
  <c r="S172" i="4"/>
  <c r="T172" i="4" s="1"/>
  <c r="S173" i="4"/>
  <c r="T173" i="4" s="1"/>
  <c r="S174" i="4"/>
  <c r="T174" i="4" s="1"/>
  <c r="AM53" i="53"/>
  <c r="AD13" i="54"/>
  <c r="AG14" i="54"/>
  <c r="AD15" i="54"/>
  <c r="AG16" i="54"/>
  <c r="I18" i="16"/>
  <c r="I19" i="16" s="1"/>
  <c r="I21" i="16" s="1"/>
  <c r="H18" i="16"/>
  <c r="H19" i="16" s="1"/>
  <c r="H21" i="16" s="1"/>
  <c r="AK108" i="53"/>
  <c r="AG109" i="53"/>
  <c r="AH109" i="53" s="1"/>
  <c r="AJ109" i="53"/>
  <c r="AK109" i="53" s="1"/>
  <c r="AF60" i="53"/>
  <c r="AL110" i="53"/>
  <c r="AI145" i="53"/>
  <c r="AG110" i="53"/>
  <c r="AH110" i="53" s="1"/>
  <c r="AJ110" i="53"/>
  <c r="AK110" i="53" s="1"/>
  <c r="AL112" i="53"/>
  <c r="AC147" i="53"/>
  <c r="AM33" i="53"/>
  <c r="AM34" i="53"/>
  <c r="AM35" i="53"/>
  <c r="AM36" i="53"/>
  <c r="AM37" i="53"/>
  <c r="AM38" i="53"/>
  <c r="AM39" i="53"/>
  <c r="AF40" i="53"/>
  <c r="AM40" i="53"/>
  <c r="AM44" i="53"/>
  <c r="AM48" i="53"/>
  <c r="AM46" i="53"/>
  <c r="AM54" i="53"/>
  <c r="AJ89" i="53"/>
  <c r="AK89" i="53" s="1"/>
  <c r="AM32" i="53"/>
  <c r="AM50" i="53"/>
  <c r="Z64" i="52"/>
  <c r="V64" i="52"/>
  <c r="V58" i="52" s="1"/>
  <c r="AA61" i="52" s="1"/>
  <c r="X34" i="9"/>
  <c r="AF17" i="54"/>
  <c r="AG34" i="54" s="1"/>
  <c r="D36" i="54" s="1"/>
  <c r="D25" i="54" s="1"/>
  <c r="AD14" i="54"/>
  <c r="AJ12" i="54"/>
  <c r="AC17" i="54"/>
  <c r="AJ24" i="54"/>
  <c r="E28" i="54" s="1"/>
  <c r="AG12" i="54"/>
  <c r="AG13" i="54"/>
  <c r="F18" i="16"/>
  <c r="F19" i="16" s="1"/>
  <c r="F21" i="16" s="1"/>
  <c r="C43" i="9"/>
  <c r="G11" i="9" s="1"/>
  <c r="H11" i="9" s="1"/>
  <c r="AI49" i="9"/>
  <c r="Q54" i="9" s="1"/>
  <c r="Q56" i="9" s="1"/>
  <c r="AC49" i="9"/>
  <c r="X32" i="9"/>
  <c r="P49" i="9"/>
  <c r="X69" i="9"/>
  <c r="X72" i="9" s="1"/>
  <c r="X71" i="9" s="1"/>
  <c r="E39" i="9"/>
  <c r="E45" i="9" s="1"/>
  <c r="W69" i="9"/>
  <c r="W72" i="9" s="1"/>
  <c r="W70" i="9" s="1"/>
  <c r="AJ88" i="53"/>
  <c r="AK88" i="53" s="1"/>
  <c r="AD63" i="53"/>
  <c r="C113" i="46"/>
  <c r="C121" i="46"/>
  <c r="E19" i="46" s="1"/>
  <c r="C129" i="46"/>
  <c r="G18" i="16"/>
  <c r="G19" i="16" s="1"/>
  <c r="G21" i="16" s="1"/>
  <c r="G12" i="46"/>
  <c r="C72" i="52"/>
  <c r="H13" i="52" s="1"/>
  <c r="I13" i="52" s="1"/>
  <c r="AJ34" i="54"/>
  <c r="E36" i="54" s="1"/>
  <c r="E25" i="54" s="1"/>
  <c r="D39" i="54"/>
  <c r="C39" i="54"/>
  <c r="E39" i="54"/>
  <c r="AD12" i="54"/>
  <c r="AJ13" i="54"/>
  <c r="AJ14" i="54"/>
  <c r="AJ32" i="54" s="1"/>
  <c r="AJ22" i="54" s="1"/>
  <c r="U42" i="54"/>
  <c r="AG32" i="54"/>
  <c r="AG22" i="54" s="1"/>
  <c r="AG24" i="54"/>
  <c r="D28" i="54" s="1"/>
  <c r="AJ16" i="54"/>
  <c r="AD24" i="54"/>
  <c r="C28" i="54" s="1"/>
  <c r="AD34" i="54"/>
  <c r="C36" i="54" s="1"/>
  <c r="AE62" i="52"/>
  <c r="AF32" i="53"/>
  <c r="AN35" i="53"/>
  <c r="AF49" i="53"/>
  <c r="AF50" i="53"/>
  <c r="AP56" i="53"/>
  <c r="AL93" i="53"/>
  <c r="AC139" i="53"/>
  <c r="AC141" i="53"/>
  <c r="AF65" i="52"/>
  <c r="G65" i="52" s="1"/>
  <c r="AG32" i="52"/>
  <c r="N155" i="42"/>
  <c r="M60" i="42"/>
  <c r="K163" i="42"/>
  <c r="AE53" i="55"/>
  <c r="AG43" i="52"/>
  <c r="AE54" i="52"/>
  <c r="AG40" i="52"/>
  <c r="AG41" i="52"/>
  <c r="AG47" i="52"/>
  <c r="AN42" i="53"/>
  <c r="AA90" i="53"/>
  <c r="AF33" i="53"/>
  <c r="AH95" i="53"/>
  <c r="AH99" i="53"/>
  <c r="AG108" i="53"/>
  <c r="AH108" i="53" s="1"/>
  <c r="AD59" i="53"/>
  <c r="AL102" i="53"/>
  <c r="AE54" i="55"/>
  <c r="BS23" i="55"/>
  <c r="BE23" i="55"/>
  <c r="BF23" i="55"/>
  <c r="BG23" i="55"/>
  <c r="BH23" i="55"/>
  <c r="BI23" i="55"/>
  <c r="BJ23" i="55"/>
  <c r="BL23" i="55"/>
  <c r="BM23" i="55"/>
  <c r="BN23" i="55"/>
  <c r="BO23" i="55"/>
  <c r="BP23" i="55"/>
  <c r="BQ23" i="55"/>
  <c r="BR23" i="55"/>
  <c r="BD24" i="55"/>
  <c r="BK24" i="55" s="1"/>
  <c r="W49" i="55"/>
  <c r="AG49" i="55"/>
  <c r="AG41" i="55"/>
  <c r="AG42" i="52"/>
  <c r="AF53" i="52"/>
  <c r="AG53" i="52" s="1"/>
  <c r="AE56" i="52"/>
  <c r="AE58" i="52"/>
  <c r="AE52" i="52"/>
  <c r="AE53" i="52"/>
  <c r="AF54" i="52"/>
  <c r="AG54" i="52" s="1"/>
  <c r="AE57" i="52"/>
  <c r="AE59" i="52"/>
  <c r="AE63" i="52"/>
  <c r="AE61" i="52"/>
  <c r="BB55" i="52"/>
  <c r="AG27" i="52"/>
  <c r="AG36" i="52"/>
  <c r="F47" i="52"/>
  <c r="AE55" i="52"/>
  <c r="AE60" i="52"/>
  <c r="AE64" i="52"/>
  <c r="AE65" i="52"/>
  <c r="E47" i="55"/>
  <c r="E58" i="55"/>
  <c r="Y26" i="55"/>
  <c r="AL27" i="55"/>
  <c r="E40" i="55"/>
  <c r="AL48" i="55"/>
  <c r="E41" i="55"/>
  <c r="AL50" i="55"/>
  <c r="AG40" i="55"/>
  <c r="AC50" i="55"/>
  <c r="AB54" i="55"/>
  <c r="AB63" i="55"/>
  <c r="AB64" i="55" s="1"/>
  <c r="AF26" i="55"/>
  <c r="AG27" i="55"/>
  <c r="AF28" i="55"/>
  <c r="AG32" i="55"/>
  <c r="AF33" i="55"/>
  <c r="AF47" i="55"/>
  <c r="AE49" i="55"/>
  <c r="AD52" i="55"/>
  <c r="W53" i="55"/>
  <c r="I67" i="55"/>
  <c r="AA26" i="55"/>
  <c r="W28" i="55"/>
  <c r="AG53" i="55"/>
  <c r="C15" i="55"/>
  <c r="AD38" i="55"/>
  <c r="AB27" i="55"/>
  <c r="AA54" i="55"/>
  <c r="W26" i="55"/>
  <c r="W27" i="55"/>
  <c r="AF29" i="55"/>
  <c r="AE29" i="55"/>
  <c r="AD31" i="55"/>
  <c r="X32" i="55"/>
  <c r="AF36" i="55"/>
  <c r="AG45" i="55"/>
  <c r="AB47" i="55"/>
  <c r="AD48" i="55"/>
  <c r="AB49" i="55"/>
  <c r="AF49" i="55"/>
  <c r="AA49" i="55"/>
  <c r="AB53" i="55"/>
  <c r="W54" i="55"/>
  <c r="W74" i="55"/>
  <c r="W80" i="55" s="1"/>
  <c r="O80" i="55" s="1"/>
  <c r="AA44" i="55"/>
  <c r="W44" i="55"/>
  <c r="AL47" i="55"/>
  <c r="AG26" i="55"/>
  <c r="AG37" i="55"/>
  <c r="AE37" i="55"/>
  <c r="AB44" i="55"/>
  <c r="AL46" i="55"/>
  <c r="AA47" i="55"/>
  <c r="AG50" i="55"/>
  <c r="AD51" i="55"/>
  <c r="AK51" i="55"/>
  <c r="AG54" i="55"/>
  <c r="AF54" i="55"/>
  <c r="AD55" i="55"/>
  <c r="AL55" i="55"/>
  <c r="F55" i="55"/>
  <c r="AB73" i="55"/>
  <c r="AB74" i="55" s="1"/>
  <c r="AA73" i="55"/>
  <c r="AA74" i="55" s="1"/>
  <c r="B75" i="55" s="1"/>
  <c r="V79" i="55"/>
  <c r="V77" i="55"/>
  <c r="V75" i="55"/>
  <c r="M80" i="55"/>
  <c r="N80" i="55" s="1"/>
  <c r="V78" i="55"/>
  <c r="V76" i="55"/>
  <c r="X45" i="55"/>
  <c r="AC48" i="55"/>
  <c r="AB59" i="55"/>
  <c r="S66" i="55" s="1"/>
  <c r="AD26" i="55"/>
  <c r="X26" i="55"/>
  <c r="AC26" i="55"/>
  <c r="AA27" i="55"/>
  <c r="AF27" i="55"/>
  <c r="AE28" i="55"/>
  <c r="AA29" i="55"/>
  <c r="AG33" i="55"/>
  <c r="AB33" i="55"/>
  <c r="AD34" i="55"/>
  <c r="AG36" i="55"/>
  <c r="AB36" i="55"/>
  <c r="AB37" i="55"/>
  <c r="AD39" i="55"/>
  <c r="W40" i="55"/>
  <c r="AF40" i="55"/>
  <c r="W41" i="55"/>
  <c r="AE41" i="55"/>
  <c r="AD42" i="55"/>
  <c r="AG44" i="55"/>
  <c r="X44" i="55"/>
  <c r="AF44" i="55"/>
  <c r="W45" i="55"/>
  <c r="AE45" i="55"/>
  <c r="AD46" i="55"/>
  <c r="Y47" i="55"/>
  <c r="Y48" i="55"/>
  <c r="AD49" i="55"/>
  <c r="X49" i="55"/>
  <c r="AC49" i="55"/>
  <c r="AD50" i="55"/>
  <c r="Y50" i="55"/>
  <c r="W51" i="55"/>
  <c r="AB51" i="55"/>
  <c r="C56" i="55"/>
  <c r="W52" i="55"/>
  <c r="AB52" i="55"/>
  <c r="AG52" i="55"/>
  <c r="AA53" i="55"/>
  <c r="AF53" i="55"/>
  <c r="Y54" i="55"/>
  <c r="AK54" i="55"/>
  <c r="F54" i="55" s="1"/>
  <c r="W55" i="55"/>
  <c r="AB55" i="55"/>
  <c r="AG55" i="55"/>
  <c r="X56" i="55"/>
  <c r="AF56" i="55"/>
  <c r="AF45" i="55"/>
  <c r="X51" i="55"/>
  <c r="X55" i="55"/>
  <c r="Y56" i="55"/>
  <c r="AB26" i="55"/>
  <c r="AL26" i="55"/>
  <c r="Y27" i="55"/>
  <c r="AA28" i="55"/>
  <c r="Y29" i="55"/>
  <c r="AF32" i="55"/>
  <c r="AD35" i="55"/>
  <c r="AA37" i="55"/>
  <c r="AB40" i="55"/>
  <c r="AB41" i="55"/>
  <c r="AD43" i="55"/>
  <c r="AB45" i="55"/>
  <c r="AG47" i="55"/>
  <c r="X47" i="55"/>
  <c r="AE47" i="55"/>
  <c r="AL49" i="55"/>
  <c r="AA51" i="55"/>
  <c r="AG51" i="55"/>
  <c r="AA52" i="55"/>
  <c r="AF52" i="55"/>
  <c r="Y53" i="55"/>
  <c r="AK53" i="55"/>
  <c r="AL53" i="55" s="1"/>
  <c r="AD54" i="55"/>
  <c r="X54" i="55"/>
  <c r="AC54" i="55"/>
  <c r="AA55" i="55"/>
  <c r="AF55" i="55"/>
  <c r="AC56" i="55"/>
  <c r="X40" i="55"/>
  <c r="X41" i="55"/>
  <c r="AF41" i="55"/>
  <c r="AC51" i="55"/>
  <c r="X52" i="55"/>
  <c r="AC52" i="55"/>
  <c r="AC55" i="55"/>
  <c r="AD27" i="55"/>
  <c r="X27" i="55"/>
  <c r="AC27" i="55"/>
  <c r="Y28" i="55"/>
  <c r="AD30" i="55"/>
  <c r="AB32" i="55"/>
  <c r="X37" i="55"/>
  <c r="AF37" i="55"/>
  <c r="AA40" i="55"/>
  <c r="AA41" i="55"/>
  <c r="AA45" i="55"/>
  <c r="AG48" i="55"/>
  <c r="Y51" i="55"/>
  <c r="AE51" i="55"/>
  <c r="Y52" i="55"/>
  <c r="AE52" i="55"/>
  <c r="AK52" i="55"/>
  <c r="F52" i="55" s="1"/>
  <c r="AD53" i="55"/>
  <c r="X53" i="55"/>
  <c r="AC53" i="55"/>
  <c r="Y55" i="55"/>
  <c r="AE55" i="55"/>
  <c r="AB56" i="55"/>
  <c r="AE35" i="53"/>
  <c r="AF42" i="53"/>
  <c r="AT49" i="53"/>
  <c r="AD52" i="53"/>
  <c r="AF41" i="53"/>
  <c r="AL97" i="53"/>
  <c r="AB137" i="53"/>
  <c r="F25" i="9"/>
  <c r="X25" i="9"/>
  <c r="J72" i="9"/>
  <c r="K72" i="9" s="1"/>
  <c r="V70" i="9"/>
  <c r="J70" i="9" s="1"/>
  <c r="AA49" i="9"/>
  <c r="AG49" i="9"/>
  <c r="AD50" i="9"/>
  <c r="L58" i="9" s="1"/>
  <c r="L52" i="9" s="1"/>
  <c r="X27" i="9"/>
  <c r="C36" i="9"/>
  <c r="C11" i="9"/>
  <c r="AB49" i="9"/>
  <c r="AH49" i="9"/>
  <c r="P54" i="9" s="1"/>
  <c r="P56" i="9" s="1"/>
  <c r="D18" i="16"/>
  <c r="D19" i="16" s="1"/>
  <c r="D21" i="16" s="1"/>
  <c r="AG24" i="52"/>
  <c r="AG65" i="52"/>
  <c r="AG25" i="52"/>
  <c r="G25" i="52"/>
  <c r="AG31" i="52"/>
  <c r="G31" i="52"/>
  <c r="AG34" i="52"/>
  <c r="G34" i="52"/>
  <c r="G53" i="52"/>
  <c r="AL77" i="52"/>
  <c r="AL76" i="52"/>
  <c r="AL75" i="52"/>
  <c r="AL74" i="52"/>
  <c r="AL73" i="52"/>
  <c r="V78" i="52"/>
  <c r="W78" i="52" s="1"/>
  <c r="G22" i="52"/>
  <c r="AG22" i="52"/>
  <c r="G33" i="52"/>
  <c r="AG33" i="52"/>
  <c r="AG45" i="52"/>
  <c r="AR55" i="52"/>
  <c r="AV55" i="52"/>
  <c r="AN72" i="52"/>
  <c r="AN78" i="52" s="1"/>
  <c r="AG26" i="52"/>
  <c r="G26" i="52"/>
  <c r="G28" i="52"/>
  <c r="AG28" i="52"/>
  <c r="AG35" i="52"/>
  <c r="G35" i="52"/>
  <c r="AG39" i="52"/>
  <c r="AG44" i="52"/>
  <c r="AG46" i="52"/>
  <c r="G46" i="52"/>
  <c r="AG48" i="52"/>
  <c r="G48" i="52"/>
  <c r="G49" i="52"/>
  <c r="AG49" i="52"/>
  <c r="AU55" i="52"/>
  <c r="AO55" i="52"/>
  <c r="AT55" i="52"/>
  <c r="AX55" i="52"/>
  <c r="AF55" i="52"/>
  <c r="AF56" i="52"/>
  <c r="AF57" i="52"/>
  <c r="AN55" i="52"/>
  <c r="AS55" i="52"/>
  <c r="BA55" i="52"/>
  <c r="G27" i="52"/>
  <c r="G36" i="52"/>
  <c r="G40" i="52"/>
  <c r="G41" i="52"/>
  <c r="G42" i="52"/>
  <c r="AF52" i="52"/>
  <c r="AG52" i="52" s="1"/>
  <c r="AM55" i="52"/>
  <c r="AZ55" i="52"/>
  <c r="AF58" i="52"/>
  <c r="AF59" i="52"/>
  <c r="AF60" i="52"/>
  <c r="AF61" i="52"/>
  <c r="AF62" i="52"/>
  <c r="AF63" i="52"/>
  <c r="AF64" i="52"/>
  <c r="AL55" i="52"/>
  <c r="AP55" i="52"/>
  <c r="AY55" i="52"/>
  <c r="K58" i="46"/>
  <c r="L57" i="46"/>
  <c r="M57" i="46" s="1"/>
  <c r="F63" i="46"/>
  <c r="G63" i="46"/>
  <c r="M16" i="46"/>
  <c r="M13" i="46"/>
  <c r="M14" i="46" s="1"/>
  <c r="L56" i="46"/>
  <c r="M56" i="46" s="1"/>
  <c r="I63" i="46"/>
  <c r="I64" i="46" s="1"/>
  <c r="E12" i="46"/>
  <c r="AD55" i="53"/>
  <c r="AT61" i="53"/>
  <c r="AF62" i="53"/>
  <c r="AD64" i="53"/>
  <c r="AA88" i="53"/>
  <c r="AJ93" i="53"/>
  <c r="AK93" i="53" s="1"/>
  <c r="AJ97" i="53"/>
  <c r="AK97" i="53" s="1"/>
  <c r="AJ103" i="53"/>
  <c r="AK103" i="53" s="1"/>
  <c r="AI112" i="53"/>
  <c r="AM137" i="53"/>
  <c r="AF35" i="53"/>
  <c r="AD37" i="53"/>
  <c r="AF38" i="53"/>
  <c r="AB42" i="53"/>
  <c r="AB32" i="53"/>
  <c r="AP57" i="53"/>
  <c r="AH96" i="53"/>
  <c r="AL103" i="53"/>
  <c r="AN139" i="53"/>
  <c r="AC137" i="53"/>
  <c r="AP54" i="53"/>
  <c r="AE57" i="53"/>
  <c r="AF59" i="53"/>
  <c r="AA86" i="53"/>
  <c r="AH91" i="53"/>
  <c r="AA96" i="53"/>
  <c r="AJ96" i="53"/>
  <c r="AK96" i="53" s="1"/>
  <c r="AH100" i="53"/>
  <c r="AA112" i="53"/>
  <c r="AB133" i="53"/>
  <c r="AN34" i="53"/>
  <c r="AO34" i="53" s="1"/>
  <c r="AE36" i="53"/>
  <c r="AD44" i="53"/>
  <c r="AF45" i="53"/>
  <c r="AB45" i="53"/>
  <c r="AE46" i="53"/>
  <c r="AE48" i="53"/>
  <c r="AN49" i="53"/>
  <c r="AE51" i="53"/>
  <c r="AF52" i="53"/>
  <c r="AP53" i="53"/>
  <c r="AE54" i="53"/>
  <c r="AN55" i="53"/>
  <c r="AC57" i="53"/>
  <c r="AE61" i="53"/>
  <c r="AP61" i="53"/>
  <c r="AT62" i="53"/>
  <c r="AF63" i="53"/>
  <c r="AL89" i="53"/>
  <c r="AA92" i="53"/>
  <c r="AA94" i="53"/>
  <c r="AL94" i="53"/>
  <c r="AJ101" i="53"/>
  <c r="AK101" i="53" s="1"/>
  <c r="AL101" i="53"/>
  <c r="AG103" i="53"/>
  <c r="AH103" i="53" s="1"/>
  <c r="AJ107" i="53"/>
  <c r="AK107" i="53" s="1"/>
  <c r="AI111" i="53"/>
  <c r="AL115" i="53"/>
  <c r="AB139" i="53"/>
  <c r="AB140" i="53"/>
  <c r="AL146" i="53"/>
  <c r="AM146" i="53" s="1"/>
  <c r="AN144" i="53"/>
  <c r="AJ144" i="53"/>
  <c r="AD34" i="53"/>
  <c r="E35" i="53"/>
  <c r="AR35" i="53" s="1"/>
  <c r="AD35" i="53"/>
  <c r="AF39" i="53"/>
  <c r="AN40" i="53"/>
  <c r="AO40" i="53" s="1"/>
  <c r="AR42" i="53"/>
  <c r="AR48" i="53"/>
  <c r="AF51" i="53"/>
  <c r="AF54" i="53"/>
  <c r="AE56" i="53"/>
  <c r="AC56" i="53"/>
  <c r="AA57" i="53"/>
  <c r="AR58" i="53"/>
  <c r="AS58" i="53" s="1"/>
  <c r="AE60" i="53"/>
  <c r="AF61" i="53"/>
  <c r="AL61" i="53"/>
  <c r="AD62" i="53"/>
  <c r="AL90" i="53"/>
  <c r="AJ92" i="53"/>
  <c r="AK92" i="53" s="1"/>
  <c r="AJ95" i="53"/>
  <c r="AK95" i="53" s="1"/>
  <c r="AL98" i="53"/>
  <c r="AA140" i="53"/>
  <c r="AH146" i="53"/>
  <c r="AI146" i="53" s="1"/>
  <c r="AC148" i="53"/>
  <c r="AA153" i="53"/>
  <c r="AC155" i="53"/>
  <c r="AB156" i="53"/>
  <c r="AJ143" i="53"/>
  <c r="AN143" i="53"/>
  <c r="AH144" i="53"/>
  <c r="AI144" i="53" s="1"/>
  <c r="AR36" i="53"/>
  <c r="AC58" i="53"/>
  <c r="AJ99" i="53"/>
  <c r="AK99" i="53" s="1"/>
  <c r="AB155" i="53"/>
  <c r="AA156" i="53"/>
  <c r="AB159" i="53"/>
  <c r="AL143" i="53"/>
  <c r="AM143" i="53" s="1"/>
  <c r="AH143" i="53"/>
  <c r="AI143" i="53" s="1"/>
  <c r="AC32" i="53"/>
  <c r="AA32" i="53"/>
  <c r="AR34" i="53"/>
  <c r="AN36" i="53"/>
  <c r="AR44" i="53"/>
  <c r="AP49" i="53"/>
  <c r="AP51" i="53"/>
  <c r="AJ55" i="53"/>
  <c r="AK55" i="53" s="1"/>
  <c r="AA59" i="53"/>
  <c r="AE65" i="53"/>
  <c r="AA84" i="53"/>
  <c r="AH87" i="53"/>
  <c r="AA100" i="53"/>
  <c r="AJ100" i="53"/>
  <c r="AK100" i="53" s="1"/>
  <c r="AH104" i="53"/>
  <c r="AB107" i="53"/>
  <c r="AA111" i="53"/>
  <c r="AA155" i="53"/>
  <c r="AK53" i="53"/>
  <c r="AM73" i="52"/>
  <c r="AW55" i="52"/>
  <c r="AH68" i="52"/>
  <c r="C17" i="52" s="1"/>
  <c r="AK55" i="52"/>
  <c r="AQ56" i="52"/>
  <c r="P64" i="52" s="1"/>
  <c r="P58" i="52" s="1"/>
  <c r="AQ55" i="52"/>
  <c r="N64" i="52"/>
  <c r="F43" i="52"/>
  <c r="F139" i="53"/>
  <c r="AL138" i="53"/>
  <c r="AM138" i="53" s="1"/>
  <c r="F141" i="53"/>
  <c r="F142" i="53"/>
  <c r="AN142" i="53"/>
  <c r="F140" i="53"/>
  <c r="AN140" i="53"/>
  <c r="F145" i="53"/>
  <c r="AN145" i="53"/>
  <c r="AL145" i="53"/>
  <c r="AM145" i="53" s="1"/>
  <c r="F138" i="53"/>
  <c r="AN138" i="53"/>
  <c r="AL140" i="53"/>
  <c r="AM140" i="53" s="1"/>
  <c r="AT50" i="53"/>
  <c r="AE58" i="53"/>
  <c r="AT59" i="53"/>
  <c r="AT60" i="53"/>
  <c r="AE33" i="53"/>
  <c r="AT33" i="53"/>
  <c r="AN33" i="53"/>
  <c r="AO33" i="53" s="1"/>
  <c r="AJ34" i="53"/>
  <c r="AK34" i="53" s="1"/>
  <c r="AA35" i="53"/>
  <c r="AJ36" i="53"/>
  <c r="AK36" i="53" s="1"/>
  <c r="AN38" i="53"/>
  <c r="AB39" i="53"/>
  <c r="AB40" i="53"/>
  <c r="AJ42" i="53"/>
  <c r="AK42" i="53" s="1"/>
  <c r="AR43" i="53"/>
  <c r="AM43" i="53"/>
  <c r="AB44" i="53"/>
  <c r="AN46" i="53"/>
  <c r="AR47" i="53"/>
  <c r="AM47" i="53"/>
  <c r="AN48" i="53"/>
  <c r="AE49" i="53"/>
  <c r="AL49" i="53"/>
  <c r="AD50" i="53"/>
  <c r="E51" i="53"/>
  <c r="AR51" i="53" s="1"/>
  <c r="AM51" i="53"/>
  <c r="AE52" i="53"/>
  <c r="AM52" i="53"/>
  <c r="AN53" i="53"/>
  <c r="AT53" i="53"/>
  <c r="AN54" i="53"/>
  <c r="AT54" i="53"/>
  <c r="AE55" i="53"/>
  <c r="AL56" i="53"/>
  <c r="AT56" i="53"/>
  <c r="AL57" i="53"/>
  <c r="AT57" i="53"/>
  <c r="AB59" i="53"/>
  <c r="AR59" i="53"/>
  <c r="AS59" i="53" s="1"/>
  <c r="AP59" i="53"/>
  <c r="AR60" i="53"/>
  <c r="AS60" i="53" s="1"/>
  <c r="AA61" i="53"/>
  <c r="AA62" i="53"/>
  <c r="AR62" i="53"/>
  <c r="AS62" i="53" s="1"/>
  <c r="AE63" i="53"/>
  <c r="E66" i="53"/>
  <c r="AL84" i="53"/>
  <c r="AJ87" i="53"/>
  <c r="AK87" i="53" s="1"/>
  <c r="AJ91" i="53"/>
  <c r="AK91" i="53" s="1"/>
  <c r="AL99" i="53"/>
  <c r="AH105" i="53"/>
  <c r="AH107" i="53"/>
  <c r="AI110" i="53"/>
  <c r="AI115" i="53"/>
  <c r="AB131" i="53"/>
  <c r="AA134" i="53"/>
  <c r="AB135" i="53"/>
  <c r="AA136" i="53"/>
  <c r="AL139" i="53"/>
  <c r="AM139" i="53" s="1"/>
  <c r="AB138" i="53"/>
  <c r="AL141" i="53"/>
  <c r="AM141" i="53" s="1"/>
  <c r="AC140" i="53"/>
  <c r="AN146" i="53"/>
  <c r="F147" i="53"/>
  <c r="F148" i="53"/>
  <c r="AB146" i="53"/>
  <c r="AA147" i="53"/>
  <c r="AN150" i="53"/>
  <c r="AC158" i="53"/>
  <c r="AR33" i="53"/>
  <c r="AR38" i="53"/>
  <c r="AF43" i="53"/>
  <c r="AR46" i="53"/>
  <c r="AC49" i="53"/>
  <c r="AC50" i="53"/>
  <c r="AP50" i="53"/>
  <c r="AR54" i="53"/>
  <c r="AR61" i="53"/>
  <c r="AS61" i="53" s="1"/>
  <c r="AL107" i="53"/>
  <c r="AA131" i="53"/>
  <c r="AC132" i="53"/>
  <c r="AA135" i="53"/>
  <c r="AA138" i="53"/>
  <c r="AL144" i="53"/>
  <c r="AM144" i="53" s="1"/>
  <c r="AA146" i="53"/>
  <c r="AL149" i="53"/>
  <c r="AM149" i="53" s="1"/>
  <c r="AL150" i="53"/>
  <c r="AM150" i="53" s="1"/>
  <c r="AN151" i="53"/>
  <c r="AL151" i="53"/>
  <c r="AM151" i="53" s="1"/>
  <c r="AC151" i="53"/>
  <c r="AC157" i="53"/>
  <c r="AB158" i="53"/>
  <c r="AA159" i="53"/>
  <c r="AT34" i="53"/>
  <c r="AP35" i="53"/>
  <c r="AR39" i="53"/>
  <c r="AR40" i="53"/>
  <c r="AF44" i="53"/>
  <c r="AJ44" i="53"/>
  <c r="AK44" i="53" s="1"/>
  <c r="AC45" i="53"/>
  <c r="AT45" i="53"/>
  <c r="AD46" i="53"/>
  <c r="AD48" i="53"/>
  <c r="AJ48" i="53"/>
  <c r="AK48" i="53" s="1"/>
  <c r="AA49" i="53"/>
  <c r="AA50" i="53"/>
  <c r="AC51" i="53"/>
  <c r="AC52" i="53"/>
  <c r="AT52" i="53"/>
  <c r="AE53" i="53"/>
  <c r="AL53" i="53"/>
  <c r="AP58" i="53"/>
  <c r="AE59" i="53"/>
  <c r="AC60" i="53"/>
  <c r="AC63" i="53"/>
  <c r="AO64" i="53"/>
  <c r="AD65" i="53"/>
  <c r="AG89" i="53"/>
  <c r="AH89" i="53" s="1"/>
  <c r="AB91" i="53"/>
  <c r="AG93" i="53"/>
  <c r="AH93" i="53" s="1"/>
  <c r="AA98" i="53"/>
  <c r="AA102" i="53"/>
  <c r="AA104" i="53"/>
  <c r="AJ104" i="53"/>
  <c r="AK104" i="53" s="1"/>
  <c r="AL105" i="53"/>
  <c r="AA113" i="53"/>
  <c r="AA119" i="53"/>
  <c r="AC136" i="53"/>
  <c r="AA152" i="53"/>
  <c r="AC156" i="53"/>
  <c r="AB157" i="53"/>
  <c r="AA158" i="53"/>
  <c r="AD32" i="53"/>
  <c r="AE32" i="53"/>
  <c r="AC34" i="53"/>
  <c r="AC35" i="53"/>
  <c r="AC36" i="53"/>
  <c r="AJ39" i="53"/>
  <c r="AK39" i="53" s="1"/>
  <c r="AR41" i="53"/>
  <c r="AM41" i="53"/>
  <c r="AM42" i="53"/>
  <c r="AR45" i="53"/>
  <c r="AM45" i="53"/>
  <c r="AM49" i="53"/>
  <c r="AR49" i="53"/>
  <c r="AE50" i="53"/>
  <c r="AL50" i="53"/>
  <c r="AA51" i="53"/>
  <c r="AN51" i="53"/>
  <c r="AO51" i="53" s="1"/>
  <c r="AA52" i="53"/>
  <c r="AD53" i="53"/>
  <c r="AC54" i="53"/>
  <c r="AK54" i="53"/>
  <c r="AP55" i="53"/>
  <c r="AM55" i="53"/>
  <c r="AT55" i="53"/>
  <c r="AD56" i="53"/>
  <c r="AM56" i="53"/>
  <c r="AD57" i="53"/>
  <c r="AD58" i="53"/>
  <c r="AT58" i="53"/>
  <c r="AC59" i="53"/>
  <c r="AA60" i="53"/>
  <c r="AC61" i="53"/>
  <c r="AJ61" i="53"/>
  <c r="AK61" i="53" s="1"/>
  <c r="AC62" i="53"/>
  <c r="AP62" i="53"/>
  <c r="AA63" i="53"/>
  <c r="AE64" i="53"/>
  <c r="AA85" i="53"/>
  <c r="AL87" i="53"/>
  <c r="AH88" i="53"/>
  <c r="AL91" i="53"/>
  <c r="AH92" i="53"/>
  <c r="AG97" i="53"/>
  <c r="AH97" i="53" s="1"/>
  <c r="AB99" i="53"/>
  <c r="AG101" i="53"/>
  <c r="AH101" i="53" s="1"/>
  <c r="AI103" i="53"/>
  <c r="AJ105" i="53"/>
  <c r="AK105" i="53" s="1"/>
  <c r="AA106" i="53"/>
  <c r="AL106" i="53"/>
  <c r="AI107" i="53"/>
  <c r="AI108" i="53"/>
  <c r="AA109" i="53"/>
  <c r="AL114" i="53"/>
  <c r="AA117" i="53"/>
  <c r="AA133" i="53"/>
  <c r="AB134" i="53"/>
  <c r="AC135" i="53"/>
  <c r="AB136" i="53"/>
  <c r="AA137" i="53"/>
  <c r="AC138" i="53"/>
  <c r="AA139" i="53"/>
  <c r="AL142" i="53"/>
  <c r="AM142" i="53" s="1"/>
  <c r="AB147" i="53"/>
  <c r="AA157" i="53"/>
  <c r="AL34" i="55"/>
  <c r="F34" i="55"/>
  <c r="F37" i="55"/>
  <c r="AL37" i="55"/>
  <c r="AL39" i="55"/>
  <c r="F39" i="55"/>
  <c r="AL42" i="55"/>
  <c r="F42" i="55"/>
  <c r="O60" i="55"/>
  <c r="AL56" i="55"/>
  <c r="AL25" i="55"/>
  <c r="F33" i="55"/>
  <c r="AL33" i="55"/>
  <c r="AL35" i="55"/>
  <c r="F35" i="55"/>
  <c r="F36" i="55"/>
  <c r="AL36" i="55"/>
  <c r="AL41" i="55"/>
  <c r="AL43" i="55"/>
  <c r="F43" i="55"/>
  <c r="F45" i="55"/>
  <c r="AL45" i="55"/>
  <c r="AL30" i="55"/>
  <c r="F30" i="55"/>
  <c r="AL40" i="55"/>
  <c r="F44" i="55"/>
  <c r="AL44" i="55"/>
  <c r="AL31" i="55"/>
  <c r="F31" i="55"/>
  <c r="F32" i="55"/>
  <c r="AL32" i="55"/>
  <c r="AL38" i="55"/>
  <c r="F38" i="55"/>
  <c r="AE38" i="53"/>
  <c r="AC38" i="53"/>
  <c r="AT38" i="53"/>
  <c r="AP38" i="53"/>
  <c r="AL38" i="53"/>
  <c r="AT39" i="53"/>
  <c r="AP39" i="53"/>
  <c r="AL39" i="53"/>
  <c r="AT42" i="53"/>
  <c r="AP42" i="53"/>
  <c r="AL42" i="53"/>
  <c r="AT43" i="53"/>
  <c r="AP43" i="53"/>
  <c r="AL43" i="53"/>
  <c r="AT44" i="53"/>
  <c r="AP44" i="53"/>
  <c r="AL44" i="53"/>
  <c r="AC47" i="53"/>
  <c r="AD47" i="53"/>
  <c r="AE47" i="53"/>
  <c r="AA47" i="53"/>
  <c r="AJ94" i="53"/>
  <c r="AK94" i="53" s="1"/>
  <c r="AG94" i="53"/>
  <c r="AH94" i="53" s="1"/>
  <c r="AL96" i="53"/>
  <c r="AI96" i="53"/>
  <c r="AI109" i="53"/>
  <c r="C116" i="53"/>
  <c r="E116" i="53" s="1"/>
  <c r="AG112" i="53"/>
  <c r="AH112" i="53" s="1"/>
  <c r="AJ114" i="53"/>
  <c r="AK114" i="53" s="1"/>
  <c r="AG114" i="53"/>
  <c r="AH114" i="53" s="1"/>
  <c r="AA144" i="53"/>
  <c r="AB144" i="53"/>
  <c r="AC144" i="53"/>
  <c r="AA150" i="53"/>
  <c r="AB150" i="53"/>
  <c r="AC150" i="53"/>
  <c r="F26" i="55"/>
  <c r="F27" i="55"/>
  <c r="V28" i="55"/>
  <c r="Z28" i="55"/>
  <c r="AD28" i="55"/>
  <c r="AL28" i="55"/>
  <c r="V29" i="55"/>
  <c r="Z29" i="55"/>
  <c r="AD29" i="55"/>
  <c r="AL29" i="55"/>
  <c r="Y30" i="55"/>
  <c r="AC30" i="55"/>
  <c r="AG30" i="55"/>
  <c r="Y31" i="55"/>
  <c r="AC31" i="55"/>
  <c r="AG31" i="55"/>
  <c r="W32" i="55"/>
  <c r="AA32" i="55"/>
  <c r="AE32" i="55"/>
  <c r="W33" i="55"/>
  <c r="AA33" i="55"/>
  <c r="AE33" i="55"/>
  <c r="Y34" i="55"/>
  <c r="AC34" i="55"/>
  <c r="AG34" i="55"/>
  <c r="Y35" i="55"/>
  <c r="AC35" i="55"/>
  <c r="AG35" i="55"/>
  <c r="W36" i="55"/>
  <c r="AA36" i="55"/>
  <c r="AE36" i="55"/>
  <c r="Y38" i="55"/>
  <c r="AC38" i="55"/>
  <c r="AG38" i="55"/>
  <c r="Y39" i="55"/>
  <c r="AC39" i="55"/>
  <c r="AG39" i="55"/>
  <c r="AE40" i="55"/>
  <c r="Y42" i="55"/>
  <c r="AC42" i="55"/>
  <c r="AG42" i="55"/>
  <c r="Y43" i="55"/>
  <c r="AC43" i="55"/>
  <c r="AG43" i="55"/>
  <c r="Y46" i="55"/>
  <c r="AC46" i="55"/>
  <c r="AG46" i="55"/>
  <c r="V56" i="55"/>
  <c r="Z56" i="55"/>
  <c r="AD56" i="55"/>
  <c r="AD33" i="53"/>
  <c r="AB34" i="53"/>
  <c r="AF34" i="53"/>
  <c r="AB36" i="53"/>
  <c r="AF37" i="53"/>
  <c r="AP37" i="53"/>
  <c r="AB38" i="53"/>
  <c r="AF47" i="53"/>
  <c r="AP48" i="53"/>
  <c r="AK49" i="53"/>
  <c r="AJ137" i="53"/>
  <c r="AE40" i="53"/>
  <c r="AA40" i="53"/>
  <c r="AC40" i="53"/>
  <c r="AC41" i="53"/>
  <c r="AE41" i="53"/>
  <c r="AA41" i="53"/>
  <c r="AC44" i="53"/>
  <c r="AE44" i="53"/>
  <c r="AA44" i="53"/>
  <c r="AT46" i="53"/>
  <c r="AP46" i="53"/>
  <c r="AL46" i="53"/>
  <c r="AR50" i="53"/>
  <c r="AN50" i="53"/>
  <c r="AJ50" i="53"/>
  <c r="AK50" i="53" s="1"/>
  <c r="AR56" i="53"/>
  <c r="AN56" i="53"/>
  <c r="AJ56" i="53"/>
  <c r="AK56" i="53" s="1"/>
  <c r="AR57" i="53"/>
  <c r="AS57" i="53" s="1"/>
  <c r="AN57" i="53"/>
  <c r="AO57" i="53" s="1"/>
  <c r="AJ57" i="53"/>
  <c r="AK57" i="53" s="1"/>
  <c r="C63" i="53"/>
  <c r="AN58" i="53"/>
  <c r="AO58" i="53" s="1"/>
  <c r="D63" i="53"/>
  <c r="AJ58" i="53"/>
  <c r="AK58" i="53" s="1"/>
  <c r="E63" i="53"/>
  <c r="AJ90" i="53"/>
  <c r="AK90" i="53" s="1"/>
  <c r="AG90" i="53"/>
  <c r="AH90" i="53" s="1"/>
  <c r="AL92" i="53"/>
  <c r="AI92" i="53"/>
  <c r="AJ106" i="53"/>
  <c r="AK106" i="53" s="1"/>
  <c r="AG106" i="53"/>
  <c r="AH106" i="53" s="1"/>
  <c r="AJ113" i="53"/>
  <c r="AK113" i="53" s="1"/>
  <c r="AG113" i="53"/>
  <c r="AH113" i="53" s="1"/>
  <c r="AL136" i="53"/>
  <c r="AM136" i="53" s="1"/>
  <c r="AH136" i="53"/>
  <c r="AI136" i="53" s="1"/>
  <c r="AA143" i="53"/>
  <c r="AB143" i="53"/>
  <c r="AC143" i="53"/>
  <c r="AC28" i="55"/>
  <c r="AG28" i="55"/>
  <c r="AC29" i="55"/>
  <c r="AG29" i="55"/>
  <c r="X30" i="55"/>
  <c r="AB30" i="55"/>
  <c r="AF30" i="55"/>
  <c r="X31" i="55"/>
  <c r="AB31" i="55"/>
  <c r="AF31" i="55"/>
  <c r="V32" i="55"/>
  <c r="Z32" i="55"/>
  <c r="AD32" i="55"/>
  <c r="V33" i="55"/>
  <c r="Z33" i="55"/>
  <c r="AD33" i="55"/>
  <c r="X34" i="55"/>
  <c r="AB34" i="55"/>
  <c r="AF34" i="55"/>
  <c r="X35" i="55"/>
  <c r="AB35" i="55"/>
  <c r="AF35" i="55"/>
  <c r="V36" i="55"/>
  <c r="Z36" i="55"/>
  <c r="AD36" i="55"/>
  <c r="V37" i="55"/>
  <c r="Z37" i="55"/>
  <c r="AD37" i="55"/>
  <c r="X38" i="55"/>
  <c r="AB38" i="55"/>
  <c r="AF38" i="55"/>
  <c r="X39" i="55"/>
  <c r="AB39" i="55"/>
  <c r="AF39" i="55"/>
  <c r="V40" i="55"/>
  <c r="Z40" i="55"/>
  <c r="AD40" i="55"/>
  <c r="V41" i="55"/>
  <c r="Z41" i="55"/>
  <c r="AD41" i="55"/>
  <c r="X42" i="55"/>
  <c r="AB42" i="55"/>
  <c r="AF42" i="55"/>
  <c r="X43" i="55"/>
  <c r="AB43" i="55"/>
  <c r="AF43" i="55"/>
  <c r="V44" i="55"/>
  <c r="Z44" i="55"/>
  <c r="AD44" i="55"/>
  <c r="V45" i="55"/>
  <c r="Z45" i="55"/>
  <c r="AD45" i="55"/>
  <c r="F46" i="55"/>
  <c r="X46" i="55"/>
  <c r="AB46" i="55"/>
  <c r="AF46" i="55"/>
  <c r="V47" i="55"/>
  <c r="Z47" i="55"/>
  <c r="AD47" i="55"/>
  <c r="F48" i="55"/>
  <c r="X48" i="55"/>
  <c r="AB48" i="55"/>
  <c r="AF48" i="55"/>
  <c r="V49" i="55"/>
  <c r="Z49" i="55"/>
  <c r="F50" i="55"/>
  <c r="X50" i="55"/>
  <c r="AB50" i="55"/>
  <c r="AF50" i="55"/>
  <c r="AF51" i="55"/>
  <c r="AG56" i="55"/>
  <c r="AL32" i="53"/>
  <c r="AP32" i="53"/>
  <c r="AC33" i="53"/>
  <c r="AL33" i="53"/>
  <c r="AP33" i="53"/>
  <c r="AA34" i="53"/>
  <c r="AE34" i="53"/>
  <c r="AB35" i="53"/>
  <c r="AJ35" i="53"/>
  <c r="AK35" i="53" s="1"/>
  <c r="AA36" i="53"/>
  <c r="AF36" i="53"/>
  <c r="AT37" i="53"/>
  <c r="AA38" i="53"/>
  <c r="AD40" i="53"/>
  <c r="AD41" i="53"/>
  <c r="AB47" i="53"/>
  <c r="AT48" i="53"/>
  <c r="AK51" i="53"/>
  <c r="AB95" i="53"/>
  <c r="AB108" i="53"/>
  <c r="AB116" i="53"/>
  <c r="E152" i="53"/>
  <c r="F152" i="53" s="1"/>
  <c r="AE37" i="53"/>
  <c r="AA37" i="53"/>
  <c r="AT40" i="53"/>
  <c r="AP40" i="53"/>
  <c r="AL40" i="53"/>
  <c r="AT41" i="53"/>
  <c r="AP41" i="53"/>
  <c r="AL41" i="53"/>
  <c r="AR52" i="53"/>
  <c r="AN52" i="53"/>
  <c r="AJ52" i="53"/>
  <c r="AK52" i="53" s="1"/>
  <c r="AG86" i="53"/>
  <c r="AH86" i="53" s="1"/>
  <c r="AL88" i="53"/>
  <c r="AI88" i="53"/>
  <c r="AJ102" i="53"/>
  <c r="AK102" i="53" s="1"/>
  <c r="AG102" i="53"/>
  <c r="AH102" i="53" s="1"/>
  <c r="AL104" i="53"/>
  <c r="AI104" i="53"/>
  <c r="AL135" i="53"/>
  <c r="AH135" i="53"/>
  <c r="AN136" i="53"/>
  <c r="F136" i="53"/>
  <c r="AA142" i="53"/>
  <c r="AB142" i="53"/>
  <c r="AC142" i="53"/>
  <c r="AL148" i="53"/>
  <c r="AM148" i="53" s="1"/>
  <c r="AH148" i="53"/>
  <c r="AI148" i="53" s="1"/>
  <c r="AA149" i="53"/>
  <c r="AB149" i="53"/>
  <c r="AC149" i="53"/>
  <c r="AA154" i="53"/>
  <c r="AB154" i="53"/>
  <c r="AC154" i="53"/>
  <c r="V26" i="55"/>
  <c r="Z26" i="55"/>
  <c r="V27" i="55"/>
  <c r="Z27" i="55"/>
  <c r="X28" i="55"/>
  <c r="AB28" i="55"/>
  <c r="X29" i="55"/>
  <c r="AB29" i="55"/>
  <c r="W30" i="55"/>
  <c r="AA30" i="55"/>
  <c r="AE30" i="55"/>
  <c r="W31" i="55"/>
  <c r="AA31" i="55"/>
  <c r="AE31" i="55"/>
  <c r="Y32" i="55"/>
  <c r="AC32" i="55"/>
  <c r="Y33" i="55"/>
  <c r="AC33" i="55"/>
  <c r="W34" i="55"/>
  <c r="AA34" i="55"/>
  <c r="AE34" i="55"/>
  <c r="W35" i="55"/>
  <c r="AA35" i="55"/>
  <c r="AE35" i="55"/>
  <c r="Y36" i="55"/>
  <c r="AC36" i="55"/>
  <c r="Y37" i="55"/>
  <c r="AC37" i="55"/>
  <c r="W38" i="55"/>
  <c r="AA38" i="55"/>
  <c r="AE38" i="55"/>
  <c r="W39" i="55"/>
  <c r="AA39" i="55"/>
  <c r="AE39" i="55"/>
  <c r="Y40" i="55"/>
  <c r="AC40" i="55"/>
  <c r="Y41" i="55"/>
  <c r="AC41" i="55"/>
  <c r="W42" i="55"/>
  <c r="AA42" i="55"/>
  <c r="AE42" i="55"/>
  <c r="W43" i="55"/>
  <c r="AA43" i="55"/>
  <c r="AE43" i="55"/>
  <c r="Y44" i="55"/>
  <c r="AC44" i="55"/>
  <c r="Y45" i="55"/>
  <c r="AC45" i="55"/>
  <c r="W46" i="55"/>
  <c r="AA46" i="55"/>
  <c r="AE46" i="55"/>
  <c r="AC47" i="55"/>
  <c r="W48" i="55"/>
  <c r="AA48" i="55"/>
  <c r="AE48" i="55"/>
  <c r="AA50" i="55"/>
  <c r="AE50" i="55"/>
  <c r="AL34" i="53"/>
  <c r="AP34" i="53"/>
  <c r="AC37" i="53"/>
  <c r="AT36" i="53"/>
  <c r="AP36" i="53"/>
  <c r="AL36" i="53"/>
  <c r="AR37" i="53"/>
  <c r="AN37" i="53"/>
  <c r="AC39" i="53"/>
  <c r="AE39" i="53"/>
  <c r="AA39" i="53"/>
  <c r="AE42" i="53"/>
  <c r="AA42" i="53"/>
  <c r="AC42" i="53"/>
  <c r="AC43" i="53"/>
  <c r="AE43" i="53"/>
  <c r="AA43" i="53"/>
  <c r="AJ84" i="53"/>
  <c r="AG84" i="53"/>
  <c r="AJ98" i="53"/>
  <c r="AK98" i="53" s="1"/>
  <c r="AG98" i="53"/>
  <c r="AH98" i="53" s="1"/>
  <c r="AI100" i="53"/>
  <c r="AG111" i="53"/>
  <c r="AH111" i="53" s="1"/>
  <c r="AJ115" i="53"/>
  <c r="AK115" i="53" s="1"/>
  <c r="AG115" i="53"/>
  <c r="AH115" i="53" s="1"/>
  <c r="AN135" i="53"/>
  <c r="F135" i="53"/>
  <c r="AA145" i="53"/>
  <c r="AB145" i="53"/>
  <c r="AC145" i="53"/>
  <c r="AN149" i="53"/>
  <c r="V30" i="55"/>
  <c r="Z30" i="55"/>
  <c r="V31" i="55"/>
  <c r="Z31" i="55"/>
  <c r="V34" i="55"/>
  <c r="Z34" i="55"/>
  <c r="V35" i="55"/>
  <c r="Z35" i="55"/>
  <c r="V38" i="55"/>
  <c r="Z38" i="55"/>
  <c r="V39" i="55"/>
  <c r="Z39" i="55"/>
  <c r="V42" i="55"/>
  <c r="Z42" i="55"/>
  <c r="V43" i="55"/>
  <c r="Z43" i="55"/>
  <c r="V46" i="55"/>
  <c r="Z46" i="55"/>
  <c r="V48" i="55"/>
  <c r="Z48" i="55"/>
  <c r="V50" i="55"/>
  <c r="Z50" i="55"/>
  <c r="V51" i="55"/>
  <c r="Z51" i="55"/>
  <c r="V52" i="55"/>
  <c r="Z52" i="55"/>
  <c r="V53" i="55"/>
  <c r="Z53" i="55"/>
  <c r="V54" i="55"/>
  <c r="Z54" i="55"/>
  <c r="V55" i="55"/>
  <c r="Z55" i="55"/>
  <c r="W56" i="55"/>
  <c r="AA56" i="55"/>
  <c r="AJ32" i="53"/>
  <c r="AN32" i="53"/>
  <c r="AA33" i="53"/>
  <c r="AK33" i="53"/>
  <c r="AD36" i="53"/>
  <c r="AB37" i="53"/>
  <c r="AD38" i="53"/>
  <c r="AD39" i="53"/>
  <c r="AD42" i="53"/>
  <c r="AD43" i="53"/>
  <c r="AB87" i="53"/>
  <c r="AB103" i="53"/>
  <c r="AD144" i="53"/>
  <c r="AD150" i="53"/>
  <c r="AK37" i="53"/>
  <c r="AN39" i="53"/>
  <c r="AK41" i="53"/>
  <c r="AN41" i="53"/>
  <c r="AK43" i="53"/>
  <c r="AN43" i="53"/>
  <c r="AN44" i="53"/>
  <c r="AO44" i="53" s="1"/>
  <c r="AA45" i="53"/>
  <c r="AE45" i="53"/>
  <c r="AK45" i="53"/>
  <c r="AN45" i="53"/>
  <c r="AC46" i="53"/>
  <c r="AK47" i="53"/>
  <c r="AN47" i="53"/>
  <c r="AC48" i="53"/>
  <c r="AD49" i="53"/>
  <c r="AB50" i="53"/>
  <c r="AD51" i="53"/>
  <c r="AB52" i="53"/>
  <c r="AC53" i="53"/>
  <c r="AD54" i="53"/>
  <c r="AC55" i="53"/>
  <c r="AB56" i="53"/>
  <c r="AF56" i="53"/>
  <c r="AB57" i="53"/>
  <c r="AF57" i="53"/>
  <c r="AB58" i="53"/>
  <c r="AF58" i="53"/>
  <c r="AN59" i="53"/>
  <c r="AO59" i="53" s="1"/>
  <c r="AD60" i="53"/>
  <c r="AN60" i="53"/>
  <c r="AO60" i="53" s="1"/>
  <c r="AD61" i="53"/>
  <c r="AN61" i="53"/>
  <c r="AO61" i="53" s="1"/>
  <c r="AN62" i="53"/>
  <c r="AO62" i="53" s="1"/>
  <c r="AC64" i="53"/>
  <c r="AC65" i="53"/>
  <c r="AB114" i="53"/>
  <c r="AB115" i="53"/>
  <c r="AB118" i="53"/>
  <c r="AD131" i="53"/>
  <c r="AB132" i="53"/>
  <c r="AD133" i="53"/>
  <c r="AD134" i="53"/>
  <c r="AB141" i="53"/>
  <c r="AH147" i="53"/>
  <c r="AI147" i="53" s="1"/>
  <c r="AL147" i="53"/>
  <c r="AM147" i="53" s="1"/>
  <c r="AD146" i="53"/>
  <c r="AB148" i="53"/>
  <c r="C152" i="53"/>
  <c r="D152" i="53" s="1"/>
  <c r="AB151" i="53"/>
  <c r="AD152" i="53"/>
  <c r="AD153" i="53"/>
  <c r="AD45" i="53"/>
  <c r="AB46" i="53"/>
  <c r="AF46" i="53"/>
  <c r="AB48" i="53"/>
  <c r="AF48" i="53"/>
  <c r="AB53" i="53"/>
  <c r="AF53" i="53"/>
  <c r="AB55" i="53"/>
  <c r="AF55" i="53"/>
  <c r="AB64" i="53"/>
  <c r="AF64" i="53"/>
  <c r="AB65" i="53"/>
  <c r="AF65" i="53"/>
  <c r="AB89" i="53"/>
  <c r="AB93" i="53"/>
  <c r="AB97" i="53"/>
  <c r="AB101" i="53"/>
  <c r="AB105" i="53"/>
  <c r="AB110" i="53"/>
  <c r="AA132" i="53"/>
  <c r="AH137" i="53"/>
  <c r="AI137" i="53" s="1"/>
  <c r="AH138" i="53"/>
  <c r="AI138" i="53" s="1"/>
  <c r="AH139" i="53"/>
  <c r="AI139" i="53" s="1"/>
  <c r="AH140" i="53"/>
  <c r="AI140" i="53" s="1"/>
  <c r="AH141" i="53"/>
  <c r="AI141" i="53" s="1"/>
  <c r="AH142" i="53"/>
  <c r="AI142" i="53" s="1"/>
  <c r="AA141" i="53"/>
  <c r="AA148" i="53"/>
  <c r="AA151" i="53"/>
  <c r="AC152" i="53"/>
  <c r="AC153" i="53"/>
  <c r="AD159" i="53"/>
  <c r="AK38" i="53"/>
  <c r="AK40" i="53"/>
  <c r="AL45" i="53"/>
  <c r="AP45" i="53"/>
  <c r="AA46" i="53"/>
  <c r="AK46" i="53"/>
  <c r="AL47" i="53"/>
  <c r="AA48" i="53"/>
  <c r="AB49" i="53"/>
  <c r="AB51" i="53"/>
  <c r="AL52" i="53"/>
  <c r="AP52" i="53"/>
  <c r="AA53" i="53"/>
  <c r="AB54" i="53"/>
  <c r="AA55" i="53"/>
  <c r="AB60" i="53"/>
  <c r="AB61" i="53"/>
  <c r="AB62" i="53"/>
  <c r="AB63" i="53"/>
  <c r="AA64" i="53"/>
  <c r="AA65" i="53"/>
  <c r="N157" i="42"/>
  <c r="J147" i="42"/>
  <c r="J60" i="42"/>
  <c r="H215" i="42"/>
  <c r="D86" i="42" s="1"/>
  <c r="X70" i="9"/>
  <c r="W45" i="9"/>
  <c r="AE49" i="9"/>
  <c r="W44" i="9"/>
  <c r="I52" i="9"/>
  <c r="X22" i="9"/>
  <c r="F22" i="9"/>
  <c r="X24" i="9"/>
  <c r="F24" i="9"/>
  <c r="X33" i="9"/>
  <c r="F33" i="9"/>
  <c r="W71" i="9"/>
  <c r="D36" i="9"/>
  <c r="AF49" i="9"/>
  <c r="X23" i="9"/>
  <c r="F23" i="9"/>
  <c r="X26" i="9"/>
  <c r="F26" i="9"/>
  <c r="X31" i="9"/>
  <c r="F31" i="9"/>
  <c r="X35" i="9"/>
  <c r="F35" i="9"/>
  <c r="Y37" i="9"/>
  <c r="X19" i="9"/>
  <c r="F20" i="9"/>
  <c r="F21" i="9"/>
  <c r="AD22" i="9"/>
  <c r="AD49" i="9" s="1"/>
  <c r="X30" i="9"/>
  <c r="F32" i="9"/>
  <c r="F34" i="9"/>
  <c r="L57" i="9"/>
  <c r="O59" i="9"/>
  <c r="V71" i="9"/>
  <c r="W39" i="9"/>
  <c r="F19" i="9" s="1"/>
  <c r="AG23" i="52"/>
  <c r="H213" i="42"/>
  <c r="E83" i="42" s="1"/>
  <c r="H214" i="42"/>
  <c r="J83" i="42" s="1"/>
  <c r="C108" i="42"/>
  <c r="C107" i="42"/>
  <c r="H216" i="42"/>
  <c r="I217" i="42" s="1"/>
  <c r="I216" i="42" s="1"/>
  <c r="K86" i="42" s="1"/>
  <c r="L86" i="42" s="1"/>
  <c r="M86" i="42" s="1"/>
  <c r="W19" i="55" l="1"/>
  <c r="C19" i="55" s="1"/>
  <c r="AL95" i="53"/>
  <c r="AM75" i="52"/>
  <c r="X75" i="52" s="1"/>
  <c r="Y75" i="52" s="1"/>
  <c r="AM77" i="52"/>
  <c r="X77" i="52" s="1"/>
  <c r="Y77" i="52" s="1"/>
  <c r="AM74" i="52"/>
  <c r="X74" i="52" s="1"/>
  <c r="Y74" i="52" s="1"/>
  <c r="G19" i="46"/>
  <c r="H19" i="46" s="1"/>
  <c r="H20" i="46" s="1"/>
  <c r="H21" i="46" s="1"/>
  <c r="AP47" i="53"/>
  <c r="O54" i="9"/>
  <c r="O56" i="9" s="1"/>
  <c r="AM76" i="52"/>
  <c r="X76" i="52" s="1"/>
  <c r="Y76" i="52" s="1"/>
  <c r="Y78" i="52"/>
  <c r="AP60" i="53"/>
  <c r="F51" i="55"/>
  <c r="AI113" i="53"/>
  <c r="C80" i="53" s="1"/>
  <c r="AO36" i="53"/>
  <c r="E28" i="46"/>
  <c r="E29" i="46" s="1"/>
  <c r="E30" i="46" s="1"/>
  <c r="G28" i="46"/>
  <c r="U176" i="4"/>
  <c r="U175" i="4"/>
  <c r="U174" i="4"/>
  <c r="U173" i="4"/>
  <c r="U172" i="4"/>
  <c r="AO39" i="53"/>
  <c r="AO53" i="53"/>
  <c r="AO47" i="53"/>
  <c r="AO43" i="53"/>
  <c r="AO45" i="53"/>
  <c r="AT35" i="53"/>
  <c r="AO35" i="53"/>
  <c r="AO48" i="53"/>
  <c r="AO56" i="53"/>
  <c r="AO49" i="53"/>
  <c r="AO46" i="53"/>
  <c r="AO52" i="53"/>
  <c r="AO50" i="53"/>
  <c r="AD32" i="54"/>
  <c r="AD22" i="54" s="1"/>
  <c r="AD25" i="54" s="1"/>
  <c r="C29" i="54" s="1"/>
  <c r="C30" i="54" s="1"/>
  <c r="AO37" i="53"/>
  <c r="AO54" i="53"/>
  <c r="O67" i="55"/>
  <c r="AS67" i="53"/>
  <c r="AO38" i="53"/>
  <c r="AA60" i="52"/>
  <c r="AA62" i="52" s="1"/>
  <c r="L72" i="9"/>
  <c r="M72" i="9" s="1"/>
  <c r="K70" i="9"/>
  <c r="AJ25" i="54"/>
  <c r="E29" i="54" s="1"/>
  <c r="E30" i="54" s="1"/>
  <c r="N72" i="9"/>
  <c r="O72" i="9" s="1"/>
  <c r="AO55" i="53"/>
  <c r="G54" i="52"/>
  <c r="AJ35" i="54"/>
  <c r="E37" i="54" s="1"/>
  <c r="AF42" i="54" s="1"/>
  <c r="E41" i="54" s="1"/>
  <c r="AG25" i="54"/>
  <c r="D29" i="54" s="1"/>
  <c r="D30" i="54" s="1"/>
  <c r="AG35" i="54"/>
  <c r="D37" i="54" s="1"/>
  <c r="D38" i="54" s="1"/>
  <c r="D45" i="54" s="1"/>
  <c r="C25" i="54"/>
  <c r="AO41" i="53"/>
  <c r="AF71" i="52"/>
  <c r="AE66" i="52"/>
  <c r="C66" i="52" s="1"/>
  <c r="U61" i="52"/>
  <c r="U60" i="52" s="1"/>
  <c r="U62" i="52" s="1"/>
  <c r="AO42" i="53"/>
  <c r="BE24" i="55"/>
  <c r="BS24" i="55"/>
  <c r="BF24" i="55"/>
  <c r="BG24" i="55"/>
  <c r="BH24" i="55"/>
  <c r="BI24" i="55"/>
  <c r="BJ24" i="55"/>
  <c r="BL24" i="55"/>
  <c r="BM24" i="55"/>
  <c r="BN24" i="55"/>
  <c r="BO24" i="55"/>
  <c r="BP24" i="55"/>
  <c r="BQ24" i="55"/>
  <c r="BR24" i="55"/>
  <c r="BD25" i="55"/>
  <c r="BK25" i="55" s="1"/>
  <c r="AL52" i="55"/>
  <c r="W75" i="55"/>
  <c r="O75" i="55" s="1"/>
  <c r="P75" i="55" s="1"/>
  <c r="D56" i="55"/>
  <c r="W79" i="55"/>
  <c r="O79" i="55" s="1"/>
  <c r="P79" i="55" s="1"/>
  <c r="AL51" i="55"/>
  <c r="P80" i="55"/>
  <c r="W76" i="55"/>
  <c r="O76" i="55" s="1"/>
  <c r="AL64" i="55"/>
  <c r="C12" i="55" s="1"/>
  <c r="AL54" i="55"/>
  <c r="W77" i="55"/>
  <c r="O77" i="55" s="1"/>
  <c r="P77" i="55" s="1"/>
  <c r="W78" i="55"/>
  <c r="O78" i="55" s="1"/>
  <c r="P78" i="55" s="1"/>
  <c r="I60" i="55"/>
  <c r="L63" i="55" s="1"/>
  <c r="AF75" i="52"/>
  <c r="H10" i="52" s="1"/>
  <c r="AF69" i="52"/>
  <c r="G45" i="52" s="1"/>
  <c r="J58" i="52"/>
  <c r="J61" i="52" s="1"/>
  <c r="J60" i="52" s="1"/>
  <c r="J62" i="52" s="1"/>
  <c r="AF76" i="52"/>
  <c r="C10" i="52" s="1"/>
  <c r="D66" i="52"/>
  <c r="F72" i="52"/>
  <c r="E63" i="55"/>
  <c r="AL63" i="55"/>
  <c r="F53" i="55"/>
  <c r="F62" i="55"/>
  <c r="F40" i="55" s="1"/>
  <c r="X58" i="55"/>
  <c r="M78" i="55"/>
  <c r="N78" i="55" s="1"/>
  <c r="M79" i="55"/>
  <c r="N79" i="55" s="1"/>
  <c r="AA58" i="55"/>
  <c r="AB58" i="55"/>
  <c r="AD58" i="55"/>
  <c r="AC58" i="55"/>
  <c r="M77" i="55"/>
  <c r="N77" i="55" s="1"/>
  <c r="W58" i="55"/>
  <c r="AE58" i="55"/>
  <c r="AG58" i="55"/>
  <c r="Y58" i="55"/>
  <c r="M76" i="55"/>
  <c r="N76" i="55" s="1"/>
  <c r="M75" i="55"/>
  <c r="N75" i="55" s="1"/>
  <c r="AF58" i="55"/>
  <c r="AA120" i="53"/>
  <c r="AA121" i="53" s="1"/>
  <c r="G64" i="52"/>
  <c r="AG64" i="52"/>
  <c r="G60" i="52"/>
  <c r="AG60" i="52"/>
  <c r="AG56" i="52"/>
  <c r="G56" i="52"/>
  <c r="V75" i="52"/>
  <c r="W75" i="52" s="1"/>
  <c r="G61" i="52"/>
  <c r="AG61" i="52"/>
  <c r="AG57" i="52"/>
  <c r="G57" i="52"/>
  <c r="Z78" i="52"/>
  <c r="AA78" i="52" s="1"/>
  <c r="AN77" i="52"/>
  <c r="AN76" i="52"/>
  <c r="AN75" i="52"/>
  <c r="AN74" i="52"/>
  <c r="AN73" i="52"/>
  <c r="V74" i="52"/>
  <c r="W74" i="52" s="1"/>
  <c r="G62" i="52"/>
  <c r="AG62" i="52"/>
  <c r="G58" i="52"/>
  <c r="AG58" i="52"/>
  <c r="V73" i="52"/>
  <c r="W73" i="52" s="1"/>
  <c r="V77" i="52"/>
  <c r="W77" i="52" s="1"/>
  <c r="G63" i="52"/>
  <c r="AG63" i="52"/>
  <c r="G59" i="52"/>
  <c r="AG59" i="52"/>
  <c r="AG55" i="52"/>
  <c r="G55" i="52"/>
  <c r="V76" i="52"/>
  <c r="W76" i="52" s="1"/>
  <c r="E20" i="46"/>
  <c r="E21" i="46" s="1"/>
  <c r="F19" i="46"/>
  <c r="F20" i="46" s="1"/>
  <c r="F21" i="46" s="1"/>
  <c r="K59" i="46"/>
  <c r="L58" i="46"/>
  <c r="M58" i="46" s="1"/>
  <c r="AS68" i="53"/>
  <c r="X73" i="52"/>
  <c r="Y73" i="52" s="1"/>
  <c r="Y61" i="52"/>
  <c r="Y60" i="52" s="1"/>
  <c r="Y62" i="52" s="1"/>
  <c r="Z61" i="52"/>
  <c r="Z60" i="52" s="1"/>
  <c r="Z62" i="52" s="1"/>
  <c r="W61" i="52"/>
  <c r="W60" i="52" s="1"/>
  <c r="W62" i="52" s="1"/>
  <c r="X61" i="52"/>
  <c r="X60" i="52" s="1"/>
  <c r="X62" i="52" s="1"/>
  <c r="V61" i="52"/>
  <c r="V60" i="52" s="1"/>
  <c r="V62" i="52" s="1"/>
  <c r="D17" i="52"/>
  <c r="T64" i="52"/>
  <c r="E131" i="53"/>
  <c r="AA160" i="53"/>
  <c r="AA161" i="53" s="1"/>
  <c r="AB120" i="53"/>
  <c r="AB121" i="53" s="1"/>
  <c r="AA66" i="53"/>
  <c r="AB68" i="53" s="1"/>
  <c r="AE66" i="53"/>
  <c r="AC66" i="53"/>
  <c r="AC160" i="53"/>
  <c r="AC161" i="53" s="1"/>
  <c r="AB66" i="53"/>
  <c r="AD66" i="53"/>
  <c r="AT51" i="53"/>
  <c r="E29" i="53" s="1"/>
  <c r="AQ52" i="53"/>
  <c r="AS52" i="53" s="1"/>
  <c r="AQ48" i="53"/>
  <c r="AS48" i="53" s="1"/>
  <c r="AQ47" i="53"/>
  <c r="AS47" i="53" s="1"/>
  <c r="AQ43" i="53"/>
  <c r="AS43" i="53" s="1"/>
  <c r="AQ40" i="53"/>
  <c r="AQ54" i="53"/>
  <c r="AS54" i="53" s="1"/>
  <c r="AQ53" i="53"/>
  <c r="AS53" i="53" s="1"/>
  <c r="AQ46" i="53"/>
  <c r="AS46" i="53" s="1"/>
  <c r="AQ45" i="53"/>
  <c r="AS45" i="53" s="1"/>
  <c r="AQ41" i="53"/>
  <c r="AS41" i="53" s="1"/>
  <c r="AQ38" i="53"/>
  <c r="AS38" i="53" s="1"/>
  <c r="AQ37" i="53"/>
  <c r="AQ33" i="53"/>
  <c r="AS33" i="53" s="1"/>
  <c r="AQ56" i="53"/>
  <c r="AS56" i="53" s="1"/>
  <c r="AQ55" i="53"/>
  <c r="AS55" i="53" s="1"/>
  <c r="AQ51" i="53"/>
  <c r="AS51" i="53" s="1"/>
  <c r="AQ39" i="53"/>
  <c r="AS39" i="53" s="1"/>
  <c r="AQ35" i="53"/>
  <c r="AS35" i="53" s="1"/>
  <c r="AQ34" i="53"/>
  <c r="AS34" i="53" s="1"/>
  <c r="AQ32" i="53"/>
  <c r="AS32" i="53" s="1"/>
  <c r="AQ50" i="53"/>
  <c r="AS50" i="53" s="1"/>
  <c r="AQ49" i="53"/>
  <c r="AS49" i="53" s="1"/>
  <c r="AQ44" i="53"/>
  <c r="AS44" i="53" s="1"/>
  <c r="AQ42" i="53"/>
  <c r="AS42" i="53" s="1"/>
  <c r="AQ36" i="53"/>
  <c r="AS36" i="53" s="1"/>
  <c r="AF66" i="53"/>
  <c r="AB160" i="53"/>
  <c r="AB161" i="53" s="1"/>
  <c r="AS37" i="53"/>
  <c r="AS40" i="53"/>
  <c r="C131" i="53"/>
  <c r="AM155" i="53"/>
  <c r="AM156" i="53"/>
  <c r="AO70" i="53"/>
  <c r="AO32" i="53"/>
  <c r="K26" i="53"/>
  <c r="E132" i="53"/>
  <c r="AK120" i="53"/>
  <c r="AK121" i="53"/>
  <c r="AH123" i="53"/>
  <c r="C77" i="53" s="1"/>
  <c r="AH122" i="53"/>
  <c r="C74" i="53" s="1"/>
  <c r="I77" i="53"/>
  <c r="AH84" i="53"/>
  <c r="AH119" i="53" s="1"/>
  <c r="AO68" i="53"/>
  <c r="AO67" i="53"/>
  <c r="C132" i="53"/>
  <c r="AH121" i="53"/>
  <c r="AH120" i="53"/>
  <c r="T63" i="55"/>
  <c r="P63" i="55"/>
  <c r="Q63" i="55"/>
  <c r="R63" i="55"/>
  <c r="S63" i="55"/>
  <c r="O63" i="55"/>
  <c r="AD160" i="53"/>
  <c r="AD161" i="53" s="1"/>
  <c r="V58" i="55"/>
  <c r="X60" i="55" s="1"/>
  <c r="AO69" i="53"/>
  <c r="M26" i="53"/>
  <c r="M126" i="53"/>
  <c r="AM159" i="53"/>
  <c r="AM135" i="53"/>
  <c r="AM154" i="53" s="1"/>
  <c r="O126" i="53"/>
  <c r="AM158" i="53"/>
  <c r="C28" i="53"/>
  <c r="C29" i="53"/>
  <c r="AK68" i="53"/>
  <c r="AK67" i="53"/>
  <c r="Z58" i="55"/>
  <c r="AS70" i="53"/>
  <c r="AI156" i="53"/>
  <c r="AI155" i="53"/>
  <c r="AK70" i="53"/>
  <c r="C25" i="53" s="1"/>
  <c r="AK69" i="53"/>
  <c r="I26" i="53"/>
  <c r="AK32" i="53"/>
  <c r="AK66" i="53" s="1"/>
  <c r="AK84" i="53"/>
  <c r="I126" i="53"/>
  <c r="K126" i="53"/>
  <c r="AI159" i="53"/>
  <c r="AI158" i="53"/>
  <c r="AI135" i="53"/>
  <c r="AI154" i="53" s="1"/>
  <c r="AS69" i="53"/>
  <c r="AL59" i="55"/>
  <c r="I214" i="42"/>
  <c r="I215" i="42"/>
  <c r="I213" i="42"/>
  <c r="L71" i="9"/>
  <c r="M71" i="9" s="1"/>
  <c r="I55" i="9"/>
  <c r="I54" i="9" s="1"/>
  <c r="I56" i="9" s="1"/>
  <c r="J55" i="9"/>
  <c r="J54" i="9" s="1"/>
  <c r="J56" i="9" s="1"/>
  <c r="K55" i="9"/>
  <c r="K54" i="9" s="1"/>
  <c r="K56" i="9" s="1"/>
  <c r="M55" i="9"/>
  <c r="M54" i="9" s="1"/>
  <c r="M56" i="9" s="1"/>
  <c r="N55" i="9"/>
  <c r="N54" i="9" s="1"/>
  <c r="N56" i="9" s="1"/>
  <c r="L55" i="9"/>
  <c r="L54" i="9" s="1"/>
  <c r="L56" i="9" s="1"/>
  <c r="F43" i="9"/>
  <c r="F39" i="9"/>
  <c r="W40" i="9"/>
  <c r="D15" i="9"/>
  <c r="C15" i="9"/>
  <c r="C8" i="9"/>
  <c r="N70" i="9"/>
  <c r="O70" i="9" s="1"/>
  <c r="J71" i="9"/>
  <c r="K71" i="9" s="1"/>
  <c r="W41" i="9"/>
  <c r="W42" i="9"/>
  <c r="L70" i="9"/>
  <c r="M70" i="9" s="1"/>
  <c r="G8" i="9"/>
  <c r="N71" i="9"/>
  <c r="O71" i="9" s="1"/>
  <c r="F30" i="9"/>
  <c r="G217" i="42"/>
  <c r="G182" i="42" s="1"/>
  <c r="D19" i="55" l="1"/>
  <c r="W15" i="9"/>
  <c r="D14" i="9" s="1"/>
  <c r="P58" i="9"/>
  <c r="C14" i="9" s="1"/>
  <c r="G20" i="46"/>
  <c r="G21" i="46" s="1"/>
  <c r="G32" i="52"/>
  <c r="G39" i="52"/>
  <c r="D29" i="53"/>
  <c r="W64" i="52"/>
  <c r="X64" i="52" s="1"/>
  <c r="D28" i="53"/>
  <c r="G43" i="52"/>
  <c r="G44" i="52"/>
  <c r="G70" i="52"/>
  <c r="G24" i="52"/>
  <c r="C81" i="53"/>
  <c r="H28" i="46"/>
  <c r="H29" i="46" s="1"/>
  <c r="H30" i="46" s="1"/>
  <c r="G29" i="46"/>
  <c r="G30" i="46" s="1"/>
  <c r="F28" i="46"/>
  <c r="F29" i="46" s="1"/>
  <c r="F30" i="46" s="1"/>
  <c r="I218" i="42"/>
  <c r="W46" i="9"/>
  <c r="F46" i="9" s="1"/>
  <c r="AE42" i="54"/>
  <c r="D41" i="54" s="1"/>
  <c r="G12" i="55"/>
  <c r="AD35" i="54"/>
  <c r="C37" i="54" s="1"/>
  <c r="C38" i="54" s="1"/>
  <c r="C45" i="54" s="1"/>
  <c r="Q61" i="52"/>
  <c r="Q60" i="52" s="1"/>
  <c r="Q62" i="52" s="1"/>
  <c r="G52" i="52"/>
  <c r="F45" i="9"/>
  <c r="G47" i="52"/>
  <c r="G23" i="52"/>
  <c r="G68" i="52"/>
  <c r="AE43" i="54"/>
  <c r="AF43" i="54"/>
  <c r="E42" i="54" s="1"/>
  <c r="E44" i="54" s="1"/>
  <c r="W47" i="9"/>
  <c r="G9" i="9" s="1"/>
  <c r="T12" i="9" s="1"/>
  <c r="E38" i="54"/>
  <c r="E45" i="54" s="1"/>
  <c r="U38" i="54"/>
  <c r="P40" i="54" s="1"/>
  <c r="U39" i="54"/>
  <c r="F18" i="54"/>
  <c r="L61" i="52"/>
  <c r="L60" i="52" s="1"/>
  <c r="L62" i="52" s="1"/>
  <c r="O61" i="52"/>
  <c r="O60" i="52" s="1"/>
  <c r="O62" i="52" s="1"/>
  <c r="E28" i="53"/>
  <c r="P76" i="55"/>
  <c r="M61" i="52"/>
  <c r="M60" i="52" s="1"/>
  <c r="M62" i="52" s="1"/>
  <c r="K61" i="52"/>
  <c r="K60" i="52" s="1"/>
  <c r="K62" i="52" s="1"/>
  <c r="N61" i="52"/>
  <c r="N60" i="52" s="1"/>
  <c r="N62" i="52" s="1"/>
  <c r="R61" i="52"/>
  <c r="R60" i="52" s="1"/>
  <c r="R62" i="52" s="1"/>
  <c r="T61" i="52"/>
  <c r="T60" i="52" s="1"/>
  <c r="T62" i="52" s="1"/>
  <c r="S61" i="52"/>
  <c r="S60" i="52" s="1"/>
  <c r="S62" i="52" s="1"/>
  <c r="P61" i="52"/>
  <c r="P60" i="52" s="1"/>
  <c r="P62" i="52" s="1"/>
  <c r="AO66" i="53"/>
  <c r="AO72" i="53" s="1"/>
  <c r="D68" i="53" s="1"/>
  <c r="BE25" i="55"/>
  <c r="BS25" i="55"/>
  <c r="BF25" i="55"/>
  <c r="BG25" i="55"/>
  <c r="BH25" i="55"/>
  <c r="BI25" i="55"/>
  <c r="BJ25" i="55"/>
  <c r="BL25" i="55"/>
  <c r="BM25" i="55"/>
  <c r="BN25" i="55"/>
  <c r="BO25" i="55"/>
  <c r="BP25" i="55"/>
  <c r="BQ25" i="55"/>
  <c r="BR25" i="55"/>
  <c r="BD26" i="55"/>
  <c r="M63" i="55"/>
  <c r="M62" i="55" s="1"/>
  <c r="Q62" i="55"/>
  <c r="Q64" i="55" s="1"/>
  <c r="AL60" i="55"/>
  <c r="AL65" i="55" s="1"/>
  <c r="K63" i="55"/>
  <c r="K62" i="55" s="1"/>
  <c r="K64" i="55" s="1"/>
  <c r="R62" i="55"/>
  <c r="R64" i="55" s="1"/>
  <c r="AL61" i="55"/>
  <c r="F25" i="55"/>
  <c r="F41" i="55"/>
  <c r="L62" i="55"/>
  <c r="L64" i="55" s="1"/>
  <c r="S62" i="55"/>
  <c r="S64" i="55" s="1"/>
  <c r="I63" i="55"/>
  <c r="I62" i="55" s="1"/>
  <c r="I64" i="55" s="1"/>
  <c r="N63" i="55"/>
  <c r="N62" i="55" s="1"/>
  <c r="N64" i="55" s="1"/>
  <c r="O62" i="55"/>
  <c r="O64" i="55" s="1"/>
  <c r="J63" i="55"/>
  <c r="J62" i="55" s="1"/>
  <c r="J64" i="55" s="1"/>
  <c r="F47" i="55"/>
  <c r="F58" i="55"/>
  <c r="T62" i="55"/>
  <c r="T64" i="55" s="1"/>
  <c r="P62" i="55"/>
  <c r="P64" i="55" s="1"/>
  <c r="Z75" i="52"/>
  <c r="AA75" i="52" s="1"/>
  <c r="AF72" i="52"/>
  <c r="AF78" i="52" s="1"/>
  <c r="H11" i="52" s="1"/>
  <c r="AC13" i="52" s="1"/>
  <c r="AF73" i="52"/>
  <c r="AF77" i="52" s="1"/>
  <c r="G75" i="52" s="1"/>
  <c r="Z74" i="52"/>
  <c r="AA74" i="52" s="1"/>
  <c r="Z73" i="52"/>
  <c r="AA73" i="52" s="1"/>
  <c r="Z77" i="52"/>
  <c r="AA77" i="52" s="1"/>
  <c r="Z76" i="52"/>
  <c r="AA76" i="52" s="1"/>
  <c r="K60" i="46"/>
  <c r="L59" i="46"/>
  <c r="M59" i="46" s="1"/>
  <c r="V63" i="52"/>
  <c r="AS66" i="53"/>
  <c r="AS72" i="53" s="1"/>
  <c r="E68" i="53" s="1"/>
  <c r="E22" i="53"/>
  <c r="C128" i="53"/>
  <c r="J28" i="53"/>
  <c r="J27" i="53" s="1"/>
  <c r="J29" i="53" s="1"/>
  <c r="I28" i="53"/>
  <c r="I27" i="53" s="1"/>
  <c r="I29" i="53" s="1"/>
  <c r="E128" i="53"/>
  <c r="K28" i="53"/>
  <c r="K27" i="53" s="1"/>
  <c r="K29" i="53" s="1"/>
  <c r="L28" i="53"/>
  <c r="L27" i="53" s="1"/>
  <c r="L29" i="53" s="1"/>
  <c r="C125" i="53"/>
  <c r="AI161" i="53"/>
  <c r="C126" i="53" s="1"/>
  <c r="AI160" i="53"/>
  <c r="E25" i="53"/>
  <c r="D22" i="53"/>
  <c r="I128" i="53"/>
  <c r="I127" i="53" s="1"/>
  <c r="I129" i="53" s="1"/>
  <c r="J128" i="53"/>
  <c r="J127" i="53" s="1"/>
  <c r="J129" i="53" s="1"/>
  <c r="O128" i="53"/>
  <c r="O127" i="53" s="1"/>
  <c r="O129" i="53" s="1"/>
  <c r="P128" i="53"/>
  <c r="P127" i="53" s="1"/>
  <c r="P129" i="53" s="1"/>
  <c r="N28" i="53"/>
  <c r="N27" i="53" s="1"/>
  <c r="N29" i="53" s="1"/>
  <c r="M28" i="53"/>
  <c r="M27" i="53" s="1"/>
  <c r="M29" i="53" s="1"/>
  <c r="AH125" i="53"/>
  <c r="C75" i="53" s="1"/>
  <c r="AH124" i="53"/>
  <c r="D25" i="53"/>
  <c r="K128" i="53"/>
  <c r="K127" i="53" s="1"/>
  <c r="K129" i="53" s="1"/>
  <c r="L128" i="53"/>
  <c r="L127" i="53" s="1"/>
  <c r="L129" i="53" s="1"/>
  <c r="C22" i="53"/>
  <c r="AK72" i="53"/>
  <c r="AK73" i="53"/>
  <c r="C23" i="53" s="1"/>
  <c r="E125" i="53"/>
  <c r="AM161" i="53"/>
  <c r="E126" i="53" s="1"/>
  <c r="AM160" i="53"/>
  <c r="E158" i="53" s="1"/>
  <c r="M128" i="53"/>
  <c r="M127" i="53" s="1"/>
  <c r="M129" i="53" s="1"/>
  <c r="N128" i="53"/>
  <c r="N127" i="53" s="1"/>
  <c r="N129" i="53" s="1"/>
  <c r="I79" i="53"/>
  <c r="I78" i="53" s="1"/>
  <c r="I80" i="53" s="1"/>
  <c r="J79" i="53"/>
  <c r="J78" i="53" s="1"/>
  <c r="J80" i="53" s="1"/>
  <c r="M58" i="9"/>
  <c r="C13" i="9" s="1"/>
  <c r="W13" i="9"/>
  <c r="D12" i="9" s="1"/>
  <c r="W14" i="9"/>
  <c r="D13" i="9" s="1"/>
  <c r="H8" i="9"/>
  <c r="H13" i="9" s="1"/>
  <c r="J58" i="9"/>
  <c r="H217" i="42"/>
  <c r="D42" i="54" l="1"/>
  <c r="D43" i="54" s="1"/>
  <c r="K64" i="52"/>
  <c r="Q64" i="52"/>
  <c r="AC67" i="52" s="1"/>
  <c r="D15" i="52" s="1"/>
  <c r="C46" i="9"/>
  <c r="AD163" i="53"/>
  <c r="W126" i="53" s="1"/>
  <c r="W128" i="53" s="1"/>
  <c r="AA163" i="53"/>
  <c r="V126" i="53" s="1"/>
  <c r="H9" i="9"/>
  <c r="T11" i="9"/>
  <c r="L11" i="9" s="1"/>
  <c r="C9" i="9"/>
  <c r="C10" i="9" s="1"/>
  <c r="G10" i="9"/>
  <c r="W66" i="55"/>
  <c r="Q66" i="55" s="1"/>
  <c r="C17" i="55" s="1"/>
  <c r="AL66" i="55"/>
  <c r="G13" i="55" s="1"/>
  <c r="AD42" i="54"/>
  <c r="C41" i="54" s="1"/>
  <c r="AD43" i="54"/>
  <c r="C42" i="54" s="1"/>
  <c r="C44" i="54" s="1"/>
  <c r="U43" i="54"/>
  <c r="E43" i="54"/>
  <c r="C11" i="52"/>
  <c r="C12" i="52" s="1"/>
  <c r="G72" i="52"/>
  <c r="C16" i="52"/>
  <c r="V65" i="52"/>
  <c r="H12" i="52"/>
  <c r="Q17" i="52" s="1"/>
  <c r="L59" i="9"/>
  <c r="AS73" i="53"/>
  <c r="E23" i="53" s="1"/>
  <c r="E24" i="53" s="1"/>
  <c r="T28" i="53" s="1"/>
  <c r="T27" i="53" s="1"/>
  <c r="P63" i="52"/>
  <c r="J63" i="52"/>
  <c r="BG26" i="55"/>
  <c r="BK26" i="55"/>
  <c r="C75" i="52"/>
  <c r="AC14" i="52"/>
  <c r="O14" i="52" s="1"/>
  <c r="O16" i="52" s="1"/>
  <c r="AO73" i="53"/>
  <c r="D23" i="53" s="1"/>
  <c r="AM69" i="53" s="1"/>
  <c r="BS26" i="55"/>
  <c r="BE26" i="55"/>
  <c r="BF26" i="55"/>
  <c r="BH26" i="55"/>
  <c r="BI26" i="55"/>
  <c r="BJ26" i="55"/>
  <c r="BL26" i="55"/>
  <c r="BM26" i="55"/>
  <c r="BN26" i="55"/>
  <c r="BO26" i="55"/>
  <c r="BP26" i="55"/>
  <c r="BQ26" i="55"/>
  <c r="BR26" i="55"/>
  <c r="BD27" i="55"/>
  <c r="BK27" i="55" s="1"/>
  <c r="O65" i="55"/>
  <c r="F63" i="55"/>
  <c r="W17" i="55"/>
  <c r="D17" i="55" s="1"/>
  <c r="M64" i="55"/>
  <c r="I65" i="55" s="1"/>
  <c r="I30" i="53"/>
  <c r="C27" i="53" s="1"/>
  <c r="K61" i="46"/>
  <c r="L60" i="46"/>
  <c r="M60" i="46" s="1"/>
  <c r="K30" i="53"/>
  <c r="D27" i="53" s="1"/>
  <c r="AD67" i="52"/>
  <c r="D16" i="52" s="1"/>
  <c r="O130" i="53"/>
  <c r="K130" i="53"/>
  <c r="I130" i="53"/>
  <c r="C130" i="53" s="1"/>
  <c r="M30" i="53"/>
  <c r="E27" i="53" s="1"/>
  <c r="I81" i="53"/>
  <c r="C79" i="53" s="1"/>
  <c r="AD162" i="53"/>
  <c r="W125" i="53" s="1"/>
  <c r="E127" i="53"/>
  <c r="W130" i="53" s="1"/>
  <c r="W129" i="53" s="1"/>
  <c r="C13" i="55"/>
  <c r="C14" i="55" s="1"/>
  <c r="C66" i="55"/>
  <c r="F66" i="55"/>
  <c r="AA162" i="53"/>
  <c r="V125" i="53" s="1"/>
  <c r="V127" i="53" s="1"/>
  <c r="C127" i="53"/>
  <c r="V130" i="53" s="1"/>
  <c r="V129" i="53" s="1"/>
  <c r="AA123" i="53"/>
  <c r="P77" i="53" s="1"/>
  <c r="P79" i="53" s="1"/>
  <c r="AA122" i="53"/>
  <c r="P76" i="53" s="1"/>
  <c r="C76" i="53"/>
  <c r="P81" i="53" s="1"/>
  <c r="P80" i="53" s="1"/>
  <c r="D67" i="53"/>
  <c r="D26" i="53"/>
  <c r="E67" i="53"/>
  <c r="E26" i="53"/>
  <c r="V128" i="53"/>
  <c r="E129" i="53"/>
  <c r="E157" i="53"/>
  <c r="C67" i="53"/>
  <c r="C68" i="53"/>
  <c r="C26" i="53"/>
  <c r="C78" i="53"/>
  <c r="C120" i="53"/>
  <c r="C157" i="53"/>
  <c r="C129" i="53"/>
  <c r="C158" i="53"/>
  <c r="C24" i="53"/>
  <c r="R28" i="53" s="1"/>
  <c r="R27" i="53" s="1"/>
  <c r="AC69" i="53"/>
  <c r="R23" i="53" s="1"/>
  <c r="M130" i="53"/>
  <c r="E130" i="53" s="1"/>
  <c r="AC70" i="53"/>
  <c r="R24" i="53" s="1"/>
  <c r="R26" i="53" s="1"/>
  <c r="I59" i="9"/>
  <c r="C12" i="9"/>
  <c r="N11" i="9"/>
  <c r="L12" i="9"/>
  <c r="L14" i="9" s="1"/>
  <c r="N12" i="9"/>
  <c r="N14" i="9" s="1"/>
  <c r="P12" i="9"/>
  <c r="P14" i="9" s="1"/>
  <c r="L15" i="9"/>
  <c r="N15" i="9"/>
  <c r="P15" i="9"/>
  <c r="H10" i="9"/>
  <c r="O13" i="52"/>
  <c r="Q13" i="52"/>
  <c r="M13" i="52"/>
  <c r="D44" i="54" l="1"/>
  <c r="AQ70" i="53"/>
  <c r="T24" i="53" s="1"/>
  <c r="T26" i="53" s="1"/>
  <c r="D24" i="53"/>
  <c r="S28" i="53" s="1"/>
  <c r="S27" i="53" s="1"/>
  <c r="L64" i="52"/>
  <c r="C14" i="52" s="1"/>
  <c r="W127" i="53"/>
  <c r="P11" i="9"/>
  <c r="W14" i="55"/>
  <c r="N16" i="55" s="1"/>
  <c r="N18" i="55" s="1"/>
  <c r="W13" i="55"/>
  <c r="P15" i="55" s="1"/>
  <c r="C43" i="54"/>
  <c r="V66" i="55"/>
  <c r="G14" i="55"/>
  <c r="N19" i="55" s="1"/>
  <c r="M17" i="52"/>
  <c r="O17" i="52"/>
  <c r="AB67" i="52"/>
  <c r="D14" i="52" s="1"/>
  <c r="L13" i="9"/>
  <c r="AQ69" i="53"/>
  <c r="Q14" i="52"/>
  <c r="Q16" i="52" s="1"/>
  <c r="R64" i="52"/>
  <c r="C15" i="52" s="1"/>
  <c r="M14" i="52"/>
  <c r="M16" i="52" s="1"/>
  <c r="AM70" i="53"/>
  <c r="S24" i="53" s="1"/>
  <c r="S26" i="53" s="1"/>
  <c r="BS27" i="55"/>
  <c r="BE27" i="55"/>
  <c r="BG27" i="55"/>
  <c r="BF27" i="55"/>
  <c r="BH27" i="55"/>
  <c r="BI27" i="55"/>
  <c r="BJ27" i="55"/>
  <c r="BL27" i="55"/>
  <c r="BM27" i="55"/>
  <c r="BN27" i="55"/>
  <c r="BO27" i="55"/>
  <c r="BP27" i="55"/>
  <c r="BQ27" i="55"/>
  <c r="BR27" i="55"/>
  <c r="BD28" i="55"/>
  <c r="BK28" i="55" s="1"/>
  <c r="N15" i="55"/>
  <c r="W16" i="55"/>
  <c r="D16" i="55" s="1"/>
  <c r="L19" i="55"/>
  <c r="K62" i="46"/>
  <c r="L61" i="46"/>
  <c r="M61" i="46" s="1"/>
  <c r="O15" i="52"/>
  <c r="S23" i="53"/>
  <c r="P78" i="53"/>
  <c r="R25" i="53"/>
  <c r="N13" i="9"/>
  <c r="P13" i="9"/>
  <c r="K66" i="55" l="1"/>
  <c r="C16" i="55" s="1"/>
  <c r="AQ72" i="53"/>
  <c r="J65" i="52"/>
  <c r="N17" i="55"/>
  <c r="P16" i="55"/>
  <c r="P19" i="55"/>
  <c r="L15" i="55"/>
  <c r="L16" i="55"/>
  <c r="L18" i="55" s="1"/>
  <c r="T23" i="53"/>
  <c r="T25" i="53" s="1"/>
  <c r="Q15" i="52"/>
  <c r="P65" i="52"/>
  <c r="M15" i="52"/>
  <c r="S25" i="53"/>
  <c r="AM72" i="53"/>
  <c r="BE28" i="55"/>
  <c r="BS28" i="55"/>
  <c r="BF28" i="55"/>
  <c r="BG28" i="55"/>
  <c r="BH28" i="55"/>
  <c r="BI28" i="55"/>
  <c r="BJ28" i="55"/>
  <c r="BL28" i="55"/>
  <c r="BM28" i="55"/>
  <c r="BN28" i="55"/>
  <c r="BO28" i="55"/>
  <c r="BP28" i="55"/>
  <c r="BQ28" i="55"/>
  <c r="BR28" i="55"/>
  <c r="BD29" i="55"/>
  <c r="BH29" i="55" s="1"/>
  <c r="K63" i="46"/>
  <c r="L62" i="46"/>
  <c r="M62" i="46" s="1"/>
  <c r="L17" i="55" l="1"/>
  <c r="P18" i="55"/>
  <c r="P17" i="55"/>
  <c r="BK29" i="55"/>
  <c r="BF29" i="55"/>
  <c r="BE29" i="55"/>
  <c r="BS29" i="55"/>
  <c r="BG29" i="55"/>
  <c r="BI29" i="55"/>
  <c r="BJ29" i="55"/>
  <c r="BL29" i="55"/>
  <c r="BM29" i="55"/>
  <c r="BN29" i="55"/>
  <c r="BO29" i="55"/>
  <c r="BP29" i="55"/>
  <c r="BQ29" i="55"/>
  <c r="BR29" i="55"/>
  <c r="L63" i="46"/>
  <c r="M63" i="46" s="1"/>
  <c r="K64" i="46"/>
  <c r="K65" i="46" l="1"/>
  <c r="L64" i="46"/>
  <c r="M64" i="46" s="1"/>
  <c r="K66" i="46" l="1"/>
  <c r="L65" i="46"/>
  <c r="M65" i="46" s="1"/>
  <c r="K67" i="46" l="1"/>
  <c r="L66" i="46"/>
  <c r="M66" i="46" s="1"/>
  <c r="K68" i="46" l="1"/>
  <c r="L68" i="46" s="1"/>
  <c r="M68" i="46" s="1"/>
  <c r="L67" i="46"/>
  <c r="M67" i="46" s="1"/>
  <c r="AL86" i="53"/>
  <c r="D81" i="53" s="1"/>
  <c r="AJ86" i="53"/>
  <c r="K77" i="53" s="1"/>
  <c r="F80" i="53" l="1"/>
  <c r="K79" i="53"/>
  <c r="K78" i="53" s="1"/>
  <c r="K80" i="53" s="1"/>
  <c r="L79" i="53"/>
  <c r="L78" i="53" s="1"/>
  <c r="L80" i="53" s="1"/>
  <c r="AK122" i="53"/>
  <c r="AK123" i="53"/>
  <c r="AK86" i="53"/>
  <c r="AK119" i="53" s="1"/>
  <c r="F81" i="53"/>
  <c r="K81" i="53" l="1"/>
  <c r="F79" i="53" s="1"/>
  <c r="F74" i="53"/>
  <c r="AK125" i="53"/>
  <c r="F75" i="53" s="1"/>
  <c r="AK124" i="53"/>
  <c r="F78" i="53" s="1"/>
  <c r="F77" i="53"/>
  <c r="F76" i="53" l="1"/>
  <c r="F120" i="53"/>
</calcChain>
</file>

<file path=xl/sharedStrings.xml><?xml version="1.0" encoding="utf-8"?>
<sst xmlns="http://schemas.openxmlformats.org/spreadsheetml/2006/main" count="4652" uniqueCount="1954">
  <si>
    <r>
      <rPr>
        <b/>
        <sz val="28"/>
        <color indexed="8"/>
        <rFont val="Times New Roman"/>
        <family val="1"/>
      </rPr>
      <t xml:space="preserve">        </t>
    </r>
    <r>
      <rPr>
        <b/>
        <sz val="36"/>
        <color indexed="8"/>
        <rFont val="Times New Roman"/>
        <family val="1"/>
      </rPr>
      <t xml:space="preserve"> </t>
    </r>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NAWB</t>
    </r>
    <r>
      <rPr>
        <b/>
        <u val="double"/>
        <sz val="28"/>
        <color indexed="8"/>
        <rFont val="Times New Roman"/>
        <family val="1"/>
      </rPr>
      <t xml:space="preserve">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C</t>
    </r>
    <r>
      <rPr>
        <b/>
        <u val="double"/>
        <sz val="28"/>
        <color indexed="8"/>
        <rFont val="Times New Roman"/>
        <family val="1"/>
      </rPr>
      <t>alc's.</t>
    </r>
  </si>
  <si>
    <t>Version 1.0</t>
  </si>
  <si>
    <t>Default zoom setting = 100%</t>
  </si>
  <si>
    <t>Metric units are my preferred system as they are universal &amp; do not suffer from the stupidities of the U.K. Imperial ̸ U.S. systems.</t>
  </si>
  <si>
    <t>This is writen using the Microsoft Excel program, I find the "Office" by Ashampoo (inc. the free program) are my pick of the other "Office" suites.</t>
  </si>
  <si>
    <t>Expect many variations with the Calc's, "typical" values are used but the actial values of the ingredients can be far out.</t>
  </si>
  <si>
    <t xml:space="preserve">Main Contents </t>
  </si>
  <si>
    <t>General Calc's.</t>
  </si>
  <si>
    <t>General Converters - volume, weights, temperature etc.</t>
  </si>
  <si>
    <t>Malt &amp; Sugar Conversion Calculators</t>
  </si>
  <si>
    <t>Hydrometer Temperature Correction</t>
  </si>
  <si>
    <t>SG to % ABV Calculator</t>
  </si>
  <si>
    <t>OG Correction For Beers &amp; Wines.</t>
  </si>
  <si>
    <t>°Brix, Plato, Balling &amp; Baumé</t>
  </si>
  <si>
    <t>UK ̸ US Proof &amp; % Converters</t>
  </si>
  <si>
    <t>BUM!</t>
  </si>
  <si>
    <t>Includes ABV ̸ ABW ̸ Proof Calc's.</t>
  </si>
  <si>
    <t>For ALL Grain Beers (mostly)</t>
  </si>
  <si>
    <t>Hops</t>
  </si>
  <si>
    <t>Drying</t>
  </si>
  <si>
    <t>Alpha Acid ̸ Weight Conversions</t>
  </si>
  <si>
    <t>Hop Calc's (for all beers)</t>
  </si>
  <si>
    <t>Sugar Solutions (Syrups)</t>
  </si>
  <si>
    <t>Beer Colour</t>
  </si>
  <si>
    <t>Malt Colour</t>
  </si>
  <si>
    <t>Making Beer &amp; Wine In Stages</t>
  </si>
  <si>
    <t>Reduced Alcohol Beers &amp; Wines</t>
  </si>
  <si>
    <t>Priming</t>
  </si>
  <si>
    <t>Safe Drinking in the UK</t>
  </si>
  <si>
    <t>BMI  -  Waist to Height Ratio Calculators</t>
  </si>
  <si>
    <t>Beer, Wine &amp; Spirit Freezing Point</t>
  </si>
  <si>
    <t>Some Typical Beer Drinking Temperatures (°C).</t>
  </si>
  <si>
    <t>Beer Kit Calculators</t>
  </si>
  <si>
    <t>Beer Kit Modifier &amp; Comparator</t>
  </si>
  <si>
    <t>A Few Typical Beer Styles Carbonation Levels.</t>
  </si>
  <si>
    <t>Priming Sugar.</t>
  </si>
  <si>
    <t>Malt Extract Calculator</t>
  </si>
  <si>
    <t>A "stand-alone" calculator (3 methods - 1a, 1b &amp; 2).</t>
  </si>
  <si>
    <t>Summary For The Finished Beer</t>
  </si>
  <si>
    <t>Calorie ̸ Carbohydrate ̸ Unit Data.</t>
  </si>
  <si>
    <t>Technical Section</t>
  </si>
  <si>
    <t>Change the default settings etc.</t>
  </si>
  <si>
    <t>Beer Calculator</t>
  </si>
  <si>
    <t>This must be used in conjunction with the "Beer Data Sheet".</t>
  </si>
  <si>
    <t>Beer Scaling Calculators Etc.</t>
  </si>
  <si>
    <t>General Recipe Comparator</t>
  </si>
  <si>
    <t>Volume/Extract Converter</t>
  </si>
  <si>
    <t>Piggy-Back Calc.</t>
  </si>
  <si>
    <t>Beer Data Sheet</t>
  </si>
  <si>
    <t>All alculations can be tailored to suit your requirements on this page.</t>
  </si>
  <si>
    <t>Some Beer Yeast Information</t>
  </si>
  <si>
    <t>Gluten-Free Beer Calculator</t>
  </si>
  <si>
    <t>Priming Calc's. For Beers Etc.</t>
  </si>
  <si>
    <t>Metric, Imperial &amp; US units are given.</t>
  </si>
  <si>
    <t>Also suitable for priming sparkling wines &amp; ciders.</t>
  </si>
  <si>
    <t>More typical beer styles carbonation levels.</t>
  </si>
  <si>
    <t>Volume CO2 Converters to PSI or Atm. or Bar (Approx.)</t>
  </si>
  <si>
    <t>Water Treatment Calculator</t>
  </si>
  <si>
    <t>Water Treatment For Beers.</t>
  </si>
  <si>
    <t>Version1.0</t>
  </si>
  <si>
    <t>TCP Taste ̸ Aroma</t>
  </si>
  <si>
    <t>BJCP Guide</t>
  </si>
  <si>
    <t>A Few Beer Styles.</t>
  </si>
  <si>
    <t>Disclaimer:-</t>
  </si>
  <si>
    <t>E&amp;OE. No responsibility is assumed or implied as a result of using this spreadsheet. Free for use. Not for sale.</t>
  </si>
  <si>
    <t>Copyright Peter J. Laycock 28~10~2024</t>
  </si>
  <si>
    <r>
      <rPr>
        <b/>
        <u val="double"/>
        <sz val="36"/>
        <color rgb="FF000000"/>
        <rFont val="Times New Roman"/>
        <family val="1"/>
      </rPr>
      <t>P</t>
    </r>
    <r>
      <rPr>
        <b/>
        <u val="double"/>
        <sz val="28"/>
        <color rgb="FF000000"/>
        <rFont val="Times New Roman"/>
        <family val="1"/>
      </rPr>
      <t xml:space="preserve">ete's </t>
    </r>
    <r>
      <rPr>
        <b/>
        <u val="double"/>
        <sz val="36"/>
        <color rgb="FF000000"/>
        <rFont val="Times New Roman"/>
        <family val="1"/>
      </rPr>
      <t>G</t>
    </r>
    <r>
      <rPr>
        <b/>
        <u val="double"/>
        <sz val="28"/>
        <color rgb="FF000000"/>
        <rFont val="Times New Roman"/>
        <family val="1"/>
      </rPr>
      <t xml:space="preserve">eneral </t>
    </r>
    <r>
      <rPr>
        <b/>
        <u val="double"/>
        <sz val="36"/>
        <color rgb="FF000000"/>
        <rFont val="Times New Roman"/>
        <family val="1"/>
      </rPr>
      <t>C</t>
    </r>
    <r>
      <rPr>
        <b/>
        <u val="double"/>
        <sz val="28"/>
        <color rgb="FF000000"/>
        <rFont val="Times New Roman"/>
        <family val="1"/>
      </rPr>
      <t>alc's</t>
    </r>
  </si>
  <si>
    <t>Denotes an "editable" cell, add your own data.</t>
  </si>
  <si>
    <t>General Converters</t>
  </si>
  <si>
    <r>
      <rPr>
        <b/>
        <sz val="10"/>
        <color indexed="8"/>
        <rFont val="Times New Roman"/>
        <family val="1"/>
      </rPr>
      <t>Volume Converters</t>
    </r>
    <r>
      <rPr>
        <sz val="8"/>
        <color indexed="8"/>
        <rFont val="Times New Roman"/>
        <family val="1"/>
      </rPr>
      <t xml:space="preserve"> </t>
    </r>
    <r>
      <rPr>
        <sz val="8"/>
        <color theme="0" tint="-0.499984740745262"/>
        <rFont val="Times New Roman"/>
        <family val="1"/>
      </rPr>
      <t>(Approx. Figures)</t>
    </r>
  </si>
  <si>
    <r>
      <rPr>
        <b/>
        <sz val="10"/>
        <color rgb="FFCC00FF"/>
        <rFont val="Times New Roman"/>
        <family val="1"/>
      </rPr>
      <t>US</t>
    </r>
    <r>
      <rPr>
        <sz val="10"/>
        <color indexed="8"/>
        <rFont val="Times New Roman"/>
        <family val="1"/>
      </rPr>
      <t xml:space="preserve"> Gall.</t>
    </r>
  </si>
  <si>
    <t>Litre</t>
  </si>
  <si>
    <r>
      <rPr>
        <b/>
        <sz val="10"/>
        <color rgb="FFFF0000"/>
        <rFont val="Times New Roman"/>
        <family val="1"/>
      </rPr>
      <t>UK</t>
    </r>
    <r>
      <rPr>
        <sz val="10"/>
        <color indexed="8"/>
        <rFont val="Times New Roman"/>
        <family val="1"/>
      </rPr>
      <t xml:space="preserve"> Gall.</t>
    </r>
  </si>
  <si>
    <r>
      <rPr>
        <b/>
        <sz val="10"/>
        <color rgb="FFCC00FF"/>
        <rFont val="Times New Roman"/>
        <family val="1"/>
      </rPr>
      <t>US</t>
    </r>
    <r>
      <rPr>
        <b/>
        <sz val="10"/>
        <color indexed="8"/>
        <rFont val="Times New Roman"/>
        <family val="1"/>
      </rPr>
      <t xml:space="preserve"> </t>
    </r>
    <r>
      <rPr>
        <sz val="10"/>
        <color indexed="8"/>
        <rFont val="Times New Roman"/>
        <family val="1"/>
      </rPr>
      <t>Gall.</t>
    </r>
  </si>
  <si>
    <r>
      <rPr>
        <sz val="10"/>
        <color theme="0" tint="-0.499984740745262"/>
        <rFont val="Times New Roman"/>
        <family val="1"/>
      </rPr>
      <t>6 US gallons =</t>
    </r>
    <r>
      <rPr>
        <sz val="10"/>
        <rFont val="Times New Roman"/>
        <family val="1"/>
      </rPr>
      <t xml:space="preserve"> 5 UK gallons = 22.7 litres</t>
    </r>
  </si>
  <si>
    <t>1 UK pint = 20 fl oz</t>
  </si>
  <si>
    <t>5 US gallons = 18.9 litres</t>
  </si>
  <si>
    <r>
      <rPr>
        <b/>
        <sz val="10"/>
        <color rgb="FFCC00FF"/>
        <rFont val="Times New Roman"/>
        <family val="1"/>
      </rPr>
      <t>US</t>
    </r>
    <r>
      <rPr>
        <b/>
        <sz val="10"/>
        <color indexed="8"/>
        <rFont val="Times New Roman"/>
        <family val="1"/>
      </rPr>
      <t xml:space="preserve"> </t>
    </r>
    <r>
      <rPr>
        <sz val="10"/>
        <color indexed="8"/>
        <rFont val="Times New Roman"/>
        <family val="1"/>
      </rPr>
      <t>Pt.</t>
    </r>
  </si>
  <si>
    <r>
      <rPr>
        <b/>
        <sz val="10"/>
        <color rgb="FFFF0000"/>
        <rFont val="Times New Roman"/>
        <family val="1"/>
      </rPr>
      <t>UK</t>
    </r>
    <r>
      <rPr>
        <sz val="10"/>
        <color indexed="8"/>
        <rFont val="Times New Roman"/>
        <family val="1"/>
      </rPr>
      <t xml:space="preserve"> Pt.</t>
    </r>
  </si>
  <si>
    <r>
      <rPr>
        <b/>
        <sz val="10"/>
        <color rgb="FFCC00FF"/>
        <rFont val="Times New Roman"/>
        <family val="1"/>
      </rPr>
      <t>US</t>
    </r>
    <r>
      <rPr>
        <sz val="10"/>
        <color indexed="8"/>
        <rFont val="Times New Roman"/>
        <family val="1"/>
      </rPr>
      <t xml:space="preserve"> Pt.</t>
    </r>
  </si>
  <si>
    <t>1 UK ̸ Euro. Litre = 1 US liter</t>
  </si>
  <si>
    <t>Weight Converters</t>
  </si>
  <si>
    <t>g</t>
  </si>
  <si>
    <t>Wt.</t>
  </si>
  <si>
    <t>lb</t>
  </si>
  <si>
    <t>lb.</t>
  </si>
  <si>
    <t>oz</t>
  </si>
  <si>
    <r>
      <rPr>
        <sz val="10"/>
        <color indexed="8"/>
        <rFont val="Times New Roman"/>
        <family val="1"/>
      </rPr>
      <t>Wt.</t>
    </r>
    <r>
      <rPr>
        <sz val="8"/>
        <color indexed="8"/>
        <rFont val="Times New Roman"/>
        <family val="1"/>
      </rPr>
      <t xml:space="preserve"> </t>
    </r>
    <r>
      <rPr>
        <sz val="10"/>
        <color indexed="8"/>
        <rFont val="Times New Roman"/>
        <family val="1"/>
      </rPr>
      <t>g  OR  Wt.</t>
    </r>
    <r>
      <rPr>
        <sz val="8"/>
        <color indexed="8"/>
        <rFont val="Times New Roman"/>
        <family val="1"/>
      </rPr>
      <t xml:space="preserve"> </t>
    </r>
    <r>
      <rPr>
        <sz val="10"/>
        <color indexed="8"/>
        <rFont val="Times New Roman"/>
        <family val="1"/>
      </rPr>
      <t>Kg</t>
    </r>
  </si>
  <si>
    <t>1Kg = 0.4536 lb</t>
  </si>
  <si>
    <t>1lb = 16oz</t>
  </si>
  <si>
    <t>Kg</t>
  </si>
  <si>
    <t>Wt. g</t>
  </si>
  <si>
    <t xml:space="preserve">  oz      OR         lb.      OR    lb.  oz</t>
  </si>
  <si>
    <t>lb   oz</t>
  </si>
  <si>
    <t>Wt. ̸ Vol. Converters</t>
  </si>
  <si>
    <t>Kg ̸ l</t>
  </si>
  <si>
    <t>Wt. ̸ Vol</t>
  </si>
  <si>
    <r>
      <rPr>
        <sz val="10"/>
        <color indexed="8"/>
        <rFont val="Times New Roman"/>
        <family val="1"/>
      </rPr>
      <t xml:space="preserve">lb ̸ gal  </t>
    </r>
    <r>
      <rPr>
        <b/>
        <sz val="10"/>
        <color rgb="FFFF0000"/>
        <rFont val="Times New Roman"/>
        <family val="1"/>
      </rPr>
      <t>UK</t>
    </r>
  </si>
  <si>
    <t>g ̸ l</t>
  </si>
  <si>
    <r>
      <t xml:space="preserve">oz ̸ pt </t>
    </r>
    <r>
      <rPr>
        <sz val="10"/>
        <color rgb="FFFF0000"/>
        <rFont val="Times New Roman"/>
        <family val="1"/>
      </rPr>
      <t xml:space="preserve"> </t>
    </r>
    <r>
      <rPr>
        <b/>
        <sz val="10"/>
        <color rgb="FFFF0000"/>
        <rFont val="Times New Roman"/>
        <family val="1"/>
      </rPr>
      <t>UK</t>
    </r>
  </si>
  <si>
    <t>ml</t>
  </si>
  <si>
    <t>Fluid</t>
  </si>
  <si>
    <r>
      <rPr>
        <sz val="10"/>
        <color indexed="8"/>
        <rFont val="Times New Roman"/>
        <family val="1"/>
      </rPr>
      <t>fl oz</t>
    </r>
    <r>
      <rPr>
        <sz val="10"/>
        <color indexed="10"/>
        <rFont val="Times New Roman"/>
        <family val="1"/>
      </rPr>
      <t xml:space="preserve">  </t>
    </r>
    <r>
      <rPr>
        <b/>
        <sz val="10"/>
        <color indexed="10"/>
        <rFont val="Times New Roman"/>
        <family val="1"/>
      </rPr>
      <t>UK</t>
    </r>
  </si>
  <si>
    <r>
      <rPr>
        <sz val="10"/>
        <color indexed="8"/>
        <rFont val="Times New Roman"/>
        <family val="1"/>
      </rPr>
      <t xml:space="preserve">lb ̸ gal </t>
    </r>
    <r>
      <rPr>
        <b/>
        <sz val="10"/>
        <color rgb="FFCC00FF"/>
        <rFont val="Times New Roman"/>
        <family val="1"/>
      </rPr>
      <t>US</t>
    </r>
  </si>
  <si>
    <r>
      <rPr>
        <sz val="10"/>
        <color indexed="8"/>
        <rFont val="Times New Roman"/>
        <family val="1"/>
      </rPr>
      <t xml:space="preserve">oz ̸ pt </t>
    </r>
    <r>
      <rPr>
        <b/>
        <sz val="10"/>
        <color rgb="FFCC00FF"/>
        <rFont val="Times New Roman"/>
        <family val="1"/>
      </rPr>
      <t>US</t>
    </r>
  </si>
  <si>
    <r>
      <rPr>
        <sz val="10"/>
        <color indexed="8"/>
        <rFont val="Times New Roman"/>
        <family val="1"/>
      </rPr>
      <t xml:space="preserve">fl oz </t>
    </r>
    <r>
      <rPr>
        <b/>
        <sz val="10"/>
        <color rgb="FFCC00FF"/>
        <rFont val="Times New Roman"/>
        <family val="1"/>
      </rPr>
      <t>US</t>
    </r>
  </si>
  <si>
    <t>Temperature Converter</t>
  </si>
  <si>
    <r>
      <rPr>
        <sz val="11"/>
        <color indexed="8"/>
        <rFont val="Times New Roman"/>
        <family val="1"/>
      </rPr>
      <t>°</t>
    </r>
    <r>
      <rPr>
        <sz val="10"/>
        <color indexed="8"/>
        <rFont val="Times New Roman"/>
        <family val="1"/>
      </rPr>
      <t>C</t>
    </r>
  </si>
  <si>
    <t>Deg</t>
  </si>
  <si>
    <r>
      <rPr>
        <sz val="11"/>
        <color indexed="8"/>
        <rFont val="Times New Roman"/>
        <family val="1"/>
      </rPr>
      <t>°</t>
    </r>
    <r>
      <rPr>
        <sz val="10"/>
        <color indexed="8"/>
        <rFont val="Times New Roman"/>
        <family val="1"/>
      </rPr>
      <t>F</t>
    </r>
  </si>
  <si>
    <t>fl oz</t>
  </si>
  <si>
    <r>
      <rPr>
        <sz val="10"/>
        <color rgb="FFFF0000"/>
        <rFont val="Times New Roman"/>
        <family val="1"/>
      </rPr>
      <t xml:space="preserve"> </t>
    </r>
    <r>
      <rPr>
        <sz val="10"/>
        <color indexed="8"/>
        <rFont val="Times New Roman"/>
        <family val="1"/>
      </rPr>
      <t xml:space="preserve">fl oz </t>
    </r>
    <r>
      <rPr>
        <b/>
        <sz val="10"/>
        <color rgb="FFCC00FF"/>
        <rFont val="Times New Roman"/>
        <family val="1"/>
      </rPr>
      <t>US</t>
    </r>
  </si>
  <si>
    <t>General Weight &amp; Volume Converters</t>
  </si>
  <si>
    <r>
      <t>fl oz</t>
    </r>
    <r>
      <rPr>
        <sz val="10"/>
        <color rgb="FFFF0000"/>
        <rFont val="Times New Roman"/>
        <family val="1"/>
      </rPr>
      <t xml:space="preserve"> </t>
    </r>
    <r>
      <rPr>
        <b/>
        <sz val="10"/>
        <color rgb="FFFF0000"/>
        <rFont val="Times New Roman"/>
        <family val="1"/>
      </rPr>
      <t>UK</t>
    </r>
  </si>
  <si>
    <r>
      <rPr>
        <sz val="10"/>
        <color rgb="FF000000"/>
        <rFont val="Times New Roman"/>
        <family val="1"/>
      </rPr>
      <t xml:space="preserve">fl oz </t>
    </r>
    <r>
      <rPr>
        <b/>
        <sz val="10"/>
        <color rgb="FFFF00FF"/>
        <rFont val="Times New Roman"/>
        <family val="1"/>
      </rPr>
      <t>US</t>
    </r>
  </si>
  <si>
    <t>Vol. 1</t>
  </si>
  <si>
    <t xml:space="preserve">Wt. 1 </t>
  </si>
  <si>
    <t>Vol. 2</t>
  </si>
  <si>
    <t>Wt. 2</t>
  </si>
  <si>
    <t>Alternatively</t>
  </si>
  <si>
    <t>% extract efficiency</t>
  </si>
  <si>
    <t xml:space="preserve"> (nominally 76% is assumed) †</t>
  </si>
  <si>
    <t>Figures used in calculations which may be amended.</t>
  </si>
  <si>
    <t>Extract</t>
  </si>
  <si>
    <t>Liquid</t>
  </si>
  <si>
    <t>Malt wt. g</t>
  </si>
  <si>
    <t>Dry</t>
  </si>
  <si>
    <r>
      <rPr>
        <u/>
        <sz val="10"/>
        <color rgb="FFFF0000"/>
        <rFont val="Times New Roman"/>
        <family val="1"/>
      </rPr>
      <t>PALE malt</t>
    </r>
    <r>
      <rPr>
        <sz val="10"/>
        <color indexed="8"/>
        <rFont val="Times New Roman"/>
        <family val="1"/>
      </rPr>
      <t xml:space="preserve"> to liquid ̸ dry extract weights</t>
    </r>
  </si>
  <si>
    <t>Pale MALT</t>
  </si>
  <si>
    <r>
      <rPr>
        <sz val="11"/>
        <color indexed="8"/>
        <rFont val="Times New Roman"/>
        <family val="1"/>
      </rPr>
      <t>°</t>
    </r>
    <r>
      <rPr>
        <sz val="8"/>
        <color indexed="8"/>
        <rFont val="Times New Roman"/>
        <family val="1"/>
      </rPr>
      <t xml:space="preserve"> </t>
    </r>
    <r>
      <rPr>
        <sz val="10"/>
        <color indexed="8"/>
        <rFont val="Times New Roman"/>
        <family val="1"/>
      </rPr>
      <t>/</t>
    </r>
    <r>
      <rPr>
        <sz val="8"/>
        <color indexed="8"/>
        <rFont val="Times New Roman"/>
        <family val="1"/>
      </rPr>
      <t xml:space="preserve"> </t>
    </r>
    <r>
      <rPr>
        <sz val="10"/>
        <color indexed="8"/>
        <rFont val="Times New Roman"/>
        <family val="1"/>
      </rPr>
      <t>Kg</t>
    </r>
    <r>
      <rPr>
        <sz val="8"/>
        <color indexed="8"/>
        <rFont val="Times New Roman"/>
        <family val="1"/>
      </rPr>
      <t xml:space="preserve"> </t>
    </r>
    <r>
      <rPr>
        <sz val="10"/>
        <color indexed="8"/>
        <rFont val="Times New Roman"/>
        <family val="1"/>
      </rPr>
      <t>/</t>
    </r>
    <r>
      <rPr>
        <sz val="8"/>
        <color indexed="8"/>
        <rFont val="Times New Roman"/>
        <family val="1"/>
      </rPr>
      <t xml:space="preserve"> </t>
    </r>
    <r>
      <rPr>
        <sz val="10"/>
        <color indexed="8"/>
        <rFont val="Times New Roman"/>
        <family val="1"/>
      </rPr>
      <t>l</t>
    </r>
  </si>
  <si>
    <t>Nominally</t>
  </si>
  <si>
    <t>LIQUID Extract</t>
  </si>
  <si>
    <t>Pale Malt  (see cell "C33" etc.</t>
  </si>
  <si>
    <r>
      <rPr>
        <sz val="10"/>
        <color indexed="8"/>
        <rFont val="Times New Roman"/>
        <family val="1"/>
      </rPr>
      <t>LIQUID Extract</t>
    </r>
    <r>
      <rPr>
        <sz val="10"/>
        <color rgb="FFFF0000"/>
        <rFont val="Times New Roman"/>
        <family val="1"/>
      </rPr>
      <t xml:space="preserve"> "OLD"</t>
    </r>
  </si>
  <si>
    <t>LIQUID Malt Extract</t>
  </si>
  <si>
    <t>Ext. wt. g</t>
  </si>
  <si>
    <r>
      <rPr>
        <sz val="10"/>
        <color indexed="8"/>
        <rFont val="Times New Roman"/>
        <family val="1"/>
      </rPr>
      <t xml:space="preserve">Converts </t>
    </r>
    <r>
      <rPr>
        <u/>
        <sz val="10"/>
        <color rgb="FFFF0000"/>
        <rFont val="Times New Roman"/>
        <family val="1"/>
      </rPr>
      <t>liquid ̸ dry malt extract</t>
    </r>
    <r>
      <rPr>
        <sz val="10"/>
        <color indexed="8"/>
        <rFont val="Times New Roman"/>
        <family val="1"/>
      </rPr>
      <t xml:space="preserve"> weights</t>
    </r>
  </si>
  <si>
    <t>DRY Extract</t>
  </si>
  <si>
    <r>
      <rPr>
        <sz val="10"/>
        <color indexed="8"/>
        <rFont val="Times New Roman"/>
        <family val="1"/>
      </rPr>
      <t xml:space="preserve">LIQUID Malt Extract </t>
    </r>
    <r>
      <rPr>
        <sz val="10"/>
        <color rgb="FFFF0000"/>
        <rFont val="Times New Roman"/>
        <family val="1"/>
      </rPr>
      <t xml:space="preserve">"OLD" </t>
    </r>
  </si>
  <si>
    <t>CANE Sugar</t>
  </si>
  <si>
    <t>BREWING Sugar</t>
  </si>
  <si>
    <t>Cane</t>
  </si>
  <si>
    <t>Wt</t>
  </si>
  <si>
    <t>BREWING</t>
  </si>
  <si>
    <r>
      <rPr>
        <sz val="10"/>
        <color indexed="8"/>
        <rFont val="Times New Roman"/>
        <family val="1"/>
      </rPr>
      <t xml:space="preserve">Converts </t>
    </r>
    <r>
      <rPr>
        <u/>
        <sz val="10"/>
        <color rgb="FFFF0000"/>
        <rFont val="Times New Roman"/>
        <family val="1"/>
      </rPr>
      <t>sugar</t>
    </r>
    <r>
      <rPr>
        <sz val="10"/>
        <color indexed="8"/>
        <rFont val="Times New Roman"/>
        <family val="1"/>
      </rPr>
      <t xml:space="preserve"> equivalent weights</t>
    </r>
  </si>
  <si>
    <t>Hydrometer Temp. Correction</t>
  </si>
  <si>
    <t>OR</t>
  </si>
  <si>
    <t>using the simpler "brewers degrees"</t>
  </si>
  <si>
    <t>Bum!</t>
  </si>
  <si>
    <r>
      <rPr>
        <b/>
        <sz val="11"/>
        <rFont val="Times New Roman"/>
        <family val="1"/>
      </rPr>
      <t>°</t>
    </r>
    <r>
      <rPr>
        <b/>
        <sz val="10"/>
        <rFont val="Times New Roman"/>
        <family val="1"/>
      </rPr>
      <t xml:space="preserve">C </t>
    </r>
  </si>
  <si>
    <r>
      <rPr>
        <sz val="12"/>
        <color rgb="FF7F7F7F"/>
        <rFont val="Times New Roman"/>
        <family val="1"/>
      </rPr>
      <t>°</t>
    </r>
    <r>
      <rPr>
        <sz val="10"/>
        <color rgb="FF7F7F7F"/>
        <rFont val="Times New Roman"/>
        <family val="1"/>
      </rPr>
      <t xml:space="preserve">F </t>
    </r>
  </si>
  <si>
    <t>Mainly used for beers.</t>
  </si>
  <si>
    <t>Calibration Temp.</t>
  </si>
  <si>
    <t>ALWAYS WORK ON A COPY OF THIS SPREADSHEET</t>
  </si>
  <si>
    <t>Liquid Temp.</t>
  </si>
  <si>
    <t>Measured Gravity</t>
  </si>
  <si>
    <t>Corrected Gravity</t>
  </si>
  <si>
    <t>(All calc's are approx.)</t>
  </si>
  <si>
    <t>See Temperature Converter</t>
  </si>
  <si>
    <t>SG to % ABV Calculators</t>
  </si>
  <si>
    <t>Simple ABV Estimator</t>
  </si>
  <si>
    <t xml:space="preserve">Original Gravity </t>
  </si>
  <si>
    <t>Original Gravity</t>
  </si>
  <si>
    <t>Temperatures are NOT taken into considaration for these two estimators.</t>
  </si>
  <si>
    <r>
      <rPr>
        <sz val="10"/>
        <color rgb="FFFF0000"/>
        <rFont val="Times New Roman"/>
        <family val="1"/>
      </rPr>
      <t>Calibration temperatures &amp; wort/must temperatures are taken into account for</t>
    </r>
    <r>
      <rPr>
        <sz val="10"/>
        <rFont val="Times New Roman"/>
        <family val="1"/>
      </rPr>
      <t xml:space="preserve"> </t>
    </r>
    <r>
      <rPr>
        <b/>
        <sz val="10"/>
        <rFont val="Times New Roman"/>
        <family val="1"/>
      </rPr>
      <t>all</t>
    </r>
    <r>
      <rPr>
        <sz val="10"/>
        <color rgb="FFFF0000"/>
        <rFont val="Times New Roman"/>
        <family val="1"/>
      </rPr>
      <t xml:space="preserve"> SG readings.</t>
    </r>
  </si>
  <si>
    <t>Final Gravity</t>
  </si>
  <si>
    <t>% ABV (approx)</t>
  </si>
  <si>
    <r>
      <rPr>
        <b/>
        <sz val="10"/>
        <color indexed="8"/>
        <rFont val="Times New Roman"/>
        <family val="1"/>
      </rPr>
      <t>OG</t>
    </r>
    <r>
      <rPr>
        <sz val="10"/>
        <color indexed="8"/>
        <rFont val="Times New Roman"/>
        <family val="1"/>
      </rPr>
      <t xml:space="preserve"> Measured</t>
    </r>
  </si>
  <si>
    <r>
      <rPr>
        <b/>
        <sz val="10"/>
        <color indexed="8"/>
        <rFont val="Times New Roman"/>
        <family val="1"/>
      </rPr>
      <t>OG</t>
    </r>
    <r>
      <rPr>
        <sz val="10"/>
        <color indexed="8"/>
        <rFont val="Times New Roman"/>
        <family val="1"/>
      </rPr>
      <t xml:space="preserve"> Corrected</t>
    </r>
  </si>
  <si>
    <t>Using the simpler "brewers degrees"</t>
  </si>
  <si>
    <r>
      <rPr>
        <sz val="10"/>
        <color rgb="FFFF0000"/>
        <rFont val="Times New Roman"/>
        <family val="1"/>
      </rPr>
      <t>Using the simpler`brewers degrees, which equal (SG-1000)</t>
    </r>
    <r>
      <rPr>
        <sz val="12"/>
        <color rgb="FFFF0000"/>
        <rFont val="Times New Roman"/>
        <family val="1"/>
      </rPr>
      <t>°</t>
    </r>
    <r>
      <rPr>
        <sz val="10"/>
        <color rgb="FFFF0000"/>
        <rFont val="Times New Roman"/>
        <family val="1"/>
      </rPr>
      <t xml:space="preserve">.                     </t>
    </r>
    <r>
      <rPr>
        <sz val="10"/>
        <rFont val="Times New Roman"/>
        <family val="1"/>
      </rPr>
      <t xml:space="preserve"> Example: a SG of 993 is represented by (993-1000 ) = -7</t>
    </r>
    <r>
      <rPr>
        <sz val="12"/>
        <rFont val="Times New Roman"/>
        <family val="1"/>
      </rPr>
      <t>°.</t>
    </r>
  </si>
  <si>
    <t xml:space="preserve">Calibration Temp. </t>
  </si>
  <si>
    <r>
      <rPr>
        <b/>
        <sz val="10"/>
        <color indexed="8"/>
        <rFont val="Times New Roman"/>
        <family val="1"/>
      </rPr>
      <t>FG</t>
    </r>
    <r>
      <rPr>
        <sz val="10"/>
        <color indexed="8"/>
        <rFont val="Times New Roman"/>
        <family val="1"/>
      </rPr>
      <t xml:space="preserve"> Measured</t>
    </r>
  </si>
  <si>
    <r>
      <rPr>
        <b/>
        <sz val="10"/>
        <color indexed="8"/>
        <rFont val="Times New Roman"/>
        <family val="1"/>
      </rPr>
      <t>FG</t>
    </r>
    <r>
      <rPr>
        <sz val="10"/>
        <color indexed="8"/>
        <rFont val="Times New Roman"/>
        <family val="1"/>
      </rPr>
      <t xml:space="preserve"> Corrected</t>
    </r>
  </si>
  <si>
    <t>ABV (approx.)</t>
  </si>
  <si>
    <t>OG Correction For Beers &amp; Wines etc.</t>
  </si>
  <si>
    <t>SG Converter</t>
  </si>
  <si>
    <t>Present SG</t>
  </si>
  <si>
    <t>SG required</t>
  </si>
  <si>
    <t>Present Vol. (litres)</t>
  </si>
  <si>
    <t>Topping Up Vol. (litres)</t>
  </si>
  <si>
    <t>New Vol. (litres)</t>
  </si>
  <si>
    <t>The "Present SG" must be equal to or higher than the "SG Required", in all cases.</t>
  </si>
  <si>
    <t>All gravities are assumed to be at room temp. or compensated for.</t>
  </si>
  <si>
    <t>SG ̸ Vol. Converter</t>
  </si>
  <si>
    <t>&amp; an initial volume of</t>
  </si>
  <si>
    <t>litres when DILUTED.</t>
  </si>
  <si>
    <t>ABV ̸ Vol. Converter</t>
  </si>
  <si>
    <t>when DILUTED.</t>
  </si>
  <si>
    <t>Mainly for distillers</t>
  </si>
  <si>
    <t>SG</t>
  </si>
  <si>
    <r>
      <rPr>
        <sz val="11"/>
        <color indexed="8"/>
        <rFont val="Times New Roman"/>
        <family val="1"/>
      </rPr>
      <t>°</t>
    </r>
    <r>
      <rPr>
        <sz val="10"/>
        <color indexed="8"/>
        <rFont val="Times New Roman"/>
        <family val="1"/>
      </rPr>
      <t>Brix ̸ Plato ̸ Balling</t>
    </r>
  </si>
  <si>
    <r>
      <rPr>
        <sz val="11"/>
        <rFont val="Times New Roman"/>
        <family val="1"/>
      </rPr>
      <t>°</t>
    </r>
    <r>
      <rPr>
        <sz val="10"/>
        <rFont val="Times New Roman"/>
        <family val="1"/>
      </rPr>
      <t>Baumé</t>
    </r>
  </si>
  <si>
    <t>Refractometer Calibration</t>
  </si>
  <si>
    <r>
      <rPr>
        <sz val="10"/>
        <color indexed="8"/>
        <rFont val="Times New Roman"/>
        <family val="1"/>
      </rPr>
      <t>(</t>
    </r>
    <r>
      <rPr>
        <sz val="11"/>
        <color indexed="8"/>
        <rFont val="Times New Roman"/>
        <family val="1"/>
      </rPr>
      <t>°</t>
    </r>
    <r>
      <rPr>
        <sz val="10"/>
        <color indexed="8"/>
        <rFont val="Times New Roman"/>
        <family val="1"/>
      </rPr>
      <t>Bx, P, B &amp; Bé)</t>
    </r>
  </si>
  <si>
    <r>
      <t>Temperatures of around 20</t>
    </r>
    <r>
      <rPr>
        <sz val="12"/>
        <color rgb="FFFF0000"/>
        <rFont val="Times New Roman"/>
        <family val="1"/>
      </rPr>
      <t>°</t>
    </r>
    <r>
      <rPr>
        <sz val="10"/>
        <color rgb="FFFF0000"/>
        <rFont val="Times New Roman"/>
        <family val="1"/>
      </rPr>
      <t>C are assumed.</t>
    </r>
  </si>
  <si>
    <t>Calibrated hydrometer reading</t>
  </si>
  <si>
    <r>
      <rPr>
        <sz val="10"/>
        <color indexed="8"/>
        <rFont val="Times New Roman"/>
        <family val="1"/>
      </rPr>
      <t>Refractometer reading (</t>
    </r>
    <r>
      <rPr>
        <sz val="11"/>
        <color indexed="8"/>
        <rFont val="Times New Roman"/>
        <family val="1"/>
      </rPr>
      <t>°</t>
    </r>
    <r>
      <rPr>
        <sz val="10"/>
        <color indexed="8"/>
        <rFont val="Times New Roman"/>
        <family val="1"/>
      </rPr>
      <t>Brix)</t>
    </r>
  </si>
  <si>
    <r>
      <rPr>
        <sz val="10"/>
        <color indexed="8"/>
        <rFont val="Times New Roman"/>
        <family val="1"/>
      </rPr>
      <t>Corrected reading (</t>
    </r>
    <r>
      <rPr>
        <sz val="11"/>
        <color indexed="8"/>
        <rFont val="Times New Roman"/>
        <family val="1"/>
      </rPr>
      <t>°</t>
    </r>
    <r>
      <rPr>
        <sz val="10"/>
        <color indexed="8"/>
        <rFont val="Times New Roman"/>
        <family val="1"/>
      </rPr>
      <t>Brix)</t>
    </r>
  </si>
  <si>
    <t xml:space="preserve">Brix, Plato &amp; Balling are scales of sweetness based on sucrose solutions they give very similar results, to within a few decimal places &amp; therefore can be assumed to be the same for our purposes. The minimum amount of "sugar" that can be added is zero, hence the minimum value of the three scales is also zero. </t>
  </si>
  <si>
    <r>
      <t xml:space="preserve"> Generally, 1</t>
    </r>
    <r>
      <rPr>
        <sz val="12"/>
        <color indexed="8"/>
        <rFont val="Times New Roman"/>
        <family val="1"/>
      </rPr>
      <t xml:space="preserve">° </t>
    </r>
    <r>
      <rPr>
        <sz val="10"/>
        <color indexed="8"/>
        <rFont val="Times New Roman"/>
        <family val="1"/>
      </rPr>
      <t>Plato is considered as 1004 (or just 4 brewers degrees) SG.</t>
    </r>
  </si>
  <si>
    <r>
      <t xml:space="preserve">UK </t>
    </r>
    <r>
      <rPr>
        <b/>
        <u/>
        <sz val="11.5"/>
        <rFont val="Times New Roman"/>
        <family val="1"/>
      </rPr>
      <t>Proof &amp; % Converters</t>
    </r>
  </si>
  <si>
    <t>% ABV</t>
  </si>
  <si>
    <r>
      <t>UK</t>
    </r>
    <r>
      <rPr>
        <b/>
        <sz val="11"/>
        <color rgb="FFFF0000"/>
        <rFont val="Times New Roman"/>
        <family val="1"/>
      </rPr>
      <t>°</t>
    </r>
    <r>
      <rPr>
        <sz val="10"/>
        <rFont val="Times New Roman"/>
        <family val="1"/>
      </rPr>
      <t xml:space="preserve"> proof</t>
    </r>
  </si>
  <si>
    <t>% ABW</t>
  </si>
  <si>
    <r>
      <t xml:space="preserve">&amp; </t>
    </r>
    <r>
      <rPr>
        <b/>
        <sz val="10"/>
        <color rgb="FFFF33CC"/>
        <rFont val="Times New Roman"/>
        <family val="1"/>
      </rPr>
      <t>US</t>
    </r>
  </si>
  <si>
    <r>
      <t>US</t>
    </r>
    <r>
      <rPr>
        <b/>
        <sz val="11"/>
        <color rgb="FFFF00FF"/>
        <rFont val="Times New Roman"/>
        <family val="1"/>
      </rPr>
      <t>°</t>
    </r>
    <r>
      <rPr>
        <sz val="10"/>
        <rFont val="Times New Roman"/>
        <family val="1"/>
      </rPr>
      <t xml:space="preserve"> proof</t>
    </r>
    <r>
      <rPr>
        <sz val="11"/>
        <rFont val="Times New Roman"/>
        <family val="1"/>
      </rPr>
      <t xml:space="preserve"> </t>
    </r>
  </si>
  <si>
    <r>
      <t>UK</t>
    </r>
    <r>
      <rPr>
        <b/>
        <sz val="10"/>
        <color theme="1"/>
        <rFont val="Times New Roman"/>
        <family val="1"/>
      </rPr>
      <t xml:space="preserve"> ̸ </t>
    </r>
    <r>
      <rPr>
        <b/>
        <sz val="10"/>
        <color rgb="FFFF00FF"/>
        <rFont val="Times New Roman"/>
        <family val="1"/>
      </rPr>
      <t>US</t>
    </r>
    <r>
      <rPr>
        <b/>
        <sz val="10"/>
        <color indexed="10"/>
        <rFont val="Times New Roman"/>
        <family val="1"/>
      </rPr>
      <t xml:space="preserve"> </t>
    </r>
    <r>
      <rPr>
        <b/>
        <sz val="10"/>
        <color theme="1"/>
        <rFont val="Times New Roman"/>
        <family val="1"/>
      </rPr>
      <t>Proof Converters</t>
    </r>
  </si>
  <si>
    <r>
      <rPr>
        <b/>
        <sz val="10"/>
        <color rgb="FFFF0000"/>
        <rFont val="Times New Roman"/>
        <family val="1"/>
      </rPr>
      <t>UK</t>
    </r>
    <r>
      <rPr>
        <b/>
        <sz val="11"/>
        <color rgb="FFFF0000"/>
        <rFont val="Times New Roman"/>
        <family val="1"/>
      </rPr>
      <t>°</t>
    </r>
  </si>
  <si>
    <t>Proof</t>
  </si>
  <si>
    <r>
      <rPr>
        <b/>
        <sz val="10"/>
        <color rgb="FFFF00FF"/>
        <rFont val="Times New Roman"/>
        <family val="1"/>
      </rPr>
      <t>US</t>
    </r>
    <r>
      <rPr>
        <b/>
        <sz val="11"/>
        <color rgb="FFFF00FF"/>
        <rFont val="Times New Roman"/>
        <family val="1"/>
      </rPr>
      <t>°</t>
    </r>
  </si>
  <si>
    <t>ABV ̸ Proof converter</t>
  </si>
  <si>
    <r>
      <t>US</t>
    </r>
    <r>
      <rPr>
        <b/>
        <sz val="11"/>
        <color rgb="FFFF00FF"/>
        <rFont val="Times New Roman"/>
        <family val="1"/>
      </rPr>
      <t>°</t>
    </r>
    <r>
      <rPr>
        <sz val="10"/>
        <rFont val="Times New Roman"/>
        <family val="1"/>
      </rPr>
      <t xml:space="preserve"> proof</t>
    </r>
  </si>
  <si>
    <t>ABW ̸ Proof converter</t>
  </si>
  <si>
    <t>(Note: all these calc's are approx.)</t>
  </si>
  <si>
    <r>
      <t xml:space="preserve">Proof max. </t>
    </r>
    <r>
      <rPr>
        <b/>
        <sz val="10"/>
        <color rgb="FFFF0000"/>
        <rFont val="Times New Roman"/>
        <family val="1"/>
      </rPr>
      <t>UK 175</t>
    </r>
    <r>
      <rPr>
        <b/>
        <sz val="11"/>
        <color rgb="FFFF0000"/>
        <rFont val="Times New Roman"/>
        <family val="1"/>
      </rPr>
      <t>°</t>
    </r>
    <r>
      <rPr>
        <b/>
        <sz val="10"/>
        <color indexed="8"/>
        <rFont val="Times New Roman"/>
        <family val="1"/>
      </rPr>
      <t xml:space="preserve"> ̸ </t>
    </r>
    <r>
      <rPr>
        <b/>
        <sz val="10"/>
        <color rgb="FFFF00FF"/>
        <rFont val="Times New Roman"/>
        <family val="1"/>
      </rPr>
      <t>USA 200</t>
    </r>
    <r>
      <rPr>
        <b/>
        <sz val="11"/>
        <color rgb="FFFF00FF"/>
        <rFont val="Times New Roman"/>
        <family val="1"/>
      </rPr>
      <t>°</t>
    </r>
    <r>
      <rPr>
        <sz val="10"/>
        <color indexed="8"/>
        <rFont val="Times New Roman"/>
        <family val="1"/>
      </rPr>
      <t>. All temperatures are assumed to be at around 20</t>
    </r>
    <r>
      <rPr>
        <sz val="11"/>
        <color indexed="8"/>
        <rFont val="Times New Roman"/>
        <family val="1"/>
      </rPr>
      <t>°</t>
    </r>
    <r>
      <rPr>
        <sz val="10"/>
        <color indexed="8"/>
        <rFont val="Times New Roman"/>
        <family val="1"/>
      </rPr>
      <t xml:space="preserve">C. </t>
    </r>
    <r>
      <rPr>
        <sz val="10"/>
        <color rgb="FFFF0000"/>
        <rFont val="Times New Roman"/>
        <family val="1"/>
      </rPr>
      <t>Just try other calc's for 100% ABV or 100% ABW!</t>
    </r>
    <r>
      <rPr>
        <sz val="10"/>
        <color indexed="8"/>
        <rFont val="Times New Roman"/>
        <family val="1"/>
      </rPr>
      <t xml:space="preserve"> (BUT, to me, 100% ABV implies 100% ABW.)</t>
    </r>
  </si>
  <si>
    <r>
      <t xml:space="preserve">For ALL Grain Beers </t>
    </r>
    <r>
      <rPr>
        <b/>
        <u/>
        <sz val="11.5"/>
        <color rgb="FF7030A0"/>
        <rFont val="Times New Roman"/>
        <family val="1"/>
      </rPr>
      <t>(mostly)</t>
    </r>
  </si>
  <si>
    <t>F.G.</t>
  </si>
  <si>
    <t xml:space="preserve">Yeast Efficiency ̸ Attenuation % </t>
  </si>
  <si>
    <t>O.G.</t>
  </si>
  <si>
    <t>Brewers degrees used</t>
  </si>
  <si>
    <t>Brew Efficiency %</t>
  </si>
  <si>
    <t>Vol. (litres)</t>
  </si>
  <si>
    <t>Malt Wt. g</t>
  </si>
  <si>
    <t xml:space="preserve">         No sugar before priming</t>
  </si>
  <si>
    <t>For ANY Beers</t>
  </si>
  <si>
    <t>Apparent Attenuation</t>
  </si>
  <si>
    <t>Real Attenuation</t>
  </si>
  <si>
    <t>Yeast Efficiency is generally assumed to be 76%.</t>
  </si>
  <si>
    <t>Inc. any sugars.</t>
  </si>
  <si>
    <r>
      <rPr>
        <u/>
        <sz val="10"/>
        <color rgb="FFFF0000"/>
        <rFont val="Times New Roman"/>
        <family val="1"/>
      </rPr>
      <t>NOTE:-</t>
    </r>
    <r>
      <rPr>
        <sz val="10"/>
        <rFont val="Times New Roman"/>
        <family val="1"/>
      </rPr>
      <t xml:space="preserve"> Typical yeast efficiencies can have a tolerance of ±3-5%.</t>
    </r>
  </si>
  <si>
    <t>Hop Drying</t>
  </si>
  <si>
    <t>Hop Alpha Acid ̸ Weight Conversions</t>
  </si>
  <si>
    <t>Freshly harvested hops contain about 76-84% moisture (80% nom), this needs to be reduced to 8-12% for our use.</t>
  </si>
  <si>
    <t>Old % alpha acid</t>
  </si>
  <si>
    <t>New % alpha acid</t>
  </si>
  <si>
    <t>Weight of  hop container ̸ bag</t>
  </si>
  <si>
    <t>g (empty)</t>
  </si>
  <si>
    <t>Old weight</t>
  </si>
  <si>
    <t>New weight</t>
  </si>
  <si>
    <t>Weight of  'wet' hops + container ̸ bag</t>
  </si>
  <si>
    <t xml:space="preserve">g, assumed moisture content of </t>
  </si>
  <si>
    <t>% nom 80.</t>
  </si>
  <si>
    <t>Moisture content of the 'dried' hops is</t>
  </si>
  <si>
    <t>% (nominally 10)</t>
  </si>
  <si>
    <t>Approx. Hop Calc's (for ALL beers)</t>
  </si>
  <si>
    <t xml:space="preserve"> 'Dried' hops + container ̸ bag weight is</t>
  </si>
  <si>
    <t>g (total).</t>
  </si>
  <si>
    <t>EBU</t>
  </si>
  <si>
    <t>Alpha acid %</t>
  </si>
  <si>
    <t>The actual 'dried' hop weigh is</t>
  </si>
  <si>
    <t>Hop utilization %</t>
  </si>
  <si>
    <t>Hop wt. g</t>
  </si>
  <si>
    <r>
      <t>(</t>
    </r>
    <r>
      <rPr>
        <b/>
        <sz val="10"/>
        <color rgb="FFFF0000"/>
        <rFont val="Times New Roman"/>
        <family val="1"/>
      </rPr>
      <t>UK</t>
    </r>
    <r>
      <rPr>
        <sz val="10"/>
        <color rgb="FFFF0000"/>
        <rFont val="Times New Roman"/>
        <family val="1"/>
      </rPr>
      <t xml:space="preserve"> </t>
    </r>
    <r>
      <rPr>
        <sz val="10"/>
        <rFont val="Times New Roman"/>
        <family val="1"/>
      </rPr>
      <t xml:space="preserve">tend to use 20%, </t>
    </r>
    <r>
      <rPr>
        <b/>
        <sz val="10"/>
        <color rgb="FFFF00FF"/>
        <rFont val="Times New Roman"/>
        <family val="1"/>
      </rPr>
      <t>USA</t>
    </r>
    <r>
      <rPr>
        <sz val="10"/>
        <color rgb="FFCC00FF"/>
        <rFont val="Times New Roman"/>
        <family val="1"/>
      </rPr>
      <t>,</t>
    </r>
    <r>
      <rPr>
        <sz val="10"/>
        <rFont val="Times New Roman"/>
        <family val="1"/>
      </rPr>
      <t xml:space="preserve"> 25%)</t>
    </r>
  </si>
  <si>
    <t>Hop Extract</t>
  </si>
  <si>
    <t xml:space="preserve">ml iso-hop extract in </t>
  </si>
  <si>
    <t>litre gives approx.</t>
  </si>
  <si>
    <t>EBU's</t>
  </si>
  <si>
    <t>Note:- 1 ml of Ritchie's hop extract in 1 litre of beer adds 69 EBU's.</t>
  </si>
  <si>
    <t>level tsp hop extract in</t>
  </si>
  <si>
    <r>
      <rPr>
        <sz val="10"/>
        <color indexed="8"/>
        <rFont val="Times New Roman"/>
        <family val="1"/>
      </rPr>
      <t xml:space="preserve">For a gravity of </t>
    </r>
    <r>
      <rPr>
        <b/>
        <sz val="10"/>
        <color indexed="10"/>
        <rFont val="Times New Roman"/>
        <family val="1"/>
      </rPr>
      <t>1300</t>
    </r>
  </si>
  <si>
    <t>Wt. Sugar</t>
  </si>
  <si>
    <t>Vol. water</t>
  </si>
  <si>
    <t>Final Vol.</t>
  </si>
  <si>
    <t>S. G.</t>
  </si>
  <si>
    <t>For fixed weigh of sugar &amp; a fixed volume of water</t>
  </si>
  <si>
    <t>Approximate Beer Colour Chart</t>
  </si>
  <si>
    <t>Wt hops</t>
  </si>
  <si>
    <t>BEER Colour Converter</t>
  </si>
  <si>
    <t>Wt dry</t>
  </si>
  <si>
    <t>EBC</t>
  </si>
  <si>
    <t>Colour</t>
  </si>
  <si>
    <t>SRM</t>
  </si>
  <si>
    <t>COLOUR is measured in EBC's (European Brewing Convention) by a light (430nm - a shade of indigo) passing through a 25mm cuvette (“square sectioned glass").</t>
  </si>
  <si>
    <r>
      <rPr>
        <sz val="10"/>
        <color indexed="8"/>
        <rFont val="Times New Roman"/>
        <family val="1"/>
      </rPr>
      <t xml:space="preserve">The up-dated American colour measuring system, SRM (Standard Reference Method), is approximately 0.508 x EBC as they use a 0.5 inch cuvette. Disregard any more complicated conversions as they may use the defunct </t>
    </r>
    <r>
      <rPr>
        <b/>
        <sz val="10"/>
        <color indexed="8"/>
        <rFont val="Times New Roman"/>
        <family val="1"/>
      </rPr>
      <t>old</t>
    </r>
    <r>
      <rPr>
        <sz val="10"/>
        <color indexed="8"/>
        <rFont val="Times New Roman"/>
        <family val="1"/>
      </rPr>
      <t xml:space="preserve"> SRM system changed in approx 1975, some sites US actually stlll use this </t>
    </r>
    <r>
      <rPr>
        <b/>
        <sz val="10"/>
        <color indexed="8"/>
        <rFont val="Times New Roman"/>
        <family val="1"/>
      </rPr>
      <t>old</t>
    </r>
    <r>
      <rPr>
        <sz val="10"/>
        <color indexed="8"/>
        <rFont val="Times New Roman"/>
        <family val="1"/>
      </rPr>
      <t xml:space="preserve"> system!</t>
    </r>
  </si>
  <si>
    <t>Some Typical Malt Colours</t>
  </si>
  <si>
    <t>MALT Colour Converter (Approx.)</t>
  </si>
  <si>
    <t>Malt ̸ Adjunct</t>
  </si>
  <si>
    <t>Lager</t>
  </si>
  <si>
    <t>Wheat</t>
  </si>
  <si>
    <t>Pale malt</t>
  </si>
  <si>
    <t>Vienna</t>
  </si>
  <si>
    <t>Carapils</t>
  </si>
  <si>
    <t>Caramalt</t>
  </si>
  <si>
    <t xml:space="preserve">Crystal </t>
  </si>
  <si>
    <t xml:space="preserve">Roast </t>
  </si>
  <si>
    <t>Black malt</t>
  </si>
  <si>
    <t>(for colours &gt;1.0)</t>
  </si>
  <si>
    <t>malt</t>
  </si>
  <si>
    <t>light</t>
  </si>
  <si>
    <t>med</t>
  </si>
  <si>
    <t>dark</t>
  </si>
  <si>
    <t>barley</t>
  </si>
  <si>
    <t xml:space="preserve"> malt</t>
  </si>
  <si>
    <t>Lovibond</t>
  </si>
  <si>
    <t>Colour EBC (typical)</t>
  </si>
  <si>
    <t>Colour Lovibond (typical)</t>
  </si>
  <si>
    <t>For information about beer styles ̸ colour ̸ hopping rates etc. see "BJCP Beer Styles".</t>
  </si>
  <si>
    <r>
      <rPr>
        <b/>
        <u/>
        <sz val="9"/>
        <color indexed="8"/>
        <rFont val="Times New Roman"/>
        <family val="1"/>
      </rPr>
      <t>Not</t>
    </r>
    <r>
      <rPr>
        <b/>
        <sz val="9"/>
        <color indexed="8"/>
        <rFont val="Times New Roman"/>
        <family val="1"/>
      </rPr>
      <t xml:space="preserve"> to be confused with the "BEER Colour".</t>
    </r>
  </si>
  <si>
    <t>For use when sugars etc. are added at different stages or times.</t>
  </si>
  <si>
    <t>Initial gravity (stage 1)</t>
  </si>
  <si>
    <t>Effective O. G. =</t>
  </si>
  <si>
    <t>When using this calculator, it is vital to take gravity readings before &amp; after the sugars, syrups &amp; malt extracts etc. have been mixed in.</t>
  </si>
  <si>
    <t>Measured gravity (stage 2)</t>
  </si>
  <si>
    <t>Amended gravity</t>
  </si>
  <si>
    <t>End gravity =</t>
  </si>
  <si>
    <t>Measured gravity (stage 3)</t>
  </si>
  <si>
    <t>Alcohol (exc. primer) =</t>
  </si>
  <si>
    <t>Final measured gravity</t>
  </si>
  <si>
    <t>Hydrometer readings errors of ± 1 can typically lead to errors of about 0.3% ABV.</t>
  </si>
  <si>
    <t>There is no reason why these calculators cannot be used for wines etc.</t>
  </si>
  <si>
    <t>Beer Name</t>
  </si>
  <si>
    <t>Vol. 3</t>
  </si>
  <si>
    <r>
      <rPr>
        <sz val="10"/>
        <color theme="0" tint="-4.9989318521683403E-2"/>
        <rFont val="Calibri"/>
        <family val="2"/>
      </rPr>
      <t>≈</t>
    </r>
    <r>
      <rPr>
        <sz val="10"/>
        <color theme="0" tint="-4.9989318521683403E-2"/>
        <rFont val="Times New Roman"/>
        <family val="1"/>
      </rPr>
      <t>($F$36:£F£39)+SUM($F150:$F$ 511), )&amp; ̸ "&amp;F(K56*P105*R105/ (M105*D5),1)&amp;" sex"&amp;W11SE/A6*B2</t>
    </r>
  </si>
  <si>
    <t>SUMMARY</t>
  </si>
  <si>
    <t xml:space="preserve">Woodforde's Wherry </t>
  </si>
  <si>
    <t>Pre-heat</t>
  </si>
  <si>
    <t>Post-heat</t>
  </si>
  <si>
    <t>Original Vol. (after racking)</t>
  </si>
  <si>
    <t>litres</t>
  </si>
  <si>
    <t>vol. used inc. any top-up water</t>
  </si>
  <si>
    <t>"New" brew Vol.</t>
  </si>
  <si>
    <t>litres (Vol. 1 + Vol. 3)</t>
  </si>
  <si>
    <t xml:space="preserve"> =(-0.0684226,POWER(E72,-1.55082))),13.56)</t>
  </si>
  <si>
    <t>"New" brew S. G.</t>
  </si>
  <si>
    <t>approx.</t>
  </si>
  <si>
    <t>calc.</t>
  </si>
  <si>
    <t>Priming sugar added</t>
  </si>
  <si>
    <t>% ABV (approx.)</t>
  </si>
  <si>
    <t>% assumed (0 nominally)</t>
  </si>
  <si>
    <t>"New" brew % ABV</t>
  </si>
  <si>
    <r>
      <rPr>
        <sz val="10"/>
        <color indexed="8"/>
        <rFont val="Times New Roman"/>
        <family val="1"/>
      </rPr>
      <t>Split the racked beer into two parts, "Vol. 1" &amp; "Vol. 2". Heat "Vol. 2" for 25-30 mins at a temperature of between 80-85</t>
    </r>
    <r>
      <rPr>
        <sz val="11"/>
        <color indexed="8"/>
        <rFont val="Times New Roman"/>
        <family val="1"/>
      </rPr>
      <t>°</t>
    </r>
    <r>
      <rPr>
        <sz val="10"/>
        <color indexed="8"/>
        <rFont val="Times New Roman"/>
        <family val="1"/>
      </rPr>
      <t>C (ethyl alcohol boils at about 78</t>
    </r>
    <r>
      <rPr>
        <sz val="11"/>
        <color indexed="8"/>
        <rFont val="Times New Roman"/>
        <family val="1"/>
      </rPr>
      <t>°</t>
    </r>
    <r>
      <rPr>
        <sz val="10"/>
        <color indexed="8"/>
        <rFont val="Times New Roman"/>
        <family val="1"/>
      </rPr>
      <t>C). After heating this reduced vol. becomes "Vol. 3" which may be topped-up as required. When cool, mix the beers, prime &amp; bottle. Note:- Reducing any sugar would be the much better option.</t>
    </r>
  </si>
  <si>
    <r>
      <rPr>
        <sz val="10"/>
        <color indexed="8"/>
        <rFont val="Times New Roman"/>
        <family val="1"/>
      </rPr>
      <t>Typical sucrose priming rates @ 20</t>
    </r>
    <r>
      <rPr>
        <sz val="11"/>
        <color indexed="8"/>
        <rFont val="Times New Roman"/>
        <family val="1"/>
      </rPr>
      <t>°</t>
    </r>
    <r>
      <rPr>
        <sz val="10"/>
        <color indexed="8"/>
        <rFont val="Times New Roman"/>
        <family val="1"/>
      </rPr>
      <t>C</t>
    </r>
  </si>
  <si>
    <t>3.15g ̸ litre (1 level 5ml tsp) for British ales.</t>
  </si>
  <si>
    <t>Batch Priming</t>
  </si>
  <si>
    <t xml:space="preserve">litres. </t>
  </si>
  <si>
    <t>4.725g ̸ litre (1.5 level tsp) for porters ̸ stouts.</t>
  </si>
  <si>
    <t>6.3g ̸ litre (2 level tsp) for Trappist ̸ Abbey ales &amp; lagers.</t>
  </si>
  <si>
    <t>Sucrose</t>
  </si>
  <si>
    <t>"Sugar" wt. ̸ tsp</t>
  </si>
  <si>
    <t>Brewing sugar</t>
  </si>
  <si>
    <t>For more information about "carbonation" see "Beer Primer" page.</t>
  </si>
  <si>
    <t>Where 1 level 5ml tsp sugar (sucrose) =</t>
  </si>
  <si>
    <t>(3.15g nom)</t>
  </si>
  <si>
    <r>
      <rPr>
        <b/>
        <u/>
        <sz val="10"/>
        <color rgb="FFFF0000"/>
        <rFont val="Times New Roman"/>
        <family val="1"/>
      </rPr>
      <t>Please note:-</t>
    </r>
    <r>
      <rPr>
        <sz val="10"/>
        <color indexed="8"/>
        <rFont val="Times New Roman"/>
        <family val="1"/>
      </rPr>
      <t xml:space="preserve"> Priming with brewing sugar has no advantages &amp;, "carbonation drops", which are mostly  sugar, are an expensive con. If  you like the convenience, use normal sugar cubes instead!</t>
    </r>
  </si>
  <si>
    <r>
      <t>Safe Drinking (Units)</t>
    </r>
    <r>
      <rPr>
        <b/>
        <u/>
        <sz val="12"/>
        <color indexed="8"/>
        <rFont val="Times New Roman"/>
        <family val="1"/>
      </rPr>
      <t xml:space="preserve"> </t>
    </r>
    <r>
      <rPr>
        <b/>
        <u/>
        <sz val="11.5"/>
        <color indexed="8"/>
        <rFont val="Times New Roman"/>
        <family val="1"/>
      </rPr>
      <t xml:space="preserve">in the </t>
    </r>
    <r>
      <rPr>
        <b/>
        <u/>
        <sz val="11.5"/>
        <color rgb="FFFF0000"/>
        <rFont val="Times New Roman"/>
        <family val="1"/>
      </rPr>
      <t>UK</t>
    </r>
  </si>
  <si>
    <r>
      <t xml:space="preserve"> </t>
    </r>
    <r>
      <rPr>
        <b/>
        <sz val="10"/>
        <color rgb="FFFF0000"/>
        <rFont val="Times New Roman"/>
        <family val="1"/>
      </rPr>
      <t>UK</t>
    </r>
    <r>
      <rPr>
        <sz val="10"/>
        <rFont val="Times New Roman"/>
        <family val="1"/>
      </rPr>
      <t xml:space="preserve"> units, 1 unit = 10ml alcohol. Note:- 1 unit in these Calc's =</t>
    </r>
  </si>
  <si>
    <t>ml alcohol</t>
  </si>
  <si>
    <t>Country</t>
  </si>
  <si>
    <t>1 unit alcohol =</t>
  </si>
  <si>
    <t>Bottle ̸ glass size</t>
  </si>
  <si>
    <t>No. of bottles ̸ glasses</t>
  </si>
  <si>
    <t>Units</t>
  </si>
  <si>
    <t>For</t>
  </si>
  <si>
    <t xml:space="preserve">ml     OR     g  </t>
  </si>
  <si>
    <t xml:space="preserve"> ml</t>
  </si>
  <si>
    <t>Australia</t>
  </si>
  <si>
    <r>
      <rPr>
        <b/>
        <sz val="10"/>
        <color indexed="10"/>
        <rFont val="Times New Roman"/>
        <family val="1"/>
      </rPr>
      <t>UK</t>
    </r>
    <r>
      <rPr>
        <sz val="10"/>
        <color indexed="10"/>
        <rFont val="Times New Roman"/>
        <family val="1"/>
      </rPr>
      <t xml:space="preserve"> </t>
    </r>
    <r>
      <rPr>
        <sz val="10"/>
        <color indexed="8"/>
        <rFont val="Times New Roman"/>
        <family val="1"/>
      </rPr>
      <t>pt</t>
    </r>
  </si>
  <si>
    <t>Austria</t>
  </si>
  <si>
    <r>
      <rPr>
        <b/>
        <sz val="10"/>
        <color rgb="FFFF0000"/>
        <rFont val="Times New Roman"/>
        <family val="1"/>
      </rPr>
      <t xml:space="preserve"> fl</t>
    </r>
    <r>
      <rPr>
        <sz val="10"/>
        <color indexed="8"/>
        <rFont val="Times New Roman"/>
        <family val="1"/>
      </rPr>
      <t xml:space="preserve"> oz</t>
    </r>
  </si>
  <si>
    <t>Canada</t>
  </si>
  <si>
    <t>The UK Government recommended units of alcohol per week is 14 for both &amp; for men. This equates to 2 units per day.</t>
  </si>
  <si>
    <t>Denmark</t>
  </si>
  <si>
    <t>Note:- All Governments can ruin your health &amp; wealth!</t>
  </si>
  <si>
    <t>Finland</t>
  </si>
  <si>
    <t>France</t>
  </si>
  <si>
    <r>
      <t>BMI Calculator</t>
    </r>
    <r>
      <rPr>
        <b/>
        <sz val="11.5"/>
        <color indexed="8"/>
        <rFont val="Times New Roman"/>
        <family val="1"/>
      </rPr>
      <t xml:space="preserve">                                                                                                                  </t>
    </r>
    <r>
      <rPr>
        <b/>
        <u/>
        <sz val="11.5"/>
        <color indexed="8"/>
        <rFont val="Times New Roman"/>
        <family val="1"/>
      </rPr>
      <t>Waist to Height Ratio Calculator</t>
    </r>
  </si>
  <si>
    <t>Gremany</t>
  </si>
  <si>
    <t>Knickers!</t>
  </si>
  <si>
    <t>METRIC</t>
  </si>
  <si>
    <t>IMPERIAL</t>
  </si>
  <si>
    <t>Alternatively, your waist to height ratio should not generally exceed about 53%.</t>
  </si>
  <si>
    <t>Hong Kong</t>
  </si>
  <si>
    <t>Height</t>
  </si>
  <si>
    <t>m</t>
  </si>
  <si>
    <t>ft.</t>
  </si>
  <si>
    <t>in</t>
  </si>
  <si>
    <t>cm</t>
  </si>
  <si>
    <t>Hungary</t>
  </si>
  <si>
    <t>Waist measurement</t>
  </si>
  <si>
    <t>Fatty!</t>
  </si>
  <si>
    <t>Iceland</t>
  </si>
  <si>
    <t>Weight</t>
  </si>
  <si>
    <t>st</t>
  </si>
  <si>
    <t>Ireland (Eire)</t>
  </si>
  <si>
    <r>
      <t xml:space="preserve">Ratio (Women)  </t>
    </r>
    <r>
      <rPr>
        <u/>
        <sz val="10"/>
        <color rgb="FFFF0000"/>
        <rFont val="Times New Roman"/>
        <family val="1"/>
      </rPr>
      <t>(%)</t>
    </r>
  </si>
  <si>
    <t>Italy</t>
  </si>
  <si>
    <t xml:space="preserve">BMI (Body Mass Index)  = </t>
  </si>
  <si>
    <r>
      <t xml:space="preserve">Ratio (Men)  </t>
    </r>
    <r>
      <rPr>
        <u/>
        <sz val="10"/>
        <color rgb="FFFF0000"/>
        <rFont val="Times New Roman"/>
        <family val="1"/>
      </rPr>
      <t>(%)</t>
    </r>
  </si>
  <si>
    <t>Japan</t>
  </si>
  <si>
    <t xml:space="preserve">Less than 20 </t>
  </si>
  <si>
    <t xml:space="preserve"> Underweight</t>
  </si>
  <si>
    <r>
      <t xml:space="preserve">Waist to Height Ratio </t>
    </r>
    <r>
      <rPr>
        <b/>
        <u/>
        <sz val="10"/>
        <color rgb="FFFF0000"/>
        <rFont val="Times New Roman"/>
        <family val="1"/>
      </rPr>
      <t>(%)</t>
    </r>
  </si>
  <si>
    <t>Netherlands</t>
  </si>
  <si>
    <t>Between 20-25</t>
  </si>
  <si>
    <r>
      <rPr>
        <sz val="10"/>
        <color rgb="FF000000"/>
        <rFont val="Times New Roman"/>
        <family val="1"/>
      </rPr>
      <t xml:space="preserve"> </t>
    </r>
    <r>
      <rPr>
        <u/>
        <sz val="10"/>
        <color rgb="FF000000"/>
        <rFont val="Times New Roman"/>
        <family val="1"/>
      </rPr>
      <t>Normal</t>
    </r>
  </si>
  <si>
    <t>New Zealand</t>
  </si>
  <si>
    <t>Between 25-30</t>
  </si>
  <si>
    <t xml:space="preserve"> Overweight</t>
  </si>
  <si>
    <t>&lt;35</t>
  </si>
  <si>
    <t>Abnormally thin</t>
  </si>
  <si>
    <t>Poland</t>
  </si>
  <si>
    <t>Over 30</t>
  </si>
  <si>
    <t xml:space="preserve"> Obese</t>
  </si>
  <si>
    <t>35-42</t>
  </si>
  <si>
    <t>Extremely thin</t>
  </si>
  <si>
    <t>35-43</t>
  </si>
  <si>
    <t>Portugal</t>
  </si>
  <si>
    <r>
      <rPr>
        <b/>
        <sz val="11"/>
        <color indexed="10"/>
        <rFont val="Times New Roman"/>
        <family val="1"/>
      </rPr>
      <t>WARNING!</t>
    </r>
    <r>
      <rPr>
        <sz val="11"/>
        <color indexed="8"/>
        <rFont val="Times New Roman"/>
        <family val="1"/>
      </rPr>
      <t xml:space="preserve">  </t>
    </r>
    <r>
      <rPr>
        <sz val="10"/>
        <color indexed="8"/>
        <rFont val="Times New Roman"/>
        <family val="1"/>
      </rPr>
      <t>Do not use this if you are of a sensitive nature.</t>
    </r>
  </si>
  <si>
    <t>42-45</t>
  </si>
  <si>
    <t>Slender &amp; healthy</t>
  </si>
  <si>
    <t>43-46</t>
  </si>
  <si>
    <t>UK</t>
  </si>
  <si>
    <t>45-49</t>
  </si>
  <si>
    <t>Healthy</t>
  </si>
  <si>
    <t>46-53</t>
  </si>
  <si>
    <t>USA</t>
  </si>
  <si>
    <t>49-54</t>
  </si>
  <si>
    <t>Overweight</t>
  </si>
  <si>
    <t>53-58</t>
  </si>
  <si>
    <t>Other 12</t>
  </si>
  <si>
    <t>54-58</t>
  </si>
  <si>
    <t>Seriously overweight</t>
  </si>
  <si>
    <t>58-63</t>
  </si>
  <si>
    <t>Other 11</t>
  </si>
  <si>
    <t>&gt;58</t>
  </si>
  <si>
    <t>Morbidly obese</t>
  </si>
  <si>
    <t>&gt;63</t>
  </si>
  <si>
    <t>Other 10</t>
  </si>
  <si>
    <t>Other 9</t>
  </si>
  <si>
    <t>Other 8</t>
  </si>
  <si>
    <t>Length ̸ Height Conversion</t>
  </si>
  <si>
    <t>inches only</t>
  </si>
  <si>
    <t>ft.  in</t>
  </si>
  <si>
    <t>in.</t>
  </si>
  <si>
    <t>Other 7</t>
  </si>
  <si>
    <t>Other 6</t>
  </si>
  <si>
    <t>Other 5</t>
  </si>
  <si>
    <t>Weight Conversion</t>
  </si>
  <si>
    <t>Wt. Kg</t>
  </si>
  <si>
    <t>Other 4</t>
  </si>
  <si>
    <t>Other 3</t>
  </si>
  <si>
    <t>Other 2</t>
  </si>
  <si>
    <t>Other 1</t>
  </si>
  <si>
    <t>Approx. Freezing Point</t>
  </si>
  <si>
    <r>
      <rPr>
        <sz val="10"/>
        <color indexed="8"/>
        <rFont val="Times New Roman"/>
        <family val="1"/>
      </rPr>
      <t>SG of ethyl alcohol at 20</t>
    </r>
    <r>
      <rPr>
        <sz val="11"/>
        <color indexed="8"/>
        <rFont val="Times New Roman"/>
        <family val="1"/>
      </rPr>
      <t>°</t>
    </r>
    <r>
      <rPr>
        <sz val="10"/>
        <color indexed="8"/>
        <rFont val="Times New Roman"/>
        <family val="1"/>
      </rPr>
      <t>C =</t>
    </r>
  </si>
  <si>
    <t xml:space="preserve">    (789.4  Nom.)</t>
  </si>
  <si>
    <r>
      <t xml:space="preserve">NOTE:- Very </t>
    </r>
    <r>
      <rPr>
        <b/>
        <u/>
        <sz val="10"/>
        <color rgb="FFFF0000"/>
        <rFont val="Times New Roman"/>
        <family val="1"/>
      </rPr>
      <t>inaccurate</t>
    </r>
    <r>
      <rPr>
        <b/>
        <sz val="10"/>
        <color rgb="FFFF0000"/>
        <rFont val="Times New Roman"/>
        <family val="1"/>
      </rPr>
      <t xml:space="preserve"> for ABV's. &gt; 80%.</t>
    </r>
  </si>
  <si>
    <r>
      <rPr>
        <sz val="10"/>
        <color indexed="8"/>
        <rFont val="Times New Roman"/>
        <family val="1"/>
      </rPr>
      <t>Kg ̸ m</t>
    </r>
    <r>
      <rPr>
        <sz val="12"/>
        <color indexed="8"/>
        <rFont val="Times New Roman"/>
        <family val="1"/>
      </rPr>
      <t xml:space="preserve">³ </t>
    </r>
  </si>
  <si>
    <t>Some Typical Beer Drinking Temperatures.</t>
  </si>
  <si>
    <r>
      <rPr>
        <b/>
        <sz val="11.5"/>
        <color indexed="8"/>
        <rFont val="Times New Roman"/>
        <family val="1"/>
      </rPr>
      <t xml:space="preserve"> </t>
    </r>
    <r>
      <rPr>
        <b/>
        <u/>
        <sz val="11.5"/>
        <color indexed="8"/>
        <rFont val="Times New Roman"/>
        <family val="1"/>
      </rPr>
      <t>Notes:-</t>
    </r>
  </si>
  <si>
    <t>Beer Style</t>
  </si>
  <si>
    <r>
      <rPr>
        <b/>
        <sz val="10"/>
        <color indexed="8"/>
        <rFont val="Times New Roman"/>
        <family val="1"/>
      </rPr>
      <t xml:space="preserve">Temp. </t>
    </r>
    <r>
      <rPr>
        <b/>
        <sz val="11"/>
        <color indexed="8"/>
        <rFont val="Times New Roman"/>
        <family val="1"/>
      </rPr>
      <t>°</t>
    </r>
    <r>
      <rPr>
        <b/>
        <sz val="10"/>
        <color indexed="8"/>
        <rFont val="Times New Roman"/>
        <family val="1"/>
      </rPr>
      <t>C</t>
    </r>
  </si>
  <si>
    <t>Abbey ̸ Trappist &lt;8.5% ABV</t>
  </si>
  <si>
    <t>10-14</t>
  </si>
  <si>
    <t>Abbey ̸ Trappist &gt;8.5% ABV</t>
  </si>
  <si>
    <t>15-18</t>
  </si>
  <si>
    <t>Altbier</t>
  </si>
  <si>
    <t>9</t>
  </si>
  <si>
    <t>Baltic Stout ̸ Porter</t>
  </si>
  <si>
    <t>13-18</t>
  </si>
  <si>
    <t>Barley Wine</t>
  </si>
  <si>
    <t>10-13</t>
  </si>
  <si>
    <t>Belgian Ale</t>
  </si>
  <si>
    <t>7-12</t>
  </si>
  <si>
    <t>Belgian Strong Ale</t>
  </si>
  <si>
    <t>Biere de Garde</t>
  </si>
  <si>
    <t>Bitter, ESB, IPA, Old ale, Pale Ale, Strong Ale</t>
  </si>
  <si>
    <t>Bock, Double Bock</t>
  </si>
  <si>
    <t>Brown ̸ Mild Ale</t>
  </si>
  <si>
    <t>Dark lager ̸ Dunkle ̸ Schwarzbier</t>
  </si>
  <si>
    <t>9-11</t>
  </si>
  <si>
    <t>Dortmunder</t>
  </si>
  <si>
    <t>Flemish Red ̸ Brown</t>
  </si>
  <si>
    <t>9-13</t>
  </si>
  <si>
    <t>Framboise (Raspberry)</t>
  </si>
  <si>
    <t>9-12</t>
  </si>
  <si>
    <t>Imperial Stout</t>
  </si>
  <si>
    <t>Irish Red Ale</t>
  </si>
  <si>
    <t>9-10</t>
  </si>
  <si>
    <t>Kőlsch</t>
  </si>
  <si>
    <t>Kriek (Cherry)</t>
  </si>
  <si>
    <t>Lager inc. Munich &amp; Vienna, Helles</t>
  </si>
  <si>
    <t>Lambic Fruit</t>
  </si>
  <si>
    <t>8-9</t>
  </si>
  <si>
    <t>Lambic ̸ Gueuze</t>
  </si>
  <si>
    <t>Marzen ̸ Oktoberfest ̸ Maibock</t>
  </si>
  <si>
    <t>Old brown Lager (Bruin)</t>
  </si>
  <si>
    <t>Pilsner, Golden Lager</t>
  </si>
  <si>
    <t>Porter inc. Alaskan</t>
  </si>
  <si>
    <t>Saison</t>
  </si>
  <si>
    <t>Scottish Ale inc. Strong &amp; Wee Heavy</t>
  </si>
  <si>
    <t>Stout, Dry, Sweet, Milk, Oatmeal, Oyster, Irish</t>
  </si>
  <si>
    <t>Tripel</t>
  </si>
  <si>
    <t>10+</t>
  </si>
  <si>
    <t>Weiss ̸ Wit ̸ Wheat - light</t>
  </si>
  <si>
    <t>Weiss ̸ Wit ̸ Wheat - dark</t>
  </si>
  <si>
    <t>Wheat - Belgian</t>
  </si>
  <si>
    <t>Rubbish beers</t>
  </si>
  <si>
    <r>
      <rPr>
        <sz val="10"/>
        <color indexed="8"/>
        <rFont val="Times New Roman"/>
        <family val="1"/>
      </rPr>
      <t>Below 5</t>
    </r>
    <r>
      <rPr>
        <sz val="11"/>
        <color indexed="8"/>
        <rFont val="Times New Roman"/>
        <family val="1"/>
      </rPr>
      <t>°</t>
    </r>
    <r>
      <rPr>
        <sz val="10"/>
        <color indexed="8"/>
        <rFont val="Times New Roman"/>
        <family val="1"/>
      </rPr>
      <t>C</t>
    </r>
  </si>
  <si>
    <t>These figures are a rough guide; they should only be regarded as “typical” as all beers may not conform, especially amongst the Abbey/Trappist beers. I have collated the information form various sources &amp; cannot vouch for their accuracy or whether a degree or three deviation makes any discernable difference.</t>
  </si>
  <si>
    <r>
      <rPr>
        <b/>
        <sz val="10"/>
        <color indexed="10"/>
        <rFont val="Times New Roman"/>
        <family val="1"/>
      </rPr>
      <t>Disclaimer</t>
    </r>
    <r>
      <rPr>
        <b/>
        <sz val="10"/>
        <color rgb="FFFF0000"/>
        <rFont val="Times New Roman"/>
        <family val="1"/>
      </rPr>
      <t>:</t>
    </r>
    <r>
      <rPr>
        <b/>
        <sz val="10"/>
        <rFont val="Times New Roman"/>
        <family val="1"/>
      </rPr>
      <t xml:space="preserve"> </t>
    </r>
    <r>
      <rPr>
        <sz val="10"/>
        <rFont val="Times New Roman"/>
        <family val="1"/>
      </rPr>
      <t xml:space="preserve">E&amp;OE. </t>
    </r>
    <r>
      <rPr>
        <sz val="10"/>
        <color indexed="23"/>
        <rFont val="Times New Roman"/>
        <family val="1"/>
      </rPr>
      <t>No</t>
    </r>
    <r>
      <rPr>
        <sz val="10"/>
        <color indexed="8"/>
        <rFont val="Times New Roman"/>
        <family val="1"/>
      </rPr>
      <t xml:space="preserve"> responsibility is assumed or implied as a result of using this spreadsheet. Free for use. Not for sale.</t>
    </r>
  </si>
  <si>
    <t>Copyright Peter J. Laycock 28~10~2023</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</si>
  <si>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K</t>
    </r>
    <r>
      <rPr>
        <b/>
        <u val="double"/>
        <sz val="28"/>
        <color indexed="8"/>
        <rFont val="Times New Roman"/>
        <family val="1"/>
      </rPr>
      <t xml:space="preserve">it </t>
    </r>
    <r>
      <rPr>
        <b/>
        <u val="double"/>
        <sz val="36"/>
        <color indexed="8"/>
        <rFont val="Times New Roman"/>
        <family val="1"/>
      </rPr>
      <t>C</t>
    </r>
    <r>
      <rPr>
        <b/>
        <u val="double"/>
        <sz val="28"/>
        <color indexed="8"/>
        <rFont val="Times New Roman"/>
        <family val="1"/>
      </rPr>
      <t>alculators</t>
    </r>
  </si>
  <si>
    <t>No Grain. This calc. is "STAND ALONE".</t>
  </si>
  <si>
    <r>
      <t xml:space="preserve">NOTE:- Metric units are my preferred system as they are universal &amp; do not suffer from the stupidities of the </t>
    </r>
    <r>
      <rPr>
        <b/>
        <sz val="10"/>
        <color rgb="FFFF0000"/>
        <rFont val="Times New Roman"/>
        <family val="1"/>
      </rPr>
      <t>UK</t>
    </r>
    <r>
      <rPr>
        <sz val="10"/>
        <color indexed="8"/>
        <rFont val="Times New Roman"/>
        <family val="1"/>
      </rPr>
      <t xml:space="preserve"> Imperial or, even worse (?), the </t>
    </r>
    <r>
      <rPr>
        <b/>
        <sz val="10"/>
        <color rgb="FFCC00FF"/>
        <rFont val="Times New Roman"/>
        <family val="1"/>
      </rPr>
      <t>US</t>
    </r>
    <r>
      <rPr>
        <sz val="10"/>
        <color indexed="8"/>
        <rFont val="Times New Roman"/>
        <family val="1"/>
      </rPr>
      <t>, in more ways than one, systems.</t>
    </r>
  </si>
  <si>
    <t>H</t>
  </si>
  <si>
    <t>Wilko Red Devil</t>
  </si>
  <si>
    <t>Original</t>
  </si>
  <si>
    <t>Modified</t>
  </si>
  <si>
    <t>Kit 2</t>
  </si>
  <si>
    <t>I personally believe that kits should be made &amp; tasted BEFORE making modifications to a subsequent kit of the same type.</t>
  </si>
  <si>
    <r>
      <rPr>
        <sz val="10"/>
        <rFont val="Times New Roman"/>
        <family val="1"/>
      </rPr>
      <t xml:space="preserve">Kit volume, </t>
    </r>
    <r>
      <rPr>
        <b/>
        <sz val="10"/>
        <color theme="3" tint="0.39985351115451523"/>
        <rFont val="Times New Roman"/>
        <family val="1"/>
      </rPr>
      <t>quoted</t>
    </r>
    <r>
      <rPr>
        <sz val="10"/>
        <rFont val="Times New Roman"/>
        <family val="1"/>
      </rPr>
      <t xml:space="preserve"> (litres)</t>
    </r>
  </si>
  <si>
    <r>
      <rPr>
        <sz val="10"/>
        <rFont val="Times New Roman"/>
        <family val="1"/>
      </rPr>
      <t>Kit volume</t>
    </r>
    <r>
      <rPr>
        <sz val="10"/>
        <color rgb="FFFF0000"/>
        <rFont val="Times New Roman"/>
        <family val="1"/>
      </rPr>
      <t xml:space="preserve"> </t>
    </r>
    <r>
      <rPr>
        <b/>
        <sz val="10"/>
        <color rgb="FFFF0000"/>
        <rFont val="Times New Roman"/>
        <family val="1"/>
      </rPr>
      <t>used</t>
    </r>
    <r>
      <rPr>
        <sz val="10"/>
        <rFont val="Times New Roman"/>
        <family val="1"/>
      </rPr>
      <t xml:space="preserve"> (litres)</t>
    </r>
  </si>
  <si>
    <t>DEG/K/L</t>
  </si>
  <si>
    <t>FERMENT</t>
  </si>
  <si>
    <t>BEER 1</t>
  </si>
  <si>
    <t>BEER 2</t>
  </si>
  <si>
    <t>BEER 3</t>
  </si>
  <si>
    <t>Expected final volume</t>
  </si>
  <si>
    <r>
      <rPr>
        <sz val="10"/>
        <color indexed="8"/>
        <rFont val="Times New Roman"/>
        <family val="1"/>
      </rPr>
      <t>Kit extract Wt. (</t>
    </r>
    <r>
      <rPr>
        <b/>
        <sz val="10"/>
        <color indexed="48"/>
        <rFont val="Times New Roman"/>
        <family val="1"/>
      </rPr>
      <t>liquid</t>
    </r>
    <r>
      <rPr>
        <sz val="10"/>
        <color indexed="8"/>
        <rFont val="Times New Roman"/>
        <family val="1"/>
      </rPr>
      <t xml:space="preserve"> g)</t>
    </r>
  </si>
  <si>
    <t xml:space="preserve">The Beer Kit Modifier calculator will probably be the first calculator the inquisitive kit brewer would want to use, reducing the amount of sugar used in budget kits by about 25%, effectively reducing the alcohol by less than 0.6%, is the easiest way to improve such beers. I also find that reducing the recommended volume by 20% &amp; halving the quantity of sugar gives very good results &amp; the bitterness is increased proportionately. The OG &amp; FG are raised slightly &amp; the alcohol is slightly lower. Big improvements can also be made by replacing some or all of the sugar with malt extract but at extra cost, thus making budget/mid-priced kits more expensive than the original kits. </t>
  </si>
  <si>
    <r>
      <rPr>
        <sz val="10"/>
        <color indexed="8"/>
        <rFont val="Times New Roman"/>
        <family val="1"/>
      </rPr>
      <t>Kit extract Wt. (</t>
    </r>
    <r>
      <rPr>
        <b/>
        <sz val="10"/>
        <color indexed="60"/>
        <rFont val="Times New Roman"/>
        <family val="1"/>
      </rPr>
      <t>dry</t>
    </r>
    <r>
      <rPr>
        <sz val="10"/>
        <color indexed="8"/>
        <rFont val="Times New Roman"/>
        <family val="1"/>
      </rPr>
      <t xml:space="preserve"> g)</t>
    </r>
  </si>
  <si>
    <r>
      <rPr>
        <sz val="10"/>
        <color indexed="8"/>
        <rFont val="Times New Roman"/>
        <family val="1"/>
      </rPr>
      <t xml:space="preserve">       Additional </t>
    </r>
    <r>
      <rPr>
        <b/>
        <sz val="10"/>
        <color indexed="48"/>
        <rFont val="Times New Roman"/>
        <family val="1"/>
      </rPr>
      <t>liquid</t>
    </r>
    <r>
      <rPr>
        <sz val="10"/>
        <color indexed="12"/>
        <rFont val="Times New Roman"/>
        <family val="1"/>
      </rPr>
      <t xml:space="preserve"> </t>
    </r>
    <r>
      <rPr>
        <sz val="10"/>
        <color indexed="8"/>
        <rFont val="Times New Roman"/>
        <family val="1"/>
      </rPr>
      <t>extract (g)</t>
    </r>
  </si>
  <si>
    <r>
      <rPr>
        <sz val="10"/>
        <color indexed="8"/>
        <rFont val="Times New Roman"/>
        <family val="1"/>
      </rPr>
      <t xml:space="preserve">       Additional </t>
    </r>
    <r>
      <rPr>
        <b/>
        <sz val="10"/>
        <color indexed="60"/>
        <rFont val="Times New Roman"/>
        <family val="1"/>
      </rPr>
      <t>dry</t>
    </r>
    <r>
      <rPr>
        <sz val="11"/>
        <color indexed="8"/>
        <rFont val="Times New Roman"/>
        <family val="1"/>
      </rPr>
      <t xml:space="preserve"> </t>
    </r>
    <r>
      <rPr>
        <sz val="10"/>
        <color indexed="8"/>
        <rFont val="Times New Roman"/>
        <family val="1"/>
      </rPr>
      <t>extract (g)</t>
    </r>
  </si>
  <si>
    <t>Cane ̸ beet sugar used for the initial fermentation (g)</t>
  </si>
  <si>
    <t>Brewing sugar (g)</t>
  </si>
  <si>
    <t>Yeast efficiency (generally 76% is assumed)</t>
  </si>
  <si>
    <t>Primer</t>
  </si>
  <si>
    <t>Colour, EBC, if known (can be assumed)</t>
  </si>
  <si>
    <t xml:space="preserve">0.68 BEER ENG, 0.8 HERE. </t>
  </si>
  <si>
    <t>Bitterness, EBU, if known (can be assumed)</t>
  </si>
  <si>
    <t>Viewed through 25mm glass/cuvette.</t>
  </si>
  <si>
    <t>no prim</t>
  </si>
  <si>
    <t>k</t>
  </si>
  <si>
    <t>Atten malt</t>
  </si>
  <si>
    <t>Hop extract added (ml)</t>
  </si>
  <si>
    <t>DO NOT BOIL.</t>
  </si>
  <si>
    <t>Temp</t>
  </si>
  <si>
    <t>Vol.</t>
  </si>
  <si>
    <t>Atten sug</t>
  </si>
  <si>
    <t xml:space="preserve">       Total/added bitterness (cells C21, D21 &amp; E21)</t>
  </si>
  <si>
    <t>This assumes that</t>
  </si>
  <si>
    <t>litres gives appox.</t>
  </si>
  <si>
    <t>°C</t>
  </si>
  <si>
    <t>CO2</t>
  </si>
  <si>
    <t>og</t>
  </si>
  <si>
    <t>BU ̸ GU ratio</t>
  </si>
  <si>
    <t>Note:- 1 ml of Ritchie's hop extract in 1 litre of beer adds 69 EBU's</t>
  </si>
  <si>
    <t>fg</t>
  </si>
  <si>
    <r>
      <rPr>
        <sz val="10"/>
        <rFont val="Times New Roman"/>
        <family val="1"/>
      </rPr>
      <t>Which is classed as</t>
    </r>
    <r>
      <rPr>
        <sz val="10"/>
        <color theme="0" tint="-4.9989318521683403E-2"/>
        <rFont val="Times New Roman"/>
        <family val="1"/>
      </rPr>
      <t xml:space="preserve"> pooh!</t>
    </r>
  </si>
  <si>
    <t xml:space="preserve"> (exc. primer)</t>
  </si>
  <si>
    <t>(colour)</t>
  </si>
  <si>
    <t xml:space="preserve">       (ignore if cells C21, D21, E21 etc. are blank or 0)</t>
  </si>
  <si>
    <r>
      <rPr>
        <sz val="10"/>
        <color indexed="8"/>
        <rFont val="Times New Roman"/>
        <family val="1"/>
      </rPr>
      <t>O.G.</t>
    </r>
    <r>
      <rPr>
        <sz val="10"/>
        <color rgb="FFFF0000"/>
        <rFont val="Times New Roman"/>
        <family val="1"/>
      </rPr>
      <t xml:space="preserve"> </t>
    </r>
    <r>
      <rPr>
        <sz val="10"/>
        <color rgb="FF339966"/>
        <rFont val="Times New Roman"/>
        <family val="1"/>
      </rPr>
      <t>(exc. primer)</t>
    </r>
  </si>
  <si>
    <t>NOTE:- A gravity of say 1040 can also be denoted as 40 brewers degrees, or in the old, obsolete format 1.040, &amp;, unfortunately, this is still used to-day in the USA &amp; too many Brit's still use this outdated format. The FG is very hard to predict, errors of a one or two degrees is not uncommon &amp; is dependant on the yeast efficiency.</t>
  </si>
  <si>
    <r>
      <rPr>
        <sz val="10"/>
        <color indexed="8"/>
        <rFont val="Times New Roman"/>
        <family val="1"/>
      </rPr>
      <t>F.G.</t>
    </r>
    <r>
      <rPr>
        <sz val="10"/>
        <color rgb="FF339966"/>
        <rFont val="Times New Roman"/>
        <family val="1"/>
      </rPr>
      <t xml:space="preserve"> (exc. primer)</t>
    </r>
  </si>
  <si>
    <r>
      <rPr>
        <sz val="10"/>
        <color indexed="8"/>
        <rFont val="Times New Roman"/>
        <family val="1"/>
      </rPr>
      <t>% ABV</t>
    </r>
    <r>
      <rPr>
        <sz val="10"/>
        <color rgb="FFFF0000"/>
        <rFont val="Times New Roman"/>
        <family val="1"/>
      </rPr>
      <t xml:space="preserve"> </t>
    </r>
    <r>
      <rPr>
        <sz val="10"/>
        <color rgb="FF00B050"/>
        <rFont val="Times New Roman"/>
        <family val="1"/>
      </rPr>
      <t>(exc. primer)</t>
    </r>
  </si>
  <si>
    <t>PQWERTY</t>
  </si>
  <si>
    <r>
      <rPr>
        <b/>
        <u/>
        <sz val="10.5"/>
        <color indexed="8"/>
        <rFont val="Times New Roman"/>
        <family val="1"/>
      </rPr>
      <t>Some typical sucrose priming rates @ 20°C</t>
    </r>
    <r>
      <rPr>
        <b/>
        <sz val="10.5"/>
        <color indexed="8"/>
        <rFont val="Times New Roman"/>
        <family val="1"/>
      </rPr>
      <t xml:space="preserve"> </t>
    </r>
  </si>
  <si>
    <t>prim</t>
  </si>
  <si>
    <r>
      <rPr>
        <sz val="10"/>
        <color indexed="8"/>
        <rFont val="Times New Roman"/>
        <family val="1"/>
      </rPr>
      <t xml:space="preserve">Brewing ̸ resting temperature </t>
    </r>
    <r>
      <rPr>
        <sz val="11"/>
        <color indexed="8"/>
        <rFont val="Times New Roman"/>
        <family val="1"/>
      </rPr>
      <t>°</t>
    </r>
    <r>
      <rPr>
        <sz val="10"/>
        <color indexed="8"/>
        <rFont val="Times New Roman"/>
        <family val="1"/>
      </rPr>
      <t>C</t>
    </r>
  </si>
  <si>
    <r>
      <rPr>
        <sz val="10"/>
        <color indexed="8"/>
        <rFont val="Times New Roman"/>
        <family val="1"/>
      </rPr>
      <t>0-30</t>
    </r>
    <r>
      <rPr>
        <sz val="12"/>
        <color indexed="8"/>
        <rFont val="Times New Roman"/>
        <family val="1"/>
      </rPr>
      <t>°</t>
    </r>
    <r>
      <rPr>
        <sz val="10"/>
        <color indexed="8"/>
        <rFont val="Times New Roman"/>
        <family val="1"/>
      </rPr>
      <t>C.</t>
    </r>
  </si>
  <si>
    <t>Total sugar used (sucrose equiv. inc. primer)</t>
  </si>
  <si>
    <t>3.15g ̸ litre (1 level 5ml tsp) sugar for British ales</t>
  </si>
  <si>
    <t>4.725g ̸ litre (1.5 level tsp) for porters ̸ stouts</t>
  </si>
  <si>
    <t>40% sugars by weight is considered, by purists, the max., equiv. to 30% by weight if using malt.</t>
  </si>
  <si>
    <t>6.3g ̸ litre (2 level tsp) for Trappist ̸ Abbey, wheat beers &amp; lagers.</t>
  </si>
  <si>
    <r>
      <rPr>
        <b/>
        <sz val="10"/>
        <color indexed="8"/>
        <rFont val="Times New Roman"/>
        <family val="1"/>
      </rPr>
      <t>"Effective" O.G.</t>
    </r>
    <r>
      <rPr>
        <sz val="10"/>
        <color indexed="8"/>
        <rFont val="Times New Roman"/>
        <family val="1"/>
      </rPr>
      <t xml:space="preserve"> </t>
    </r>
    <r>
      <rPr>
        <sz val="10"/>
        <color rgb="FFFF0000"/>
        <rFont val="Times New Roman"/>
        <family val="1"/>
      </rPr>
      <t>(inc. primer)</t>
    </r>
  </si>
  <si>
    <t>Priming sugar has very little effect on the FG's.</t>
  </si>
  <si>
    <t>fg = og - atten (malt + sug)</t>
  </si>
  <si>
    <r>
      <rPr>
        <b/>
        <sz val="10"/>
        <color indexed="8"/>
        <rFont val="Times New Roman"/>
        <family val="1"/>
      </rPr>
      <t>"Effective" F.G.</t>
    </r>
    <r>
      <rPr>
        <sz val="10"/>
        <color indexed="8"/>
        <rFont val="Times New Roman"/>
        <family val="1"/>
      </rPr>
      <t xml:space="preserve"> </t>
    </r>
    <r>
      <rPr>
        <sz val="10"/>
        <color rgb="FFFF0000"/>
        <rFont val="Times New Roman"/>
        <family val="1"/>
      </rPr>
      <t>(inc. primer)</t>
    </r>
  </si>
  <si>
    <r>
      <rPr>
        <b/>
        <u/>
        <sz val="10"/>
        <rFont val="Times New Roman"/>
        <family val="1"/>
      </rPr>
      <t>Please note:-</t>
    </r>
    <r>
      <rPr>
        <b/>
        <sz val="10"/>
        <rFont val="Times New Roman"/>
        <family val="1"/>
      </rPr>
      <t xml:space="preserve"> </t>
    </r>
    <r>
      <rPr>
        <sz val="10"/>
        <rFont val="Times New Roman"/>
        <family val="1"/>
      </rPr>
      <t>Priming with brewing sugar has no advantages &amp;, "carbonation drops", which are mostly  sugar, are an expensive con. If  you like the convenience, just use normal, cheap sugar cubes instead!</t>
    </r>
  </si>
  <si>
    <t>Approx. carbonation ̸ ABV for beers, wines etc.</t>
  </si>
  <si>
    <r>
      <rPr>
        <b/>
        <sz val="10"/>
        <color indexed="8"/>
        <rFont val="Times New Roman"/>
        <family val="1"/>
      </rPr>
      <t>% ABV</t>
    </r>
    <r>
      <rPr>
        <sz val="10"/>
        <color rgb="FFFF0000"/>
        <rFont val="Times New Roman"/>
        <family val="1"/>
      </rPr>
      <t xml:space="preserve"> (inc. primer)</t>
    </r>
  </si>
  <si>
    <t>Measured O.G.</t>
  </si>
  <si>
    <r>
      <rPr>
        <b/>
        <sz val="10"/>
        <color indexed="8"/>
        <rFont val="Times New Roman"/>
        <family val="1"/>
      </rPr>
      <t>Carbonation,</t>
    </r>
    <r>
      <rPr>
        <sz val="10"/>
        <color indexed="8"/>
        <rFont val="Times New Roman"/>
        <family val="1"/>
      </rPr>
      <t xml:space="preserve"> volumes CO</t>
    </r>
    <r>
      <rPr>
        <sz val="7"/>
        <color indexed="8"/>
        <rFont val="Times New Roman"/>
        <family val="1"/>
      </rPr>
      <t>2</t>
    </r>
    <r>
      <rPr>
        <sz val="10"/>
        <color indexed="8"/>
        <rFont val="Times New Roman"/>
        <family val="1"/>
      </rPr>
      <t xml:space="preserve"> </t>
    </r>
    <r>
      <rPr>
        <sz val="10"/>
        <color rgb="FFFF0000"/>
        <rFont val="Times New Roman"/>
        <family val="1"/>
      </rPr>
      <t>(inc. primer)</t>
    </r>
  </si>
  <si>
    <t>Measured F.G. (unprimed)</t>
  </si>
  <si>
    <t>For a bottle ̸ glass size of (ml)</t>
  </si>
  <si>
    <r>
      <rPr>
        <sz val="10"/>
        <rFont val="Times New Roman"/>
        <family val="1"/>
      </rPr>
      <t>This little section</t>
    </r>
    <r>
      <rPr>
        <u/>
        <sz val="10"/>
        <rFont val="Times New Roman"/>
        <family val="1"/>
      </rPr>
      <t xml:space="preserve"> </t>
    </r>
    <r>
      <rPr>
        <sz val="10"/>
        <rFont val="Times New Roman"/>
        <family val="1"/>
      </rPr>
      <t>(using grey text) has been included for diabetes suffers &amp; health conscious persons etc.</t>
    </r>
  </si>
  <si>
    <t>SG (ave)</t>
  </si>
  <si>
    <t xml:space="preserve">Cals/g </t>
  </si>
  <si>
    <t xml:space="preserve">Carbs/g </t>
  </si>
  <si>
    <t>Calories from the alcohol</t>
  </si>
  <si>
    <t>Priming sugar, sucrose (g ̸ litre)</t>
  </si>
  <si>
    <t>Cals from the residual sugars</t>
  </si>
  <si>
    <r>
      <rPr>
        <sz val="10"/>
        <color indexed="8"/>
        <rFont val="Times New Roman"/>
        <family val="1"/>
      </rPr>
      <t>Carbonation, volumes CO</t>
    </r>
    <r>
      <rPr>
        <sz val="8"/>
        <color indexed="8"/>
        <rFont val="Times New Roman"/>
        <family val="1"/>
      </rPr>
      <t>2</t>
    </r>
  </si>
  <si>
    <t>/ ml</t>
  </si>
  <si>
    <t>Total calories</t>
  </si>
  <si>
    <t>Approx. alcohol after priming</t>
  </si>
  <si>
    <t>Carbohydrates</t>
  </si>
  <si>
    <t>See cells B68 for batch priming.</t>
  </si>
  <si>
    <t>Hi!</t>
  </si>
  <si>
    <r>
      <rPr>
        <b/>
        <sz val="10"/>
        <color indexed="8"/>
        <rFont val="Times New Roman"/>
        <family val="1"/>
      </rPr>
      <t>Volumes CO</t>
    </r>
    <r>
      <rPr>
        <b/>
        <sz val="8"/>
        <color indexed="8"/>
        <rFont val="Times New Roman"/>
        <family val="1"/>
      </rPr>
      <t>2</t>
    </r>
  </si>
  <si>
    <t>Ave.</t>
  </si>
  <si>
    <r>
      <rPr>
        <b/>
        <u/>
        <sz val="10"/>
        <color indexed="8"/>
        <rFont val="Times New Roman"/>
        <family val="1"/>
      </rPr>
      <t>Barreling</t>
    </r>
    <r>
      <rPr>
        <sz val="10"/>
        <color indexed="8"/>
        <rFont val="Times New Roman"/>
        <family val="1"/>
      </rPr>
      <t xml:space="preserve">
The usual advice for priming barrelled ales is to add about 85g of sugar (for 23 litres) to the  barrel, some lager kits could use up to 150g. See Primer page.
Once the beer is carbonated &amp; matured, keep between 5-25 or so PSI (depending on the style of the beer), using a CO</t>
    </r>
    <r>
      <rPr>
        <sz val="8"/>
        <color indexed="8"/>
        <rFont val="Times New Roman"/>
        <family val="1"/>
      </rPr>
      <t>2</t>
    </r>
    <r>
      <rPr>
        <sz val="10"/>
        <color indexed="8"/>
        <rFont val="Times New Roman"/>
        <family val="1"/>
      </rPr>
      <t xml:space="preserve"> cylinder, charging when necessary, or the regulate to maintain at constant pressure.
NOTE:- When bottling, the carbonation figures apply to GLASS bottles only as PET bottles expand slightly, thus lowering the pressure.</t>
    </r>
  </si>
  <si>
    <t>Low</t>
  </si>
  <si>
    <t>High</t>
  </si>
  <si>
    <t>Value</t>
  </si>
  <si>
    <t>American Ales</t>
  </si>
  <si>
    <t>Belgian Ales</t>
  </si>
  <si>
    <t>British Ales</t>
  </si>
  <si>
    <t>Lagers (Australian)</t>
  </si>
  <si>
    <t>Lagers (US &amp; Euro.)</t>
  </si>
  <si>
    <t>Porters &amp; Stouts</t>
  </si>
  <si>
    <t>For more information see the "Primer" page.</t>
  </si>
  <si>
    <t>Weizens &amp; Wheats</t>
  </si>
  <si>
    <r>
      <rPr>
        <sz val="10"/>
        <color indexed="8"/>
        <rFont val="Times New Roman"/>
        <family val="1"/>
      </rPr>
      <t>On the "Primer" page there is a little calculator for converting "Volumes CO</t>
    </r>
    <r>
      <rPr>
        <sz val="8"/>
        <color indexed="8"/>
        <rFont val="Times New Roman"/>
        <family val="1"/>
      </rPr>
      <t>2</t>
    </r>
    <r>
      <rPr>
        <sz val="10"/>
        <color indexed="8"/>
        <rFont val="Times New Roman"/>
        <family val="1"/>
      </rPr>
      <t>" into PSI ̸ atmospheres ̸ bars. Note that the calculations are of very dubious accuracy but should give the pressure within 2 or 3 PSI (approx. 0.2 bar) at "normal" temperatures &amp; pressures for beers.</t>
    </r>
  </si>
  <si>
    <t>Priming sugar (sucrose) wt.</t>
  </si>
  <si>
    <t>1 tsp sugar =</t>
  </si>
  <si>
    <t>Bottle size</t>
  </si>
  <si>
    <t>2 litres</t>
  </si>
  <si>
    <t>1 litre</t>
  </si>
  <si>
    <t>0.5 litres</t>
  </si>
  <si>
    <t>0.25 litres</t>
  </si>
  <si>
    <t xml:space="preserve">litres </t>
  </si>
  <si>
    <t>Sugar weight ̸ tsp</t>
  </si>
  <si>
    <t>Where "tsp" refers to "level 5ml teaspoon".</t>
  </si>
  <si>
    <t>or</t>
  </si>
  <si>
    <t>2000 ml</t>
  </si>
  <si>
    <t>1000 ml</t>
  </si>
  <si>
    <t>500 ml</t>
  </si>
  <si>
    <t>Unit</t>
  </si>
  <si>
    <t>tsp</t>
  </si>
  <si>
    <t>Dosage</t>
  </si>
  <si>
    <t>"Sugar" wt. ̸ tsp.</t>
  </si>
  <si>
    <t>Batch priming sugar (sucrose) wt.</t>
  </si>
  <si>
    <t>litres of racked beer</t>
  </si>
  <si>
    <t>See "Priming" page.</t>
  </si>
  <si>
    <r>
      <rPr>
        <sz val="10"/>
        <rFont val="Times New Roman"/>
        <family val="1"/>
      </rPr>
      <t>For a fixed gravity of</t>
    </r>
    <r>
      <rPr>
        <sz val="10"/>
        <color indexed="8"/>
        <rFont val="Times New Roman"/>
        <family val="1"/>
      </rPr>
      <t xml:space="preserve"> </t>
    </r>
    <r>
      <rPr>
        <b/>
        <sz val="10"/>
        <color rgb="FFFF0000"/>
        <rFont val="Times New Roman"/>
        <family val="1"/>
      </rPr>
      <t>1300</t>
    </r>
  </si>
  <si>
    <r>
      <rPr>
        <b/>
        <u/>
        <sz val="10"/>
        <color rgb="FFFF0000"/>
        <rFont val="Times New Roman"/>
        <family val="1"/>
      </rPr>
      <t>OR</t>
    </r>
    <r>
      <rPr>
        <b/>
        <sz val="10"/>
        <rFont val="Times New Roman"/>
        <family val="1"/>
      </rPr>
      <t xml:space="preserve">, </t>
    </r>
    <r>
      <rPr>
        <sz val="10"/>
        <rFont val="Times New Roman"/>
        <family val="1"/>
      </rPr>
      <t>for</t>
    </r>
    <r>
      <rPr>
        <sz val="10"/>
        <color indexed="8"/>
        <rFont val="Times New Roman"/>
        <family val="1"/>
      </rPr>
      <t xml:space="preserve"> a fixed </t>
    </r>
    <r>
      <rPr>
        <b/>
        <sz val="10"/>
        <color rgb="FFFF0000"/>
        <rFont val="Times New Roman"/>
        <family val="1"/>
      </rPr>
      <t>Wt.</t>
    </r>
    <r>
      <rPr>
        <sz val="10"/>
        <color indexed="8"/>
        <rFont val="Times New Roman"/>
        <family val="1"/>
      </rPr>
      <t xml:space="preserve"> of sugar &amp; a fixed </t>
    </r>
    <r>
      <rPr>
        <b/>
        <sz val="10"/>
        <color rgb="FFFF0000"/>
        <rFont val="Times New Roman"/>
        <family val="1"/>
      </rPr>
      <t>Vol.</t>
    </r>
    <r>
      <rPr>
        <sz val="10"/>
        <color indexed="8"/>
        <rFont val="Times New Roman"/>
        <family val="1"/>
      </rPr>
      <t xml:space="preserve"> of water   </t>
    </r>
  </si>
  <si>
    <r>
      <rPr>
        <b/>
        <sz val="10"/>
        <color rgb="FFFF0000"/>
        <rFont val="Times New Roman"/>
        <family val="1"/>
      </rPr>
      <t>Wt.</t>
    </r>
    <r>
      <rPr>
        <sz val="10"/>
        <color indexed="8"/>
        <rFont val="Times New Roman"/>
        <family val="1"/>
      </rPr>
      <t xml:space="preserve"> Sugar</t>
    </r>
  </si>
  <si>
    <r>
      <rPr>
        <b/>
        <sz val="10"/>
        <color rgb="FFFF0000"/>
        <rFont val="Times New Roman"/>
        <family val="1"/>
      </rPr>
      <t>Vol.</t>
    </r>
    <r>
      <rPr>
        <b/>
        <sz val="10"/>
        <color indexed="8"/>
        <rFont val="Times New Roman"/>
        <family val="1"/>
      </rPr>
      <t xml:space="preserve"> </t>
    </r>
    <r>
      <rPr>
        <sz val="10"/>
        <color indexed="8"/>
        <rFont val="Times New Roman"/>
        <family val="1"/>
      </rPr>
      <t>water</t>
    </r>
  </si>
  <si>
    <t>Notes:-</t>
  </si>
  <si>
    <t>I love Glenys Vicars!</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</si>
  <si>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M</t>
    </r>
    <r>
      <rPr>
        <b/>
        <u val="double"/>
        <sz val="28"/>
        <color indexed="8"/>
        <rFont val="Times New Roman"/>
        <family val="1"/>
      </rPr>
      <t>alt</t>
    </r>
    <r>
      <rPr>
        <b/>
        <u val="double"/>
        <sz val="24"/>
        <color indexed="8"/>
        <rFont val="Times New Roman"/>
        <family val="1"/>
      </rPr>
      <t xml:space="preserve"> </t>
    </r>
    <r>
      <rPr>
        <b/>
        <u val="double"/>
        <sz val="36"/>
        <color indexed="8"/>
        <rFont val="Times New Roman"/>
        <family val="1"/>
      </rPr>
      <t>E</t>
    </r>
    <r>
      <rPr>
        <b/>
        <u val="double"/>
        <sz val="28"/>
        <color indexed="8"/>
        <rFont val="Times New Roman"/>
        <family val="1"/>
      </rPr>
      <t xml:space="preserve">xtract </t>
    </r>
    <r>
      <rPr>
        <b/>
        <u val="double"/>
        <sz val="36"/>
        <color indexed="8"/>
        <rFont val="Times New Roman"/>
        <family val="1"/>
      </rPr>
      <t>C</t>
    </r>
    <r>
      <rPr>
        <b/>
        <u val="double"/>
        <sz val="28"/>
        <color indexed="8"/>
        <rFont val="Times New Roman"/>
        <family val="1"/>
      </rPr>
      <t>alculator</t>
    </r>
  </si>
  <si>
    <r>
      <rPr>
        <b/>
        <sz val="18"/>
        <color indexed="8"/>
        <rFont val="Times New Roman"/>
        <family val="1"/>
      </rPr>
      <t xml:space="preserve"> </t>
    </r>
    <r>
      <rPr>
        <b/>
        <u/>
        <sz val="18"/>
        <color indexed="8"/>
        <rFont val="Times New Roman"/>
        <family val="1"/>
      </rPr>
      <t>Bitterness v Gravity</t>
    </r>
  </si>
  <si>
    <t>Figures used in all calculations</t>
  </si>
  <si>
    <t>To amend ̸ modify any data, please refer to the "Technical Section".</t>
  </si>
  <si>
    <t>Initial vol.</t>
  </si>
  <si>
    <t xml:space="preserve">     Denotes "editable" cells, add your own data.</t>
  </si>
  <si>
    <t>Brewing ̸ resting temp.</t>
  </si>
  <si>
    <r>
      <rPr>
        <sz val="11"/>
        <color indexed="8"/>
        <rFont val="Times New Roman"/>
        <family val="1"/>
      </rPr>
      <t>°</t>
    </r>
    <r>
      <rPr>
        <sz val="10"/>
        <color indexed="8"/>
        <rFont val="Times New Roman"/>
        <family val="1"/>
      </rPr>
      <t>C (0-30)</t>
    </r>
  </si>
  <si>
    <t>Extract Efficiency</t>
  </si>
  <si>
    <t>%  (Used for coloured malts - 75% nominally is assumed, 65% in the US).</t>
  </si>
  <si>
    <t xml:space="preserve">SUMMARY FOR </t>
  </si>
  <si>
    <t>Targets</t>
  </si>
  <si>
    <t>CALORIE ̸ CARBOHYDRATE &amp; UNIT DATA</t>
  </si>
  <si>
    <r>
      <rPr>
        <sz val="10"/>
        <color indexed="8"/>
        <rFont val="Times New Roman"/>
        <family val="1"/>
      </rPr>
      <t>O.G.</t>
    </r>
    <r>
      <rPr>
        <sz val="10"/>
        <color indexed="17"/>
        <rFont val="Times New Roman"/>
        <family val="1"/>
      </rPr>
      <t xml:space="preserve"> </t>
    </r>
    <r>
      <rPr>
        <sz val="10"/>
        <color indexed="57"/>
        <rFont val="Times New Roman"/>
        <family val="1"/>
      </rPr>
      <t>(exc. primer)</t>
    </r>
  </si>
  <si>
    <r>
      <rPr>
        <b/>
        <sz val="10"/>
        <color indexed="8"/>
        <rFont val="Times New Roman"/>
        <family val="1"/>
      </rPr>
      <t>"Effective" O.G.</t>
    </r>
    <r>
      <rPr>
        <sz val="10"/>
        <color indexed="8"/>
        <rFont val="Times New Roman"/>
        <family val="1"/>
      </rPr>
      <t xml:space="preserve"> </t>
    </r>
    <r>
      <rPr>
        <sz val="10"/>
        <color indexed="10"/>
        <rFont val="Times New Roman"/>
        <family val="1"/>
      </rPr>
      <t>(inc. primer)</t>
    </r>
  </si>
  <si>
    <t>This is mainly for diabetes suffers etc. All the figures are approximate.</t>
  </si>
  <si>
    <r>
      <rPr>
        <b/>
        <sz val="10"/>
        <color rgb="FF000000"/>
        <rFont val="Times New Roman"/>
        <family val="1"/>
      </rPr>
      <t>EBC</t>
    </r>
    <r>
      <rPr>
        <sz val="10"/>
        <color rgb="FF000000"/>
        <rFont val="Times New Roman"/>
        <family val="1"/>
      </rPr>
      <t xml:space="preserve">: Viewed through 25mm glass/cuvette. </t>
    </r>
    <r>
      <rPr>
        <b/>
        <sz val="10"/>
        <color rgb="FF000000"/>
        <rFont val="Times New Roman"/>
        <family val="1"/>
      </rPr>
      <t>SRM</t>
    </r>
    <r>
      <rPr>
        <sz val="10"/>
        <color rgb="FF000000"/>
        <rFont val="Times New Roman"/>
        <family val="1"/>
      </rPr>
      <t xml:space="preserve">: Viewed through 0.5 inch glass/cuvette.    
</t>
    </r>
  </si>
  <si>
    <r>
      <rPr>
        <sz val="10"/>
        <color indexed="8"/>
        <rFont val="Times New Roman"/>
        <family val="1"/>
      </rPr>
      <t>F.G.</t>
    </r>
    <r>
      <rPr>
        <sz val="10"/>
        <color indexed="54"/>
        <rFont val="Times New Roman"/>
        <family val="1"/>
      </rPr>
      <t xml:space="preserve"> </t>
    </r>
    <r>
      <rPr>
        <sz val="10"/>
        <color indexed="57"/>
        <rFont val="Times New Roman"/>
        <family val="1"/>
      </rPr>
      <t>(exc. primer)</t>
    </r>
  </si>
  <si>
    <r>
      <rPr>
        <b/>
        <sz val="10"/>
        <color indexed="8"/>
        <rFont val="Times New Roman"/>
        <family val="1"/>
      </rPr>
      <t>"Effective" F.G.</t>
    </r>
    <r>
      <rPr>
        <sz val="10"/>
        <color indexed="10"/>
        <rFont val="Times New Roman"/>
        <family val="1"/>
      </rPr>
      <t xml:space="preserve"> (inc. primer)</t>
    </r>
  </si>
  <si>
    <t>Metric measures</t>
  </si>
  <si>
    <t>UK measures</t>
  </si>
  <si>
    <t>US measures</t>
  </si>
  <si>
    <r>
      <rPr>
        <sz val="10"/>
        <color indexed="8"/>
        <rFont val="Times New Roman"/>
        <family val="1"/>
      </rPr>
      <t>% Alcohol</t>
    </r>
    <r>
      <rPr>
        <sz val="10"/>
        <color indexed="10"/>
        <rFont val="Times New Roman"/>
        <family val="1"/>
      </rPr>
      <t xml:space="preserve"> </t>
    </r>
    <r>
      <rPr>
        <sz val="10"/>
        <color indexed="57"/>
        <rFont val="Times New Roman"/>
        <family val="1"/>
      </rPr>
      <t>(exc. primer)</t>
    </r>
  </si>
  <si>
    <r>
      <rPr>
        <b/>
        <sz val="10"/>
        <color indexed="8"/>
        <rFont val="Times New Roman"/>
        <family val="1"/>
      </rPr>
      <t>% Alcohol</t>
    </r>
    <r>
      <rPr>
        <sz val="10"/>
        <color indexed="10"/>
        <rFont val="Times New Roman"/>
        <family val="1"/>
      </rPr>
      <t xml:space="preserve"> (inc. primer)</t>
    </r>
  </si>
  <si>
    <t>7.5</t>
  </si>
  <si>
    <t>For a bottle ̸ glass size of</t>
  </si>
  <si>
    <t>pint</t>
  </si>
  <si>
    <t>PALE malt to liquid ̸ dry ext. wt.</t>
  </si>
  <si>
    <t xml:space="preserve">Liquid ̸ dry malt extract wt. </t>
  </si>
  <si>
    <r>
      <rPr>
        <sz val="10"/>
        <color indexed="8"/>
        <rFont val="Times New Roman"/>
        <family val="1"/>
      </rPr>
      <t>Carbonation, volumes CO</t>
    </r>
    <r>
      <rPr>
        <sz val="8"/>
        <color indexed="8"/>
        <rFont val="Times New Roman"/>
        <family val="1"/>
      </rPr>
      <t>2</t>
    </r>
    <r>
      <rPr>
        <sz val="10"/>
        <color indexed="8"/>
        <rFont val="Times New Roman"/>
        <family val="1"/>
      </rPr>
      <t xml:space="preserve"> </t>
    </r>
    <r>
      <rPr>
        <sz val="10"/>
        <color indexed="57"/>
        <rFont val="Times New Roman"/>
        <family val="1"/>
      </rPr>
      <t>(exc. primer)</t>
    </r>
  </si>
  <si>
    <r>
      <rPr>
        <b/>
        <u/>
        <sz val="10"/>
        <color indexed="8"/>
        <rFont val="Times New Roman"/>
        <family val="1"/>
      </rPr>
      <t>Carbonation</t>
    </r>
    <r>
      <rPr>
        <u/>
        <sz val="10"/>
        <color indexed="8"/>
        <rFont val="Times New Roman"/>
        <family val="1"/>
      </rPr>
      <t xml:space="preserve"> </t>
    </r>
    <r>
      <rPr>
        <u/>
        <sz val="10"/>
        <color indexed="10"/>
        <rFont val="Times New Roman"/>
        <family val="1"/>
      </rPr>
      <t>(inc. primer)</t>
    </r>
  </si>
  <si>
    <r>
      <rPr>
        <u/>
        <sz val="10"/>
        <rFont val="Times New Roman"/>
        <family val="1"/>
      </rPr>
      <t>Malt</t>
    </r>
    <r>
      <rPr>
        <sz val="10"/>
        <rFont val="Times New Roman"/>
        <family val="1"/>
      </rPr>
      <t xml:space="preserve"> Wt.</t>
    </r>
  </si>
  <si>
    <t>Ext. wt.</t>
  </si>
  <si>
    <r>
      <rPr>
        <sz val="10"/>
        <color indexed="8"/>
        <rFont val="Times New Roman"/>
        <family val="1"/>
      </rPr>
      <t>Bitterness</t>
    </r>
    <r>
      <rPr>
        <sz val="10"/>
        <color indexed="20"/>
        <rFont val="Times New Roman"/>
        <family val="1"/>
      </rPr>
      <t xml:space="preserve"> </t>
    </r>
    <r>
      <rPr>
        <sz val="10"/>
        <color rgb="FFCC00FF"/>
        <rFont val="Times New Roman"/>
        <family val="1"/>
      </rPr>
      <t xml:space="preserve">- </t>
    </r>
    <r>
      <rPr>
        <b/>
        <sz val="10"/>
        <color rgb="FFCC00FF"/>
        <rFont val="Times New Roman"/>
        <family val="1"/>
      </rPr>
      <t>Method 1A</t>
    </r>
  </si>
  <si>
    <r>
      <rPr>
        <sz val="10"/>
        <color indexed="9"/>
        <rFont val="Times New Roman"/>
        <family val="1"/>
      </rPr>
      <t xml:space="preserve">Bitterness </t>
    </r>
    <r>
      <rPr>
        <sz val="10"/>
        <color rgb="FFC00000"/>
        <rFont val="Times New Roman"/>
        <family val="1"/>
      </rPr>
      <t xml:space="preserve">- OR </t>
    </r>
    <r>
      <rPr>
        <b/>
        <sz val="10"/>
        <color rgb="FFC00000"/>
        <rFont val="Times New Roman"/>
        <family val="1"/>
      </rPr>
      <t>Method 1B</t>
    </r>
  </si>
  <si>
    <t>Dependant on cell C5</t>
  </si>
  <si>
    <t>No dependancies.</t>
  </si>
  <si>
    <r>
      <rPr>
        <sz val="10"/>
        <color theme="0"/>
        <rFont val="Times New Roman"/>
        <family val="1"/>
      </rPr>
      <t xml:space="preserve">Bitterness </t>
    </r>
    <r>
      <rPr>
        <sz val="10"/>
        <color rgb="FFFF33CC"/>
        <rFont val="Times New Roman"/>
        <family val="1"/>
      </rPr>
      <t xml:space="preserve">- OR </t>
    </r>
    <r>
      <rPr>
        <b/>
        <sz val="10"/>
        <color rgb="FFFF33CC"/>
        <rFont val="Times New Roman"/>
        <family val="1"/>
      </rPr>
      <t>Method 2</t>
    </r>
  </si>
  <si>
    <t>Target colour (EBC)</t>
  </si>
  <si>
    <t>-</t>
  </si>
  <si>
    <t>Units of alcohol (UK)</t>
  </si>
  <si>
    <r>
      <t>All figures shown in</t>
    </r>
    <r>
      <rPr>
        <sz val="10"/>
        <color theme="0" tint="-0.34998626667073579"/>
        <rFont val="Times New Roman"/>
        <family val="1"/>
      </rPr>
      <t xml:space="preserve"> </t>
    </r>
    <r>
      <rPr>
        <i/>
        <sz val="10"/>
        <color theme="0" tint="-0.499984740745262"/>
        <rFont val="Times New Roman"/>
        <family val="1"/>
      </rPr>
      <t>grey</t>
    </r>
    <r>
      <rPr>
        <sz val="10"/>
        <rFont val="Times New Roman"/>
        <family val="1"/>
      </rPr>
      <t xml:space="preserve"> may be ignored - for information only.</t>
    </r>
  </si>
  <si>
    <t>METHOD 1.</t>
  </si>
  <si>
    <t>METHOD 2.</t>
  </si>
  <si>
    <r>
      <rPr>
        <sz val="10"/>
        <color indexed="8"/>
        <rFont val="Times New Roman"/>
        <family val="1"/>
      </rPr>
      <t xml:space="preserve">Note:- The hop bitterness calculations may give slightly different figures to the </t>
    </r>
    <r>
      <rPr>
        <sz val="10"/>
        <color indexed="10"/>
        <rFont val="Times New Roman"/>
        <family val="1"/>
      </rPr>
      <t>Beer Calc.</t>
    </r>
    <r>
      <rPr>
        <sz val="10"/>
        <color indexed="8"/>
        <rFont val="Times New Roman"/>
        <family val="1"/>
      </rPr>
      <t xml:space="preserve"> owing to the processes used.</t>
    </r>
  </si>
  <si>
    <t>VOLUME CONVERTERS</t>
  </si>
  <si>
    <t>Malt Extracts.</t>
  </si>
  <si>
    <t>LIQUID (LME)</t>
  </si>
  <si>
    <t>Qty</t>
  </si>
  <si>
    <t>% Wt.</t>
  </si>
  <si>
    <t>% Sugars</t>
  </si>
  <si>
    <t>The wort is boiled &amp; any sugars are added at the</t>
  </si>
  <si>
    <t>Hops are boiled with any "coloured malts" only before mixing with the malt extract &amp; any sugars</t>
  </si>
  <si>
    <t>Ferment-</t>
  </si>
  <si>
    <t>DEG</t>
  </si>
  <si>
    <t>Atten.</t>
  </si>
  <si>
    <r>
      <rPr>
        <b/>
        <sz val="10"/>
        <color rgb="FFFF0000"/>
        <rFont val="Times New Roman"/>
        <family val="1"/>
      </rPr>
      <t>UK</t>
    </r>
    <r>
      <rPr>
        <sz val="10"/>
        <color indexed="8"/>
        <rFont val="Times New Roman"/>
        <family val="1"/>
      </rPr>
      <t xml:space="preserve"> Pts</t>
    </r>
  </si>
  <si>
    <r>
      <rPr>
        <b/>
        <sz val="10"/>
        <color rgb="FFCC00FF"/>
        <rFont val="Times New Roman"/>
        <family val="1"/>
      </rPr>
      <t>US</t>
    </r>
    <r>
      <rPr>
        <sz val="10"/>
        <color indexed="8"/>
        <rFont val="Times New Roman"/>
        <family val="1"/>
      </rPr>
      <t xml:space="preserve"> Pts</t>
    </r>
  </si>
  <si>
    <t>Litres</t>
  </si>
  <si>
    <t>UN-HOPPED</t>
  </si>
  <si>
    <t>start of the boil. Method 1A.</t>
  </si>
  <si>
    <t>end of the boil. Method 1B.</t>
  </si>
  <si>
    <t>°/Kg/l.</t>
  </si>
  <si>
    <t>ability</t>
  </si>
  <si>
    <t>REV</t>
  </si>
  <si>
    <t>Boiled</t>
  </si>
  <si>
    <t>HOP VARIETY</t>
  </si>
  <si>
    <t>Alpha</t>
  </si>
  <si>
    <t>1st hop</t>
  </si>
  <si>
    <t>2nd hop</t>
  </si>
  <si>
    <t>3rd hop</t>
  </si>
  <si>
    <t>4th hop</t>
  </si>
  <si>
    <t>5th hop</t>
  </si>
  <si>
    <t>6th hop</t>
  </si>
  <si>
    <t>start of the boil.</t>
  </si>
  <si>
    <t>end of the boil.</t>
  </si>
  <si>
    <t>Separately</t>
  </si>
  <si>
    <t>Acid %</t>
  </si>
  <si>
    <t>Wt. (g)</t>
  </si>
  <si>
    <t>last</t>
  </si>
  <si>
    <t>Admiral</t>
  </si>
  <si>
    <t xml:space="preserve">Ahtanum </t>
  </si>
  <si>
    <t>Boadicea</t>
  </si>
  <si>
    <t>Bramling Cross</t>
  </si>
  <si>
    <t>Brewers Gold</t>
  </si>
  <si>
    <t>DRY (DME)</t>
  </si>
  <si>
    <t>%</t>
  </si>
  <si>
    <t>Bullion</t>
  </si>
  <si>
    <t>Sugars</t>
  </si>
  <si>
    <t>Challenger</t>
  </si>
  <si>
    <t>Cluster</t>
  </si>
  <si>
    <t>EKG</t>
  </si>
  <si>
    <t xml:space="preserve">First Gold (Prima Donna) </t>
  </si>
  <si>
    <t>Fuggles</t>
  </si>
  <si>
    <t>Goldings (Worc.)</t>
  </si>
  <si>
    <t>Green Bullet</t>
  </si>
  <si>
    <t>"Coloured" Malts</t>
  </si>
  <si>
    <t>COLOURED MALTS</t>
  </si>
  <si>
    <t>Perle</t>
  </si>
  <si>
    <t>Phoenix</t>
  </si>
  <si>
    <t>WEIGHT CONVERTERS</t>
  </si>
  <si>
    <t>Pilgrim</t>
  </si>
  <si>
    <t>Wt. oz</t>
  </si>
  <si>
    <t>lb        oz</t>
  </si>
  <si>
    <t>Pioneer</t>
  </si>
  <si>
    <t>Pride Of Ringwood</t>
  </si>
  <si>
    <t>Progress</t>
  </si>
  <si>
    <t>Saaz</t>
  </si>
  <si>
    <t>Southern Cross</t>
  </si>
  <si>
    <t>Sovereign</t>
  </si>
  <si>
    <t>Styrian Goldings</t>
  </si>
  <si>
    <t>Target</t>
  </si>
  <si>
    <t>Tettnanger</t>
  </si>
  <si>
    <t>WGV</t>
  </si>
  <si>
    <t>Sugars Etc.</t>
  </si>
  <si>
    <t>SUGARS</t>
  </si>
  <si>
    <t>Hello cheeky!</t>
  </si>
  <si>
    <t>Yeoman</t>
  </si>
  <si>
    <t>Zenith</t>
  </si>
  <si>
    <t>Cascade</t>
  </si>
  <si>
    <t>Other</t>
  </si>
  <si>
    <r>
      <rPr>
        <sz val="10"/>
        <color indexed="8"/>
        <rFont val="Times New Roman"/>
        <family val="1"/>
      </rPr>
      <t>Isomerised hop extract</t>
    </r>
    <r>
      <rPr>
        <b/>
        <sz val="10"/>
        <color indexed="8"/>
        <rFont val="Times New Roman"/>
        <family val="1"/>
      </rPr>
      <t xml:space="preserve"> </t>
    </r>
    <r>
      <rPr>
        <b/>
        <sz val="10"/>
        <color rgb="FFFF0000"/>
        <rFont val="Times New Roman"/>
        <family val="1"/>
      </rPr>
      <t>‡</t>
    </r>
  </si>
  <si>
    <t>hop bitterness</t>
  </si>
  <si>
    <t>‡ Do not boil the hop extract!</t>
  </si>
  <si>
    <t>See cell K77 etc. for the Isomerised hop extract settings.</t>
  </si>
  <si>
    <t>wt hop</t>
  </si>
  <si>
    <t>hop wt</t>
  </si>
  <si>
    <t>Boil vol. (litres)</t>
  </si>
  <si>
    <r>
      <rPr>
        <sz val="10"/>
        <color rgb="FFCC00FF"/>
        <rFont val="Times New Roman"/>
        <family val="1"/>
      </rPr>
      <t xml:space="preserve">MAIN </t>
    </r>
    <r>
      <rPr>
        <b/>
        <sz val="10"/>
        <color rgb="FFCC00FF"/>
        <rFont val="Times New Roman"/>
        <family val="1"/>
      </rPr>
      <t xml:space="preserve">boil vol. &amp; time </t>
    </r>
    <r>
      <rPr>
        <sz val="10"/>
        <color rgb="FFCC00FF"/>
        <rFont val="Times New Roman"/>
        <family val="1"/>
      </rPr>
      <t xml:space="preserve">(cells J70 &amp; J72) are </t>
    </r>
    <r>
      <rPr>
        <b/>
        <sz val="10"/>
        <color rgb="FFCC00FF"/>
        <rFont val="Times New Roman"/>
        <family val="1"/>
      </rPr>
      <t>usually</t>
    </r>
    <r>
      <rPr>
        <sz val="10"/>
        <color rgb="FFCC00FF"/>
        <rFont val="Times New Roman"/>
        <family val="1"/>
      </rPr>
      <t xml:space="preserve"> </t>
    </r>
    <r>
      <rPr>
        <b/>
        <sz val="10"/>
        <color rgb="FFCC00FF"/>
        <rFont val="Times New Roman"/>
        <family val="1"/>
      </rPr>
      <t>chosen</t>
    </r>
    <r>
      <rPr>
        <sz val="10"/>
        <color rgb="FFCC00FF"/>
        <rFont val="Times New Roman"/>
        <family val="1"/>
      </rPr>
      <t xml:space="preserve"> to give </t>
    </r>
    <r>
      <rPr>
        <b/>
        <sz val="10"/>
        <color rgb="FFCC00FF"/>
        <rFont val="Times New Roman"/>
        <family val="1"/>
      </rPr>
      <t xml:space="preserve">20% Utilization </t>
    </r>
    <r>
      <rPr>
        <sz val="10"/>
        <color rgb="FFCC00FF"/>
        <rFont val="Times New Roman"/>
        <family val="1"/>
      </rPr>
      <t>(cell J74).</t>
    </r>
  </si>
  <si>
    <r>
      <rPr>
        <sz val="10"/>
        <color rgb="FFC00000"/>
        <rFont val="Times New Roman"/>
        <family val="1"/>
      </rPr>
      <t xml:space="preserve">MAIN </t>
    </r>
    <r>
      <rPr>
        <b/>
        <sz val="10"/>
        <color rgb="FFC00000"/>
        <rFont val="Times New Roman"/>
        <family val="1"/>
      </rPr>
      <t xml:space="preserve">boil vol. &amp; time </t>
    </r>
    <r>
      <rPr>
        <sz val="10"/>
        <color rgb="FFC00000"/>
        <rFont val="Times New Roman"/>
        <family val="1"/>
      </rPr>
      <t xml:space="preserve">(cells P70 &amp; P72) are </t>
    </r>
    <r>
      <rPr>
        <b/>
        <sz val="10"/>
        <color rgb="FFC00000"/>
        <rFont val="Times New Roman"/>
        <family val="1"/>
      </rPr>
      <t>usually</t>
    </r>
    <r>
      <rPr>
        <sz val="10"/>
        <color rgb="FFC00000"/>
        <rFont val="Times New Roman"/>
        <family val="1"/>
      </rPr>
      <t xml:space="preserve"> </t>
    </r>
    <r>
      <rPr>
        <b/>
        <sz val="10"/>
        <color rgb="FFC00000"/>
        <rFont val="Times New Roman"/>
        <family val="1"/>
      </rPr>
      <t>chosen</t>
    </r>
    <r>
      <rPr>
        <sz val="10"/>
        <color rgb="FFC00000"/>
        <rFont val="Times New Roman"/>
        <family val="1"/>
      </rPr>
      <t xml:space="preserve"> to give </t>
    </r>
    <r>
      <rPr>
        <b/>
        <sz val="10"/>
        <color rgb="FFC00000"/>
        <rFont val="Times New Roman"/>
        <family val="1"/>
      </rPr>
      <t xml:space="preserve">20% Utilization </t>
    </r>
    <r>
      <rPr>
        <sz val="10"/>
        <color rgb="FFC00000"/>
        <rFont val="Times New Roman"/>
        <family val="1"/>
      </rPr>
      <t>(cell P74).</t>
    </r>
  </si>
  <si>
    <r>
      <rPr>
        <sz val="10"/>
        <color rgb="FFFF33CC"/>
        <rFont val="Times New Roman"/>
        <family val="1"/>
      </rPr>
      <t xml:space="preserve">MAIN </t>
    </r>
    <r>
      <rPr>
        <b/>
        <sz val="10"/>
        <color rgb="FFFF33CC"/>
        <rFont val="Times New Roman"/>
        <family val="1"/>
      </rPr>
      <t>boil vol. &amp; time</t>
    </r>
    <r>
      <rPr>
        <sz val="10"/>
        <color rgb="FFFF33CC"/>
        <rFont val="Times New Roman"/>
        <family val="1"/>
      </rPr>
      <t xml:space="preserve"> (cells V70 &amp; V72) </t>
    </r>
    <r>
      <rPr>
        <b/>
        <sz val="10"/>
        <color rgb="FFFF33CC"/>
        <rFont val="Times New Roman"/>
        <family val="1"/>
      </rPr>
      <t>are chosen</t>
    </r>
    <r>
      <rPr>
        <sz val="10"/>
        <color rgb="FFFF33CC"/>
        <rFont val="Times New Roman"/>
        <family val="1"/>
      </rPr>
      <t xml:space="preserve"> to give a </t>
    </r>
    <r>
      <rPr>
        <b/>
        <sz val="10"/>
        <color rgb="FFFF33CC"/>
        <rFont val="Times New Roman"/>
        <family val="1"/>
      </rPr>
      <t>high Utilization</t>
    </r>
    <r>
      <rPr>
        <sz val="10"/>
        <color rgb="FFFF33CC"/>
        <rFont val="Times New Roman"/>
        <family val="1"/>
      </rPr>
      <t xml:space="preserve"> (cell V74).</t>
    </r>
  </si>
  <si>
    <t xml:space="preserve">min. boil vol. </t>
  </si>
  <si>
    <t>Boil gravity</t>
  </si>
  <si>
    <t>grain wt</t>
  </si>
  <si>
    <t>Boil time (mins)</t>
  </si>
  <si>
    <t>Boil bitterness added</t>
  </si>
  <si>
    <r>
      <t xml:space="preserve">Main hop utilization (norm. </t>
    </r>
    <r>
      <rPr>
        <b/>
        <sz val="10"/>
        <color indexed="10"/>
        <rFont val="Times New Roman"/>
        <family val="1"/>
      </rPr>
      <t>20%</t>
    </r>
    <r>
      <rPr>
        <sz val="10"/>
        <color indexed="10"/>
        <rFont val="Times New Roman"/>
        <family val="1"/>
      </rPr>
      <t xml:space="preserve"> in the </t>
    </r>
    <r>
      <rPr>
        <b/>
        <sz val="10"/>
        <color theme="8" tint="-0.499984740745262"/>
        <rFont val="Times New Roman"/>
        <family val="1"/>
      </rPr>
      <t>UK</t>
    </r>
    <r>
      <rPr>
        <sz val="10"/>
        <color indexed="10"/>
        <rFont val="Times New Roman"/>
        <family val="1"/>
      </rPr>
      <t>)</t>
    </r>
  </si>
  <si>
    <t>Bitterness from added hops (EBU)</t>
  </si>
  <si>
    <t>Malt ̸ iso-hop extract bitterness</t>
  </si>
  <si>
    <t>Total bitterness</t>
  </si>
  <si>
    <t>Note:-</t>
  </si>
  <si>
    <t>Total sugar (sucrose equiv. inc. primer)</t>
  </si>
  <si>
    <t>When hopped extract &amp; ̸ or iso-hop extract are ̸ is used with NO additional hops, boiling is NOT required.</t>
  </si>
  <si>
    <t>Generally 40'% sugars by wt is considered the Max., equiv. to 30% by weight if using malt.</t>
  </si>
  <si>
    <t>g ̸ litre</t>
  </si>
  <si>
    <t>Col</t>
  </si>
  <si>
    <t xml:space="preserve">   This is equivalent to</t>
  </si>
  <si>
    <t>level 5ml tsp ̸ litre</t>
  </si>
  <si>
    <t>Total wts</t>
  </si>
  <si>
    <t>See the Hop Settings</t>
  </si>
  <si>
    <t>tot sugars</t>
  </si>
  <si>
    <t>OR, for a</t>
  </si>
  <si>
    <t>ml bottle</t>
  </si>
  <si>
    <t>The hop calculations use the Glenn Tinseth method for loose, whole hops. If the hops are used in a mesh bag, use about 10% more, if using hop pellets, use about 10% fewer.</t>
  </si>
  <si>
    <t>Hop Boil Schedule</t>
  </si>
  <si>
    <t>METHOD 1A</t>
  </si>
  <si>
    <t>METHOD 1B</t>
  </si>
  <si>
    <t>METHOD 2</t>
  </si>
  <si>
    <t>use</t>
  </si>
  <si>
    <t>Check</t>
  </si>
  <si>
    <t xml:space="preserve">hours </t>
  </si>
  <si>
    <t xml:space="preserve"> mins</t>
  </si>
  <si>
    <t>OG</t>
  </si>
  <si>
    <t>No primer</t>
  </si>
  <si>
    <r>
      <rPr>
        <sz val="10"/>
        <color theme="1" tint="0.34998626667073579"/>
        <rFont val="Times New Roman"/>
        <family val="1"/>
      </rPr>
      <t>Carbonation Volumes CO</t>
    </r>
    <r>
      <rPr>
        <sz val="8"/>
        <color theme="1" tint="0.34998626667073579"/>
        <rFont val="Times New Roman"/>
        <family val="1"/>
      </rPr>
      <t>2</t>
    </r>
    <r>
      <rPr>
        <sz val="10"/>
        <color theme="1" tint="0.34998626667073579"/>
        <rFont val="Times New Roman"/>
        <family val="1"/>
      </rPr>
      <t xml:space="preserve"> (primed)</t>
    </r>
  </si>
  <si>
    <t>Used for the Hop Utilisation calc’s.</t>
  </si>
  <si>
    <t>1st hops (if used) added at time</t>
  </si>
  <si>
    <t>X71</t>
  </si>
  <si>
    <t>Yeast used</t>
  </si>
  <si>
    <t>Ale</t>
  </si>
  <si>
    <t>Gervin</t>
  </si>
  <si>
    <t>Hop Settings</t>
  </si>
  <si>
    <t>2nd hops (if used) added at time</t>
  </si>
  <si>
    <t>Atten NO primer</t>
  </si>
  <si>
    <t>X72</t>
  </si>
  <si>
    <t>Yeast Efficiency % (atten.)</t>
  </si>
  <si>
    <t xml:space="preserve"> (76% is generally assumed)</t>
  </si>
  <si>
    <t>Default settings</t>
  </si>
  <si>
    <t>3rd hops (if used) added at time</t>
  </si>
  <si>
    <t>Apparent Attenuation, unprimed</t>
  </si>
  <si>
    <t>Real Attenuation, unprimed</t>
  </si>
  <si>
    <t>User settings</t>
  </si>
  <si>
    <t>4th hops (if used) added at time</t>
  </si>
  <si>
    <t>O.G. (inc. primer)</t>
  </si>
  <si>
    <r>
      <rPr>
        <b/>
        <u/>
        <sz val="10"/>
        <color indexed="8"/>
        <rFont val="Times New Roman"/>
        <family val="1"/>
      </rPr>
      <t>Typical sucrose priming rates @ 20</t>
    </r>
    <r>
      <rPr>
        <b/>
        <u/>
        <sz val="11"/>
        <color indexed="8"/>
        <rFont val="Times New Roman"/>
        <family val="1"/>
      </rPr>
      <t>°</t>
    </r>
    <r>
      <rPr>
        <b/>
        <u/>
        <sz val="10"/>
        <color indexed="8"/>
        <rFont val="Times New Roman"/>
        <family val="1"/>
      </rPr>
      <t>C</t>
    </r>
  </si>
  <si>
    <t>5th hops (if used) added at time</t>
  </si>
  <si>
    <t>O.G. (exc. primer)</t>
  </si>
  <si>
    <t>6th hops (if used) added at time</t>
  </si>
  <si>
    <t>F.G. (exc. primer)</t>
  </si>
  <si>
    <t>FG</t>
  </si>
  <si>
    <t>litres gives approx.</t>
  </si>
  <si>
    <t>End Boil Time =</t>
  </si>
  <si>
    <t>F.G. (inc. primer)</t>
  </si>
  <si>
    <t>end</t>
  </si>
  <si>
    <t xml:space="preserve"> Note:- 1 ml of Ritchie's hop extract in 1 litre of beer adds 69 EBU's. See "Beer Data Sheet" cell T17."</t>
  </si>
  <si>
    <t>Total Boil Time =</t>
  </si>
  <si>
    <t>mins</t>
  </si>
  <si>
    <t>NOTES:-</t>
  </si>
  <si>
    <t>1 level 5ml tsp sugar =</t>
  </si>
  <si>
    <t>Sugar weight ̸ vol.</t>
  </si>
  <si>
    <t>litres of beer.</t>
  </si>
  <si>
    <t>Please note:-</t>
  </si>
  <si>
    <t xml:space="preserve"> Priming with brewing sugar has no advantages &amp;, "carbonation drops", which are mostly  sugar, are an expensive con. If  you like the convenience use normal, cheap sugar cubes instead!</t>
  </si>
  <si>
    <t>Free for use. Not for sale.</t>
  </si>
  <si>
    <t xml:space="preserve">Additional advice given by Andy at </t>
  </si>
  <si>
    <t>www.colchesterhomebrew.co.uk</t>
  </si>
  <si>
    <t xml:space="preserve">And David at </t>
  </si>
  <si>
    <t>david.barrow@live.co.uk</t>
  </si>
  <si>
    <t xml:space="preserve">Copyright Peter J. Laycock 28~10~2023 </t>
  </si>
  <si>
    <r>
      <rPr>
        <b/>
        <sz val="10"/>
        <color indexed="10"/>
        <rFont val="Times New Roman"/>
        <family val="1"/>
      </rPr>
      <t>Disclaime</t>
    </r>
    <r>
      <rPr>
        <b/>
        <sz val="10"/>
        <color rgb="FFFF0000"/>
        <rFont val="Times New Roman"/>
        <family val="1"/>
      </rPr>
      <t>r:</t>
    </r>
    <r>
      <rPr>
        <sz val="10"/>
        <color indexed="23"/>
        <rFont val="Times New Roman"/>
        <family val="1"/>
      </rPr>
      <t xml:space="preserve"> </t>
    </r>
    <r>
      <rPr>
        <sz val="10"/>
        <rFont val="Times New Roman"/>
        <family val="1"/>
      </rPr>
      <t>E&amp;OE. No responsibility is assumed or implied as a result of using this spreadsheet. Free for use. Not for sale.</t>
    </r>
  </si>
  <si>
    <t>TECHNICAL SECTION</t>
  </si>
  <si>
    <r>
      <rPr>
        <sz val="11"/>
        <color indexed="8"/>
        <rFont val="Times New Roman"/>
        <family val="1"/>
      </rPr>
      <t>FIGURES USED IN THE ABOVE CALCULATOR.</t>
    </r>
    <r>
      <rPr>
        <sz val="10"/>
        <color indexed="8"/>
        <rFont val="Times New Roman"/>
        <family val="1"/>
      </rPr>
      <t xml:space="preserve"> </t>
    </r>
    <r>
      <rPr>
        <sz val="10"/>
        <color rgb="FFFF0000"/>
        <rFont val="Times New Roman"/>
        <family val="1"/>
      </rPr>
      <t>(All are editable.)</t>
    </r>
  </si>
  <si>
    <t>Approximate malt colour (for colours &gt;1.0)</t>
  </si>
  <si>
    <t>Malt Extract</t>
  </si>
  <si>
    <r>
      <rPr>
        <sz val="10"/>
        <color rgb="FF3366FF"/>
        <rFont val="Times New Roman"/>
        <family val="1"/>
      </rPr>
      <t xml:space="preserve">LIQUID </t>
    </r>
    <r>
      <rPr>
        <sz val="10"/>
        <color indexed="8"/>
        <rFont val="Times New Roman"/>
        <family val="1"/>
      </rPr>
      <t>- UN-HOPPED</t>
    </r>
  </si>
  <si>
    <t>° ̸ Kg ̸ l.</t>
  </si>
  <si>
    <t>Extra Light</t>
  </si>
  <si>
    <t>Malt colour is based on the average colour specified by maltsters.</t>
  </si>
  <si>
    <t>Light</t>
  </si>
  <si>
    <t>Amber</t>
  </si>
  <si>
    <t>Dark</t>
  </si>
  <si>
    <t>Extra dark</t>
  </si>
  <si>
    <t>Wheat (55%)</t>
  </si>
  <si>
    <t>OTHER</t>
  </si>
  <si>
    <r>
      <rPr>
        <sz val="10"/>
        <color rgb="FFFF0000"/>
        <rFont val="Times New Roman"/>
        <family val="1"/>
      </rPr>
      <t>DRY</t>
    </r>
    <r>
      <rPr>
        <sz val="10"/>
        <color indexed="8"/>
        <rFont val="Times New Roman"/>
        <family val="1"/>
      </rPr>
      <t xml:space="preserve"> - </t>
    </r>
    <r>
      <rPr>
        <sz val="10"/>
        <color rgb="FF800080"/>
        <rFont val="Times New Roman"/>
        <family val="1"/>
      </rPr>
      <t>UN-HOPPED</t>
    </r>
  </si>
  <si>
    <t>Medium</t>
  </si>
  <si>
    <t>Bitterness</t>
  </si>
  <si>
    <r>
      <rPr>
        <sz val="10"/>
        <color rgb="FF3366FF"/>
        <rFont val="Times New Roman"/>
        <family val="1"/>
      </rPr>
      <t>LIQUID</t>
    </r>
    <r>
      <rPr>
        <sz val="10"/>
        <color indexed="8"/>
        <rFont val="Times New Roman"/>
        <family val="1"/>
      </rPr>
      <t xml:space="preserve"> - HOPPED</t>
    </r>
  </si>
  <si>
    <r>
      <rPr>
        <sz val="10"/>
        <color rgb="FFFF0000"/>
        <rFont val="Times New Roman"/>
        <family val="1"/>
      </rPr>
      <t xml:space="preserve">DRY </t>
    </r>
    <r>
      <rPr>
        <sz val="10"/>
        <color indexed="8"/>
        <rFont val="Times New Roman"/>
        <family val="1"/>
      </rPr>
      <t>- HOPPED</t>
    </r>
  </si>
  <si>
    <t xml:space="preserve">Actual % Used </t>
  </si>
  <si>
    <t>Coloured Malts</t>
  </si>
  <si>
    <t>useable</t>
  </si>
  <si>
    <t>Effic. %</t>
  </si>
  <si>
    <t>Max.</t>
  </si>
  <si>
    <t>Max % Wt. used LME ̸ DME</t>
  </si>
  <si>
    <t>Black</t>
  </si>
  <si>
    <t>13 ̸ 15</t>
  </si>
  <si>
    <t>Caramalt (pale)</t>
  </si>
  <si>
    <t>Chocolate</t>
  </si>
  <si>
    <t>7 ̸ 8</t>
  </si>
  <si>
    <t>Crystal (dark)</t>
  </si>
  <si>
    <t>26 ̸ 30</t>
  </si>
  <si>
    <t>Crystal (light)</t>
  </si>
  <si>
    <t>Crystal (medium)</t>
  </si>
  <si>
    <t>Roast barley</t>
  </si>
  <si>
    <t>OTHER (2)</t>
  </si>
  <si>
    <t>OTHER (1)</t>
  </si>
  <si>
    <t>State</t>
  </si>
  <si>
    <t>Cane ̸ beet sugar (sucrose)</t>
  </si>
  <si>
    <t>Brown sugar (light)</t>
  </si>
  <si>
    <t>Brown sugar (medium)</t>
  </si>
  <si>
    <t>Brown sugar (dark)</t>
  </si>
  <si>
    <t>Brewing/Invert sugar</t>
  </si>
  <si>
    <t>Honey (1 lb = 454g)</t>
  </si>
  <si>
    <t>Belgian candi sugar white dry</t>
  </si>
  <si>
    <t>SOLID</t>
  </si>
  <si>
    <t xml:space="preserve">         Max % Wt. used</t>
  </si>
  <si>
    <t>Belgian candi sugar light brown dry</t>
  </si>
  <si>
    <r>
      <rPr>
        <sz val="11"/>
        <color indexed="12"/>
        <rFont val="Times New Roman"/>
        <family val="1"/>
      </rPr>
      <t xml:space="preserve">         </t>
    </r>
    <r>
      <rPr>
        <u/>
        <sz val="11"/>
        <color indexed="12"/>
        <rFont val="Times New Roman"/>
        <family val="1"/>
      </rPr>
      <t>See cell H139</t>
    </r>
  </si>
  <si>
    <t>Belgian candi sugar dark brown dry</t>
  </si>
  <si>
    <t>Belgian candi sugar light syrup</t>
  </si>
  <si>
    <t>LIQUID</t>
  </si>
  <si>
    <t>Belgian candi sugar amber syrup</t>
  </si>
  <si>
    <t>Belgian candi sugar dark syrup</t>
  </si>
  <si>
    <t>Lactose (non-fermentable - FIXED)</t>
  </si>
  <si>
    <t>Add after the boil.</t>
  </si>
  <si>
    <t>The following "sugars" my be COPIED &amp; PASTED in rows 153-166</t>
  </si>
  <si>
    <t>Invert sugars - SOLID</t>
  </si>
  <si>
    <t>Not sure about this info but it's better than now't! (Well, ..... possibly.)</t>
  </si>
  <si>
    <t>Inv. sugar No. 1 dry</t>
  </si>
  <si>
    <t>Inv. sugar No. 2 dry</t>
  </si>
  <si>
    <t>Inv. sugar No. 3 dry</t>
  </si>
  <si>
    <t>Inv. sugar No. 4 dry</t>
  </si>
  <si>
    <t>Invert sugars - LIQUID</t>
  </si>
  <si>
    <t>Inv. sugar No. 1 syrup</t>
  </si>
  <si>
    <t>Inv. sugar No. 2 syrup</t>
  </si>
  <si>
    <t>Inv. sugar No. 3 syrup</t>
  </si>
  <si>
    <t>Inv. sugar No. 4 syrup</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</si>
  <si>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C</t>
    </r>
    <r>
      <rPr>
        <b/>
        <u val="double"/>
        <sz val="28"/>
        <color indexed="8"/>
        <rFont val="Times New Roman"/>
        <family val="1"/>
      </rPr>
      <t>alculator</t>
    </r>
  </si>
  <si>
    <t>Boil Gravity</t>
  </si>
  <si>
    <t>Nom.</t>
  </si>
  <si>
    <t>See cell BP64</t>
  </si>
  <si>
    <t>Boil Time (min)</t>
  </si>
  <si>
    <t>Stated recipe initial vol.</t>
  </si>
  <si>
    <t>Est. final vol. litres, after mashing/sparging/hopping etc.</t>
  </si>
  <si>
    <t>.</t>
  </si>
  <si>
    <r>
      <rPr>
        <sz val="12"/>
        <color indexed="8"/>
        <rFont val="Times New Roman"/>
        <family val="1"/>
      </rPr>
      <t>°</t>
    </r>
    <r>
      <rPr>
        <sz val="10"/>
        <color indexed="8"/>
        <rFont val="Times New Roman"/>
        <family val="1"/>
      </rPr>
      <t>C (0-30).</t>
    </r>
  </si>
  <si>
    <t>LIQUID Extract "OLD"</t>
  </si>
  <si>
    <t>Extract efficiency</t>
  </si>
  <si>
    <r>
      <t xml:space="preserve">% (Nominally 75% is assumed in the </t>
    </r>
    <r>
      <rPr>
        <b/>
        <sz val="10"/>
        <color rgb="FFFF0000"/>
        <rFont val="Times New Roman"/>
        <family val="1"/>
      </rPr>
      <t>UK</t>
    </r>
    <r>
      <rPr>
        <sz val="10"/>
        <rFont val="Times New Roman"/>
        <family val="1"/>
      </rPr>
      <t xml:space="preserve">, 65% in the </t>
    </r>
    <r>
      <rPr>
        <b/>
        <sz val="10"/>
        <color rgb="FFCC00FF"/>
        <rFont val="Times New Roman"/>
        <family val="1"/>
      </rPr>
      <t>US</t>
    </r>
    <r>
      <rPr>
        <sz val="10"/>
        <rFont val="Times New Roman"/>
        <family val="1"/>
      </rPr>
      <t>).</t>
    </r>
  </si>
  <si>
    <t>Borve Ale</t>
  </si>
  <si>
    <r>
      <rPr>
        <sz val="10"/>
        <color indexed="8"/>
        <rFont val="Times New Roman"/>
        <family val="1"/>
      </rPr>
      <t>O.G.</t>
    </r>
    <r>
      <rPr>
        <sz val="10"/>
        <color indexed="57"/>
        <rFont val="Times New Roman"/>
        <family val="1"/>
      </rPr>
      <t xml:space="preserve"> (exc. primer)</t>
    </r>
  </si>
  <si>
    <r>
      <rPr>
        <b/>
        <sz val="10"/>
        <color indexed="8"/>
        <rFont val="Times New Roman"/>
        <family val="1"/>
      </rPr>
      <t>"Effective" F.G.</t>
    </r>
    <r>
      <rPr>
        <sz val="10"/>
        <color indexed="8"/>
        <rFont val="Times New Roman"/>
        <family val="1"/>
      </rPr>
      <t xml:space="preserve"> </t>
    </r>
    <r>
      <rPr>
        <sz val="10"/>
        <color indexed="10"/>
        <rFont val="Times New Roman"/>
        <family val="1"/>
      </rPr>
      <t>(inc. primer)</t>
    </r>
  </si>
  <si>
    <r>
      <rPr>
        <b/>
        <sz val="10"/>
        <color indexed="8"/>
        <rFont val="Times New Roman"/>
        <family val="1"/>
      </rPr>
      <t>% Alcohol</t>
    </r>
    <r>
      <rPr>
        <sz val="10"/>
        <color indexed="8"/>
        <rFont val="Times New Roman"/>
        <family val="1"/>
      </rPr>
      <t xml:space="preserve"> </t>
    </r>
    <r>
      <rPr>
        <sz val="10"/>
        <color indexed="10"/>
        <rFont val="Times New Roman"/>
        <family val="1"/>
      </rPr>
      <t>(inc. primer)</t>
    </r>
  </si>
  <si>
    <r>
      <rPr>
        <b/>
        <sz val="10"/>
        <color indexed="8"/>
        <rFont val="Times New Roman"/>
        <family val="1"/>
      </rPr>
      <t>Carbonation</t>
    </r>
    <r>
      <rPr>
        <sz val="10"/>
        <color indexed="8"/>
        <rFont val="Times New Roman"/>
        <family val="1"/>
      </rPr>
      <t xml:space="preserve"> </t>
    </r>
    <r>
      <rPr>
        <sz val="10"/>
        <color indexed="10"/>
        <rFont val="Times New Roman"/>
        <family val="1"/>
      </rPr>
      <t>(inc. primer)</t>
    </r>
  </si>
  <si>
    <t>Figures used in the which may be amended.</t>
  </si>
  <si>
    <r>
      <rPr>
        <sz val="10"/>
        <color indexed="8"/>
        <rFont val="Times New Roman"/>
        <family val="1"/>
      </rPr>
      <t>Bitterness</t>
    </r>
    <r>
      <rPr>
        <sz val="10"/>
        <color indexed="20"/>
        <rFont val="Times New Roman"/>
        <family val="1"/>
      </rPr>
      <t xml:space="preserve"> </t>
    </r>
    <r>
      <rPr>
        <sz val="10"/>
        <color rgb="FFCC00FF"/>
        <rFont val="Times New Roman"/>
        <family val="1"/>
      </rPr>
      <t xml:space="preserve">- </t>
    </r>
    <r>
      <rPr>
        <b/>
        <sz val="10"/>
        <color rgb="FFCC00FF"/>
        <rFont val="Times New Roman"/>
        <family val="1"/>
      </rPr>
      <t>Method 1</t>
    </r>
  </si>
  <si>
    <t>Calories from the residual sugars</t>
  </si>
  <si>
    <t>bitterness</t>
  </si>
  <si>
    <r>
      <rPr>
        <sz val="11"/>
        <rFont val="Times New Roman"/>
        <family val="1"/>
      </rPr>
      <t>°</t>
    </r>
    <r>
      <rPr>
        <sz val="8"/>
        <rFont val="Times New Roman"/>
        <family val="1"/>
      </rPr>
      <t xml:space="preserve"> </t>
    </r>
    <r>
      <rPr>
        <sz val="10"/>
        <rFont val="Times New Roman"/>
        <family val="1"/>
      </rPr>
      <t>/</t>
    </r>
    <r>
      <rPr>
        <sz val="8"/>
        <rFont val="Times New Roman"/>
        <family val="1"/>
      </rPr>
      <t xml:space="preserve"> </t>
    </r>
    <r>
      <rPr>
        <sz val="10"/>
        <rFont val="Times New Roman"/>
        <family val="1"/>
      </rPr>
      <t>Kg</t>
    </r>
    <r>
      <rPr>
        <sz val="8"/>
        <rFont val="Times New Roman"/>
        <family val="1"/>
      </rPr>
      <t xml:space="preserve"> </t>
    </r>
    <r>
      <rPr>
        <sz val="10"/>
        <rFont val="Times New Roman"/>
        <family val="1"/>
      </rPr>
      <t>/</t>
    </r>
    <r>
      <rPr>
        <sz val="8"/>
        <rFont val="Times New Roman"/>
        <family val="1"/>
      </rPr>
      <t xml:space="preserve"> </t>
    </r>
    <r>
      <rPr>
        <sz val="10"/>
        <rFont val="Times New Roman"/>
        <family val="1"/>
      </rPr>
      <t>l</t>
    </r>
  </si>
  <si>
    <t>This page is primarily intended for "mashers" but "extract" uses can it as well although some very minor hop errors may occur.</t>
  </si>
  <si>
    <r>
      <rPr>
        <sz val="10"/>
        <color indexed="9"/>
        <rFont val="Times New Roman"/>
        <family val="1"/>
      </rPr>
      <t xml:space="preserve">Bitterness </t>
    </r>
    <r>
      <rPr>
        <sz val="10"/>
        <color indexed="60"/>
        <rFont val="Times New Roman"/>
        <family val="1"/>
      </rPr>
      <t xml:space="preserve">- OR </t>
    </r>
    <r>
      <rPr>
        <b/>
        <sz val="10"/>
        <color indexed="60"/>
        <rFont val="Times New Roman"/>
        <family val="1"/>
      </rPr>
      <t>Method 2</t>
    </r>
  </si>
  <si>
    <t>Pale Malt</t>
  </si>
  <si>
    <t xml:space="preserve"> Bum!</t>
  </si>
  <si>
    <t>Target colour EBC</t>
  </si>
  <si>
    <r>
      <t>Units of alcohol (</t>
    </r>
    <r>
      <rPr>
        <b/>
        <sz val="10"/>
        <color rgb="FFFF0000"/>
        <rFont val="Times New Roman"/>
        <family val="1"/>
      </rPr>
      <t>UK</t>
    </r>
    <r>
      <rPr>
        <sz val="10"/>
        <color indexed="8"/>
        <rFont val="Times New Roman"/>
        <family val="1"/>
      </rPr>
      <t>)</t>
    </r>
  </si>
  <si>
    <r>
      <t xml:space="preserve">LIQUID Malt Extract </t>
    </r>
    <r>
      <rPr>
        <b/>
        <sz val="10"/>
        <color rgb="FFFF0000"/>
        <rFont val="Times New Roman"/>
        <family val="1"/>
      </rPr>
      <t>"OLD"</t>
    </r>
  </si>
  <si>
    <t>Hello!</t>
  </si>
  <si>
    <t>Goodbye!</t>
  </si>
  <si>
    <t>Use the "Beer Data" sheet to amend the "Malts &amp; Sugars" or "Hops" data.  Simply copy the required data from columns "K"-"O" to columns "C"-"G".</t>
  </si>
  <si>
    <r>
      <t>Note:- The hop bitterness calculations may give slightly different figures to the</t>
    </r>
    <r>
      <rPr>
        <sz val="9"/>
        <color rgb="FFFF0000"/>
        <rFont val="Times New Roman"/>
        <family val="1"/>
      </rPr>
      <t xml:space="preserve"> Beer Calc</t>
    </r>
    <r>
      <rPr>
        <sz val="9"/>
        <color indexed="8"/>
        <rFont val="Times New Roman"/>
        <family val="1"/>
      </rPr>
      <t>. owing to the processes used.</t>
    </r>
  </si>
  <si>
    <r>
      <rPr>
        <b/>
        <sz val="10"/>
        <color rgb="FFCC00FF"/>
        <rFont val="Times New Roman"/>
        <family val="1"/>
      </rPr>
      <t xml:space="preserve">Any sugars/extracts added at the </t>
    </r>
    <r>
      <rPr>
        <b/>
        <u/>
        <sz val="10"/>
        <color rgb="FFFF0000"/>
        <rFont val="Times New Roman"/>
        <family val="1"/>
      </rPr>
      <t>START</t>
    </r>
    <r>
      <rPr>
        <b/>
        <sz val="10"/>
        <color rgb="FFCC00FF"/>
        <rFont val="Times New Roman"/>
        <family val="1"/>
      </rPr>
      <t xml:space="preserve"> of the boil.</t>
    </r>
  </si>
  <si>
    <r>
      <rPr>
        <b/>
        <sz val="10"/>
        <color rgb="FFC00000"/>
        <rFont val="Times New Roman"/>
        <family val="1"/>
      </rPr>
      <t>Any sugars/extracts added at the</t>
    </r>
    <r>
      <rPr>
        <b/>
        <u/>
        <sz val="10"/>
        <color rgb="FFC00000"/>
        <rFont val="Times New Roman"/>
        <family val="1"/>
      </rPr>
      <t xml:space="preserve"> </t>
    </r>
    <r>
      <rPr>
        <b/>
        <u/>
        <sz val="10"/>
        <color rgb="FFFF0000"/>
        <rFont val="Times New Roman"/>
        <family val="1"/>
      </rPr>
      <t>END</t>
    </r>
    <r>
      <rPr>
        <b/>
        <sz val="10"/>
        <color rgb="FFC00000"/>
        <rFont val="Times New Roman"/>
        <family val="1"/>
      </rPr>
      <t xml:space="preserve"> of the boil.</t>
    </r>
  </si>
  <si>
    <t>MALTS &amp; SUGARS</t>
  </si>
  <si>
    <t>6th/dry</t>
  </si>
  <si>
    <t>COL</t>
  </si>
  <si>
    <t>ATTEN</t>
  </si>
  <si>
    <t>Malts &amp; Adjuncts</t>
  </si>
  <si>
    <r>
      <rPr>
        <b/>
        <sz val="9"/>
        <color indexed="8"/>
        <rFont val="Times New Roman"/>
        <family val="1"/>
      </rPr>
      <t>EBC</t>
    </r>
    <r>
      <rPr>
        <sz val="9"/>
        <color indexed="8"/>
        <rFont val="Times New Roman"/>
        <family val="1"/>
      </rPr>
      <t xml:space="preserve">: Viewed through 25mm glass/cuvette.   </t>
    </r>
    <r>
      <rPr>
        <b/>
        <sz val="9"/>
        <color indexed="8"/>
        <rFont val="Times New Roman"/>
        <family val="1"/>
      </rPr>
      <t xml:space="preserve"> SRM</t>
    </r>
    <r>
      <rPr>
        <sz val="9"/>
        <color indexed="8"/>
        <rFont val="Times New Roman"/>
        <family val="1"/>
      </rPr>
      <t>: Viewed through 0.5 inch glass/cuvette.</t>
    </r>
  </si>
  <si>
    <t>mins nom.</t>
  </si>
  <si>
    <t xml:space="preserve"> See the hop utilization setting (cells C118 &amp; D118)</t>
  </si>
  <si>
    <r>
      <rPr>
        <b/>
        <sz val="10"/>
        <color rgb="FFFF0000"/>
        <rFont val="Times New Roman"/>
        <family val="1"/>
      </rPr>
      <t>UK</t>
    </r>
    <r>
      <rPr>
        <sz val="10"/>
        <color indexed="8"/>
        <rFont val="Times New Roman"/>
        <family val="1"/>
      </rPr>
      <t xml:space="preserve"> Pints</t>
    </r>
  </si>
  <si>
    <r>
      <rPr>
        <b/>
        <sz val="10"/>
        <color rgb="FFCC00FF"/>
        <rFont val="Times New Roman"/>
        <family val="1"/>
      </rPr>
      <t>US</t>
    </r>
    <r>
      <rPr>
        <sz val="10"/>
        <color indexed="8"/>
        <rFont val="Times New Roman"/>
        <family val="1"/>
      </rPr>
      <t xml:space="preserve"> Pints</t>
    </r>
  </si>
  <si>
    <t>Malt Ext.</t>
  </si>
  <si>
    <t xml:space="preserve">     lb               oz</t>
  </si>
  <si>
    <t>Generally 40% sugars by wt is considered the Max., equiv. to 30% by weight if using just malt.</t>
  </si>
  <si>
    <r>
      <rPr>
        <sz val="10"/>
        <color indexed="8"/>
        <rFont val="Times New Roman"/>
        <family val="1"/>
      </rPr>
      <t xml:space="preserve">Isomerised hop extract  </t>
    </r>
    <r>
      <rPr>
        <b/>
        <sz val="10"/>
        <color rgb="FFFF0000"/>
        <rFont val="Times New Roman"/>
        <family val="1"/>
      </rPr>
      <t>‡</t>
    </r>
  </si>
  <si>
    <r>
      <rPr>
        <b/>
        <sz val="10"/>
        <color rgb="FFFF0000"/>
        <rFont val="Times New Roman"/>
        <family val="1"/>
      </rPr>
      <t xml:space="preserve">‡ </t>
    </r>
    <r>
      <rPr>
        <b/>
        <u/>
        <sz val="10"/>
        <color rgb="FFFF0000"/>
        <rFont val="Times New Roman"/>
        <family val="1"/>
      </rPr>
      <t>Do not boil the hop extract!</t>
    </r>
  </si>
  <si>
    <t>See "Beer Data Sheet" cells M17 etc. for the Isomerised hop extract settings.</t>
  </si>
  <si>
    <t>Prim</t>
  </si>
  <si>
    <r>
      <rPr>
        <sz val="10"/>
        <color rgb="FFCC00FF"/>
        <rFont val="Times New Roman"/>
        <family val="1"/>
      </rPr>
      <t xml:space="preserve">MAIN </t>
    </r>
    <r>
      <rPr>
        <b/>
        <sz val="10"/>
        <color rgb="FFCC00FF"/>
        <rFont val="Times New Roman"/>
        <family val="1"/>
      </rPr>
      <t xml:space="preserve">boil vol. &amp; time </t>
    </r>
    <r>
      <rPr>
        <sz val="10"/>
        <color rgb="FFCC00FF"/>
        <rFont val="Times New Roman"/>
        <family val="1"/>
      </rPr>
      <t xml:space="preserve">(cells I57 &amp; I59) are </t>
    </r>
    <r>
      <rPr>
        <b/>
        <sz val="10"/>
        <color rgb="FFCC00FF"/>
        <rFont val="Times New Roman"/>
        <family val="1"/>
      </rPr>
      <t>usually</t>
    </r>
    <r>
      <rPr>
        <sz val="10"/>
        <color rgb="FFCC00FF"/>
        <rFont val="Times New Roman"/>
        <family val="1"/>
      </rPr>
      <t xml:space="preserve"> </t>
    </r>
    <r>
      <rPr>
        <b/>
        <sz val="10"/>
        <color rgb="FFCC00FF"/>
        <rFont val="Times New Roman"/>
        <family val="1"/>
      </rPr>
      <t>chosen</t>
    </r>
    <r>
      <rPr>
        <sz val="10"/>
        <color rgb="FFCC00FF"/>
        <rFont val="Times New Roman"/>
        <family val="1"/>
      </rPr>
      <t xml:space="preserve"> to give </t>
    </r>
    <r>
      <rPr>
        <b/>
        <sz val="10"/>
        <color rgb="FFCC00FF"/>
        <rFont val="Times New Roman"/>
        <family val="1"/>
      </rPr>
      <t xml:space="preserve">20% Utilization </t>
    </r>
    <r>
      <rPr>
        <sz val="10"/>
        <color rgb="FFCC00FF"/>
        <rFont val="Times New Roman"/>
        <family val="1"/>
      </rPr>
      <t>(cell I61).</t>
    </r>
  </si>
  <si>
    <r>
      <rPr>
        <sz val="10"/>
        <color rgb="FFC00000"/>
        <rFont val="Times New Roman"/>
        <family val="1"/>
      </rPr>
      <t xml:space="preserve">MAIN </t>
    </r>
    <r>
      <rPr>
        <b/>
        <sz val="10"/>
        <color rgb="FFC00000"/>
        <rFont val="Times New Roman"/>
        <family val="1"/>
      </rPr>
      <t xml:space="preserve">boil vol. &amp; time </t>
    </r>
    <r>
      <rPr>
        <sz val="10"/>
        <color rgb="FFC00000"/>
        <rFont val="Times New Roman"/>
        <family val="1"/>
      </rPr>
      <t xml:space="preserve">(cells O57 &amp; O59) are </t>
    </r>
    <r>
      <rPr>
        <b/>
        <sz val="10"/>
        <color rgb="FFC00000"/>
        <rFont val="Times New Roman"/>
        <family val="1"/>
      </rPr>
      <t>usually</t>
    </r>
    <r>
      <rPr>
        <sz val="10"/>
        <color rgb="FFC00000"/>
        <rFont val="Times New Roman"/>
        <family val="1"/>
      </rPr>
      <t xml:space="preserve"> </t>
    </r>
    <r>
      <rPr>
        <b/>
        <sz val="10"/>
        <color rgb="FFC00000"/>
        <rFont val="Times New Roman"/>
        <family val="1"/>
      </rPr>
      <t>chosen</t>
    </r>
    <r>
      <rPr>
        <sz val="10"/>
        <color rgb="FFC00000"/>
        <rFont val="Times New Roman"/>
        <family val="1"/>
      </rPr>
      <t xml:space="preserve"> to give </t>
    </r>
    <r>
      <rPr>
        <b/>
        <sz val="10"/>
        <color rgb="FFC00000"/>
        <rFont val="Times New Roman"/>
        <family val="1"/>
      </rPr>
      <t xml:space="preserve">20% Utilization </t>
    </r>
    <r>
      <rPr>
        <sz val="10"/>
        <color rgb="FFC00000"/>
        <rFont val="Times New Roman"/>
        <family val="1"/>
      </rPr>
      <t>(cell O61).</t>
    </r>
  </si>
  <si>
    <t>NO prim</t>
  </si>
  <si>
    <t>sugar wt</t>
  </si>
  <si>
    <r>
      <rPr>
        <sz val="10"/>
        <rFont val="Times New Roman"/>
        <family val="1"/>
      </rPr>
      <t>Carbonation Volumes CO</t>
    </r>
    <r>
      <rPr>
        <sz val="7"/>
        <rFont val="Times New Roman"/>
        <family val="1"/>
      </rPr>
      <t>2</t>
    </r>
    <r>
      <rPr>
        <sz val="10"/>
        <rFont val="Times New Roman"/>
        <family val="1"/>
      </rPr>
      <t xml:space="preserve"> (primed)</t>
    </r>
  </si>
  <si>
    <t>For more info. see the "Beer Primer" page.</t>
  </si>
  <si>
    <t>O.G. (inc. primer</t>
  </si>
  <si>
    <t>Hop bitterness (EBU)</t>
  </si>
  <si>
    <t xml:space="preserve">Yeast efficiency % </t>
  </si>
  <si>
    <t>(76% is generally assumed)</t>
  </si>
  <si>
    <t>Hop ̸ iso-hop bitterness</t>
  </si>
  <si>
    <t>Apparent Attenuation,  unprimed</t>
  </si>
  <si>
    <t xml:space="preserve">Total bitterness </t>
  </si>
  <si>
    <t>MASHING</t>
  </si>
  <si>
    <r>
      <rPr>
        <sz val="10"/>
        <color indexed="8"/>
        <rFont val="Times New Roman"/>
        <family val="1"/>
      </rPr>
      <t>Malted grains must be mashed with any adjuncts, coloured malts are generally included in the process, but, when extract brewing, they may be steeped or boiled with the hops.
When mashing add the dry goods (excluding any extracts, sugars etc.) to the heated water, at the "strike" temp. (around 72-73</t>
    </r>
    <r>
      <rPr>
        <sz val="11"/>
        <color indexed="8"/>
        <rFont val="Times New Roman"/>
        <family val="1"/>
      </rPr>
      <t>°</t>
    </r>
    <r>
      <rPr>
        <sz val="10"/>
        <color indexed="8"/>
        <rFont val="Times New Roman"/>
        <family val="1"/>
      </rPr>
      <t>C). Normally we would mash for 60-90mins between 63-67</t>
    </r>
    <r>
      <rPr>
        <sz val="11"/>
        <color indexed="8"/>
        <rFont val="Times New Roman"/>
        <family val="1"/>
      </rPr>
      <t>°</t>
    </r>
    <r>
      <rPr>
        <sz val="10"/>
        <color indexed="8"/>
        <rFont val="Times New Roman"/>
        <family val="1"/>
      </rPr>
      <t>C, the longer mash improves the beers keeping properties although this not usually a problem! Long mashes also improve the efficiency of the mash, as does the water ̸ kg ratio, The thinner the mash, the higher the efficiency. Lower mash temperatures effectively increase the yeasts efficiency to give lower FG's &amp; hence produce more alcohol.</t>
    </r>
  </si>
  <si>
    <t>ext l</t>
  </si>
  <si>
    <t>ext d</t>
  </si>
  <si>
    <t>col</t>
  </si>
  <si>
    <t>METHOD 1</t>
  </si>
  <si>
    <t>hop times</t>
  </si>
  <si>
    <t>tot</t>
  </si>
  <si>
    <r>
      <rPr>
        <sz val="10"/>
        <color indexed="8"/>
        <rFont val="Times New Roman"/>
        <family val="1"/>
      </rPr>
      <t xml:space="preserve">The </t>
    </r>
    <r>
      <rPr>
        <b/>
        <sz val="10"/>
        <color indexed="8"/>
        <rFont val="Times New Roman"/>
        <family val="1"/>
      </rPr>
      <t>mash liquor</t>
    </r>
    <r>
      <rPr>
        <sz val="10"/>
        <color indexed="8"/>
        <rFont val="Times New Roman"/>
        <family val="1"/>
      </rPr>
      <t xml:space="preserve"> or </t>
    </r>
    <r>
      <rPr>
        <b/>
        <sz val="10"/>
        <color indexed="8"/>
        <rFont val="Times New Roman"/>
        <family val="1"/>
      </rPr>
      <t>strike water</t>
    </r>
    <r>
      <rPr>
        <sz val="10"/>
        <color indexed="8"/>
        <rFont val="Times New Roman"/>
        <family val="1"/>
      </rPr>
      <t xml:space="preserve"> volume chosen is </t>
    </r>
  </si>
  <si>
    <t>litres / Kg, this figure is normally 2.5 to 3 litres / Kg</t>
  </si>
  <si>
    <t>vol</t>
  </si>
  <si>
    <t>&amp;,  for</t>
  </si>
  <si>
    <t xml:space="preserve"> Priming with brewing sugar has no advantages &amp;, "carbonation drops", which are mostly  sugar, are an expensive con. If  you like the convenience use nornal, cheap sugar cubes instead!</t>
  </si>
  <si>
    <t>rat</t>
  </si>
  <si>
    <t>HOP NOTES</t>
  </si>
  <si>
    <t>2.35 wheeler</t>
  </si>
  <si>
    <t>no sug/ext</t>
  </si>
  <si>
    <t>The hop calc's  use the Dr. Glenn Tinseth method for loose, whole hops.  If using a mesh bag, use about 10% more, if using hop pellets, use about 10% fewer.</t>
  </si>
  <si>
    <t>5th hop (if used)s added at time</t>
  </si>
  <si>
    <t>6th hop (if used)s added at time</t>
  </si>
  <si>
    <t>litres of racked beer.</t>
  </si>
  <si>
    <t>HOP EXTRACT</t>
  </si>
  <si>
    <t xml:space="preserve"> Note:- 1 ml of Ritchie's hop extract in 1 litre of beer adds 69 EBU's. See "Beer Data Sheet" cell T17.</t>
  </si>
  <si>
    <t xml:space="preserve">Assuming we want to make </t>
  </si>
  <si>
    <t xml:space="preserve">litres of beer &amp; after mashing/sparging/hopping etc. we waste </t>
  </si>
  <si>
    <t xml:space="preserve">Additional advice given by David at </t>
  </si>
  <si>
    <t xml:space="preserve">And Andy at </t>
  </si>
  <si>
    <t>Copyright Peter J. Laycock 28~10~'2023</t>
  </si>
  <si>
    <r>
      <rPr>
        <b/>
        <u/>
        <sz val="11"/>
        <color indexed="8"/>
        <rFont val="Times New Roman"/>
        <family val="1"/>
      </rPr>
      <t>Hop formula</t>
    </r>
    <r>
      <rPr>
        <sz val="11"/>
        <color indexed="8"/>
        <rFont val="Times New Roman"/>
        <family val="1"/>
      </rPr>
      <t xml:space="preserve">
The following info is derived from Dr. Glenn Tinseth’s web site.
The bitterness of a beer is a function of the wort gravity (G) &amp; the boil time (T).      % Hop utilization = f(G) x f(T)
Where
f(G) = 1.65 x 0.000125^(0.001Gb - 1000) &amp;
f(T) = [1 – e-^(0.04t)] ̸ 4.15
The numbers 1.65 &amp; 0.0125 in f(G) were empirically derived to fit the boil gravity (Gb) analysis data. In the f(T) equation, the number 0.04 controls the shape of the utilization vs. time curve. The factor 4.15 controls the maximum utilization value. This number may be adjusted to customize the curves to suit your own system. If you feel that you have a very vigorous boil or generally get more utilization from a given boil time or for any reason, you can reduce the number a small amount to 4 or 3.9. Likewise if you think that you are getting less utilization, then you can increase it by 1 or 2 tenths. Doing so will increase or decrease the utilization value for each time &amp; gravity in the table.</t>
    </r>
  </si>
  <si>
    <t>for 100g solids use 0.265 litres</t>
  </si>
  <si>
    <t>for mash</t>
  </si>
  <si>
    <t>1.25 L/kg</t>
  </si>
  <si>
    <t>for 60 min mash</t>
  </si>
  <si>
    <t>g grains</t>
  </si>
  <si>
    <t>1.5 L/kg sparge water</t>
  </si>
  <si>
    <t xml:space="preserve">g solids use </t>
  </si>
  <si>
    <t>Use this to change the hop boil settings (cells BE6 ̸ BS30).</t>
  </si>
  <si>
    <t>Hop formula variables:-</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</si>
  <si>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S</t>
    </r>
    <r>
      <rPr>
        <b/>
        <u val="double"/>
        <sz val="28"/>
        <color indexed="8"/>
        <rFont val="Times New Roman"/>
        <family val="1"/>
      </rPr>
      <t xml:space="preserve">caling </t>
    </r>
    <r>
      <rPr>
        <b/>
        <u val="double"/>
        <sz val="36"/>
        <color indexed="8"/>
        <rFont val="Times New Roman"/>
        <family val="1"/>
      </rPr>
      <t>C</t>
    </r>
    <r>
      <rPr>
        <b/>
        <u val="double"/>
        <sz val="28"/>
        <color indexed="8"/>
        <rFont val="Times New Roman"/>
        <family val="1"/>
      </rPr>
      <t>alculators</t>
    </r>
  </si>
  <si>
    <t>GENERAL NOTES:-</t>
  </si>
  <si>
    <t xml:space="preserve">      Denotes "editable" cells,</t>
  </si>
  <si>
    <t>Where F.G.'s are calculated, the value is very hit &amp; miss &amp; can be affected by the yeast used etc.</t>
  </si>
  <si>
    <t xml:space="preserve">      add your own data.</t>
  </si>
  <si>
    <t>% Nominally 76% is assumed (Wheeler &amp; Protz use 75% &amp; BYO 65% - US )</t>
  </si>
  <si>
    <t>Any amendments/changes the "Malts &amp; Sugars" or "Hops" can be done using the "Beer Data Sheet".</t>
  </si>
  <si>
    <r>
      <rPr>
        <sz val="12"/>
        <color indexed="8"/>
        <rFont val="Times New Roman"/>
        <family val="1"/>
      </rPr>
      <t>°</t>
    </r>
    <r>
      <rPr>
        <sz val="10"/>
        <color indexed="8"/>
        <rFont val="Times New Roman"/>
        <family val="1"/>
      </rPr>
      <t>C (0-30). Carbonation figures apply to glass bottles only (not PET as they expand under pressure).</t>
    </r>
  </si>
  <si>
    <t>Generally the yeast does not need scaling.</t>
  </si>
  <si>
    <t>BU/GU Ratio</t>
  </si>
  <si>
    <t>This sheet needs the "Beer Data Sheet".</t>
  </si>
  <si>
    <t>Any "named" beers are refered to me as "styles" rather to "clones".</t>
  </si>
  <si>
    <t>Hop boil data</t>
  </si>
  <si>
    <r>
      <rPr>
        <b/>
        <sz val="10"/>
        <color indexed="8"/>
        <rFont val="Times New Roman"/>
        <family val="1"/>
      </rPr>
      <t>Typical sucrose priming rates @ 20</t>
    </r>
    <r>
      <rPr>
        <b/>
        <sz val="11"/>
        <color indexed="8"/>
        <rFont val="Times New Roman"/>
        <family val="1"/>
      </rPr>
      <t>°</t>
    </r>
    <r>
      <rPr>
        <b/>
        <sz val="10"/>
        <color indexed="8"/>
        <rFont val="Times New Roman"/>
        <family val="1"/>
      </rPr>
      <t>C</t>
    </r>
  </si>
  <si>
    <t>Default</t>
  </si>
  <si>
    <t>User</t>
  </si>
  <si>
    <t>settings</t>
  </si>
  <si>
    <r>
      <rPr>
        <sz val="10"/>
        <color indexed="8"/>
        <rFont val="Times New Roman"/>
        <family val="1"/>
      </rPr>
      <t xml:space="preserve">LIQUID Extract </t>
    </r>
    <r>
      <rPr>
        <sz val="10"/>
        <color rgb="FFFF0000"/>
        <rFont val="Times New Roman"/>
        <family val="1"/>
      </rPr>
      <t>"OLD"</t>
    </r>
  </si>
  <si>
    <t>Priming with brewing sugar has no advantages &amp;, "carbonation drops", which are mostly  sugar, are an expensive con. If  you like the convenience, use normal, cheap sugar cubes instead!</t>
  </si>
  <si>
    <t>BREWING Sugar (Dextrose)</t>
  </si>
  <si>
    <t>Name / style</t>
  </si>
  <si>
    <t xml:space="preserve">Banks &amp; Taylor  SB </t>
  </si>
  <si>
    <t>Calories &amp; Carbs.</t>
  </si>
  <si>
    <r>
      <t>Boil vol. (litres)</t>
    </r>
    <r>
      <rPr>
        <b/>
        <sz val="10"/>
        <color rgb="FFFF0000"/>
        <rFont val="Times New Roman"/>
        <family val="1"/>
      </rPr>
      <t xml:space="preserve"> </t>
    </r>
  </si>
  <si>
    <r>
      <rPr>
        <sz val="10"/>
        <color indexed="8"/>
        <rFont val="Times New Roman"/>
        <family val="1"/>
      </rPr>
      <t xml:space="preserve">O.G. </t>
    </r>
    <r>
      <rPr>
        <sz val="10"/>
        <color indexed="57"/>
        <rFont val="Times New Roman"/>
        <family val="1"/>
      </rPr>
      <t>(exc. primer)</t>
    </r>
  </si>
  <si>
    <t>Beer Targets</t>
  </si>
  <si>
    <t>Boil time (mins.)</t>
  </si>
  <si>
    <r>
      <rPr>
        <sz val="10"/>
        <color indexed="8"/>
        <rFont val="Times New Roman"/>
        <family val="1"/>
      </rPr>
      <t xml:space="preserve">F.G. </t>
    </r>
    <r>
      <rPr>
        <sz val="10"/>
        <color indexed="57"/>
        <rFont val="Times New Roman"/>
        <family val="1"/>
      </rPr>
      <t>(exc. primer)</t>
    </r>
  </si>
  <si>
    <t>Boil Gravity - less sugars</t>
  </si>
  <si>
    <t>Carbohydrates g</t>
  </si>
  <si>
    <t>Bitterness (See cells I30 etc).</t>
  </si>
  <si>
    <t>Boil bitterness</t>
  </si>
  <si>
    <t>c</t>
  </si>
  <si>
    <t>N/A</t>
  </si>
  <si>
    <r>
      <rPr>
        <sz val="10"/>
        <color indexed="10"/>
        <rFont val="Times New Roman"/>
        <family val="1"/>
      </rPr>
      <t xml:space="preserve">Hop Utilization, normally </t>
    </r>
    <r>
      <rPr>
        <b/>
        <sz val="10"/>
        <color indexed="10"/>
        <rFont val="Times New Roman"/>
        <family val="1"/>
      </rPr>
      <t>20%</t>
    </r>
    <r>
      <rPr>
        <sz val="10"/>
        <color indexed="10"/>
        <rFont val="Times New Roman"/>
        <family val="1"/>
      </rPr>
      <t xml:space="preserve"> in the UK</t>
    </r>
  </si>
  <si>
    <t>Bitterness (EBU)</t>
  </si>
  <si>
    <t>Stated recipe final vol.</t>
  </si>
  <si>
    <t>Recipe notes:-</t>
  </si>
  <si>
    <t>Main hops</t>
  </si>
  <si>
    <t>late mins</t>
  </si>
  <si>
    <t>Wt. 1 (g)</t>
  </si>
  <si>
    <t>Wt. 2 (g)</t>
  </si>
  <si>
    <t>Wt. 3 (g)</t>
  </si>
  <si>
    <t>% Alpha</t>
  </si>
  <si>
    <t>late  1 (g)</t>
  </si>
  <si>
    <t>late  2(g)</t>
  </si>
  <si>
    <t>late  3(g)</t>
  </si>
  <si>
    <t>DEG ̸ K ̸ L</t>
  </si>
  <si>
    <t>Fermentable sugar (sucrose equiv. inc. primer)</t>
  </si>
  <si>
    <t>Carbonation (primed)</t>
  </si>
  <si>
    <r>
      <rPr>
        <sz val="10"/>
        <rFont val="Times New Roman"/>
        <family val="1"/>
      </rPr>
      <t>Vol's CO</t>
    </r>
    <r>
      <rPr>
        <sz val="8"/>
        <rFont val="Times New Roman"/>
        <family val="1"/>
      </rPr>
      <t>2</t>
    </r>
  </si>
  <si>
    <t>Yeast efficiency % (76 is generally assumed)</t>
  </si>
  <si>
    <t xml:space="preserve">Ale </t>
  </si>
  <si>
    <t>Isomerised hop extract ml - DO NOT BOIL</t>
  </si>
  <si>
    <t>Attn. Malt</t>
  </si>
  <si>
    <t>Attn.</t>
  </si>
  <si>
    <t>Modern Guinness is absolute rubbish!</t>
  </si>
  <si>
    <t>1 tsp hop extract  = 5ml</t>
  </si>
  <si>
    <t>Attn. Sug</t>
  </si>
  <si>
    <t>(I nearly said crap!)</t>
  </si>
  <si>
    <r>
      <rPr>
        <sz val="10"/>
        <color indexed="23"/>
        <rFont val="Times New Roman"/>
        <family val="1"/>
      </rPr>
      <t xml:space="preserve">*Isomerised hop extract calculation based on Ritchie Products figures.  </t>
    </r>
    <r>
      <rPr>
        <b/>
        <sz val="10"/>
        <color rgb="FFFF0000"/>
        <rFont val="Times New Roman"/>
        <family val="1"/>
      </rPr>
      <t xml:space="preserve">Do not boil hop extract!    </t>
    </r>
  </si>
  <si>
    <t>Attn. no prim Sug</t>
  </si>
  <si>
    <t>O.G. (inc. priming sugar)</t>
  </si>
  <si>
    <t>Liquid malt extract is normally bought in 1.5Kg cans &amp; dried extract is available in 500g packs, this calculator allows us to modify a recipe volume to suit, thus avoiding the clutter or waste of part filled containers. Just insert the original quantities &amp; the weight(s) of the extract used OR just the water volumes.</t>
  </si>
  <si>
    <t>O.G. (exc. priming sugar)</t>
  </si>
  <si>
    <t xml:space="preserve">  lb                oz</t>
  </si>
  <si>
    <t>Pete's Yorkshire Stingo</t>
  </si>
  <si>
    <t>Volume / Extract Converter</t>
  </si>
  <si>
    <t>F.G. (exc. priming sugar)</t>
  </si>
  <si>
    <t>New vol</t>
  </si>
  <si>
    <t>F.G. (inc. priming sugar)</t>
  </si>
  <si>
    <t>Poo!</t>
  </si>
  <si>
    <t>Hop details</t>
  </si>
  <si>
    <r>
      <rPr>
        <sz val="10"/>
        <color indexed="8"/>
        <rFont val="Times New Roman"/>
        <family val="1"/>
      </rPr>
      <t xml:space="preserve">O.G. </t>
    </r>
    <r>
      <rPr>
        <sz val="10"/>
        <color rgb="FF008000"/>
        <rFont val="Times New Roman"/>
        <family val="1"/>
      </rPr>
      <t>(exc. primer)</t>
    </r>
  </si>
  <si>
    <r>
      <rPr>
        <sz val="10"/>
        <color indexed="8"/>
        <rFont val="Times New Roman"/>
        <family val="1"/>
      </rPr>
      <t>F.G.</t>
    </r>
    <r>
      <rPr>
        <sz val="10"/>
        <color indexed="17"/>
        <rFont val="Times New Roman"/>
        <family val="1"/>
      </rPr>
      <t xml:space="preserve"> </t>
    </r>
    <r>
      <rPr>
        <sz val="10"/>
        <color rgb="FF008000"/>
        <rFont val="Times New Roman"/>
        <family val="1"/>
      </rPr>
      <t>(exc. primer)</t>
    </r>
  </si>
  <si>
    <t>Added boil bitterness</t>
  </si>
  <si>
    <t>Bitterness (See cells I81 etc.)</t>
  </si>
  <si>
    <r>
      <rPr>
        <sz val="10"/>
        <color rgb="FFFF0000"/>
        <rFont val="Times New Roman"/>
        <family val="1"/>
      </rPr>
      <t xml:space="preserve">Hop Utilization, normally </t>
    </r>
    <r>
      <rPr>
        <b/>
        <sz val="10"/>
        <color rgb="FFFF0000"/>
        <rFont val="Times New Roman"/>
        <family val="1"/>
      </rPr>
      <t>20%</t>
    </r>
    <r>
      <rPr>
        <sz val="10"/>
        <color rgb="FFFF0000"/>
        <rFont val="Times New Roman"/>
        <family val="1"/>
      </rPr>
      <t xml:space="preserve"> in the UK</t>
    </r>
  </si>
  <si>
    <t>Total bitterness (EBU)</t>
  </si>
  <si>
    <t>This allows you to make a beer to a specific volume.</t>
  </si>
  <si>
    <t>Alpha Acid</t>
  </si>
  <si>
    <t>Old wt. (g)</t>
  </si>
  <si>
    <t>New wt. (g)</t>
  </si>
  <si>
    <t>"Initial" Wt.</t>
  </si>
  <si>
    <t>"New" Wt.</t>
  </si>
  <si>
    <t>main</t>
  </si>
  <si>
    <t>late hops</t>
  </si>
  <si>
    <t>late</t>
  </si>
  <si>
    <t>NEW</t>
  </si>
  <si>
    <t>"Coloured"   Malts</t>
  </si>
  <si>
    <t xml:space="preserve"> yeast used.</t>
  </si>
  <si>
    <t>Isomerised hop extract - DO NOT BOIL</t>
  </si>
  <si>
    <t>Attn. no Prim</t>
  </si>
  <si>
    <t>For extract beers only.</t>
  </si>
  <si>
    <t>Beer Name / style</t>
  </si>
  <si>
    <t>?</t>
  </si>
  <si>
    <t>Exe Valley</t>
  </si>
  <si>
    <t>Malton  Duble Chance</t>
  </si>
  <si>
    <t xml:space="preserve">Boil Gravity </t>
  </si>
  <si>
    <t>Hop Utilization 20% nom. (UK)</t>
  </si>
  <si>
    <r>
      <rPr>
        <sz val="10"/>
        <color indexed="8"/>
        <rFont val="Times New Roman"/>
        <family val="1"/>
      </rPr>
      <t>F.G.</t>
    </r>
    <r>
      <rPr>
        <sz val="10"/>
        <color indexed="17"/>
        <rFont val="Times New Roman"/>
        <family val="1"/>
      </rPr>
      <t xml:space="preserve"> </t>
    </r>
    <r>
      <rPr>
        <sz val="10"/>
        <color indexed="57"/>
        <rFont val="Times New Roman"/>
        <family val="1"/>
      </rPr>
      <t>(exc. primer)</t>
    </r>
  </si>
  <si>
    <t>1 late</t>
  </si>
  <si>
    <t>2 late</t>
  </si>
  <si>
    <t>Bitterness (See cells I33 etc.)</t>
  </si>
  <si>
    <t>Old wt. 1 (g)</t>
  </si>
  <si>
    <t>New wt. 1 (g)</t>
  </si>
  <si>
    <t>Old wt. 2 (g)</t>
  </si>
  <si>
    <t>New wt. 2 (g)</t>
  </si>
  <si>
    <t>yeast used.</t>
  </si>
  <si>
    <t>KNICKERS!</t>
  </si>
  <si>
    <t>Attn. no Sug</t>
  </si>
  <si>
    <t>See cell AX322</t>
  </si>
  <si>
    <t>Any left-over’s (sludge) when making a beer kit are kept in a suitable, sterile, closed bottle to add to a similar style beer of my own design. I use extract in all my own recipes, hence the name of the Calc. I usually have at least two choices of beer.</t>
  </si>
  <si>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D</t>
    </r>
    <r>
      <rPr>
        <b/>
        <u val="double"/>
        <sz val="28"/>
        <color indexed="8"/>
        <rFont val="Times New Roman"/>
        <family val="1"/>
      </rPr>
      <t xml:space="preserve">ata </t>
    </r>
    <r>
      <rPr>
        <b/>
        <u val="double"/>
        <sz val="36"/>
        <color indexed="8"/>
        <rFont val="Times New Roman"/>
        <family val="1"/>
      </rPr>
      <t>S</t>
    </r>
    <r>
      <rPr>
        <b/>
        <u val="double"/>
        <sz val="28"/>
        <color indexed="8"/>
        <rFont val="Times New Roman"/>
        <family val="1"/>
      </rPr>
      <t>heet</t>
    </r>
  </si>
  <si>
    <t>Version 6.0</t>
  </si>
  <si>
    <t>Beer Yeasts</t>
  </si>
  <si>
    <t>BEER CALC. HOPS LIST</t>
  </si>
  <si>
    <t>"MASTER" LISTS</t>
  </si>
  <si>
    <t>Yeast Name</t>
  </si>
  <si>
    <t>Manufacturer</t>
  </si>
  <si>
    <t>Yeast</t>
  </si>
  <si>
    <t>Flocculation</t>
  </si>
  <si>
    <t>Yeast Efficiency</t>
  </si>
  <si>
    <t>Temperature</t>
  </si>
  <si>
    <r>
      <t xml:space="preserve">Figures used in calculations which may be amended, copy the required data from the </t>
    </r>
    <r>
      <rPr>
        <i/>
        <sz val="10"/>
        <color indexed="10"/>
        <rFont val="Times New Roman"/>
        <family val="1"/>
      </rPr>
      <t>SOURCE INFO (malt &amp; sugar)</t>
    </r>
    <r>
      <rPr>
        <sz val="10"/>
        <color indexed="8"/>
        <rFont val="Times New Roman"/>
        <family val="1"/>
      </rPr>
      <t xml:space="preserve"> below to this table.</t>
    </r>
  </si>
  <si>
    <t>ABV</t>
  </si>
  <si>
    <t xml:space="preserve"> Range °C </t>
  </si>
  <si>
    <t xml:space="preserve"> Range °F</t>
  </si>
  <si>
    <t xml:space="preserve">High </t>
  </si>
  <si>
    <t>(Approx.)</t>
  </si>
  <si>
    <t>HOPS</t>
  </si>
  <si>
    <t>Alpha Acid %</t>
  </si>
  <si>
    <t>COPIED from the "Master hop list" as required.</t>
  </si>
  <si>
    <t>MASTER HOP LIST</t>
  </si>
  <si>
    <t>This list may be amended/added to as required.</t>
  </si>
  <si>
    <t xml:space="preserve">10th Anniversary Blend WLP010 </t>
  </si>
  <si>
    <t xml:space="preserve">White Labs </t>
  </si>
  <si>
    <t xml:space="preserve">Medium </t>
  </si>
  <si>
    <t>5-10</t>
  </si>
  <si>
    <t>Paste</t>
  </si>
  <si>
    <t>Copy</t>
  </si>
  <si>
    <t xml:space="preserve">Abbey Ale (Westmalle) WLP530 </t>
  </si>
  <si>
    <t xml:space="preserve">Med/High </t>
  </si>
  <si>
    <t>10-15</t>
  </si>
  <si>
    <t>Abbey IV Ale Yeast (Rochefort) WLP540</t>
  </si>
  <si>
    <t>White Labs</t>
  </si>
  <si>
    <t xml:space="preserve">Alt Ale BRY 144 </t>
  </si>
  <si>
    <t xml:space="preserve">Siebel Inst. </t>
  </si>
  <si>
    <t xml:space="preserve">American Hefeweizen Ale WLP320 </t>
  </si>
  <si>
    <t xml:space="preserve">Low </t>
  </si>
  <si>
    <t>Albion Ale Yeast WLP040</t>
  </si>
  <si>
    <t>8-12</t>
  </si>
  <si>
    <t xml:space="preserve">American Ale 1056 </t>
  </si>
  <si>
    <t xml:space="preserve">Wyeast </t>
  </si>
  <si>
    <t xml:space="preserve">Low/Med </t>
  </si>
  <si>
    <t xml:space="preserve">American Ale BRY 96 </t>
  </si>
  <si>
    <t xml:space="preserve">American Ale II 1272 </t>
  </si>
  <si>
    <t>Iso-hop extract</t>
  </si>
  <si>
    <t xml:space="preserve">American Ale Yeast Blend WLP060 </t>
  </si>
  <si>
    <t>First Gold</t>
  </si>
  <si>
    <t xml:space="preserve">litres gives </t>
  </si>
  <si>
    <t xml:space="preserve">American Lager 2035 </t>
  </si>
  <si>
    <t xml:space="preserve">American Lager BRY 118 </t>
  </si>
  <si>
    <t xml:space="preserve">Very High </t>
  </si>
  <si>
    <t>Med.</t>
  </si>
  <si>
    <t xml:space="preserve">American Lager WLP840 </t>
  </si>
  <si>
    <r>
      <rPr>
        <sz val="10"/>
        <color indexed="8"/>
        <rFont val="Times New Roman"/>
        <family val="1"/>
      </rPr>
      <t xml:space="preserve">Hallertauer </t>
    </r>
    <r>
      <rPr>
        <sz val="10"/>
        <color indexed="10"/>
        <rFont val="Times New Roman"/>
        <family val="1"/>
      </rPr>
      <t>("German")</t>
    </r>
  </si>
  <si>
    <t xml:space="preserve">American Wheat 1010 </t>
  </si>
  <si>
    <r>
      <rPr>
        <sz val="10"/>
        <color indexed="8"/>
        <rFont val="Times New Roman"/>
        <family val="1"/>
      </rPr>
      <t>Hallertauer</t>
    </r>
    <r>
      <rPr>
        <sz val="10"/>
        <color indexed="10"/>
        <rFont val="Times New Roman"/>
        <family val="1"/>
      </rPr>
      <t xml:space="preserve"> ("Pacific")</t>
    </r>
  </si>
  <si>
    <t>1 level ml tsp sugar =</t>
  </si>
  <si>
    <t>g (3.15 default)</t>
  </si>
  <si>
    <t>Antwerp Ale Yeast (De Koninck) WLP515</t>
  </si>
  <si>
    <t>Lublin</t>
  </si>
  <si>
    <t xml:space="preserve">Australian Ale WLP009 </t>
  </si>
  <si>
    <t>5-11</t>
  </si>
  <si>
    <t>Magnum</t>
  </si>
  <si>
    <t>Liberty</t>
  </si>
  <si>
    <t xml:space="preserve">Bastogne Belgian Ale Yeast (Orval) WLP510 </t>
  </si>
  <si>
    <t>Marynka</t>
  </si>
  <si>
    <t xml:space="preserve">Bavarian Lager 2206 </t>
  </si>
  <si>
    <t>Mount Hood</t>
  </si>
  <si>
    <t xml:space="preserve">Bavarian Weizen Ale WLP351 </t>
  </si>
  <si>
    <t>Northdown</t>
  </si>
  <si>
    <t xml:space="preserve">Bavarian Weizen BRY 235 </t>
  </si>
  <si>
    <t>Northern Brewer</t>
  </si>
  <si>
    <t xml:space="preserve">Bavarian Wheat 3638 </t>
  </si>
  <si>
    <r>
      <rPr>
        <b/>
        <u/>
        <sz val="11.5"/>
        <color indexed="8"/>
        <rFont val="Times New Roman"/>
        <family val="1"/>
      </rPr>
      <t>Malt &amp; Sugar Conversion Calculators</t>
    </r>
  </si>
  <si>
    <t xml:space="preserve">Bavarian Wheat Blend 3056 </t>
  </si>
  <si>
    <t>% extract efficiency (nominally 75% is assumed) †</t>
  </si>
  <si>
    <t xml:space="preserve">Bedford British Ale WLP006 </t>
  </si>
  <si>
    <t>Belgian Abbey (Chimay) 1214</t>
  </si>
  <si>
    <t>Med/Low</t>
  </si>
  <si>
    <t>Belgian Abbey II (Rochefort) 1762</t>
  </si>
  <si>
    <t>Belgian Abbey IV (Rochefort) WLP540</t>
  </si>
  <si>
    <r>
      <rPr>
        <sz val="10"/>
        <color indexed="8"/>
        <rFont val="Times New Roman"/>
        <family val="1"/>
      </rPr>
      <t xml:space="preserve">LIQUID Malt Extract </t>
    </r>
    <r>
      <rPr>
        <sz val="10"/>
        <color rgb="FFFF0000"/>
        <rFont val="Times New Roman"/>
        <family val="1"/>
      </rPr>
      <t>"OLD"</t>
    </r>
  </si>
  <si>
    <t>Belgian Ale (Achouffe) WLP550</t>
  </si>
  <si>
    <t>INVERT Sugar</t>
  </si>
  <si>
    <t>Belgian Ardennes (Achouffe) 3522</t>
  </si>
  <si>
    <t xml:space="preserve">Belgian Golden Ale (Duvel) WLP570 </t>
  </si>
  <si>
    <t xml:space="preserve">Belgian Lambic Blend 3278 </t>
  </si>
  <si>
    <t>Variable</t>
  </si>
  <si>
    <t>° ̸ Kg ̸ l</t>
  </si>
  <si>
    <t xml:space="preserve">Belgian Saison 3724 </t>
  </si>
  <si>
    <t xml:space="preserve">Belgian Saison I WLP565 </t>
  </si>
  <si>
    <t>Belgian Saison II WLP566</t>
  </si>
  <si>
    <t>LIQUID Malt Extract ("NEW")</t>
  </si>
  <si>
    <t xml:space="preserve">Belgian Bavarian Wheat 3638 </t>
  </si>
  <si>
    <t xml:space="preserve">Belgian Sour Mix WLP655 </t>
  </si>
  <si>
    <t xml:space="preserve">NA </t>
  </si>
  <si>
    <t>CANE sugar</t>
  </si>
  <si>
    <t xml:space="preserve">Belgian Strong Ale (Duvel) 1388 </t>
  </si>
  <si>
    <t>12-13</t>
  </si>
  <si>
    <t>INVERT sugar</t>
  </si>
  <si>
    <t>Belgian Strong Ale Yeast WLP545</t>
  </si>
  <si>
    <t xml:space="preserve">Belgian Style Ale Yeast Blend WLP575 </t>
  </si>
  <si>
    <t xml:space="preserve">Belgian Wheat 3942 </t>
  </si>
  <si>
    <t xml:space="preserve">Belgian Wit Ale WLP400 </t>
  </si>
  <si>
    <t xml:space="preserve">Belgian Wit II Ale WLP410 </t>
  </si>
  <si>
    <t xml:space="preserve">Belgian Witbier 3944 </t>
  </si>
  <si>
    <t>11-12</t>
  </si>
  <si>
    <t xml:space="preserve">Berliner Weisse Blend WLP630 </t>
  </si>
  <si>
    <t>Biere de Garde 3725</t>
  </si>
  <si>
    <t>BEER CALC FERMENTABLES LIST</t>
  </si>
  <si>
    <t>MASTER FERMENTABLES LIST</t>
  </si>
  <si>
    <t>20</t>
  </si>
  <si>
    <t xml:space="preserve">Bohemian Lager 2124 </t>
  </si>
  <si>
    <t>Figures used in calculations which may be amended, copy the required data from columns "J"-"N" to this table.</t>
  </si>
  <si>
    <t>Rows from the first five columns may be copied &amp; pasted into the LHS table in order to appear in the calculators.</t>
  </si>
  <si>
    <t xml:space="preserve">Brettanomyces Bruxellensis WLP650 </t>
  </si>
  <si>
    <t xml:space="preserve">Brettanomyces Claussenii WLP645 </t>
  </si>
  <si>
    <t xml:space="preserve"> </t>
  </si>
  <si>
    <t>DO NOT copy</t>
  </si>
  <si>
    <t>Name</t>
  </si>
  <si>
    <t>Extract Max. °/Kg/l.</t>
  </si>
  <si>
    <t>Ferment-ability</t>
  </si>
  <si>
    <t>Colour Usable</t>
  </si>
  <si>
    <t>Colour Efficiency %</t>
  </si>
  <si>
    <t xml:space="preserve"> Colour   EBC</t>
  </si>
  <si>
    <t xml:space="preserve"> "Max" % amounts using</t>
  </si>
  <si>
    <t>Brettanomyces Lambicus 5526</t>
  </si>
  <si>
    <t>V High</t>
  </si>
  <si>
    <t>Malt</t>
  </si>
  <si>
    <t>LME</t>
  </si>
  <si>
    <t>DME</t>
  </si>
  <si>
    <t xml:space="preserve">Brettanomyces. Bruxellensis 5112 </t>
  </si>
  <si>
    <t>Malts/Adjuncts</t>
  </si>
  <si>
    <t>Malts</t>
  </si>
  <si>
    <t>Amber malt</t>
  </si>
  <si>
    <t xml:space="preserve">Brewferm Blanche </t>
  </si>
  <si>
    <t xml:space="preserve">Brewferm </t>
  </si>
  <si>
    <t>Dried</t>
  </si>
  <si>
    <t>Mild Ale malt</t>
  </si>
  <si>
    <t>Brown malt</t>
  </si>
  <si>
    <t xml:space="preserve">Brewferm Lager </t>
  </si>
  <si>
    <t>Lager malt (Pilsner)</t>
  </si>
  <si>
    <t xml:space="preserve">British Ale 1098 </t>
  </si>
  <si>
    <t>Munich malt</t>
  </si>
  <si>
    <t xml:space="preserve">British Ale II 1335 </t>
  </si>
  <si>
    <t>Vienna malt</t>
  </si>
  <si>
    <t xml:space="preserve">British Ale WLP005 </t>
  </si>
  <si>
    <t xml:space="preserve">British Cask Ale 1026 </t>
  </si>
  <si>
    <t>Flaked barley</t>
  </si>
  <si>
    <t xml:space="preserve">Budvar Lager 2000 </t>
  </si>
  <si>
    <t>Flaked maize</t>
  </si>
  <si>
    <t>Wheat malt</t>
  </si>
  <si>
    <t xml:space="preserve">Burton Ale WLP023 </t>
  </si>
  <si>
    <t xml:space="preserve">Flaked ̸ Torrified barley </t>
  </si>
  <si>
    <t xml:space="preserve">California Ale V WLP051 </t>
  </si>
  <si>
    <t>Oats</t>
  </si>
  <si>
    <t xml:space="preserve">California Ale WLP001 </t>
  </si>
  <si>
    <t>Torrified wheat</t>
  </si>
  <si>
    <t xml:space="preserve">        "Base" malts - mashing required</t>
  </si>
  <si>
    <t xml:space="preserve">California Lager 2112 </t>
  </si>
  <si>
    <t xml:space="preserve">Wheat flakes </t>
  </si>
  <si>
    <t xml:space="preserve">        (assume 100% max unless otherwise stated)</t>
  </si>
  <si>
    <t xml:space="preserve">Canadian ̸ Belgian Style 3864 </t>
  </si>
  <si>
    <t>Wheat flour</t>
  </si>
  <si>
    <t xml:space="preserve">Coopers Homebrew Yeast </t>
  </si>
  <si>
    <t xml:space="preserve">Coopers </t>
  </si>
  <si>
    <t>Wheat malt ̸ Malted wheat</t>
  </si>
  <si>
    <t xml:space="preserve">Copenhagen Lager WLP850 </t>
  </si>
  <si>
    <t>Cream Ale Yeast Blend WLP080</t>
  </si>
  <si>
    <t xml:space="preserve">Czech Budejovice Lager WLP802 </t>
  </si>
  <si>
    <t xml:space="preserve">Czech Pils 2278 </t>
  </si>
  <si>
    <t xml:space="preserve">Danish Lager 2042 </t>
  </si>
  <si>
    <t xml:space="preserve">Dry English ale WLP007 </t>
  </si>
  <si>
    <t xml:space="preserve">Dusseldorf Alt WLP036 </t>
  </si>
  <si>
    <t>Caramalt Light)</t>
  </si>
  <si>
    <t xml:space="preserve">Dutch Castle Yeast 3822 </t>
  </si>
  <si>
    <t xml:space="preserve">East Coast Ale WLP008 </t>
  </si>
  <si>
    <t># "Extract Max" refers to "Sold As" figures as opposed to "Dry" which can be typically 3-8% higher owing to the lower moisture content.
Colours are "mid-range" figures &amp; can easily vary by 15% or more.
Every manufacturer seems to give different figures.</t>
  </si>
  <si>
    <t>East Midlands Ale Yeast WLP039</t>
  </si>
  <si>
    <t>Extract (LIQUID - light)</t>
  </si>
  <si>
    <t>Edinburgh Scottish Ale Yeast WLP028</t>
  </si>
  <si>
    <t>Extract (DRY - light)</t>
  </si>
  <si>
    <t xml:space="preserve">English Ale BRY 264 </t>
  </si>
  <si>
    <t>Extract (DRY - wheat)</t>
  </si>
  <si>
    <t xml:space="preserve">English Ale WLP002 </t>
  </si>
  <si>
    <t xml:space="preserve">V High </t>
  </si>
  <si>
    <t>Sugars &amp; Syrups</t>
  </si>
  <si>
    <t>Adjuncts</t>
  </si>
  <si>
    <t xml:space="preserve">English Special Bitter 1768 </t>
  </si>
  <si>
    <t xml:space="preserve">Essex Ale Yeast WLP022 </t>
  </si>
  <si>
    <t>Flaked rice</t>
  </si>
  <si>
    <t xml:space="preserve">European Ale WLP011 </t>
  </si>
  <si>
    <t xml:space="preserve">European Lager II 2247 </t>
  </si>
  <si>
    <t>Lactose (non-fermentable sugar, no boil)</t>
  </si>
  <si>
    <t xml:space="preserve">Farmhouse Ale 3726 </t>
  </si>
  <si>
    <t xml:space="preserve">Forbidden Fruit Yeast 3463 </t>
  </si>
  <si>
    <t>French Ale Yeast WLP039</t>
  </si>
  <si>
    <t>French Saison 3711</t>
  </si>
  <si>
    <t xml:space="preserve">         Adjuncts - need mashing</t>
  </si>
  <si>
    <t xml:space="preserve">Gambrinus Lager 2002 </t>
  </si>
  <si>
    <t xml:space="preserve">         with "Base" malts</t>
  </si>
  <si>
    <t xml:space="preserve">German Ale ̸ Kölsch WLP029 </t>
  </si>
  <si>
    <t xml:space="preserve">German Ale 1007 </t>
  </si>
  <si>
    <t xml:space="preserve">German Ale II WLP003 </t>
  </si>
  <si>
    <t>German Bock Lager WLP833</t>
  </si>
  <si>
    <t xml:space="preserve">German Lager WLP830 </t>
  </si>
  <si>
    <t xml:space="preserve">German Wheat 3333 </t>
  </si>
  <si>
    <t xml:space="preserve">Hefeweizen Ale WLP300 </t>
  </si>
  <si>
    <t xml:space="preserve">Hefeweizen IV Ale WLP380 </t>
  </si>
  <si>
    <t>Extract (LIQUID - extra light)</t>
  </si>
  <si>
    <t xml:space="preserve">Irish Ale 1084 </t>
  </si>
  <si>
    <t xml:space="preserve">Irish Ale WLP004 </t>
  </si>
  <si>
    <t>Extract (LIQUID - amber/medium)</t>
  </si>
  <si>
    <t xml:space="preserve">Kölsch 2565 </t>
  </si>
  <si>
    <t>Extract (LIQUID - dark)</t>
  </si>
  <si>
    <t xml:space="preserve">Lactobacillus 5335 </t>
  </si>
  <si>
    <t>Extract (LIQUID - wheat)</t>
  </si>
  <si>
    <t xml:space="preserve">       50/50 mix</t>
  </si>
  <si>
    <t xml:space="preserve">Lactobacillus Delbrueckii 4335 </t>
  </si>
  <si>
    <t>Extract (DRY - extra light)</t>
  </si>
  <si>
    <t>Leuven Pale Ale 3538 {Du Bocq (Corsendonk)}</t>
  </si>
  <si>
    <t xml:space="preserve">         Malt Extracts - no mashing req'd</t>
  </si>
  <si>
    <t xml:space="preserve">London Ale 1028 </t>
  </si>
  <si>
    <t>Extract (DRY - medium)</t>
  </si>
  <si>
    <t xml:space="preserve">London Ale III 1318 </t>
  </si>
  <si>
    <t>Extract (DRY - dark)</t>
  </si>
  <si>
    <t xml:space="preserve">London Ale WLP013 </t>
  </si>
  <si>
    <t>Extract (DRY - extra dark)</t>
  </si>
  <si>
    <t xml:space="preserve">London ESB Ale 1968 </t>
  </si>
  <si>
    <t xml:space="preserve">Mexican Lager Yeast WLP940 </t>
  </si>
  <si>
    <t xml:space="preserve">Munich Lager 2308 </t>
  </si>
  <si>
    <t>Extract (LIQUID - OLD)</t>
  </si>
  <si>
    <t xml:space="preserve">Munton's Premium Gold </t>
  </si>
  <si>
    <t xml:space="preserve">Munton's </t>
  </si>
  <si>
    <t xml:space="preserve">Munton's Standard Yeast </t>
  </si>
  <si>
    <t xml:space="preserve">North American Lager 2272 </t>
  </si>
  <si>
    <t xml:space="preserve">North European Lager BRY 203 </t>
  </si>
  <si>
    <t xml:space="preserve">Northwest Ale 1332 </t>
  </si>
  <si>
    <t xml:space="preserve">Nottingham </t>
  </si>
  <si>
    <t xml:space="preserve">Danstar </t>
  </si>
  <si>
    <t xml:space="preserve">Octoberfest Lager Blend 2633 </t>
  </si>
  <si>
    <t xml:space="preserve">Oktoberfest ̸ Märzen WLP820 </t>
  </si>
  <si>
    <t xml:space="preserve">       Crystallised/Roast malts - </t>
  </si>
  <si>
    <t xml:space="preserve">Old Bavarian Lager Yeast WLP920 </t>
  </si>
  <si>
    <t xml:space="preserve">       no mashing required</t>
  </si>
  <si>
    <t xml:space="preserve">Pacific Ale WLP041 </t>
  </si>
  <si>
    <t xml:space="preserve">      (assume 10% max unless </t>
  </si>
  <si>
    <t>Pediococcus 5733</t>
  </si>
  <si>
    <t xml:space="preserve">       otherwise stated)</t>
  </si>
  <si>
    <t xml:space="preserve">Pilsen Lager 2007 </t>
  </si>
  <si>
    <t xml:space="preserve">Pilsner Lager WLP800 </t>
  </si>
  <si>
    <t xml:space="preserve">Premium Bitter Ale WLP026 </t>
  </si>
  <si>
    <t xml:space="preserve">Ringwood Ale 1187 </t>
  </si>
  <si>
    <t>Roeselare Ale Blend 3763</t>
  </si>
  <si>
    <t xml:space="preserve">Safale S-04 </t>
  </si>
  <si>
    <t xml:space="preserve">Fermentis </t>
  </si>
  <si>
    <t xml:space="preserve">   Sugars</t>
  </si>
  <si>
    <t>Invert sugar</t>
  </si>
  <si>
    <t>Lactose (non-fermentable sugar-no boil)</t>
  </si>
  <si>
    <t xml:space="preserve">Malto-dextrin </t>
  </si>
  <si>
    <t>Belgian candi sugar white</t>
  </si>
  <si>
    <r>
      <rPr>
        <b/>
        <sz val="9"/>
        <color indexed="10"/>
        <rFont val="Times New Roman"/>
        <family val="1"/>
      </rPr>
      <t>Disclaim</t>
    </r>
    <r>
      <rPr>
        <b/>
        <sz val="9"/>
        <color rgb="FFFF0000"/>
        <rFont val="Times New Roman"/>
        <family val="1"/>
      </rPr>
      <t>er:</t>
    </r>
    <r>
      <rPr>
        <sz val="9"/>
        <color indexed="8"/>
        <rFont val="Times New Roman"/>
        <family val="1"/>
      </rPr>
      <t xml:space="preserve"> E&amp;0E. No responsibility is assumed or implied as a result of using this spreadsheet. Free for use. Not for sale.</t>
    </r>
  </si>
  <si>
    <t>Belgian candi sugar light brown</t>
  </si>
  <si>
    <t>Belgian candi sugar dark brown</t>
  </si>
  <si>
    <r>
      <rPr>
        <sz val="10"/>
        <color indexed="8"/>
        <rFont val="Times New Roman"/>
        <family val="1"/>
      </rPr>
      <t>Belgian candi sugar light</t>
    </r>
    <r>
      <rPr>
        <sz val="8"/>
        <color indexed="8"/>
        <rFont val="Times New Roman"/>
        <family val="1"/>
      </rPr>
      <t xml:space="preserve"> LIQ</t>
    </r>
  </si>
  <si>
    <r>
      <rPr>
        <sz val="10"/>
        <color indexed="8"/>
        <rFont val="Times New Roman"/>
        <family val="1"/>
      </rPr>
      <t>Belgian candi sugar amber</t>
    </r>
    <r>
      <rPr>
        <sz val="8"/>
        <color indexed="8"/>
        <rFont val="Times New Roman"/>
        <family val="1"/>
      </rPr>
      <t xml:space="preserve"> LIQ</t>
    </r>
  </si>
  <si>
    <r>
      <rPr>
        <sz val="10"/>
        <color indexed="8"/>
        <rFont val="Times New Roman"/>
        <family val="1"/>
      </rPr>
      <t>Belgian candi sugar dark</t>
    </r>
    <r>
      <rPr>
        <sz val="8"/>
        <color indexed="8"/>
        <rFont val="Times New Roman"/>
        <family val="1"/>
      </rPr>
      <t xml:space="preserve"> LIQ</t>
    </r>
  </si>
  <si>
    <t xml:space="preserve">       (assume 30% max unless otherwise stated)</t>
  </si>
  <si>
    <t xml:space="preserve">       Sugars/syrups - no mashing required</t>
  </si>
  <si>
    <t>Syrups</t>
  </si>
  <si>
    <t>Barley syrup</t>
  </si>
  <si>
    <t>Black treacle</t>
  </si>
  <si>
    <t>Golden syrup</t>
  </si>
  <si>
    <r>
      <rPr>
        <b/>
        <u/>
        <sz val="10"/>
        <color indexed="8"/>
        <rFont val="Times New Roman"/>
        <family val="1"/>
      </rPr>
      <t xml:space="preserve">NOTE:- The colours are based on typical mid-range values &amp; can vary by over </t>
    </r>
    <r>
      <rPr>
        <b/>
        <u/>
        <sz val="10"/>
        <color indexed="8"/>
        <rFont val="Microsoft YaHei UI"/>
        <family val="2"/>
      </rPr>
      <t>±</t>
    </r>
    <r>
      <rPr>
        <b/>
        <u/>
        <sz val="10"/>
        <color indexed="8"/>
        <rFont val="Times New Roman"/>
        <family val="1"/>
      </rPr>
      <t>20%.</t>
    </r>
  </si>
  <si>
    <t>Glucose (maize) syrup</t>
  </si>
  <si>
    <t xml:space="preserve"> The colours are based on typical mid-range values &amp; can vary by over ±20%.</t>
  </si>
  <si>
    <t>Maltose (maize) syrup</t>
  </si>
  <si>
    <t>Organic molasses (Blackstrap)</t>
  </si>
  <si>
    <t>Invert sugar substitutions - SOLID</t>
  </si>
  <si>
    <t>To make</t>
  </si>
  <si>
    <r>
      <rPr>
        <sz val="10"/>
        <color rgb="FF008080"/>
        <rFont val="Times New Roman"/>
        <family val="1"/>
      </rPr>
      <t>SYRUP</t>
    </r>
    <r>
      <rPr>
        <sz val="10"/>
        <color theme="6" tint="-0.499984740745262"/>
        <rFont val="Times New Roman"/>
        <family val="1"/>
      </rPr>
      <t xml:space="preserve"> </t>
    </r>
    <r>
      <rPr>
        <sz val="10"/>
        <color indexed="63"/>
        <rFont val="Times New Roman"/>
        <family val="1"/>
      </rPr>
      <t xml:space="preserve"≯ </t>
    </r>
    <r>
      <rPr>
        <sz val="10"/>
        <color rgb="FFFF00FF"/>
        <rFont val="Times New Roman"/>
        <family val="1"/>
      </rPr>
      <t>SUGAR</t>
    </r>
  </si>
  <si>
    <t>Blackstrap</t>
  </si>
  <si>
    <t>Invert No.1  (30EBC)</t>
  </si>
  <si>
    <t>White invert</t>
  </si>
  <si>
    <t>Invert Sugars</t>
  </si>
  <si>
    <t>Invert sugars - SOLID (typically)</t>
  </si>
  <si>
    <t>Not sure about this info but it's better than now't! (Possibly.)</t>
  </si>
  <si>
    <t>Invert No.2  (65EBC)</t>
  </si>
  <si>
    <t>Invert No.3  (130EBC)</t>
  </si>
  <si>
    <t>Black Invert  (350EBC)</t>
  </si>
  <si>
    <t>Invert No.4  (600EBC)</t>
  </si>
  <si>
    <t>Black invert sugar</t>
  </si>
  <si>
    <t>Invert sugar substitutions - LIQUID</t>
  </si>
  <si>
    <t>Invert sugars - LIQUID (typically)</t>
  </si>
  <si>
    <r>
      <rPr>
        <sz val="10"/>
        <color rgb="FF008080"/>
        <rFont val="Times New Roman"/>
        <family val="1"/>
      </rPr>
      <t>SYRUP</t>
    </r>
    <r>
      <rPr>
        <sz val="10"/>
        <color indexed="63"/>
        <rFont val="Times New Roman"/>
        <family val="1"/>
      </rPr>
      <t xml:space="preserve"> ̸ </t>
    </r>
    <r>
      <rPr>
        <sz val="10"/>
        <color theme="9" tint="-0.499984740745262"/>
        <rFont val="Times New Roman"/>
        <family val="1"/>
      </rPr>
      <t>SYRUP</t>
    </r>
  </si>
  <si>
    <t>Golden Syrup</t>
  </si>
  <si>
    <t>The darker a beer, the harder it is to estimate or discern its colour.</t>
  </si>
  <si>
    <t>When brewing dark beers, the colour extract efficiency reduces &amp; so calculation errors increase.</t>
  </si>
  <si>
    <t>Invert sugar colour</t>
  </si>
  <si>
    <t>(3.3 EBC nom.)</t>
  </si>
  <si>
    <t>Blackstrap colour</t>
  </si>
  <si>
    <t>(3250 EBC nom.)</t>
  </si>
  <si>
    <t>Golden Syrup colour</t>
  </si>
  <si>
    <t>(30 EBC nom.)</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</si>
  <si>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G</t>
    </r>
    <r>
      <rPr>
        <b/>
        <u val="double"/>
        <sz val="28"/>
        <color indexed="8"/>
        <rFont val="Times New Roman"/>
        <family val="1"/>
      </rPr>
      <t>luten-</t>
    </r>
    <r>
      <rPr>
        <b/>
        <u val="double"/>
        <sz val="36"/>
        <color indexed="8"/>
        <rFont val="Times New Roman"/>
        <family val="1"/>
      </rPr>
      <t>F</t>
    </r>
    <r>
      <rPr>
        <b/>
        <u val="double"/>
        <sz val="28"/>
        <color indexed="8"/>
        <rFont val="Times New Roman"/>
        <family val="1"/>
      </rPr>
      <t xml:space="preserve">ree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C</t>
    </r>
    <r>
      <rPr>
        <b/>
        <u val="double"/>
        <sz val="28"/>
        <color indexed="8"/>
        <rFont val="Times New Roman"/>
        <family val="1"/>
      </rPr>
      <t>alculator</t>
    </r>
  </si>
  <si>
    <r>
      <rPr>
        <sz val="12"/>
        <color indexed="8"/>
        <rFont val="Times New Roman"/>
        <family val="1"/>
      </rPr>
      <t>°</t>
    </r>
    <r>
      <rPr>
        <sz val="10"/>
        <color indexed="8"/>
        <rFont val="Times New Roman"/>
        <family val="1"/>
      </rPr>
      <t>C (0-30)</t>
    </r>
  </si>
  <si>
    <t>G. F. B.</t>
  </si>
  <si>
    <t>O.G. (exc. primer ̸ lactose)</t>
  </si>
  <si>
    <r>
      <rPr>
        <b/>
        <sz val="10"/>
        <color indexed="8"/>
        <rFont val="Times New Roman"/>
        <family val="1"/>
      </rPr>
      <t xml:space="preserve">"Effective" O.G. </t>
    </r>
    <r>
      <rPr>
        <sz val="10"/>
        <color indexed="10"/>
        <rFont val="Times New Roman"/>
        <family val="1"/>
      </rPr>
      <t>(inc. primer etc)</t>
    </r>
  </si>
  <si>
    <t>F.G. (exc. primer ̸ lactose)</t>
  </si>
  <si>
    <r>
      <rPr>
        <b/>
        <sz val="10"/>
        <color indexed="8"/>
        <rFont val="Times New Roman"/>
        <family val="1"/>
      </rPr>
      <t>"Effective" F.G.</t>
    </r>
    <r>
      <rPr>
        <b/>
        <sz val="10"/>
        <color indexed="10"/>
        <rFont val="Times New Roman"/>
        <family val="1"/>
      </rPr>
      <t xml:space="preserve"> </t>
    </r>
    <r>
      <rPr>
        <sz val="10"/>
        <color indexed="10"/>
        <rFont val="Times New Roman"/>
        <family val="1"/>
      </rPr>
      <t>(inc. primer etc)</t>
    </r>
  </si>
  <si>
    <r>
      <rPr>
        <b/>
        <sz val="10"/>
        <color indexed="8"/>
        <rFont val="Times New Roman"/>
        <family val="1"/>
      </rPr>
      <t xml:space="preserve">Carbonation </t>
    </r>
    <r>
      <rPr>
        <sz val="10"/>
        <color indexed="10"/>
        <rFont val="Times New Roman"/>
        <family val="1"/>
      </rPr>
      <t>(inc. primer)</t>
    </r>
  </si>
  <si>
    <r>
      <rPr>
        <sz val="10"/>
        <color rgb="FFCC00FF"/>
        <rFont val="Times New Roman"/>
        <family val="1"/>
      </rPr>
      <t xml:space="preserve">Bitterness - </t>
    </r>
    <r>
      <rPr>
        <b/>
        <sz val="10"/>
        <color rgb="FFCC00FF"/>
        <rFont val="Times New Roman"/>
        <family val="1"/>
      </rPr>
      <t>Method 1</t>
    </r>
  </si>
  <si>
    <r>
      <rPr>
        <sz val="10"/>
        <color indexed="9"/>
        <rFont val="Times New Roman"/>
        <family val="1"/>
      </rPr>
      <t xml:space="preserve">Bitterness </t>
    </r>
    <r>
      <rPr>
        <sz val="10"/>
        <color indexed="60"/>
        <rFont val="Times New Roman"/>
        <family val="1"/>
      </rPr>
      <t xml:space="preserve">- OR </t>
    </r>
    <r>
      <rPr>
        <b/>
        <sz val="10"/>
        <color indexed="60"/>
        <rFont val="Times New Roman"/>
        <family val="1"/>
      </rPr>
      <t>Method 1B</t>
    </r>
  </si>
  <si>
    <r>
      <rPr>
        <sz val="10"/>
        <color theme="0"/>
        <rFont val="Times New Roman"/>
        <family val="1"/>
      </rPr>
      <t xml:space="preserve">Bitterness </t>
    </r>
    <r>
      <rPr>
        <sz val="10"/>
        <color rgb="FFFF33CC"/>
        <rFont val="Times New Roman"/>
        <family val="1"/>
      </rPr>
      <t xml:space="preserve">- OR </t>
    </r>
    <r>
      <rPr>
        <b/>
        <sz val="10"/>
        <color rgb="FFFF66CC"/>
        <rFont val="Times New Roman"/>
        <family val="1"/>
      </rPr>
      <t>Method 2</t>
    </r>
  </si>
  <si>
    <r>
      <rPr>
        <sz val="10"/>
        <color indexed="8"/>
        <rFont val="Times New Roman"/>
        <family val="1"/>
      </rPr>
      <t xml:space="preserve">All figures shown in </t>
    </r>
    <r>
      <rPr>
        <sz val="10"/>
        <color indexed="55"/>
        <rFont val="Times New Roman"/>
        <family val="1"/>
      </rPr>
      <t>grey</t>
    </r>
    <r>
      <rPr>
        <sz val="10"/>
        <color indexed="8"/>
        <rFont val="Times New Roman"/>
        <family val="1"/>
      </rPr>
      <t xml:space="preserve"> may be ignored - for information only.</t>
    </r>
  </si>
  <si>
    <t>Gluten Free Brewing Extract ̸ Syrups</t>
  </si>
  <si>
    <t>Any sugars added at the</t>
  </si>
  <si>
    <t>The hops are boiled alone.</t>
  </si>
  <si>
    <r>
      <rPr>
        <b/>
        <sz val="10"/>
        <color rgb="FFCC00FF"/>
        <rFont val="Times New Roman"/>
        <family val="1"/>
      </rPr>
      <t xml:space="preserve">start of the boil. </t>
    </r>
    <r>
      <rPr>
        <b/>
        <u/>
        <sz val="10"/>
        <color rgb="FFCC00FF"/>
        <rFont val="Times New Roman"/>
        <family val="1"/>
      </rPr>
      <t>Method 1A.</t>
    </r>
  </si>
  <si>
    <r>
      <rPr>
        <b/>
        <sz val="10"/>
        <color rgb="FFC00000"/>
        <rFont val="Times New Roman"/>
        <family val="1"/>
      </rPr>
      <t xml:space="preserve">end of the boil. </t>
    </r>
    <r>
      <rPr>
        <b/>
        <u/>
        <sz val="10"/>
        <color rgb="FFC00000"/>
        <rFont val="Times New Roman"/>
        <family val="1"/>
      </rPr>
      <t>Method 1B.</t>
    </r>
  </si>
  <si>
    <t xml:space="preserve">Admiral </t>
  </si>
  <si>
    <t>Brambling Cross</t>
  </si>
  <si>
    <r>
      <rPr>
        <sz val="10"/>
        <color rgb="FF3366FF"/>
        <rFont val="Times New Roman"/>
        <family val="1"/>
      </rPr>
      <t xml:space="preserve">Sugars Etc. </t>
    </r>
    <r>
      <rPr>
        <sz val="9"/>
        <color rgb="FF3366FF"/>
        <rFont val="Times New Roman"/>
        <family val="1"/>
      </rPr>
      <t>(normally 30% max.)</t>
    </r>
  </si>
  <si>
    <r>
      <rPr>
        <sz val="10"/>
        <color indexed="8"/>
        <rFont val="Times New Roman"/>
        <family val="1"/>
      </rPr>
      <t>Hallertauer (</t>
    </r>
    <r>
      <rPr>
        <sz val="10"/>
        <color indexed="10"/>
        <rFont val="Times New Roman"/>
        <family val="1"/>
      </rPr>
      <t>"German"</t>
    </r>
    <r>
      <rPr>
        <sz val="10"/>
        <color indexed="8"/>
        <rFont val="Times New Roman"/>
        <family val="1"/>
      </rPr>
      <t>)</t>
    </r>
  </si>
  <si>
    <r>
      <rPr>
        <sz val="10"/>
        <color indexed="8"/>
        <rFont val="Times New Roman"/>
        <family val="1"/>
      </rPr>
      <t>Hallertauer (</t>
    </r>
    <r>
      <rPr>
        <sz val="10"/>
        <color indexed="10"/>
        <rFont val="Times New Roman"/>
        <family val="1"/>
      </rPr>
      <t>"Pacific"</t>
    </r>
    <r>
      <rPr>
        <sz val="10"/>
        <color indexed="8"/>
        <rFont val="Times New Roman"/>
        <family val="1"/>
      </rPr>
      <t>)</t>
    </r>
  </si>
  <si>
    <t>North Brewer</t>
  </si>
  <si>
    <r>
      <rPr>
        <sz val="10"/>
        <color theme="0" tint="-0.499984740745262"/>
        <rFont val="Times New Roman"/>
        <family val="1"/>
      </rPr>
      <t xml:space="preserve">Total sugar (sucrose equiv. </t>
    </r>
    <r>
      <rPr>
        <sz val="10"/>
        <color rgb="FFFF0000"/>
        <rFont val="Times New Roman"/>
        <family val="1"/>
      </rPr>
      <t>inc. primer</t>
    </r>
    <r>
      <rPr>
        <sz val="10"/>
        <color theme="0" tint="-0.499984740745262"/>
        <rFont val="Times New Roman"/>
        <family val="1"/>
      </rPr>
      <t>)</t>
    </r>
  </si>
  <si>
    <t>Generally 40% sugars (by wt) is considered the Max., equiv. to 30% by weight if using just malt.</t>
  </si>
  <si>
    <t>This is equivalent to</t>
  </si>
  <si>
    <t>Spalter Select</t>
  </si>
  <si>
    <t>Atten NO prime sug</t>
  </si>
  <si>
    <r>
      <rPr>
        <sz val="10"/>
        <color rgb="FF000000"/>
        <rFont val="Times New Roman"/>
        <family val="1"/>
      </rPr>
      <t>Carbonation Volumes CO</t>
    </r>
    <r>
      <rPr>
        <sz val="8"/>
        <color rgb="FF000000"/>
        <rFont val="Times New Roman"/>
        <family val="1"/>
      </rPr>
      <t>2</t>
    </r>
    <r>
      <rPr>
        <sz val="10"/>
        <color rgb="FF000000"/>
        <rFont val="Times New Roman"/>
        <family val="1"/>
      </rPr>
      <t xml:space="preserve"> (primed)</t>
    </r>
  </si>
  <si>
    <t>Tetnanger</t>
  </si>
  <si>
    <t>For more information about carbonation see "Beer Primer" page.</t>
  </si>
  <si>
    <t>Other (4)</t>
  </si>
  <si>
    <t>Other (3)</t>
  </si>
  <si>
    <t>Other (2)</t>
  </si>
  <si>
    <t>Other (1)</t>
  </si>
  <si>
    <t>See cells H78 etc. for the Isomerised hop extract settings.</t>
  </si>
  <si>
    <r>
      <rPr>
        <sz val="9"/>
        <color rgb="FFCC00FF"/>
        <rFont val="Times New Roman"/>
        <family val="1"/>
      </rPr>
      <t xml:space="preserve">MAIN Boil </t>
    </r>
    <r>
      <rPr>
        <b/>
        <sz val="9"/>
        <color rgb="FFCC00FF"/>
        <rFont val="Times New Roman"/>
        <family val="1"/>
      </rPr>
      <t>vol. ̸ time</t>
    </r>
    <r>
      <rPr>
        <sz val="9"/>
        <color rgb="FFCC00FF"/>
        <rFont val="Times New Roman"/>
        <family val="1"/>
      </rPr>
      <t xml:space="preserve"> </t>
    </r>
    <r>
      <rPr>
        <b/>
        <sz val="9"/>
        <color rgb="FFCC00FF"/>
        <rFont val="Times New Roman"/>
        <family val="1"/>
      </rPr>
      <t>usually chosen</t>
    </r>
    <r>
      <rPr>
        <sz val="9"/>
        <color rgb="FFCC00FF"/>
        <rFont val="Times New Roman"/>
        <family val="1"/>
      </rPr>
      <t xml:space="preserve"> to give </t>
    </r>
    <r>
      <rPr>
        <b/>
        <sz val="9"/>
        <color rgb="FFCC00FF"/>
        <rFont val="Times New Roman"/>
        <family val="1"/>
      </rPr>
      <t>20% Utilization</t>
    </r>
    <r>
      <rPr>
        <sz val="9"/>
        <color rgb="FFCC00FF"/>
        <rFont val="Times New Roman"/>
        <family val="1"/>
      </rPr>
      <t>.</t>
    </r>
  </si>
  <si>
    <r>
      <rPr>
        <sz val="9"/>
        <color rgb="FFC00000"/>
        <rFont val="Times New Roman"/>
        <family val="1"/>
      </rPr>
      <t xml:space="preserve">MAIN Boil </t>
    </r>
    <r>
      <rPr>
        <b/>
        <sz val="9"/>
        <color rgb="FFC00000"/>
        <rFont val="Times New Roman"/>
        <family val="1"/>
      </rPr>
      <t>vol. ̸ time</t>
    </r>
    <r>
      <rPr>
        <sz val="9"/>
        <color rgb="FFC00000"/>
        <rFont val="Times New Roman"/>
        <family val="1"/>
      </rPr>
      <t xml:space="preserve"> </t>
    </r>
    <r>
      <rPr>
        <b/>
        <sz val="9"/>
        <color rgb="FFC00000"/>
        <rFont val="Times New Roman"/>
        <family val="1"/>
      </rPr>
      <t>usually chosen</t>
    </r>
    <r>
      <rPr>
        <sz val="9"/>
        <color rgb="FFC00000"/>
        <rFont val="Times New Roman"/>
        <family val="1"/>
      </rPr>
      <t xml:space="preserve"> to give </t>
    </r>
    <r>
      <rPr>
        <b/>
        <sz val="9"/>
        <color rgb="FFC00000"/>
        <rFont val="Times New Roman"/>
        <family val="1"/>
      </rPr>
      <t>20% Utilization</t>
    </r>
    <r>
      <rPr>
        <sz val="9"/>
        <color rgb="FFC00000"/>
        <rFont val="Times New Roman"/>
        <family val="1"/>
      </rPr>
      <t>.</t>
    </r>
  </si>
  <si>
    <r>
      <rPr>
        <sz val="9"/>
        <color rgb="FFFF33CC"/>
        <rFont val="Times New Roman"/>
        <family val="1"/>
      </rPr>
      <t xml:space="preserve">MAIN </t>
    </r>
    <r>
      <rPr>
        <b/>
        <sz val="9"/>
        <color rgb="FFFF33CC"/>
        <rFont val="Times New Roman"/>
        <family val="1"/>
      </rPr>
      <t>Boil vol. ̸ time</t>
    </r>
    <r>
      <rPr>
        <sz val="9"/>
        <color rgb="FFFF33CC"/>
        <rFont val="Times New Roman"/>
        <family val="1"/>
      </rPr>
      <t xml:space="preserve"> </t>
    </r>
    <r>
      <rPr>
        <b/>
        <sz val="9"/>
        <color rgb="FFFF33CC"/>
        <rFont val="Times New Roman"/>
        <family val="1"/>
      </rPr>
      <t>chosen</t>
    </r>
    <r>
      <rPr>
        <sz val="9"/>
        <color rgb="FFFF33CC"/>
        <rFont val="Times New Roman"/>
        <family val="1"/>
      </rPr>
      <t xml:space="preserve"> to give a </t>
    </r>
    <r>
      <rPr>
        <b/>
        <sz val="9"/>
        <color rgb="FFFF33CC"/>
        <rFont val="Times New Roman"/>
        <family val="1"/>
      </rPr>
      <t>high</t>
    </r>
    <r>
      <rPr>
        <sz val="9"/>
        <color rgb="FFFF33CC"/>
        <rFont val="Times New Roman"/>
        <family val="1"/>
      </rPr>
      <t xml:space="preserve"> </t>
    </r>
    <r>
      <rPr>
        <b/>
        <sz val="9"/>
        <color rgb="FFFF33CC"/>
        <rFont val="Times New Roman"/>
        <family val="1"/>
      </rPr>
      <t>Utilization</t>
    </r>
    <r>
      <rPr>
        <sz val="9"/>
        <color rgb="FFFF33CC"/>
        <rFont val="Times New Roman"/>
        <family val="1"/>
      </rPr>
      <t>!</t>
    </r>
  </si>
  <si>
    <t>Iso-hop extract bitterness</t>
  </si>
  <si>
    <t xml:space="preserve">   lb              oz</t>
  </si>
  <si>
    <t xml:space="preserve"> Any late hops are added after the appropriate time(s).  </t>
  </si>
  <si>
    <t>METHOD 1a</t>
  </si>
  <si>
    <t>METHOD 1b</t>
  </si>
  <si>
    <t>1st hops added at time</t>
  </si>
  <si>
    <t>2nd hops added at time</t>
  </si>
  <si>
    <t>3rd hops added at time</t>
  </si>
  <si>
    <t xml:space="preserve">hop times </t>
  </si>
  <si>
    <t>If applicable.</t>
  </si>
  <si>
    <t xml:space="preserve">The hop calculations use the Dr. Glenn Tinseth method for loose, whole hops. If the hops are used in a mesh bag, use about 10% more. When using hop pellets, use about 10% fewer.
</t>
  </si>
  <si>
    <t>The length of the boil time is a factor in the bitterness of a beer, up to a certain point. However, the beers hop flavour is said to reach a maximum after about 20 mins. &amp; the hop aroma after just 7 or 8 mins.</t>
  </si>
  <si>
    <t xml:space="preserve"> Priming with brewing sugar has no advantages &amp;, "carbonation drops", which are mostly  sugar, are an expensive con. If  you like the convenience, use normal, cheap sugar cubes instead!</t>
  </si>
  <si>
    <t xml:space="preserve">Approx. </t>
  </si>
  <si>
    <t xml:space="preserve">Additional help supplied by Andy at </t>
  </si>
  <si>
    <t>FIGURES USED IN THE ABOVE CALCULATOR. (All are editable).</t>
  </si>
  <si>
    <t>Fermentation</t>
  </si>
  <si>
    <t xml:space="preserve">% </t>
  </si>
  <si>
    <t>White Sorghum Syrup</t>
  </si>
  <si>
    <t>Clarified Brown Rice Syrup</t>
  </si>
  <si>
    <t>Corn Syrup (10% max.)</t>
  </si>
  <si>
    <t>Lactose (non-fermentable sugar)</t>
  </si>
  <si>
    <r>
      <rPr>
        <sz val="10"/>
        <color indexed="8"/>
        <rFont val="Times New Roman"/>
        <family val="1"/>
      </rPr>
      <t>Dextrose</t>
    </r>
    <r>
      <rPr>
        <sz val="8"/>
        <color indexed="8"/>
        <rFont val="Times New Roman"/>
        <family val="1"/>
      </rPr>
      <t xml:space="preserve"> Monohydrate (Brewing/corn sugar)</t>
    </r>
  </si>
  <si>
    <t>Not sure about this info but it's better than now't!  (Well, possibly.)</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</si>
  <si>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P</t>
    </r>
    <r>
      <rPr>
        <b/>
        <u val="double"/>
        <sz val="28"/>
        <color indexed="8"/>
        <rFont val="Times New Roman"/>
        <family val="1"/>
      </rPr>
      <t xml:space="preserve">riming </t>
    </r>
    <r>
      <rPr>
        <b/>
        <u val="double"/>
        <sz val="36"/>
        <color indexed="8"/>
        <rFont val="Times New Roman"/>
        <family val="1"/>
      </rPr>
      <t>C</t>
    </r>
    <r>
      <rPr>
        <b/>
        <u val="double"/>
        <sz val="28"/>
        <color indexed="8"/>
        <rFont val="Times New Roman"/>
        <family val="1"/>
      </rPr>
      <t>alc's</t>
    </r>
    <r>
      <rPr>
        <b/>
        <u val="double"/>
        <sz val="36"/>
        <color indexed="8"/>
        <rFont val="Times New Roman"/>
        <family val="1"/>
      </rPr>
      <t xml:space="preserve"> F</t>
    </r>
    <r>
      <rPr>
        <b/>
        <u val="double"/>
        <sz val="28"/>
        <color indexed="8"/>
        <rFont val="Times New Roman"/>
        <family val="1"/>
      </rPr>
      <t xml:space="preserve">or </t>
    </r>
    <r>
      <rPr>
        <b/>
        <u val="double"/>
        <sz val="36"/>
        <color indexed="8"/>
        <rFont val="Times New Roman"/>
        <family val="1"/>
      </rPr>
      <t>H</t>
    </r>
    <r>
      <rPr>
        <b/>
        <u val="double"/>
        <sz val="28"/>
        <color indexed="8"/>
        <rFont val="Times New Roman"/>
        <family val="1"/>
      </rPr>
      <t xml:space="preserve">ome </t>
    </r>
    <r>
      <rPr>
        <b/>
        <u val="double"/>
        <sz val="36"/>
        <color indexed="8"/>
        <rFont val="Times New Roman"/>
        <family val="1"/>
      </rPr>
      <t>B</t>
    </r>
    <r>
      <rPr>
        <b/>
        <u val="double"/>
        <sz val="28"/>
        <color indexed="8"/>
        <rFont val="Times New Roman"/>
        <family val="1"/>
      </rPr>
      <t xml:space="preserve">rewed </t>
    </r>
    <r>
      <rPr>
        <b/>
        <u val="double"/>
        <sz val="36"/>
        <color indexed="8"/>
        <rFont val="Times New Roman"/>
        <family val="1"/>
      </rPr>
      <t>B</t>
    </r>
    <r>
      <rPr>
        <b/>
        <u val="double"/>
        <sz val="28"/>
        <color indexed="8"/>
        <rFont val="Times New Roman"/>
        <family val="1"/>
      </rPr>
      <t xml:space="preserve">eers </t>
    </r>
    <r>
      <rPr>
        <b/>
        <u val="double"/>
        <sz val="36"/>
        <color indexed="8"/>
        <rFont val="Times New Roman"/>
        <family val="1"/>
      </rPr>
      <t>&amp;</t>
    </r>
    <r>
      <rPr>
        <b/>
        <u val="double"/>
        <sz val="28"/>
        <color indexed="8"/>
        <rFont val="Times New Roman"/>
        <family val="1"/>
      </rPr>
      <t xml:space="preserve"> </t>
    </r>
    <r>
      <rPr>
        <b/>
        <u val="double"/>
        <sz val="36"/>
        <color indexed="8"/>
        <rFont val="Times New Roman"/>
        <family val="1"/>
      </rPr>
      <t>W</t>
    </r>
    <r>
      <rPr>
        <b/>
        <u val="double"/>
        <sz val="28"/>
        <color indexed="8"/>
        <rFont val="Times New Roman"/>
        <family val="1"/>
      </rPr>
      <t xml:space="preserve">ines </t>
    </r>
    <r>
      <rPr>
        <b/>
        <u val="double"/>
        <sz val="36"/>
        <color indexed="8"/>
        <rFont val="Times New Roman"/>
        <family val="1"/>
      </rPr>
      <t>E</t>
    </r>
    <r>
      <rPr>
        <b/>
        <u val="double"/>
        <sz val="28"/>
        <color indexed="8"/>
        <rFont val="Times New Roman"/>
        <family val="1"/>
      </rPr>
      <t>tc.</t>
    </r>
  </si>
  <si>
    <r>
      <rPr>
        <sz val="11"/>
        <color indexed="8"/>
        <rFont val="Times New Roman"/>
        <family val="1"/>
      </rPr>
      <t>The "</t>
    </r>
    <r>
      <rPr>
        <b/>
        <sz val="11"/>
        <color indexed="8"/>
        <rFont val="Times New Roman"/>
        <family val="1"/>
      </rPr>
      <t>Brew Temp.</t>
    </r>
    <r>
      <rPr>
        <sz val="11"/>
        <rFont val="Times New Roman"/>
        <family val="1"/>
      </rPr>
      <t xml:space="preserve">" includes the resting or bulk maturing temperature. The fermentation </t>
    </r>
    <r>
      <rPr>
        <b/>
        <sz val="11"/>
        <color indexed="8"/>
        <rFont val="Times New Roman"/>
        <family val="1"/>
      </rPr>
      <t>must</t>
    </r>
    <r>
      <rPr>
        <sz val="11"/>
        <rFont val="Times New Roman"/>
        <family val="1"/>
      </rPr>
      <t xml:space="preserve"> be complete.</t>
    </r>
  </si>
  <si>
    <t>All calculations are approximate.</t>
  </si>
  <si>
    <t>This calc. is "STAND ALONE".</t>
  </si>
  <si>
    <r>
      <rPr>
        <sz val="11"/>
        <color indexed="8"/>
        <rFont val="Times New Roman"/>
        <family val="1"/>
      </rPr>
      <t>Celsius temperatures are entered in the range of 0-30</t>
    </r>
    <r>
      <rPr>
        <sz val="12"/>
        <color indexed="8"/>
        <rFont val="Times New Roman"/>
        <family val="1"/>
      </rPr>
      <t>°</t>
    </r>
    <r>
      <rPr>
        <sz val="11"/>
        <color indexed="8"/>
        <rFont val="Times New Roman"/>
        <family val="1"/>
      </rPr>
      <t xml:space="preserve"> in 1</t>
    </r>
    <r>
      <rPr>
        <sz val="12"/>
        <color indexed="8"/>
        <rFont val="Times New Roman"/>
        <family val="1"/>
      </rPr>
      <t>°</t>
    </r>
    <r>
      <rPr>
        <sz val="11"/>
        <rFont val="Times New Roman"/>
        <family val="1"/>
      </rPr>
      <t xml:space="preserve"> steps &amp; from 32-86</t>
    </r>
    <r>
      <rPr>
        <sz val="12"/>
        <color indexed="8"/>
        <rFont val="Times New Roman"/>
        <family val="1"/>
      </rPr>
      <t>°</t>
    </r>
    <r>
      <rPr>
        <sz val="11"/>
        <rFont val="Times New Roman"/>
        <family val="1"/>
      </rPr>
      <t>F in approx. 2</t>
    </r>
    <r>
      <rPr>
        <sz val="12"/>
        <color indexed="8"/>
        <rFont val="Times New Roman"/>
        <family val="1"/>
      </rPr>
      <t>°</t>
    </r>
    <r>
      <rPr>
        <sz val="11"/>
        <rFont val="Times New Roman"/>
        <family val="1"/>
      </rPr>
      <t xml:space="preserve"> steps.</t>
    </r>
  </si>
  <si>
    <t>A FEW TYPICAL BEER STYLES CARBONATION LEVELS</t>
  </si>
  <si>
    <t>METRIC UNITS</t>
  </si>
  <si>
    <t>Bottom!</t>
  </si>
  <si>
    <t>Denotes an editable cell.</t>
  </si>
  <si>
    <t>Style</t>
  </si>
  <si>
    <r>
      <rPr>
        <b/>
        <sz val="11"/>
        <color indexed="8"/>
        <rFont val="Times New Roman"/>
        <family val="1"/>
      </rPr>
      <t>Volume CO</t>
    </r>
    <r>
      <rPr>
        <b/>
        <sz val="7"/>
        <color indexed="8"/>
        <rFont val="Times New Roman"/>
        <family val="1"/>
      </rPr>
      <t>2</t>
    </r>
  </si>
  <si>
    <r>
      <rPr>
        <b/>
        <sz val="11"/>
        <color indexed="8"/>
        <rFont val="Times New Roman"/>
        <family val="1"/>
      </rPr>
      <t>LITRES</t>
    </r>
    <r>
      <rPr>
        <sz val="11"/>
        <color indexed="8"/>
        <rFont val="Times New Roman"/>
        <family val="1"/>
      </rPr>
      <t xml:space="preserve">, Initial vol. </t>
    </r>
  </si>
  <si>
    <t>Bottling vol. (after losses)</t>
  </si>
  <si>
    <t>Chosen</t>
  </si>
  <si>
    <t>Brew</t>
  </si>
  <si>
    <t>Sugar (Sucrose) g/</t>
  </si>
  <si>
    <t>Brewing sugar g/</t>
  </si>
  <si>
    <t>PRESSURE BARREL PRIMING</t>
  </si>
  <si>
    <t xml:space="preserve">American Amber Ale </t>
  </si>
  <si>
    <t>Carb.</t>
  </si>
  <si>
    <t>Temp.</t>
  </si>
  <si>
    <t>Carbonation required</t>
  </si>
  <si>
    <r>
      <rPr>
        <sz val="11"/>
        <rFont val="Times New Roman"/>
        <family val="1"/>
      </rPr>
      <t>vols CO</t>
    </r>
    <r>
      <rPr>
        <sz val="8"/>
        <rFont val="Times New Roman"/>
        <family val="1"/>
      </rPr>
      <t>2</t>
    </r>
  </si>
  <si>
    <t xml:space="preserve">American Brown </t>
  </si>
  <si>
    <t xml:space="preserve">Brewing/resting temperature </t>
  </si>
  <si>
    <r>
      <rPr>
        <sz val="12"/>
        <color theme="1"/>
        <rFont val="Times New Roman"/>
        <family val="1"/>
      </rPr>
      <t>°</t>
    </r>
    <r>
      <rPr>
        <sz val="11"/>
        <color theme="1"/>
        <rFont val="Times New Roman"/>
        <family val="1"/>
      </rPr>
      <t>C</t>
    </r>
  </si>
  <si>
    <t xml:space="preserve">American Lager </t>
  </si>
  <si>
    <t>For a finished volume of beer</t>
  </si>
  <si>
    <t xml:space="preserve">American Pale Ale </t>
  </si>
  <si>
    <t>level 5ml tsp.</t>
  </si>
  <si>
    <t>Maximum volume of the barrel</t>
  </si>
  <si>
    <t>American Pilsner</t>
  </si>
  <si>
    <t>Priming sugar required</t>
  </si>
  <si>
    <t>American Wheat</t>
  </si>
  <si>
    <r>
      <rPr>
        <b/>
        <sz val="11"/>
        <color rgb="FFFF0000"/>
        <rFont val="Times New Roman"/>
        <family val="1"/>
      </rPr>
      <t>UK</t>
    </r>
    <r>
      <rPr>
        <b/>
        <sz val="11"/>
        <rFont val="Times New Roman"/>
        <family val="1"/>
      </rPr>
      <t xml:space="preserve"> IMPERIAL UNITS</t>
    </r>
  </si>
  <si>
    <t xml:space="preserve">Bamberg Rauchbier </t>
  </si>
  <si>
    <r>
      <rPr>
        <b/>
        <sz val="11"/>
        <color rgb="FFFF0000"/>
        <rFont val="Times New Roman"/>
        <family val="1"/>
      </rPr>
      <t>UK</t>
    </r>
    <r>
      <rPr>
        <sz val="11"/>
        <color indexed="8"/>
        <rFont val="Times New Roman"/>
        <family val="1"/>
      </rPr>
      <t xml:space="preserve"> galls, Initial vol. </t>
    </r>
  </si>
  <si>
    <r>
      <rPr>
        <b/>
        <sz val="11"/>
        <color theme="1"/>
        <rFont val="Times New Roman"/>
        <family val="1"/>
      </rPr>
      <t>OR</t>
    </r>
    <r>
      <rPr>
        <sz val="11"/>
        <color theme="1"/>
        <rFont val="Times New Roman"/>
        <family val="1"/>
      </rPr>
      <t xml:space="preserve"> brewing sugar required</t>
    </r>
  </si>
  <si>
    <t xml:space="preserve">Belgian Ale </t>
  </si>
  <si>
    <t>Sugar (Sucrose) oz/</t>
  </si>
  <si>
    <t>Belgian Dubbel</t>
  </si>
  <si>
    <t>Belgian Fruit Lambic</t>
  </si>
  <si>
    <t>°F</t>
  </si>
  <si>
    <t>1 UK Pt</t>
  </si>
  <si>
    <t xml:space="preserve">Belgian Lambic </t>
  </si>
  <si>
    <t>SOME SUCROSE EQUIVALENTS</t>
  </si>
  <si>
    <t xml:space="preserve">Belgian Tripel </t>
  </si>
  <si>
    <t>gm</t>
  </si>
  <si>
    <t>Sugar/sucrose (g)</t>
  </si>
  <si>
    <t>Belgian Wit</t>
  </si>
  <si>
    <t>Belgian Candy Sugar</t>
  </si>
  <si>
    <t xml:space="preserve">Berliner Weisse </t>
  </si>
  <si>
    <t>Belgian Candy Syrup</t>
  </si>
  <si>
    <t>Biere De Garde</t>
  </si>
  <si>
    <r>
      <rPr>
        <b/>
        <sz val="11"/>
        <color rgb="FFCC00FF"/>
        <rFont val="Times New Roman"/>
        <family val="1"/>
      </rPr>
      <t>US</t>
    </r>
    <r>
      <rPr>
        <b/>
        <sz val="11"/>
        <rFont val="Times New Roman"/>
        <family val="1"/>
      </rPr>
      <t xml:space="preserve"> UNITS</t>
    </r>
  </si>
  <si>
    <t>Black Treacle</t>
  </si>
  <si>
    <t>Bock</t>
  </si>
  <si>
    <r>
      <rPr>
        <b/>
        <sz val="11"/>
        <color rgb="FFCC00FF"/>
        <rFont val="Times New Roman"/>
        <family val="1"/>
      </rPr>
      <t>US</t>
    </r>
    <r>
      <rPr>
        <sz val="11"/>
        <color indexed="8"/>
        <rFont val="Times New Roman"/>
        <family val="1"/>
      </rPr>
      <t xml:space="preserve"> galls, Initial vol. </t>
    </r>
  </si>
  <si>
    <t>Brown Sugar</t>
  </si>
  <si>
    <t>Bohemian Pilsner</t>
  </si>
  <si>
    <t>Candi sugar</t>
  </si>
  <si>
    <t>California Common</t>
  </si>
  <si>
    <t>Brewing Sugar (Dextrose/Invert)</t>
  </si>
  <si>
    <t>Cream Ale</t>
  </si>
  <si>
    <t>1 US Pt</t>
  </si>
  <si>
    <t>Corn Syrup</t>
  </si>
  <si>
    <t>Dopple Bock</t>
  </si>
  <si>
    <t>Demarara</t>
  </si>
  <si>
    <t>Dortmunder Export</t>
  </si>
  <si>
    <t>Dry Malt Extract</t>
  </si>
  <si>
    <t>Dunkelweizen</t>
  </si>
  <si>
    <t>Golden Syrup (Treacle)</t>
  </si>
  <si>
    <t>Dusseldorf Altbier</t>
  </si>
  <si>
    <t>Honey</t>
  </si>
  <si>
    <t>Eisbock</t>
  </si>
  <si>
    <t>Invert Sugar Syrup</t>
  </si>
  <si>
    <t>English Bitter</t>
  </si>
  <si>
    <t>General Batch Priming</t>
  </si>
  <si>
    <t>Liquid Malt Extract</t>
  </si>
  <si>
    <t xml:space="preserve">English Brown </t>
  </si>
  <si>
    <t>Maple Syrup</t>
  </si>
  <si>
    <t>English Mild</t>
  </si>
  <si>
    <t>Molasses</t>
  </si>
  <si>
    <t>English Old/Strong Ale</t>
  </si>
  <si>
    <t>Molasses (Blackstrap)</t>
  </si>
  <si>
    <t>English Pale Ale</t>
  </si>
  <si>
    <t>Volume Converters</t>
  </si>
  <si>
    <t>Rice Solids</t>
  </si>
  <si>
    <t>Flanders Brown</t>
  </si>
  <si>
    <r>
      <rPr>
        <sz val="12"/>
        <color indexed="8"/>
        <rFont val="Times New Roman"/>
        <family val="1"/>
      </rPr>
      <t>°</t>
    </r>
    <r>
      <rPr>
        <sz val="11"/>
        <color indexed="8"/>
        <rFont val="Times New Roman"/>
        <family val="1"/>
      </rPr>
      <t>C</t>
    </r>
  </si>
  <si>
    <r>
      <rPr>
        <sz val="12"/>
        <color indexed="8"/>
        <rFont val="Times New Roman"/>
        <family val="1"/>
      </rPr>
      <t>°</t>
    </r>
    <r>
      <rPr>
        <sz val="11"/>
        <color indexed="8"/>
        <rFont val="Times New Roman"/>
        <family val="1"/>
      </rPr>
      <t>F</t>
    </r>
  </si>
  <si>
    <r>
      <rPr>
        <b/>
        <sz val="11"/>
        <color rgb="FFFF0000"/>
        <rFont val="Times New Roman"/>
        <family val="1"/>
      </rPr>
      <t>UK</t>
    </r>
    <r>
      <rPr>
        <sz val="11"/>
        <color indexed="8"/>
        <rFont val="Times New Roman"/>
        <family val="1"/>
      </rPr>
      <t xml:space="preserve"> Galls</t>
    </r>
  </si>
  <si>
    <r>
      <rPr>
        <b/>
        <sz val="11"/>
        <color rgb="FFCC00FF"/>
        <rFont val="Times New Roman"/>
        <family val="1"/>
      </rPr>
      <t>US</t>
    </r>
    <r>
      <rPr>
        <sz val="11"/>
        <color indexed="8"/>
        <rFont val="Times New Roman"/>
        <family val="1"/>
      </rPr>
      <t xml:space="preserve"> Galls</t>
    </r>
  </si>
  <si>
    <t>Sorghum Syrup</t>
  </si>
  <si>
    <t>Foreign-Style Stout</t>
  </si>
  <si>
    <t>Turbinado</t>
  </si>
  <si>
    <t>German Pilsner</t>
  </si>
  <si>
    <t>For example:-</t>
  </si>
  <si>
    <t>Helles Bock</t>
  </si>
  <si>
    <t>Weight Converter</t>
  </si>
  <si>
    <t>Galls</t>
  </si>
  <si>
    <t>wt</t>
  </si>
  <si>
    <t>India Pale Ale</t>
  </si>
  <si>
    <t>Irish Dry Stout</t>
  </si>
  <si>
    <t>Kölsch</t>
  </si>
  <si>
    <t>Priming Sugar (Sucrose)</t>
  </si>
  <si>
    <r>
      <rPr>
        <sz val="11"/>
        <color theme="1"/>
        <rFont val="Times New Roman"/>
        <family val="1"/>
      </rPr>
      <t>The</t>
    </r>
    <r>
      <rPr>
        <sz val="11"/>
        <color rgb="FFFF0000"/>
        <rFont val="Times New Roman"/>
        <family val="1"/>
      </rPr>
      <t xml:space="preserve"> "level 5ml tsp"</t>
    </r>
    <r>
      <rPr>
        <sz val="11"/>
        <color theme="1"/>
        <rFont val="Times New Roman"/>
        <family val="1"/>
      </rPr>
      <t xml:space="preserve"> weights only apply for "table sugar"/sucrose.</t>
    </r>
  </si>
  <si>
    <t>Typical sucrose priming rates @ 20°C</t>
  </si>
  <si>
    <t>Lambic/Gueuze</t>
  </si>
  <si>
    <t>3.15g ̸ litre (1 level 5ml tsp) for (British) ales.</t>
  </si>
  <si>
    <t>Maibock</t>
  </si>
  <si>
    <t xml:space="preserve">Never use the prohibitively expensive &amp; terrible "carbonation drops".
They are mostly sugar anyway!
Sugar cubes do the same job very economically.
</t>
  </si>
  <si>
    <t>Marzen/Oktoberfest</t>
  </si>
  <si>
    <t>Munchner Helles</t>
  </si>
  <si>
    <t>Munich Dunkel</t>
  </si>
  <si>
    <t>Oud Bruin</t>
  </si>
  <si>
    <t>1 level 5ml tsp sugar  =</t>
  </si>
  <si>
    <t xml:space="preserve">             Batch Priming (with sugar)</t>
  </si>
  <si>
    <t>Porter</t>
  </si>
  <si>
    <t>Batch size (l)</t>
  </si>
  <si>
    <t>Sugar (Sucrose) Wt.</t>
  </si>
  <si>
    <t>Schwarzbier</t>
  </si>
  <si>
    <t>Sugar used (g)</t>
  </si>
  <si>
    <r>
      <rPr>
        <sz val="11"/>
        <color indexed="8"/>
        <rFont val="Times New Roman"/>
        <family val="1"/>
      </rPr>
      <t xml:space="preserve">Wt. </t>
    </r>
    <r>
      <rPr>
        <b/>
        <sz val="11"/>
        <color rgb="FFFF0000"/>
        <rFont val="Times New Roman"/>
        <family val="1"/>
      </rPr>
      <t>g</t>
    </r>
  </si>
  <si>
    <r>
      <rPr>
        <sz val="11"/>
        <color indexed="8"/>
        <rFont val="Times New Roman"/>
        <family val="1"/>
      </rPr>
      <t xml:space="preserve">Wt. </t>
    </r>
    <r>
      <rPr>
        <b/>
        <sz val="11"/>
        <color rgb="FFFF0000"/>
        <rFont val="Times New Roman"/>
        <family val="1"/>
      </rPr>
      <t>oz</t>
    </r>
  </si>
  <si>
    <t>Scottish Ale</t>
  </si>
  <si>
    <t>Sucrose/Brewing Sugar Convertions</t>
  </si>
  <si>
    <t>Bottle size (ml)</t>
  </si>
  <si>
    <t>Stout - Dry</t>
  </si>
  <si>
    <t>Brewing sug.</t>
  </si>
  <si>
    <t>Sugar/bottle (g)</t>
  </si>
  <si>
    <t>Stout - Foreign Extra</t>
  </si>
  <si>
    <t>Carbonation (g/l)</t>
  </si>
  <si>
    <t>Stout - Sweet/Oatmeal</t>
  </si>
  <si>
    <t>Strong Scotch Ale</t>
  </si>
  <si>
    <r>
      <t>Volume CO</t>
    </r>
    <r>
      <rPr>
        <b/>
        <sz val="8"/>
        <color indexed="8"/>
        <rFont val="Times New Roman"/>
        <family val="1"/>
      </rPr>
      <t>2</t>
    </r>
    <r>
      <rPr>
        <b/>
        <sz val="11"/>
        <color indexed="8"/>
        <rFont val="Times New Roman"/>
        <family val="1"/>
      </rPr>
      <t xml:space="preserve"> Converters to PSI or Atm. or Bar (approx.)</t>
    </r>
  </si>
  <si>
    <t>Weizen/Weissbier</t>
  </si>
  <si>
    <r>
      <rPr>
        <sz val="11"/>
        <color indexed="8"/>
        <rFont val="Times New Roman"/>
        <family val="1"/>
      </rPr>
      <t>Vol. CO</t>
    </r>
    <r>
      <rPr>
        <sz val="8"/>
        <color indexed="8"/>
        <rFont val="Times New Roman"/>
        <family val="1"/>
      </rPr>
      <t>2</t>
    </r>
  </si>
  <si>
    <r>
      <rPr>
        <sz val="12"/>
        <color indexed="8"/>
        <rFont val="Times New Roman"/>
        <family val="1"/>
      </rPr>
      <t>°</t>
    </r>
    <r>
      <rPr>
        <sz val="11"/>
        <rFont val="Times New Roman"/>
        <family val="1"/>
      </rPr>
      <t xml:space="preserve">C </t>
    </r>
  </si>
  <si>
    <r>
      <rPr>
        <sz val="12"/>
        <color theme="0" tint="-0.499984740745262"/>
        <rFont val="Times New Roman"/>
        <family val="1"/>
      </rPr>
      <t>°</t>
    </r>
    <r>
      <rPr>
        <sz val="11"/>
        <color theme="0" tint="-0.499984740745262"/>
        <rFont val="Times New Roman"/>
        <family val="1"/>
      </rPr>
      <t xml:space="preserve">F </t>
    </r>
  </si>
  <si>
    <t xml:space="preserve"> PSI     OR     Atm.     OR     Bar</t>
  </si>
  <si>
    <t>Sucrose g ̸ l</t>
  </si>
  <si>
    <t>Brewing g ̸ l</t>
  </si>
  <si>
    <r>
      <rPr>
        <sz val="11"/>
        <color indexed="8"/>
        <rFont val="Times New Roman"/>
        <family val="1"/>
      </rPr>
      <t xml:space="preserve">Other </t>
    </r>
    <r>
      <rPr>
        <sz val="11"/>
        <color rgb="FFFFFF99"/>
        <rFont val="Times New Roman"/>
        <family val="1"/>
      </rPr>
      <t>Hello cheeky!</t>
    </r>
  </si>
  <si>
    <t>Max. rec. 4</t>
  </si>
  <si>
    <r>
      <rPr>
        <sz val="11"/>
        <color theme="0" tint="-0.499984740745262"/>
        <rFont val="Times New Roman"/>
        <family val="1"/>
      </rPr>
      <t>0-30</t>
    </r>
    <r>
      <rPr>
        <sz val="12"/>
        <color theme="0" tint="-0.499984740745262"/>
        <rFont val="Times New Roman"/>
        <family val="1"/>
      </rPr>
      <t>°</t>
    </r>
    <r>
      <rPr>
        <sz val="11"/>
        <color theme="0" tint="-0.499984740745262"/>
        <rFont val="Times New Roman"/>
        <family val="1"/>
      </rPr>
      <t>C</t>
    </r>
  </si>
  <si>
    <t>SUCROSE</t>
  </si>
  <si>
    <t>Sparkling wines - use Champagne bottles only.</t>
  </si>
  <si>
    <t>4 Max.</t>
  </si>
  <si>
    <t>Before fermentation, sucrose is hydrolysed into glucose &amp; fructose which have the same chemical formulae but differing atomic structures. (That is why replacing sugar (sucrose) with glucose &amp; fructose results in faster fermentations, hence it's use top commercial brewers.)</t>
  </si>
  <si>
    <t>Ciders, home-made &amp; fizzy.</t>
  </si>
  <si>
    <t xml:space="preserve">PRIMING NOTES:- </t>
  </si>
  <si>
    <r>
      <rPr>
        <sz val="11"/>
        <color indexed="8"/>
        <rFont val="Times New Roman"/>
        <family val="1"/>
      </rPr>
      <t>C</t>
    </r>
    <r>
      <rPr>
        <vertAlign val="subscript"/>
        <sz val="12"/>
        <color indexed="8"/>
        <rFont val="Times New Roman"/>
        <family val="1"/>
      </rPr>
      <t>12</t>
    </r>
    <r>
      <rPr>
        <sz val="11"/>
        <rFont val="Times New Roman"/>
        <family val="1"/>
      </rPr>
      <t>H</t>
    </r>
    <r>
      <rPr>
        <vertAlign val="subscript"/>
        <sz val="12"/>
        <color indexed="8"/>
        <rFont val="Times New Roman"/>
        <family val="1"/>
      </rPr>
      <t>22</t>
    </r>
    <r>
      <rPr>
        <sz val="11"/>
        <rFont val="Times New Roman"/>
        <family val="1"/>
      </rPr>
      <t>O</t>
    </r>
    <r>
      <rPr>
        <vertAlign val="subscript"/>
        <sz val="12"/>
        <color indexed="8"/>
        <rFont val="Times New Roman"/>
        <family val="1"/>
      </rPr>
      <t>11</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4C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4CO</t>
    </r>
    <r>
      <rPr>
        <vertAlign val="subscript"/>
        <sz val="12"/>
        <color indexed="8"/>
        <rFont val="Times New Roman"/>
        <family val="1"/>
      </rPr>
      <t>2</t>
    </r>
  </si>
  <si>
    <t>Where 1g Sucrose gives</t>
  </si>
  <si>
    <r>
      <rPr>
        <sz val="11"/>
        <color indexed="8"/>
        <rFont val="Times New Roman"/>
        <family val="1"/>
      </rPr>
      <t>litres CO</t>
    </r>
    <r>
      <rPr>
        <sz val="8"/>
        <color indexed="8"/>
        <rFont val="Times New Roman"/>
        <family val="1"/>
      </rPr>
      <t>2</t>
    </r>
  </si>
  <si>
    <t xml:space="preserve">  Sucrose         Water             Glucose &amp; Fructose        Ethyl Alcohol      Carbon Dioxide</t>
  </si>
  <si>
    <t>The typical figures I quote apply to glass bottles only as PET bottles swell under pressure. A value of "2" would indicate 2 litres CO2 dissolved in 1 litre of beer.
The amount of carbonation in conditioned homebrew is dependent on two things - the residual level of carbon dioxide after fermentation (temperature dependant) &amp; the amount of carbonation added by the priming sugar. Low carbonation favours malty beers whilst high carbonation enhances "hoppiness".
I normally added approx. 3.15g/l (1 level 5ml tsp) sugar to my British ales, 4.275g (1.5 tsp) for stouts &amp; 6.3g (2 tsp) for my Belgian style beers &amp; lagers etc. As you can see, I can now make a more informed choice to suit the brew conditions &amp; style, hopefully avoiding volcanic ales &amp; flat lager. When making highly carbonated drinks the safety factor must be considered. Over 12g sugar can be added per litre of beer, this dosage would give around 4 volumes (near enough 50psi) of CO2 after the secondary fermentation! Suitable bottles must be used to prevent "bottle-bombs".</t>
  </si>
  <si>
    <t xml:space="preserve">    342g             18g                         360g                          184g                    176g</t>
  </si>
  <si>
    <t xml:space="preserve">    (8.96 litre)</t>
  </si>
  <si>
    <t xml:space="preserve">     1g            0.0526g                    1.0526g                     0.5380g                0.5146g            </t>
  </si>
  <si>
    <t xml:space="preserve">   (0.0262 litre)</t>
  </si>
  <si>
    <t>GLUCOSE  (HYDROUS &amp; DEXTROSE)</t>
  </si>
  <si>
    <r>
      <rPr>
        <sz val="11"/>
        <color indexed="8"/>
        <rFont val="Times New Roman"/>
        <family val="1"/>
      </rPr>
      <t>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2CO</t>
    </r>
    <r>
      <rPr>
        <vertAlign val="subscript"/>
        <sz val="12"/>
        <color indexed="8"/>
        <rFont val="Times New Roman"/>
        <family val="1"/>
      </rPr>
      <t>2</t>
    </r>
    <r>
      <rPr>
        <sz val="11"/>
        <rFont val="Times New Roman"/>
        <family val="1"/>
      </rPr>
      <t xml:space="preserve">          +          H</t>
    </r>
    <r>
      <rPr>
        <vertAlign val="subscript"/>
        <sz val="12"/>
        <color indexed="8"/>
        <rFont val="Times New Roman"/>
        <family val="1"/>
      </rPr>
      <t>2</t>
    </r>
    <r>
      <rPr>
        <sz val="11"/>
        <rFont val="Times New Roman"/>
        <family val="1"/>
      </rPr>
      <t>O</t>
    </r>
  </si>
  <si>
    <t>Where 1g Glucose gives</t>
  </si>
  <si>
    <t>Glucose           Water                Ethyl Alcohol           Carbon Dioxide           Water</t>
  </si>
  <si>
    <t xml:space="preserve">  180g                18g                        92g                            88g                        18g</t>
  </si>
  <si>
    <t xml:space="preserve">OTHER  NOTES:- </t>
  </si>
  <si>
    <r>
      <rPr>
        <b/>
        <u val="double"/>
        <sz val="36"/>
        <color indexed="8"/>
        <rFont val="Times New Roman"/>
        <family val="1"/>
      </rPr>
      <t>P</t>
    </r>
    <r>
      <rPr>
        <b/>
        <u val="double"/>
        <sz val="28"/>
        <color indexed="8"/>
        <rFont val="Times New Roman"/>
        <family val="1"/>
      </rPr>
      <t xml:space="preserve">ete's </t>
    </r>
    <r>
      <rPr>
        <b/>
        <u val="double"/>
        <sz val="36"/>
        <color indexed="8"/>
        <rFont val="Times New Roman"/>
        <family val="1"/>
      </rPr>
      <t>W</t>
    </r>
    <r>
      <rPr>
        <b/>
        <u val="double"/>
        <sz val="28"/>
        <color indexed="8"/>
        <rFont val="Times New Roman"/>
        <family val="1"/>
      </rPr>
      <t xml:space="preserve">ater </t>
    </r>
    <r>
      <rPr>
        <b/>
        <u val="double"/>
        <sz val="36"/>
        <color indexed="8"/>
        <rFont val="Times New Roman"/>
        <family val="1"/>
      </rPr>
      <t>T</t>
    </r>
    <r>
      <rPr>
        <b/>
        <u val="double"/>
        <sz val="28"/>
        <color indexed="8"/>
        <rFont val="Times New Roman"/>
        <family val="1"/>
      </rPr>
      <t xml:space="preserve">reatment </t>
    </r>
    <r>
      <rPr>
        <b/>
        <u val="double"/>
        <sz val="36"/>
        <color indexed="8"/>
        <rFont val="Times New Roman"/>
        <family val="1"/>
      </rPr>
      <t>C</t>
    </r>
    <r>
      <rPr>
        <b/>
        <u val="double"/>
        <sz val="28"/>
        <color indexed="8"/>
        <rFont val="Times New Roman"/>
        <family val="1"/>
      </rPr>
      <t>alculator</t>
    </r>
  </si>
  <si>
    <t>I consider this a bit airy-fairy &amp; of little practical use to most brewers.</t>
  </si>
  <si>
    <t xml:space="preserve"> Volume of water to be used</t>
  </si>
  <si>
    <r>
      <rPr>
        <sz val="11"/>
        <color indexed="8"/>
        <rFont val="Times New Roman"/>
        <family val="1"/>
      </rPr>
      <t xml:space="preserve">litres. </t>
    </r>
    <r>
      <rPr>
        <sz val="11"/>
        <color rgb="FFFF0000"/>
        <rFont val="Times New Roman"/>
        <family val="1"/>
      </rPr>
      <t>This must include any top-up, sparge water etc.</t>
    </r>
  </si>
  <si>
    <t>Calcium</t>
  </si>
  <si>
    <t>Magnesium</t>
  </si>
  <si>
    <t>Sodium</t>
  </si>
  <si>
    <t>Carbonate</t>
  </si>
  <si>
    <t>Sulphate</t>
  </si>
  <si>
    <t>Chlorine</t>
  </si>
  <si>
    <t>Ca</t>
  </si>
  <si>
    <t>Mg</t>
  </si>
  <si>
    <t>Na</t>
  </si>
  <si>
    <r>
      <rPr>
        <b/>
        <sz val="11"/>
        <rFont val="Times New Roman"/>
        <family val="1"/>
      </rPr>
      <t>HCO</t>
    </r>
    <r>
      <rPr>
        <b/>
        <sz val="8"/>
        <rFont val="Times New Roman"/>
        <family val="1"/>
      </rPr>
      <t>3</t>
    </r>
  </si>
  <si>
    <r>
      <rPr>
        <b/>
        <sz val="11"/>
        <rFont val="Times New Roman"/>
        <family val="1"/>
      </rPr>
      <t>SO</t>
    </r>
    <r>
      <rPr>
        <b/>
        <sz val="8"/>
        <rFont val="Times New Roman"/>
        <family val="1"/>
      </rPr>
      <t>4</t>
    </r>
  </si>
  <si>
    <t>Cl</t>
  </si>
  <si>
    <t>Place</t>
  </si>
  <si>
    <t>Main Brew(s) ̸ Notes</t>
  </si>
  <si>
    <t>Typical values (ppm)</t>
  </si>
  <si>
    <t>&lt;300</t>
  </si>
  <si>
    <t>&lt;100</t>
  </si>
  <si>
    <t>&lt;350</t>
  </si>
  <si>
    <r>
      <rPr>
        <b/>
        <sz val="11"/>
        <rFont val="Times New Roman"/>
        <family val="1"/>
      </rPr>
      <t>Burton-on-Trent</t>
    </r>
    <r>
      <rPr>
        <sz val="11"/>
        <rFont val="Times New Roman"/>
        <family val="1"/>
      </rPr>
      <t xml:space="preserve"> </t>
    </r>
  </si>
  <si>
    <t>Strong pale ale</t>
  </si>
  <si>
    <t>Nothing here!</t>
  </si>
  <si>
    <t>Dose (g)</t>
  </si>
  <si>
    <t>Dose (tsp)</t>
  </si>
  <si>
    <r>
      <rPr>
        <b/>
        <sz val="11"/>
        <rFont val="Times New Roman"/>
        <family val="1"/>
      </rPr>
      <t>Dortmund</t>
    </r>
    <r>
      <rPr>
        <sz val="11"/>
        <rFont val="Times New Roman"/>
        <family val="1"/>
      </rPr>
      <t xml:space="preserve"> </t>
    </r>
  </si>
  <si>
    <t>Export lager</t>
  </si>
  <si>
    <t>Sodium Bicarb - Baking soda</t>
  </si>
  <si>
    <r>
      <rPr>
        <b/>
        <sz val="11"/>
        <rFont val="Times New Roman"/>
        <family val="1"/>
      </rPr>
      <t>Dublin</t>
    </r>
    <r>
      <rPr>
        <sz val="11"/>
        <rFont val="Times New Roman"/>
        <family val="1"/>
      </rPr>
      <t xml:space="preserve"> </t>
    </r>
  </si>
  <si>
    <t>Dry stout</t>
  </si>
  <si>
    <t>Calcium chloride</t>
  </si>
  <si>
    <r>
      <rPr>
        <b/>
        <sz val="11"/>
        <rFont val="Times New Roman"/>
        <family val="1"/>
      </rPr>
      <t>Edinburgh</t>
    </r>
    <r>
      <rPr>
        <sz val="11"/>
        <rFont val="Times New Roman"/>
        <family val="1"/>
      </rPr>
      <t xml:space="preserve"> </t>
    </r>
  </si>
  <si>
    <t>Malty amber, brown ales</t>
  </si>
  <si>
    <t>Chalk - calcium carbonate</t>
  </si>
  <si>
    <r>
      <rPr>
        <b/>
        <sz val="11"/>
        <rFont val="Times New Roman"/>
        <family val="1"/>
      </rPr>
      <t>London</t>
    </r>
    <r>
      <rPr>
        <sz val="11"/>
        <rFont val="Times New Roman"/>
        <family val="1"/>
      </rPr>
      <t xml:space="preserve"> </t>
    </r>
  </si>
  <si>
    <t>Sweet stout, porter</t>
  </si>
  <si>
    <t>Epsom salts - magnesium sulphate</t>
  </si>
  <si>
    <r>
      <rPr>
        <b/>
        <sz val="11"/>
        <rFont val="Times New Roman"/>
        <family val="1"/>
      </rPr>
      <t>Munich</t>
    </r>
    <r>
      <rPr>
        <sz val="11"/>
        <rFont val="Times New Roman"/>
        <family val="1"/>
      </rPr>
      <t xml:space="preserve"> </t>
    </r>
  </si>
  <si>
    <t>Dark lager</t>
  </si>
  <si>
    <t>Gypsum - calcium sulphate</t>
  </si>
  <si>
    <r>
      <rPr>
        <b/>
        <sz val="11"/>
        <rFont val="Times New Roman"/>
        <family val="1"/>
      </rPr>
      <t>Pilsen</t>
    </r>
    <r>
      <rPr>
        <sz val="11"/>
        <rFont val="Times New Roman"/>
        <family val="1"/>
      </rPr>
      <t xml:space="preserve"> </t>
    </r>
  </si>
  <si>
    <t>Hoppy pale lager</t>
  </si>
  <si>
    <t>Table salt</t>
  </si>
  <si>
    <t>Oktoberfest</t>
  </si>
  <si>
    <t>Local water area</t>
  </si>
  <si>
    <r>
      <rPr>
        <b/>
        <sz val="11"/>
        <rFont val="Times New Roman"/>
        <family val="1"/>
      </rPr>
      <t>Yorkshire</t>
    </r>
    <r>
      <rPr>
        <sz val="11"/>
        <rFont val="Times New Roman"/>
        <family val="1"/>
      </rPr>
      <t xml:space="preserve"> </t>
    </r>
  </si>
  <si>
    <t>Malty pale ale</t>
  </si>
  <si>
    <t>Added compounds</t>
  </si>
  <si>
    <t>Doncaster</t>
  </si>
  <si>
    <t>(Details from Yorkshirewater.com)</t>
  </si>
  <si>
    <t>"New water"</t>
  </si>
  <si>
    <t>Copy the above data as req'd.</t>
  </si>
  <si>
    <t xml:space="preserve">Typical figures used (ppm). </t>
  </si>
  <si>
    <t>Target water area</t>
  </si>
  <si>
    <t>Difference</t>
  </si>
  <si>
    <t>All figures obtained from the internet &amp; therefore possibly (almost certainly) dubious. Water varies from area to area &amp; time to time.</t>
  </si>
  <si>
    <r>
      <rPr>
        <u/>
        <sz val="11"/>
        <rFont val="Times New Roman"/>
        <family val="1"/>
      </rPr>
      <t>Example:-</t>
    </r>
    <r>
      <rPr>
        <sz val="11"/>
        <rFont val="Times New Roman"/>
        <family val="1"/>
      </rPr>
      <t xml:space="preserve">
If I lived in Pilsen I wished to imitate the wonderful Doncaster water, I could copy the relevant data from the right-hand table &amp; paste in the above table "Local" &amp; "Target" areas &amp; set my required volume in cell B6, before comparing the two waters in cells D21 etc. but, unfortunately, this calculator does not allow for "reductions".
The coloured boxes show that that the low figures will be increased by the addition of various compounds. By trial &amp; error I (painfully) shove various dosages into the calc. &amp;, hopefully, I can end up with a reasonable compromise. 
If I wanted to emulate Doncaster water then I would just have to move to Doncaster or just forget it &amp; make do with what I had on tap (English/Yorkshire humour?).</t>
    </r>
  </si>
  <si>
    <t>Certain towns/areas are associated with specific brews, one idea being that the local water supply is a very important factor. Another thought is that the breweries were built near largely populated areas &amp; if the water is good enough to drink then it is good enough to brew with. My sympathies are with the latter.
Modifying water parameters is fraught with problems, it is easier to add substances than it is to remove them &amp; modifying one compound invariably alters another.
Hardness is the worst thing for the amateur brewer to reduce although the "temporary hardness" can be reduced by boiling ALL your brewing water for about 15min then allowing it to cool, boiling precipitates out the calcium and magnesium ions as calcium or magnesium carbonate. Personally I consider this to be a very wasteful solution to a (minor?) problem. Living in Yorkshire I accept that the water is hard &amp; what is more, I ain't bothered!</t>
  </si>
  <si>
    <t>The biggest problem with this page is that information available on the
internet cannot be relied on to be accurate (apart from Yorkshirewater.com), there is quite a lot of confliction &amp; lots of sites just blindly regurgitate existing (false?) data. In other words, don't expect the results to be (very) accurate!
Adding calcium Carbonate reduces the acidity of the water (reduces the pH), this can be corrected by using lactic acid or even citric acid etc. 
Too many chlorine &amp; chloramines give a TCP smell &amp; taste to the water, the simplest option if removing this is just adding 10ml supermarket orange juice per litre of water to nullify most chloramines. This is suitable for both beers &amp; wines.</t>
  </si>
  <si>
    <t>    Ca</t>
  </si>
  <si>
    <t>  Mg</t>
  </si>
  <si>
    <t>    Na</t>
  </si>
  <si>
    <t>  HCO3</t>
  </si>
  <si>
    <t>    SO4</t>
  </si>
  <si>
    <t>    Cl</t>
  </si>
  <si>
    <r>
      <rPr>
        <b/>
        <sz val="36"/>
        <color indexed="8"/>
        <rFont val="Times New Roman"/>
        <family val="1"/>
      </rPr>
      <t xml:space="preserve">   </t>
    </r>
    <r>
      <rPr>
        <b/>
        <u val="double"/>
        <sz val="36"/>
        <color indexed="8"/>
        <rFont val="Times New Roman"/>
        <family val="1"/>
      </rPr>
      <t>BJCP</t>
    </r>
    <r>
      <rPr>
        <b/>
        <u val="double"/>
        <sz val="28"/>
        <color indexed="8"/>
        <rFont val="Times New Roman"/>
        <family val="1"/>
      </rPr>
      <t xml:space="preserve"> </t>
    </r>
    <r>
      <rPr>
        <b/>
        <u val="double"/>
        <sz val="36"/>
        <color indexed="8"/>
        <rFont val="Times New Roman"/>
        <family val="1"/>
      </rPr>
      <t>B</t>
    </r>
    <r>
      <rPr>
        <b/>
        <u val="double"/>
        <sz val="28"/>
        <color indexed="8"/>
        <rFont val="Times New Roman"/>
        <family val="1"/>
      </rPr>
      <t xml:space="preserve">eer </t>
    </r>
    <r>
      <rPr>
        <b/>
        <u val="double"/>
        <sz val="36"/>
        <color indexed="8"/>
        <rFont val="Times New Roman"/>
        <family val="1"/>
      </rPr>
      <t>S</t>
    </r>
    <r>
      <rPr>
        <b/>
        <u val="double"/>
        <sz val="28"/>
        <color indexed="8"/>
        <rFont val="Times New Roman"/>
        <family val="1"/>
      </rPr>
      <t xml:space="preserve">tyle </t>
    </r>
    <r>
      <rPr>
        <b/>
        <u val="double"/>
        <sz val="36"/>
        <color indexed="8"/>
        <rFont val="Times New Roman"/>
        <family val="1"/>
      </rPr>
      <t>G</t>
    </r>
    <r>
      <rPr>
        <b/>
        <u val="double"/>
        <sz val="28"/>
        <color indexed="8"/>
        <rFont val="Times New Roman"/>
        <family val="1"/>
      </rPr>
      <t xml:space="preserve">uidelines </t>
    </r>
    <r>
      <rPr>
        <b/>
        <u val="double"/>
        <sz val="36"/>
        <color indexed="8"/>
        <rFont val="Times New Roman"/>
        <family val="1"/>
      </rPr>
      <t>(2015)</t>
    </r>
  </si>
  <si>
    <t>This is, of course American, &amp;, of course, far too complex to be of any practical use so it is not updated.</t>
  </si>
  <si>
    <t>Note: 1 EBU = 1 IBU = 1 BU.</t>
  </si>
  <si>
    <r>
      <t xml:space="preserve">1 EBC </t>
    </r>
    <r>
      <rPr>
        <sz val="11"/>
        <color indexed="8"/>
        <rFont val="Calibri"/>
        <family val="2"/>
      </rPr>
      <t>≈</t>
    </r>
    <r>
      <rPr>
        <sz val="11"/>
        <color indexed="8"/>
        <rFont val="Times New Roman"/>
        <family val="1"/>
      </rPr>
      <t xml:space="preserve"> 2 (1.97) SRM</t>
    </r>
  </si>
  <si>
    <t>(Even in this semi-civilized world!)</t>
  </si>
  <si>
    <t>BJCP Categories</t>
  </si>
  <si>
    <t>Sub.</t>
  </si>
  <si>
    <t>Styles</t>
  </si>
  <si>
    <t>Style Family</t>
  </si>
  <si>
    <t>Style History</t>
  </si>
  <si>
    <t>Origin</t>
  </si>
  <si>
    <t>ABV min</t>
  </si>
  <si>
    <t>ABV max</t>
  </si>
  <si>
    <t>IBUs min</t>
  </si>
  <si>
    <t>IBUs max</t>
  </si>
  <si>
    <t>SRM min</t>
  </si>
  <si>
    <t>SRM max</t>
  </si>
  <si>
    <t>OG min</t>
  </si>
  <si>
    <t>OG max</t>
  </si>
  <si>
    <t>FG min</t>
  </si>
  <si>
    <t>FG max</t>
  </si>
  <si>
    <t>1. Standard American Beer</t>
  </si>
  <si>
    <t>A</t>
  </si>
  <si>
    <t>American Light Lager</t>
  </si>
  <si>
    <t>Pale Lager</t>
  </si>
  <si>
    <t>Mass Market Pale Lager</t>
  </si>
  <si>
    <t>United States</t>
  </si>
  <si>
    <t>B</t>
  </si>
  <si>
    <t>American Lager</t>
  </si>
  <si>
    <t>C</t>
  </si>
  <si>
    <t>Pale Ale</t>
  </si>
  <si>
    <t>Indigenous American Beer</t>
  </si>
  <si>
    <t>D</t>
  </si>
  <si>
    <t>American Wheat Beer</t>
  </si>
  <si>
    <t>Wheat Beer</t>
  </si>
  <si>
    <t>2. International Lager</t>
  </si>
  <si>
    <t>International Pale Lager</t>
  </si>
  <si>
    <t>International</t>
  </si>
  <si>
    <t>International Amber Lager</t>
  </si>
  <si>
    <t>Amber Lager</t>
  </si>
  <si>
    <t>International Dark Lager</t>
  </si>
  <si>
    <t>Dark Lager</t>
  </si>
  <si>
    <t>3. Czech Lager</t>
  </si>
  <si>
    <t>Czech Pale Lager</t>
  </si>
  <si>
    <t>Pilsner</t>
  </si>
  <si>
    <t>Czech Republic</t>
  </si>
  <si>
    <t>Czech Premium Pale Lager</t>
  </si>
  <si>
    <t>Czech Amber Lager</t>
  </si>
  <si>
    <t>Czech Dark Lager</t>
  </si>
  <si>
    <t>4. Pale Malty European Lager</t>
  </si>
  <si>
    <t>Munich Helles</t>
  </si>
  <si>
    <t>European Pale Lager</t>
  </si>
  <si>
    <t>Germany</t>
  </si>
  <si>
    <t>Festbier</t>
  </si>
  <si>
    <t>5. Pale Bitter European beer</t>
  </si>
  <si>
    <t>German Leichtbier</t>
  </si>
  <si>
    <t>Top-Fermented German Lagers</t>
  </si>
  <si>
    <t>German Helles Exportbier</t>
  </si>
  <si>
    <t>German Pils</t>
  </si>
  <si>
    <t>6. Amber Malty European Lager</t>
  </si>
  <si>
    <t>Märzen</t>
  </si>
  <si>
    <t>Rauchbier</t>
  </si>
  <si>
    <t>European Smoked Beer</t>
  </si>
  <si>
    <t>Dunkles Bock</t>
  </si>
  <si>
    <t>7. Amber Bitter European Beer</t>
  </si>
  <si>
    <t>Vienna Lager</t>
  </si>
  <si>
    <t>Amber Ale</t>
  </si>
  <si>
    <t>Pale Kellerbier</t>
  </si>
  <si>
    <t>Amber Kellerbier</t>
  </si>
  <si>
    <t>8. Dark European Lager</t>
  </si>
  <si>
    <t>9. Strong European Beer</t>
  </si>
  <si>
    <t>Doppelbock</t>
  </si>
  <si>
    <t>Baltic Porter</t>
  </si>
  <si>
    <t>Scandinavia</t>
  </si>
  <si>
    <t>10. German Wheat Beer</t>
  </si>
  <si>
    <t>Weissbier</t>
  </si>
  <si>
    <t>Dunkles Weissbier</t>
  </si>
  <si>
    <t>Weizenbock</t>
  </si>
  <si>
    <t>11. British Bitter</t>
  </si>
  <si>
    <t>Ordinary Bitter</t>
  </si>
  <si>
    <t>England</t>
  </si>
  <si>
    <t>Best Bitter</t>
  </si>
  <si>
    <t>Strong Bitter</t>
  </si>
  <si>
    <t>12. Pale Commonwealth Beer</t>
  </si>
  <si>
    <t>British Golden Ale</t>
  </si>
  <si>
    <t>Pale Ales</t>
  </si>
  <si>
    <t>Australian Sparkling Ale</t>
  </si>
  <si>
    <t>Australian</t>
  </si>
  <si>
    <t>English IPA</t>
  </si>
  <si>
    <t>IPA</t>
  </si>
  <si>
    <t>13. Brown British Beer</t>
  </si>
  <si>
    <t>Dark Mild</t>
  </si>
  <si>
    <t>Brown Ale</t>
  </si>
  <si>
    <t>British Brown Ale</t>
  </si>
  <si>
    <t>English Porter</t>
  </si>
  <si>
    <t>14. Scottish Ale</t>
  </si>
  <si>
    <t>Scottish Light</t>
  </si>
  <si>
    <t>Scotland</t>
  </si>
  <si>
    <t>Scottish Heavy</t>
  </si>
  <si>
    <t>Scottish Export</t>
  </si>
  <si>
    <t>15. Irish Beer</t>
  </si>
  <si>
    <t>Ireland</t>
  </si>
  <si>
    <t>Irish Stout</t>
  </si>
  <si>
    <t>Stout</t>
  </si>
  <si>
    <t>Irish Extra Stout</t>
  </si>
  <si>
    <t>16. Dark British Beer</t>
  </si>
  <si>
    <t>Sweet Stout</t>
  </si>
  <si>
    <t>English Stout</t>
  </si>
  <si>
    <t>Oatmeal Stout</t>
  </si>
  <si>
    <t>Tropical Stout</t>
  </si>
  <si>
    <t>Foreign Extra Stout</t>
  </si>
  <si>
    <t>17. Strong British Ale</t>
  </si>
  <si>
    <t>British Strong Ale</t>
  </si>
  <si>
    <t>Strong Ale</t>
  </si>
  <si>
    <t>Old Ale</t>
  </si>
  <si>
    <t>Wee Heavy</t>
  </si>
  <si>
    <t>English Barleywine</t>
  </si>
  <si>
    <t>Barleywine</t>
  </si>
  <si>
    <t>18. Pale American Ale</t>
  </si>
  <si>
    <t>Blonde Ale</t>
  </si>
  <si>
    <t>American Pale Ale</t>
  </si>
  <si>
    <t>American Pale Beer</t>
  </si>
  <si>
    <t>19. Amber and Brown American Beer</t>
  </si>
  <si>
    <t>American Amber Ale</t>
  </si>
  <si>
    <t xml:space="preserve">California Common </t>
  </si>
  <si>
    <t>American Brown Ale</t>
  </si>
  <si>
    <t>Dark American Beer</t>
  </si>
  <si>
    <t>20. American Porter and Stout</t>
  </si>
  <si>
    <t>American Porter</t>
  </si>
  <si>
    <t>American Stout</t>
  </si>
  <si>
    <t>21. IPA</t>
  </si>
  <si>
    <t>American IPA</t>
  </si>
  <si>
    <t>Specialty IPA - Belgian IPA</t>
  </si>
  <si>
    <t>American Bitter Beer</t>
  </si>
  <si>
    <t>Specialty IPA - Black IPA</t>
  </si>
  <si>
    <t>Specialty IPA - Brown IPA</t>
  </si>
  <si>
    <t>Specialty IPA - Red IPA</t>
  </si>
  <si>
    <t>Specialty IPA - Rye IPA</t>
  </si>
  <si>
    <t>Specialty IPA - White IPA</t>
  </si>
  <si>
    <t>22. Strong American Ale</t>
  </si>
  <si>
    <t>Double IPA</t>
  </si>
  <si>
    <t>American Strong Ale</t>
  </si>
  <si>
    <t>American Barleywine</t>
  </si>
  <si>
    <t>Wheatwine</t>
  </si>
  <si>
    <t>23. European Sour Ale</t>
  </si>
  <si>
    <t>Berliner Weisse</t>
  </si>
  <si>
    <t>German Sour Ale</t>
  </si>
  <si>
    <t>Flanders Red Ale</t>
  </si>
  <si>
    <t>Sour Ale</t>
  </si>
  <si>
    <t>Belgian Sour Ale</t>
  </si>
  <si>
    <t>Belgium</t>
  </si>
  <si>
    <t>Lambic</t>
  </si>
  <si>
    <t>E</t>
  </si>
  <si>
    <t xml:space="preserve">Gueuze </t>
  </si>
  <si>
    <t>F</t>
  </si>
  <si>
    <t>Fruit Lambic</t>
  </si>
  <si>
    <t>24. Belgian Ale</t>
  </si>
  <si>
    <t>Witbier</t>
  </si>
  <si>
    <t>Belgian Pale Ale</t>
  </si>
  <si>
    <t>Bière de Garde</t>
  </si>
  <si>
    <t>European Farmhouse Beer</t>
  </si>
  <si>
    <t>25. Strong Belgian Ale</t>
  </si>
  <si>
    <t>Belgian Blond Ale</t>
  </si>
  <si>
    <t>Belgian Golden Strong Ale</t>
  </si>
  <si>
    <t>26. Trappist Ale</t>
  </si>
  <si>
    <t>Trappist Single</t>
  </si>
  <si>
    <t>Belgian Tripel</t>
  </si>
  <si>
    <t>Belgian Dark Strong Ale</t>
  </si>
  <si>
    <t>27. Historical Beer</t>
  </si>
  <si>
    <t>Gose</t>
  </si>
  <si>
    <t>Kentucky Common</t>
  </si>
  <si>
    <t>Lichtenhainer</t>
  </si>
  <si>
    <t>London Brown Ale</t>
  </si>
  <si>
    <t>(As it says on the bottle!)</t>
  </si>
  <si>
    <t>Piwo Grodziskie</t>
  </si>
  <si>
    <t>Pre-Prohibition Lager</t>
  </si>
  <si>
    <t>Pre-Prohibition Porter</t>
  </si>
  <si>
    <t>Roggenbier</t>
  </si>
  <si>
    <t>Sahti</t>
  </si>
  <si>
    <t>28. American Wild Ale</t>
  </si>
  <si>
    <t>Brett Beer</t>
  </si>
  <si>
    <t>Specialty Beer</t>
  </si>
  <si>
    <t>Variable by base style</t>
  </si>
  <si>
    <t>Mixed-Fermentation Sour Beer</t>
  </si>
  <si>
    <t>Wild Specialty Beer</t>
  </si>
  <si>
    <t>29. Fruit Beer</t>
  </si>
  <si>
    <t>Fruit Beer</t>
  </si>
  <si>
    <t>Vary depending on the underlying base beer, but the fruit will often be reflected in the color</t>
  </si>
  <si>
    <t>Fruit and Spice Beer</t>
  </si>
  <si>
    <t>Specialty Fruit Beer</t>
  </si>
  <si>
    <t>30. Spiced Beer</t>
  </si>
  <si>
    <t>Spice, Herb, or Vegetable Beer</t>
  </si>
  <si>
    <t>Vary depending on the underlying base beer</t>
  </si>
  <si>
    <t>Autumn Seasonal Beer</t>
  </si>
  <si>
    <t>Vary depending on the underlying base beer. ABV is generally above 5%, and most examples are somewhat amber-copper in color</t>
  </si>
  <si>
    <t>Winter Seasonal Beer</t>
  </si>
  <si>
    <t>Vary depending on the underlying base beer. ABV is generally above 6%, and most examples are somewhat dark in color</t>
  </si>
  <si>
    <t>31. Alternative Fermentables Beer</t>
  </si>
  <si>
    <t>Alternative Grain Beer</t>
  </si>
  <si>
    <t>Alternative Sugar Beer</t>
  </si>
  <si>
    <t>32. Smoked Beer</t>
  </si>
  <si>
    <t>Classic Style Smoked Beer</t>
  </si>
  <si>
    <t>Varies with the base beer style</t>
  </si>
  <si>
    <t>Specialty Smoked Beer</t>
  </si>
  <si>
    <t>33. Wood Beer</t>
  </si>
  <si>
    <t>Wood-Aged Beer</t>
  </si>
  <si>
    <t>Varies with base style, typically above-average</t>
  </si>
  <si>
    <t>Specialty Wood-Aged Beer</t>
  </si>
  <si>
    <t>34. Specialty Beer</t>
  </si>
  <si>
    <t>Clone Beer</t>
  </si>
  <si>
    <t>Vary depending on the declared beer</t>
  </si>
  <si>
    <t>Mixed-Style Beer</t>
  </si>
  <si>
    <t>Experimental Beer</t>
  </si>
  <si>
    <r>
      <t xml:space="preserve">Wot about Yorkshire Stingo?  A very special ale, which deserves a class of it's own at No. 1! Truly a </t>
    </r>
    <r>
      <rPr>
        <u/>
        <sz val="13"/>
        <color indexed="8"/>
        <rFont val="Times New Roman"/>
        <family val="1"/>
      </rPr>
      <t>PROPER</t>
    </r>
    <r>
      <rPr>
        <sz val="13"/>
        <color indexed="8"/>
        <rFont val="Times New Roman"/>
        <family val="1"/>
      </rPr>
      <t xml:space="preserve"> beer!</t>
    </r>
  </si>
  <si>
    <r>
      <t xml:space="preserve">Most </t>
    </r>
    <r>
      <rPr>
        <u/>
        <sz val="13"/>
        <color indexed="8"/>
        <rFont val="Times New Roman"/>
        <family val="1"/>
      </rPr>
      <t>Standard</t>
    </r>
    <r>
      <rPr>
        <sz val="13"/>
        <color indexed="8"/>
        <rFont val="Times New Roman"/>
        <family val="1"/>
      </rPr>
      <t xml:space="preserve"> American Beers? Yuck!!!</t>
    </r>
  </si>
  <si>
    <r>
      <t>BU</t>
    </r>
    <r>
      <rPr>
        <b/>
        <u/>
        <sz val="5"/>
        <rFont val="Times New Roman"/>
        <family val="1"/>
      </rPr>
      <t xml:space="preserve"> </t>
    </r>
    <r>
      <rPr>
        <b/>
        <u/>
        <sz val="18"/>
        <rFont val="Times New Roman"/>
        <family val="1"/>
      </rPr>
      <t>/</t>
    </r>
    <r>
      <rPr>
        <b/>
        <u/>
        <sz val="5"/>
        <rFont val="Times New Roman"/>
        <family val="1"/>
      </rPr>
      <t xml:space="preserve"> </t>
    </r>
    <r>
      <rPr>
        <b/>
        <u/>
        <sz val="18"/>
        <rFont val="Times New Roman"/>
        <family val="1"/>
      </rPr>
      <t>GU Ratio - Bitterness Unit (EBU) ̸ Gravity Unit (OG) Ratio</t>
    </r>
  </si>
  <si>
    <t>APPROXIMATE BEER COLOUR CHART</t>
  </si>
  <si>
    <t xml:space="preserve">For a beer with a bitterness of </t>
  </si>
  <si>
    <t>EBU's &amp; an OG of</t>
  </si>
  <si>
    <t xml:space="preserve">    Note the cuvette sizes.</t>
  </si>
  <si>
    <t xml:space="preserve">     </t>
  </si>
  <si>
    <t xml:space="preserve">For up-to-date information (?) see:- </t>
  </si>
  <si>
    <t>www.bjcp.org/stylecenter.php</t>
  </si>
  <si>
    <t>Copyright Peter J. Laycock 28~10~2023.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</si>
</sst>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_-&quot;£&quot;* #,##0.00_-;&quot;-£&quot;* #,##0.00_-;_-&quot;£&quot;* \-??_-;_-@_-"/>
    <numFmt numFmtId="166" formatCode="0.0000"/>
    <numFmt numFmtId="167" formatCode="[$£-809]* \ #,##0.00"/>
    <numFmt numFmtId="168" formatCode="0.0"/>
    <numFmt numFmtId="169" formatCode="0.000"/>
    <numFmt numFmtId="170" formatCode="0_ ;[Red]\-0\ "/>
    <numFmt numFmtId="171" formatCode="&quot;£&quot;#,##0.00"/>
    <numFmt numFmtId="172" formatCode="0.0%"/>
    <numFmt numFmtId="173" formatCode="#,##0.000"/>
    <numFmt numFmtId="174" formatCode="#,##0.0"/>
    <numFmt numFmtId="175" formatCode="0.00000"/>
    <numFmt numFmtId="176" formatCode="0.00_ ;[Red]\-0.00\ "/>
  </numFmts>
  <fonts count="357">
    <font>
      <sz val="11"/>
      <color indexed="8"/>
      <name val="Times New Roman"/>
      <charset val="134"/>
    </font>
    <font>
      <b/>
      <sz val="11"/>
      <color indexed="8"/>
      <name val="Times New Roman"/>
      <family val="1"/>
    </font>
    <font>
      <sz val="9"/>
      <color theme="0" tint="-0.249977111117893"/>
      <name val="Times New Roman"/>
      <family val="1"/>
    </font>
    <font>
      <sz val="8"/>
      <color theme="0" tint="-0.249977111117893"/>
      <name val="Times New Roman"/>
      <family val="1"/>
    </font>
    <font>
      <b/>
      <u/>
      <sz val="20"/>
      <color indexed="8"/>
      <name val="Times New Roman"/>
      <family val="1"/>
    </font>
    <font>
      <sz val="9"/>
      <color indexed="8"/>
      <name val="Times New Roman"/>
      <family val="1"/>
    </font>
    <font>
      <sz val="11"/>
      <color rgb="FFFF0000"/>
      <name val="Times New Roman"/>
      <family val="1"/>
    </font>
    <font>
      <sz val="10"/>
      <color indexed="8"/>
      <name val="Times New Roman"/>
      <family val="1"/>
    </font>
    <font>
      <b/>
      <sz val="13"/>
      <color theme="1"/>
      <name val="Times New Roman"/>
      <family val="1"/>
    </font>
    <font>
      <b/>
      <sz val="13"/>
      <color indexed="8"/>
      <name val="Times New Roman"/>
      <family val="1"/>
    </font>
    <font>
      <sz val="12"/>
      <color indexed="8"/>
      <name val="Times New Roman"/>
      <family val="1"/>
    </font>
    <font>
      <b/>
      <sz val="11"/>
      <color theme="1"/>
      <name val="Times New Roman"/>
      <family val="1"/>
    </font>
    <font>
      <sz val="8"/>
      <color indexed="8"/>
      <name val="Times New Roman"/>
      <family val="1"/>
    </font>
    <font>
      <b/>
      <sz val="12"/>
      <color indexed="8"/>
      <name val="Times New Roman"/>
      <family val="1"/>
    </font>
    <font>
      <b/>
      <u/>
      <sz val="18"/>
      <color indexed="8"/>
      <name val="Times New Roman"/>
      <family val="1"/>
    </font>
    <font>
      <b/>
      <u/>
      <sz val="18"/>
      <name val="Times New Roman"/>
      <family val="1"/>
    </font>
    <font>
      <b/>
      <u/>
      <sz val="14"/>
      <color indexed="8"/>
      <name val="Times New Roman"/>
      <family val="1"/>
    </font>
    <font>
      <b/>
      <sz val="10"/>
      <color indexed="8"/>
      <name val="Times New Roman"/>
      <family val="1"/>
    </font>
    <font>
      <b/>
      <sz val="8"/>
      <color indexed="8"/>
      <name val="Times New Roman"/>
      <family val="1"/>
    </font>
    <font>
      <u/>
      <sz val="8"/>
      <color indexed="12"/>
      <name val="Times New Roman"/>
      <family val="1"/>
    </font>
    <font>
      <sz val="12"/>
      <name val="Times New Roman"/>
      <family val="1"/>
    </font>
    <font>
      <b/>
      <sz val="6"/>
      <color indexed="8"/>
      <name val="Times New Roman"/>
      <family val="1"/>
    </font>
    <font>
      <u/>
      <sz val="11"/>
      <color indexed="12"/>
      <name val="Times New Roman"/>
      <family val="1"/>
    </font>
    <font>
      <sz val="10"/>
      <name val="Times New Roman"/>
      <family val="1"/>
    </font>
    <font>
      <sz val="11"/>
      <color indexed="10"/>
      <name val="Times New Roman"/>
      <family val="1"/>
    </font>
    <font>
      <u/>
      <sz val="10"/>
      <color indexed="12"/>
      <name val="Times New Roman"/>
      <family val="1"/>
    </font>
    <font>
      <sz val="14"/>
      <color indexed="8"/>
      <name val="Times New Roman"/>
      <family val="1"/>
    </font>
    <font>
      <b/>
      <sz val="14"/>
      <color indexed="8"/>
      <name val="Times New Roman"/>
      <family val="1"/>
    </font>
    <font>
      <sz val="9"/>
      <color indexed="22"/>
      <name val="Times New Roman"/>
      <family val="1"/>
    </font>
    <font>
      <sz val="8"/>
      <color indexed="22"/>
      <name val="Times New Roman"/>
      <family val="1"/>
    </font>
    <font>
      <sz val="9"/>
      <color indexed="55"/>
      <name val="Times New Roman"/>
      <family val="1"/>
    </font>
    <font>
      <b/>
      <sz val="11"/>
      <name val="Times New Roman"/>
      <family val="1"/>
    </font>
    <font>
      <sz val="11"/>
      <color theme="0" tint="-4.9989318521683403E-2"/>
      <name val="Times New Roman"/>
      <family val="1"/>
    </font>
    <font>
      <sz val="11"/>
      <name val="Times New Roman"/>
      <family val="1"/>
    </font>
    <font>
      <sz val="7"/>
      <name val="Times New Roman"/>
      <family val="1"/>
    </font>
    <font>
      <sz val="8"/>
      <color indexed="23"/>
      <name val="Times New Roman"/>
      <family val="1"/>
    </font>
    <font>
      <sz val="9"/>
      <color indexed="10"/>
      <name val="Times New Roman"/>
      <family val="1"/>
    </font>
    <font>
      <b/>
      <i/>
      <sz val="14"/>
      <color indexed="10"/>
      <name val="Times New Roman"/>
      <family val="1"/>
    </font>
    <font>
      <b/>
      <i/>
      <sz val="11"/>
      <color indexed="10"/>
      <name val="Times New Roman"/>
      <family val="1"/>
    </font>
    <font>
      <b/>
      <sz val="13.5"/>
      <color indexed="8"/>
      <name val="Times New Roman"/>
      <family val="1"/>
    </font>
    <font>
      <b/>
      <sz val="9"/>
      <name val="Times New Roman"/>
      <family val="1"/>
    </font>
    <font>
      <b/>
      <sz val="9"/>
      <color indexed="8"/>
      <name val="Times New Roman"/>
      <family val="1"/>
    </font>
    <font>
      <b/>
      <sz val="8"/>
      <color indexed="10"/>
      <name val="Times New Roman"/>
      <family val="1"/>
    </font>
    <font>
      <b/>
      <sz val="10"/>
      <color indexed="10"/>
      <name val="Times New Roman"/>
      <family val="1"/>
    </font>
    <font>
      <u/>
      <sz val="12"/>
      <color indexed="8"/>
      <name val="Times New Roman"/>
      <family val="1"/>
    </font>
    <font>
      <sz val="8"/>
      <name val="Times New Roman"/>
      <family val="1"/>
    </font>
    <font>
      <sz val="8"/>
      <color theme="0" tint="-0.499984740745262"/>
      <name val="Times New Roman"/>
      <family val="1"/>
    </font>
    <font>
      <b/>
      <sz val="11"/>
      <color rgb="FFC45D08"/>
      <name val="Times New Roman"/>
      <family val="1"/>
    </font>
    <font>
      <sz val="10"/>
      <color rgb="FFC45D08"/>
      <name val="Times New Roman"/>
      <family val="1"/>
    </font>
    <font>
      <sz val="11"/>
      <color rgb="FFC45D08"/>
      <name val="Times New Roman"/>
      <family val="1"/>
    </font>
    <font>
      <sz val="11"/>
      <color rgb="FFFF9900"/>
      <name val="Times New Roman"/>
      <family val="1"/>
    </font>
    <font>
      <sz val="11"/>
      <color indexed="55"/>
      <name val="Times New Roman"/>
      <family val="1"/>
    </font>
    <font>
      <b/>
      <u/>
      <sz val="10"/>
      <color indexed="8"/>
      <name val="Times New Roman"/>
      <family val="1"/>
    </font>
    <font>
      <sz val="11"/>
      <color theme="0" tint="-0.499984740745262"/>
      <name val="Times New Roman"/>
      <family val="1"/>
    </font>
    <font>
      <b/>
      <u/>
      <sz val="12"/>
      <color rgb="FFFF0000"/>
      <name val="Times New Roman"/>
      <family val="1"/>
    </font>
    <font>
      <b/>
      <u/>
      <sz val="11"/>
      <color indexed="8"/>
      <name val="Times New Roman"/>
      <family val="1"/>
    </font>
    <font>
      <b/>
      <u/>
      <sz val="11"/>
      <color rgb="FFFF0000"/>
      <name val="Times New Roman"/>
      <family val="1"/>
    </font>
    <font>
      <sz val="11"/>
      <color theme="1"/>
      <name val="Times New Roman"/>
      <family val="1"/>
    </font>
    <font>
      <sz val="10"/>
      <color theme="0"/>
      <name val="Times New Roman"/>
      <family val="1"/>
    </font>
    <font>
      <sz val="11"/>
      <color theme="0"/>
      <name val="Times New Roman"/>
      <family val="1"/>
    </font>
    <font>
      <sz val="11.5"/>
      <color theme="0"/>
      <name val="Times New Roman"/>
      <family val="1"/>
    </font>
    <font>
      <sz val="10"/>
      <color rgb="FFFF0000"/>
      <name val="Times New Roman"/>
      <family val="1"/>
    </font>
    <font>
      <b/>
      <u/>
      <sz val="11"/>
      <name val="Times New Roman"/>
      <family val="1"/>
    </font>
    <font>
      <sz val="10"/>
      <color indexed="10"/>
      <name val="Times New Roman"/>
      <family val="1"/>
    </font>
    <font>
      <u/>
      <sz val="8"/>
      <color rgb="FF800080"/>
      <name val="Times New Roman"/>
      <family val="1"/>
    </font>
    <font>
      <sz val="13"/>
      <color theme="1"/>
      <name val="Times New Roman"/>
      <family val="1"/>
    </font>
    <font>
      <sz val="13"/>
      <color indexed="8"/>
      <name val="Times New Roman"/>
      <family val="1"/>
    </font>
    <font>
      <sz val="10"/>
      <color indexed="50"/>
      <name val="Times New Roman"/>
      <family val="1"/>
    </font>
    <font>
      <sz val="8"/>
      <color indexed="53"/>
      <name val="Times New Roman"/>
      <family val="1"/>
    </font>
    <font>
      <sz val="10"/>
      <color indexed="53"/>
      <name val="Times New Roman"/>
      <family val="1"/>
    </font>
    <font>
      <b/>
      <u/>
      <sz val="16"/>
      <color rgb="FFFF0000"/>
      <name val="Times New Roman"/>
      <family val="1"/>
    </font>
    <font>
      <sz val="16"/>
      <color indexed="8"/>
      <name val="Times New Roman"/>
      <family val="1"/>
    </font>
    <font>
      <sz val="8"/>
      <color indexed="10"/>
      <name val="Times New Roman"/>
      <family val="1"/>
    </font>
    <font>
      <sz val="12"/>
      <color indexed="10"/>
      <name val="Times New Roman"/>
      <family val="1"/>
    </font>
    <font>
      <b/>
      <u/>
      <sz val="11.5"/>
      <color indexed="8"/>
      <name val="Times New Roman"/>
      <family val="1"/>
    </font>
    <font>
      <sz val="10"/>
      <color indexed="23"/>
      <name val="Times New Roman"/>
      <family val="1"/>
    </font>
    <font>
      <sz val="10"/>
      <color rgb="FFC00000"/>
      <name val="Times New Roman"/>
      <family val="1"/>
    </font>
    <font>
      <sz val="10"/>
      <color indexed="55"/>
      <name val="Times New Roman"/>
      <family val="1"/>
    </font>
    <font>
      <sz val="10.5"/>
      <color indexed="8"/>
      <name val="Times New Roman"/>
      <family val="1"/>
    </font>
    <font>
      <sz val="10.5"/>
      <color indexed="48"/>
      <name val="Times New Roman"/>
      <family val="1"/>
    </font>
    <font>
      <sz val="10.5"/>
      <color indexed="10"/>
      <name val="Times New Roman"/>
      <family val="1"/>
    </font>
    <font>
      <sz val="10"/>
      <color indexed="48"/>
      <name val="Times New Roman"/>
      <family val="1"/>
    </font>
    <font>
      <sz val="8"/>
      <color indexed="55"/>
      <name val="Times New Roman"/>
      <family val="1"/>
    </font>
    <font>
      <sz val="10.5"/>
      <color indexed="23"/>
      <name val="Times New Roman"/>
      <family val="1"/>
    </font>
    <font>
      <sz val="7"/>
      <color indexed="8"/>
      <name val="Times New Roman"/>
      <family val="1"/>
    </font>
    <font>
      <sz val="6"/>
      <color indexed="8"/>
      <name val="Times New Roman"/>
      <family val="1"/>
    </font>
    <font>
      <sz val="10"/>
      <color theme="0" tint="-0.34998626667073579"/>
      <name val="Times New Roman"/>
      <family val="1"/>
    </font>
    <font>
      <sz val="10"/>
      <color indexed="21"/>
      <name val="Times New Roman"/>
      <family val="1"/>
    </font>
    <font>
      <sz val="11"/>
      <color indexed="53"/>
      <name val="Times New Roman"/>
      <family val="1"/>
    </font>
    <font>
      <sz val="10"/>
      <color indexed="63"/>
      <name val="Times New Roman"/>
      <family val="1"/>
    </font>
    <font>
      <sz val="10"/>
      <color rgb="FF008080"/>
      <name val="Times New Roman"/>
      <family val="1"/>
    </font>
    <font>
      <sz val="10"/>
      <color rgb="FFFF00FF"/>
      <name val="Times New Roman"/>
      <family val="1"/>
    </font>
    <font>
      <sz val="10"/>
      <color theme="1"/>
      <name val="Times New Roman"/>
      <family val="1"/>
    </font>
    <font>
      <sz val="10"/>
      <color rgb="FF974807"/>
      <name val="Times New Roman"/>
      <family val="1"/>
    </font>
    <font>
      <sz val="10"/>
      <color rgb="FFCC00FF"/>
      <name val="Times New Roman"/>
      <family val="1"/>
    </font>
    <font>
      <sz val="9"/>
      <name val="Times New Roman"/>
      <family val="1"/>
    </font>
    <font>
      <b/>
      <u/>
      <sz val="10"/>
      <color indexed="10"/>
      <name val="Times New Roman"/>
      <family val="1"/>
    </font>
    <font>
      <b/>
      <u/>
      <sz val="11"/>
      <color indexed="10"/>
      <name val="Times New Roman"/>
      <family val="1"/>
    </font>
    <font>
      <b/>
      <sz val="10"/>
      <color theme="9" tint="-0.249977111117893"/>
      <name val="Times New Roman"/>
      <family val="1"/>
    </font>
    <font>
      <sz val="10"/>
      <color indexed="57"/>
      <name val="Times New Roman"/>
      <family val="1"/>
    </font>
    <font>
      <sz val="10"/>
      <color indexed="9"/>
      <name val="Times New Roman"/>
      <family val="1"/>
    </font>
    <font>
      <sz val="10"/>
      <color rgb="FFFF66CC"/>
      <name val="Times New Roman"/>
      <family val="1"/>
    </font>
    <font>
      <u/>
      <sz val="10"/>
      <color rgb="FF800080"/>
      <name val="Times New Roman"/>
      <family val="1"/>
    </font>
    <font>
      <sz val="10"/>
      <color rgb="FFFF33CC"/>
      <name val="Times New Roman"/>
      <family val="1"/>
    </font>
    <font>
      <sz val="10"/>
      <color theme="0" tint="-0.499984740745262"/>
      <name val="Times New Roman"/>
      <family val="1"/>
    </font>
    <font>
      <sz val="10"/>
      <color theme="9" tint="-0.249977111117893"/>
      <name val="Times New Roman"/>
      <family val="1"/>
    </font>
    <font>
      <sz val="10"/>
      <color theme="1" tint="0.499984740745262"/>
      <name val="Times New Roman"/>
      <family val="1"/>
    </font>
    <font>
      <sz val="11"/>
      <color theme="1" tint="0.499984740745262"/>
      <name val="Times New Roman"/>
      <family val="1"/>
    </font>
    <font>
      <sz val="10"/>
      <color rgb="FF3366FF"/>
      <name val="Times New Roman"/>
      <family val="1"/>
    </font>
    <font>
      <sz val="11"/>
      <color rgb="FF3366FF"/>
      <name val="Times New Roman"/>
      <family val="1"/>
    </font>
    <font>
      <sz val="9"/>
      <color theme="0" tint="-0.499984740745262"/>
      <name val="Times New Roman"/>
      <family val="1"/>
    </font>
    <font>
      <sz val="10"/>
      <color rgb="FF000000"/>
      <name val="Times New Roman"/>
      <family val="1"/>
    </font>
    <font>
      <sz val="7"/>
      <color indexed="22"/>
      <name val="Times New Roman"/>
      <family val="1"/>
    </font>
    <font>
      <sz val="14"/>
      <color theme="0"/>
      <name val="Times New Roman"/>
      <family val="1"/>
    </font>
    <font>
      <sz val="10"/>
      <color rgb="FFCCFFFF"/>
      <name val="Times New Roman"/>
      <family val="1"/>
    </font>
    <font>
      <u/>
      <sz val="10"/>
      <color indexed="14"/>
      <name val="Times New Roman"/>
      <family val="1"/>
    </font>
    <font>
      <b/>
      <u/>
      <sz val="10"/>
      <color indexed="14"/>
      <name val="Times New Roman"/>
      <family val="1"/>
    </font>
    <font>
      <b/>
      <u/>
      <sz val="10"/>
      <color indexed="53"/>
      <name val="Times New Roman"/>
      <family val="1"/>
    </font>
    <font>
      <b/>
      <u/>
      <sz val="10"/>
      <color indexed="17"/>
      <name val="Times New Roman"/>
      <family val="1"/>
    </font>
    <font>
      <b/>
      <u/>
      <sz val="12"/>
      <color indexed="10"/>
      <name val="Times New Roman"/>
      <family val="1"/>
    </font>
    <font>
      <b/>
      <u/>
      <sz val="12"/>
      <color rgb="FFFF66CC"/>
      <name val="Times New Roman"/>
      <family val="1"/>
    </font>
    <font>
      <b/>
      <sz val="10"/>
      <color rgb="FFFF0000"/>
      <name val="Times New Roman"/>
      <family val="1"/>
    </font>
    <font>
      <b/>
      <sz val="10"/>
      <color rgb="FFFF66CC"/>
      <name val="Times New Roman"/>
      <family val="1"/>
    </font>
    <font>
      <b/>
      <sz val="10"/>
      <color rgb="FFCC00FF"/>
      <name val="Times New Roman"/>
      <family val="1"/>
    </font>
    <font>
      <b/>
      <sz val="10"/>
      <color rgb="FFC00000"/>
      <name val="Times New Roman"/>
      <family val="1"/>
    </font>
    <font>
      <sz val="9"/>
      <color rgb="FFCC00FF"/>
      <name val="Times New Roman"/>
      <family val="1"/>
    </font>
    <font>
      <sz val="9"/>
      <color rgb="FFC00000"/>
      <name val="Times New Roman"/>
      <family val="1"/>
    </font>
    <font>
      <b/>
      <sz val="10"/>
      <color rgb="FFFF33CC"/>
      <name val="Times New Roman"/>
      <family val="1"/>
    </font>
    <font>
      <sz val="9"/>
      <color rgb="FFFF33CC"/>
      <name val="Times New Roman"/>
      <family val="1"/>
    </font>
    <font>
      <b/>
      <u/>
      <sz val="10"/>
      <color rgb="FFFF33CC"/>
      <name val="Times New Roman"/>
      <family val="1"/>
    </font>
    <font>
      <b/>
      <sz val="10"/>
      <color rgb="FFFF00FF"/>
      <name val="Times New Roman"/>
      <family val="1"/>
    </font>
    <font>
      <sz val="11"/>
      <color rgb="FFFF33CC"/>
      <name val="Times New Roman"/>
      <family val="1"/>
    </font>
    <font>
      <b/>
      <sz val="12"/>
      <color rgb="FFFF66CC"/>
      <name val="Times New Roman"/>
      <family val="1"/>
    </font>
    <font>
      <sz val="10"/>
      <color indexed="46"/>
      <name val="Times New Roman"/>
      <family val="1"/>
    </font>
    <font>
      <sz val="8"/>
      <color rgb="FFFF66CC"/>
      <name val="Times New Roman"/>
      <family val="1"/>
    </font>
    <font>
      <i/>
      <sz val="10"/>
      <color indexed="10"/>
      <name val="Times New Roman"/>
      <family val="1"/>
    </font>
    <font>
      <sz val="10"/>
      <color indexed="22"/>
      <name val="Times New Roman"/>
      <family val="1"/>
    </font>
    <font>
      <b/>
      <sz val="10"/>
      <name val="Times New Roman"/>
      <family val="1"/>
    </font>
    <font>
      <sz val="10"/>
      <color indexed="8"/>
      <name val="Arial"/>
      <family val="2"/>
    </font>
    <font>
      <b/>
      <u/>
      <sz val="10"/>
      <color rgb="FFCC00FF"/>
      <name val="Times New Roman"/>
      <family val="1"/>
    </font>
    <font>
      <b/>
      <u/>
      <sz val="10"/>
      <color indexed="60"/>
      <name val="Times New Roman"/>
      <family val="1"/>
    </font>
    <font>
      <b/>
      <u/>
      <sz val="10"/>
      <color rgb="FFFF0000"/>
      <name val="Times New Roman"/>
      <family val="1"/>
    </font>
    <font>
      <sz val="10"/>
      <color indexed="17"/>
      <name val="Times New Roman"/>
      <family val="1"/>
    </font>
    <font>
      <b/>
      <sz val="11"/>
      <color indexed="10"/>
      <name val="Times New Roman"/>
      <family val="1"/>
    </font>
    <font>
      <sz val="10"/>
      <color theme="8" tint="-0.499984740745262"/>
      <name val="Times New Roman"/>
      <family val="1"/>
    </font>
    <font>
      <u/>
      <sz val="9"/>
      <color indexed="12"/>
      <name val="Times New Roman"/>
      <family val="1"/>
    </font>
    <font>
      <b/>
      <sz val="10"/>
      <color rgb="FF002060"/>
      <name val="Times New Roman"/>
      <family val="1"/>
    </font>
    <font>
      <b/>
      <i/>
      <u/>
      <sz val="24"/>
      <color indexed="10"/>
      <name val="Times New Roman"/>
      <family val="1"/>
    </font>
    <font>
      <b/>
      <sz val="10"/>
      <color rgb="FFE46D0A"/>
      <name val="Times New Roman"/>
      <family val="1"/>
    </font>
    <font>
      <b/>
      <u/>
      <sz val="10"/>
      <name val="Times New Roman"/>
      <family val="1"/>
    </font>
    <font>
      <sz val="9.5"/>
      <color indexed="8"/>
      <name val="Times New Roman"/>
      <family val="1"/>
    </font>
    <font>
      <sz val="10"/>
      <color rgb="FF993300"/>
      <name val="Times New Roman"/>
      <family val="1"/>
    </font>
    <font>
      <sz val="10"/>
      <color indexed="60"/>
      <name val="Times New Roman"/>
      <family val="1"/>
    </font>
    <font>
      <sz val="10"/>
      <color indexed="14"/>
      <name val="Times New Roman"/>
      <family val="1"/>
    </font>
    <font>
      <sz val="10"/>
      <color rgb="FFE46D0A"/>
      <name val="Times New Roman"/>
      <family val="1"/>
    </font>
    <font>
      <sz val="10"/>
      <color theme="0" tint="-0.249977111117893"/>
      <name val="Times New Roman"/>
      <family val="1"/>
    </font>
    <font>
      <sz val="9"/>
      <color rgb="FFFF0000"/>
      <name val="Times New Roman"/>
      <family val="1"/>
    </font>
    <font>
      <sz val="9"/>
      <color theme="4" tint="-0.249977111117893"/>
      <name val="Times New Roman"/>
      <family val="1"/>
    </font>
    <font>
      <sz val="9"/>
      <color rgb="FF7030A0"/>
      <name val="Times New Roman"/>
      <family val="1"/>
    </font>
    <font>
      <sz val="11"/>
      <color theme="4"/>
      <name val="Times New Roman"/>
      <family val="1"/>
    </font>
    <font>
      <sz val="10"/>
      <color theme="4"/>
      <name val="Times New Roman"/>
      <family val="1"/>
    </font>
    <font>
      <i/>
      <sz val="10"/>
      <color indexed="8"/>
      <name val="Times New Roman"/>
      <family val="1"/>
    </font>
    <font>
      <b/>
      <sz val="9"/>
      <color rgb="FFFF0000"/>
      <name val="Times New Roman"/>
      <family val="1"/>
    </font>
    <font>
      <i/>
      <sz val="10"/>
      <color theme="4"/>
      <name val="Times New Roman"/>
      <family val="1"/>
    </font>
    <font>
      <sz val="10"/>
      <color theme="0" tint="-4.9989318521683403E-2"/>
      <name val="Times New Roman"/>
      <family val="1"/>
    </font>
    <font>
      <sz val="12"/>
      <color rgb="FFFF0000"/>
      <name val="Times New Roman"/>
      <family val="1"/>
    </font>
    <font>
      <b/>
      <i/>
      <u/>
      <sz val="28"/>
      <color rgb="FFFF0000"/>
      <name val="Times New Roman"/>
      <family val="1"/>
    </font>
    <font>
      <sz val="10"/>
      <color rgb="FF008000"/>
      <name val="Times New Roman"/>
      <family val="1"/>
    </font>
    <font>
      <b/>
      <sz val="10"/>
      <color rgb="FF008000"/>
      <name val="Times New Roman"/>
      <family val="1"/>
    </font>
    <font>
      <sz val="10"/>
      <color rgb="FFFF6600"/>
      <name val="Times New Roman"/>
      <family val="1"/>
    </font>
    <font>
      <sz val="9"/>
      <color indexed="57"/>
      <name val="Times New Roman"/>
      <family val="1"/>
    </font>
    <font>
      <b/>
      <u/>
      <sz val="10"/>
      <color rgb="FFFF00FF"/>
      <name val="Times New Roman"/>
      <family val="1"/>
    </font>
    <font>
      <b/>
      <sz val="10"/>
      <color theme="9" tint="-0.499984740745262"/>
      <name val="Times New Roman"/>
      <family val="1"/>
    </font>
    <font>
      <sz val="14"/>
      <name val="Times New Roman"/>
      <family val="1"/>
    </font>
    <font>
      <sz val="10"/>
      <color rgb="FF00B050"/>
      <name val="Times New Roman"/>
      <family val="1"/>
    </font>
    <font>
      <b/>
      <u/>
      <sz val="10"/>
      <color theme="0"/>
      <name val="Times New Roman"/>
      <family val="1"/>
    </font>
    <font>
      <sz val="11"/>
      <color theme="0" tint="-0.1498764000366222"/>
      <name val="Times New Roman"/>
      <family val="1"/>
    </font>
    <font>
      <b/>
      <sz val="11"/>
      <color rgb="FFFF0000"/>
      <name val="Times New Roman"/>
      <family val="1"/>
    </font>
    <font>
      <sz val="10"/>
      <name val="Arial"/>
      <family val="2"/>
    </font>
    <font>
      <sz val="10"/>
      <color rgb="FFFFFF99"/>
      <name val="Times New Roman"/>
      <family val="1"/>
    </font>
    <font>
      <sz val="8"/>
      <color rgb="FFCCFFFF"/>
      <name val="Times New Roman"/>
      <family val="1"/>
    </font>
    <font>
      <sz val="7"/>
      <color theme="0" tint="-0.249977111117893"/>
      <name val="Times New Roman"/>
      <family val="1"/>
    </font>
    <font>
      <b/>
      <u/>
      <sz val="16"/>
      <color rgb="FFCC00FF"/>
      <name val="Times New Roman"/>
      <family val="1"/>
    </font>
    <font>
      <b/>
      <u/>
      <sz val="16"/>
      <color rgb="FFC00000"/>
      <name val="Times New Roman"/>
      <family val="1"/>
    </font>
    <font>
      <sz val="11"/>
      <color rgb="FFCC00FF"/>
      <name val="Times New Roman"/>
      <family val="1"/>
    </font>
    <font>
      <i/>
      <sz val="10"/>
      <color indexed="60"/>
      <name val="Times New Roman"/>
      <family val="1"/>
    </font>
    <font>
      <i/>
      <sz val="10"/>
      <color indexed="57"/>
      <name val="Times New Roman"/>
      <family val="1"/>
    </font>
    <font>
      <sz val="10"/>
      <color indexed="12"/>
      <name val="Times New Roman"/>
      <family val="1"/>
    </font>
    <font>
      <b/>
      <sz val="14"/>
      <name val="Times New Roman"/>
      <family val="1"/>
    </font>
    <font>
      <b/>
      <u/>
      <sz val="11"/>
      <color rgb="FF000000"/>
      <name val="Times New Roman"/>
      <family val="1"/>
    </font>
    <font>
      <b/>
      <sz val="10"/>
      <color theme="0" tint="-0.499984740745262"/>
      <name val="Times New Roman"/>
      <family val="1"/>
    </font>
    <font>
      <sz val="10"/>
      <color rgb="FF808080"/>
      <name val="Times New Roman"/>
      <family val="1"/>
    </font>
    <font>
      <u/>
      <sz val="9"/>
      <color rgb="FF800080"/>
      <name val="Times New Roman"/>
      <family val="1"/>
    </font>
    <font>
      <b/>
      <u/>
      <sz val="10"/>
      <color rgb="FFC00000"/>
      <name val="Times New Roman"/>
      <family val="1"/>
    </font>
    <font>
      <u/>
      <sz val="11"/>
      <color indexed="8"/>
      <name val="Times New Roman"/>
      <family val="1"/>
    </font>
    <font>
      <b/>
      <u/>
      <sz val="14"/>
      <name val="Times New Roman"/>
      <family val="1"/>
    </font>
    <font>
      <u/>
      <sz val="10"/>
      <color indexed="8"/>
      <name val="Times New Roman"/>
      <family val="1"/>
    </font>
    <font>
      <b/>
      <sz val="10"/>
      <color rgb="FF0070C0"/>
      <name val="Times New Roman"/>
      <family val="1"/>
    </font>
    <font>
      <b/>
      <sz val="10"/>
      <color indexed="20"/>
      <name val="Times New Roman"/>
      <family val="1"/>
    </font>
    <font>
      <sz val="10"/>
      <color rgb="FF0070C0"/>
      <name val="Times New Roman"/>
      <family val="1"/>
    </font>
    <font>
      <b/>
      <sz val="10"/>
      <color rgb="FF800080"/>
      <name val="Times New Roman"/>
      <family val="1"/>
    </font>
    <font>
      <sz val="12"/>
      <color theme="0" tint="-4.9989318521683403E-2"/>
      <name val="Times New Roman"/>
      <family val="1"/>
    </font>
    <font>
      <b/>
      <sz val="10"/>
      <color indexed="46"/>
      <name val="Times New Roman"/>
      <family val="1"/>
    </font>
    <font>
      <b/>
      <sz val="10"/>
      <color rgb="FF3366FF"/>
      <name val="Times New Roman"/>
      <family val="1"/>
    </font>
    <font>
      <b/>
      <sz val="13"/>
      <color indexed="10"/>
      <name val="Times New Roman"/>
      <family val="1"/>
    </font>
    <font>
      <b/>
      <u/>
      <sz val="20"/>
      <color theme="0"/>
      <name val="Times New Roman"/>
      <family val="1"/>
    </font>
    <font>
      <b/>
      <u/>
      <sz val="20"/>
      <name val="Times New Roman"/>
      <family val="1"/>
    </font>
    <font>
      <b/>
      <sz val="12"/>
      <color rgb="FFFF33CC"/>
      <name val="Times New Roman"/>
      <family val="1"/>
    </font>
    <font>
      <u/>
      <sz val="10"/>
      <name val="Times New Roman"/>
      <family val="1"/>
    </font>
    <font>
      <sz val="11"/>
      <color theme="0" tint="-0.249977111117893"/>
      <name val="Times New Roman"/>
      <family val="1"/>
    </font>
    <font>
      <sz val="10"/>
      <color theme="1" tint="0.34998626667073579"/>
      <name val="Times New Roman"/>
      <family val="1"/>
    </font>
    <font>
      <sz val="10"/>
      <color theme="9" tint="-0.499984740745262"/>
      <name val="Times New Roman"/>
      <family val="1"/>
    </font>
    <font>
      <sz val="10"/>
      <color rgb="FF7030A0"/>
      <name val="Times New Roman"/>
      <family val="1"/>
    </font>
    <font>
      <b/>
      <sz val="10"/>
      <color indexed="60"/>
      <name val="Times New Roman"/>
      <family val="1"/>
    </font>
    <font>
      <sz val="10"/>
      <color theme="3" tint="0.39985351115451523"/>
      <name val="Times New Roman"/>
      <family val="1"/>
    </font>
    <font>
      <b/>
      <sz val="10"/>
      <color theme="1"/>
      <name val="Times New Roman"/>
      <family val="1"/>
    </font>
    <font>
      <sz val="10"/>
      <color theme="7" tint="-0.499984740745262"/>
      <name val="Times New Roman"/>
      <family val="1"/>
    </font>
    <font>
      <sz val="9"/>
      <color theme="1" tint="0.499984740745262"/>
      <name val="Times New Roman"/>
      <family val="1"/>
    </font>
    <font>
      <sz val="10"/>
      <color rgb="FF0BA549"/>
      <name val="Times New Roman"/>
      <family val="1"/>
    </font>
    <font>
      <sz val="10"/>
      <color rgb="FF7F7F7F"/>
      <name val="Times New Roman"/>
      <family val="1"/>
    </font>
    <font>
      <b/>
      <sz val="10"/>
      <color theme="0"/>
      <name val="Times New Roman"/>
      <family val="1"/>
    </font>
    <font>
      <b/>
      <u/>
      <sz val="12"/>
      <color indexed="8"/>
      <name val="Times New Roman"/>
      <family val="1"/>
    </font>
    <font>
      <b/>
      <u/>
      <sz val="20"/>
      <color rgb="FFFF0000"/>
      <name val="Times New Roman"/>
      <family val="1"/>
    </font>
    <font>
      <b/>
      <u/>
      <sz val="10.5"/>
      <color indexed="8"/>
      <name val="Times New Roman"/>
      <family val="1"/>
    </font>
    <font>
      <b/>
      <u/>
      <sz val="10.6"/>
      <color indexed="8"/>
      <name val="Times New Roman"/>
      <family val="1"/>
    </font>
    <font>
      <b/>
      <u/>
      <sz val="16"/>
      <color indexed="8"/>
      <name val="Times New Roman"/>
      <family val="1"/>
    </font>
    <font>
      <sz val="9"/>
      <color theme="0"/>
      <name val="Times New Roman"/>
      <family val="1"/>
    </font>
    <font>
      <b/>
      <u/>
      <sz val="10.6"/>
      <name val="Times New Roman"/>
      <family val="1"/>
    </font>
    <font>
      <b/>
      <u/>
      <sz val="11.5"/>
      <name val="Times New Roman"/>
      <family val="1"/>
    </font>
    <font>
      <sz val="11.5"/>
      <color indexed="8"/>
      <name val="Times New Roman"/>
      <family val="1"/>
    </font>
    <font>
      <u/>
      <sz val="11"/>
      <color indexed="10"/>
      <name val="Times New Roman"/>
      <family val="1"/>
    </font>
    <font>
      <sz val="10"/>
      <color rgb="FF969696"/>
      <name val="Times New Roman"/>
      <family val="1"/>
    </font>
    <font>
      <b/>
      <u/>
      <sz val="11.5"/>
      <color rgb="FF000000"/>
      <name val="Times New Roman"/>
      <family val="1"/>
    </font>
    <font>
      <sz val="10.5"/>
      <color rgb="FFFF0000"/>
      <name val="Times New Roman"/>
      <family val="1"/>
    </font>
    <font>
      <b/>
      <u/>
      <sz val="11"/>
      <color theme="0" tint="-0.499984740745262"/>
      <name val="Times New Roman"/>
      <family val="1"/>
    </font>
    <font>
      <b/>
      <u/>
      <sz val="11.5"/>
      <color rgb="FFFF0000"/>
      <name val="Times New Roman"/>
      <family val="1"/>
    </font>
    <font>
      <sz val="10"/>
      <color rgb="FF10A028"/>
      <name val="Times New Roman"/>
      <family val="1"/>
    </font>
    <font>
      <sz val="8"/>
      <color theme="0" tint="-0.1498764000366222"/>
      <name val="Times New Roman"/>
      <family val="1"/>
    </font>
    <font>
      <sz val="10"/>
      <color theme="0" tint="-0.1498764000366222"/>
      <name val="Times New Roman"/>
      <family val="1"/>
    </font>
    <font>
      <u/>
      <sz val="8"/>
      <color theme="0" tint="-4.9989318521683403E-2"/>
      <name val="Times New Roman"/>
      <family val="1"/>
    </font>
    <font>
      <sz val="8"/>
      <color theme="0" tint="-4.9989318521683403E-2"/>
      <name val="Times New Roman"/>
      <family val="1"/>
    </font>
    <font>
      <sz val="10"/>
      <color rgb="FFFFFFFF"/>
      <name val="Times New Roman"/>
      <family val="1"/>
    </font>
    <font>
      <sz val="8"/>
      <color indexed="63"/>
      <name val="Times New Roman"/>
      <family val="1"/>
    </font>
    <font>
      <b/>
      <u/>
      <sz val="48"/>
      <color indexed="20"/>
      <name val="Times New Roman"/>
      <family val="1"/>
    </font>
    <font>
      <u/>
      <sz val="12"/>
      <color rgb="FF800080"/>
      <name val="Times New Roman"/>
      <family val="1"/>
    </font>
    <font>
      <b/>
      <sz val="48"/>
      <color indexed="20"/>
      <name val="Times New Roman"/>
      <family val="1"/>
    </font>
    <font>
      <u/>
      <sz val="12"/>
      <color indexed="12"/>
      <name val="Times New Roman"/>
      <family val="1"/>
    </font>
    <font>
      <u/>
      <sz val="9"/>
      <color indexed="8"/>
      <name val="Times New Roman"/>
      <family val="1"/>
    </font>
    <font>
      <u/>
      <sz val="16"/>
      <color indexed="12"/>
      <name val="Times New Roman"/>
      <family val="1"/>
    </font>
    <font>
      <sz val="6"/>
      <name val="Times New Roman"/>
      <family val="1"/>
    </font>
    <font>
      <b/>
      <sz val="9"/>
      <color indexed="10"/>
      <name val="Times New Roman"/>
      <family val="1"/>
    </font>
    <font>
      <b/>
      <sz val="11"/>
      <color indexed="52"/>
      <name val="Calibri"/>
      <family val="2"/>
    </font>
    <font>
      <sz val="11"/>
      <color indexed="62"/>
      <name val="Calibri"/>
      <family val="2"/>
    </font>
    <font>
      <b/>
      <sz val="11"/>
      <color indexed="8"/>
      <name val="Calibri"/>
      <family val="2"/>
    </font>
    <font>
      <b/>
      <sz val="11"/>
      <color indexed="63"/>
      <name val="Calibri"/>
      <family val="2"/>
    </font>
    <font>
      <sz val="11"/>
      <color indexed="8"/>
      <name val="Calibri"/>
      <family val="2"/>
    </font>
    <font>
      <sz val="11"/>
      <color indexed="9"/>
      <name val="Calibri"/>
      <family val="2"/>
    </font>
    <font>
      <b/>
      <sz val="13"/>
      <color indexed="56"/>
      <name val="Calibri"/>
      <family val="2"/>
    </font>
    <font>
      <sz val="11"/>
      <name val="Calibri"/>
      <family val="2"/>
    </font>
    <font>
      <sz val="11"/>
      <color theme="1"/>
      <name val="Calibri"/>
      <family val="2"/>
      <scheme val="minor"/>
    </font>
    <font>
      <b/>
      <sz val="15"/>
      <color indexed="56"/>
      <name val="Calibri"/>
      <family val="2"/>
    </font>
    <font>
      <b/>
      <sz val="13"/>
      <color rgb="FF003366"/>
      <name val="Calibri"/>
      <family val="2"/>
    </font>
    <font>
      <sz val="11"/>
      <color indexed="20"/>
      <name val="Calibri"/>
      <family val="2"/>
    </font>
    <font>
      <b/>
      <sz val="18"/>
      <color indexed="56"/>
      <name val="Cambria"/>
      <family val="1"/>
    </font>
    <font>
      <u/>
      <sz val="11"/>
      <color theme="10"/>
      <name val="Calibri"/>
      <family val="2"/>
      <scheme val="minor"/>
    </font>
    <font>
      <i/>
      <sz val="11"/>
      <color indexed="23"/>
      <name val="Calibri"/>
      <family val="2"/>
    </font>
    <font>
      <b/>
      <sz val="11"/>
      <color indexed="56"/>
      <name val="Calibri"/>
      <family val="2"/>
    </font>
    <font>
      <sz val="11"/>
      <color indexed="17"/>
      <name val="Calibri"/>
      <family val="2"/>
    </font>
    <font>
      <sz val="11"/>
      <color indexed="10"/>
      <name val="Calibri"/>
      <family val="2"/>
    </font>
    <font>
      <u/>
      <sz val="11"/>
      <color rgb="FF0000FF"/>
      <name val="Times New Roman"/>
      <family val="1"/>
    </font>
    <font>
      <sz val="11"/>
      <color indexed="60"/>
      <name val="Calibri"/>
      <family val="2"/>
    </font>
    <font>
      <b/>
      <sz val="11"/>
      <color indexed="9"/>
      <name val="Calibri"/>
      <family val="2"/>
    </font>
    <font>
      <b/>
      <sz val="15"/>
      <color rgb="FF003366"/>
      <name val="Calibri"/>
      <family val="2"/>
    </font>
    <font>
      <sz val="11"/>
      <color indexed="52"/>
      <name val="Calibri"/>
      <family val="2"/>
    </font>
    <font>
      <sz val="11"/>
      <color indexed="8"/>
      <name val="Book Antiqua"/>
      <family val="1"/>
    </font>
    <font>
      <b/>
      <sz val="8"/>
      <name val="Times New Roman"/>
      <family val="1"/>
    </font>
    <font>
      <b/>
      <sz val="7"/>
      <color indexed="8"/>
      <name val="Times New Roman"/>
      <family val="1"/>
    </font>
    <font>
      <sz val="12"/>
      <color theme="1"/>
      <name val="Times New Roman"/>
      <family val="1"/>
    </font>
    <font>
      <sz val="12"/>
      <color theme="0" tint="-0.499984740745262"/>
      <name val="Times New Roman"/>
      <family val="1"/>
    </font>
    <font>
      <sz val="11"/>
      <color rgb="FFFFFF99"/>
      <name val="Times New Roman"/>
      <family val="1"/>
    </font>
    <font>
      <vertAlign val="subscript"/>
      <sz val="12"/>
      <color indexed="8"/>
      <name val="Times New Roman"/>
      <family val="1"/>
    </font>
    <font>
      <b/>
      <u/>
      <sz val="10"/>
      <color indexed="8"/>
      <name val="Microsoft YaHei UI"/>
      <family val="2"/>
    </font>
    <font>
      <sz val="10"/>
      <color theme="6" tint="-0.499984740745262"/>
      <name val="Times New Roman"/>
      <family val="1"/>
    </font>
    <font>
      <b/>
      <sz val="18"/>
      <color indexed="8"/>
      <name val="Times New Roman"/>
      <family val="1"/>
    </font>
    <font>
      <sz val="9"/>
      <color rgb="FF3366FF"/>
      <name val="Times New Roman"/>
      <family val="1"/>
    </font>
    <font>
      <sz val="8"/>
      <color rgb="FF000000"/>
      <name val="Times New Roman"/>
      <family val="1"/>
    </font>
    <font>
      <b/>
      <sz val="9"/>
      <color rgb="FFCC00FF"/>
      <name val="Times New Roman"/>
      <family val="1"/>
    </font>
    <font>
      <b/>
      <sz val="9"/>
      <color rgb="FFC00000"/>
      <name val="Times New Roman"/>
      <family val="1"/>
    </font>
    <font>
      <b/>
      <sz val="9"/>
      <color rgb="FFFF33CC"/>
      <name val="Times New Roman"/>
      <family val="1"/>
    </font>
    <font>
      <sz val="10"/>
      <color indexed="54"/>
      <name val="Times New Roman"/>
      <family val="1"/>
    </font>
    <font>
      <sz val="10"/>
      <color indexed="20"/>
      <name val="Times New Roman"/>
      <family val="1"/>
    </font>
    <font>
      <b/>
      <u val="double"/>
      <sz val="24"/>
      <color indexed="8"/>
      <name val="Times New Roman"/>
      <family val="1"/>
    </font>
    <font>
      <u/>
      <sz val="10"/>
      <color indexed="10"/>
      <name val="Times New Roman"/>
      <family val="1"/>
    </font>
    <font>
      <sz val="8"/>
      <color theme="1" tint="0.34998626667073579"/>
      <name val="Times New Roman"/>
      <family val="1"/>
    </font>
    <font>
      <sz val="10"/>
      <color rgb="FF800080"/>
      <name val="Times New Roman"/>
      <family val="1"/>
    </font>
    <font>
      <b/>
      <sz val="10"/>
      <color theme="3" tint="0.39985351115451523"/>
      <name val="Times New Roman"/>
      <family val="1"/>
    </font>
    <font>
      <b/>
      <sz val="10"/>
      <color indexed="48"/>
      <name val="Times New Roman"/>
      <family val="1"/>
    </font>
    <font>
      <sz val="10"/>
      <color rgb="FF339966"/>
      <name val="Times New Roman"/>
      <family val="1"/>
    </font>
    <font>
      <b/>
      <sz val="10.5"/>
      <color indexed="8"/>
      <name val="Times New Roman"/>
      <family val="1"/>
    </font>
    <font>
      <u/>
      <sz val="10"/>
      <color rgb="FFFF0000"/>
      <name val="Times New Roman"/>
      <family val="1"/>
    </font>
    <font>
      <sz val="12"/>
      <color rgb="FF7F7F7F"/>
      <name val="Times New Roman"/>
      <family val="1"/>
    </font>
    <font>
      <b/>
      <sz val="11"/>
      <color rgb="FFFF00FF"/>
      <name val="Times New Roman"/>
      <family val="1"/>
    </font>
    <font>
      <b/>
      <u/>
      <sz val="11.5"/>
      <color rgb="FF7030A0"/>
      <name val="Times New Roman"/>
      <family val="1"/>
    </font>
    <font>
      <sz val="10"/>
      <color theme="0" tint="-4.9989318521683403E-2"/>
      <name val="Calibri"/>
      <family val="2"/>
    </font>
    <font>
      <b/>
      <sz val="11.5"/>
      <color indexed="8"/>
      <name val="Times New Roman"/>
      <family val="1"/>
    </font>
    <font>
      <sz val="11"/>
      <color indexed="8"/>
      <name val="Times New Roman"/>
      <family val="1"/>
    </font>
    <font>
      <b/>
      <sz val="10"/>
      <color rgb="FF000000"/>
      <name val="Times New Roman"/>
      <family val="1"/>
    </font>
    <font>
      <u/>
      <sz val="10"/>
      <color rgb="FF0000FF"/>
      <name val="Times New Roman"/>
      <family val="1"/>
    </font>
    <font>
      <sz val="10"/>
      <color rgb="FF000000"/>
      <name val="Arial"/>
      <family val="2"/>
    </font>
    <font>
      <sz val="8"/>
      <color rgb="FFBFBFBF"/>
      <name val="Times New Roman"/>
      <family val="1"/>
    </font>
    <font>
      <b/>
      <sz val="10"/>
      <color rgb="FF7F7F7F"/>
      <name val="Times New Roman"/>
      <family val="1"/>
    </font>
    <font>
      <b/>
      <sz val="10"/>
      <color rgb="FF808080"/>
      <name val="Times New Roman"/>
      <family val="1"/>
    </font>
    <font>
      <sz val="11"/>
      <color rgb="FF000000"/>
      <name val="Times New Roman"/>
      <family val="1"/>
    </font>
    <font>
      <sz val="9"/>
      <color rgb="FF000000"/>
      <name val="Times New Roman"/>
      <family val="1"/>
    </font>
    <font>
      <b/>
      <u/>
      <sz val="14"/>
      <color rgb="FF000000"/>
      <name val="Times New Roman"/>
      <family val="1"/>
    </font>
    <font>
      <b/>
      <u/>
      <sz val="10"/>
      <color rgb="FF000000"/>
      <name val="Times New Roman"/>
      <family val="1"/>
    </font>
    <font>
      <u/>
      <sz val="11"/>
      <color rgb="FF800080"/>
      <name val="Times New Roman"/>
      <family val="1"/>
    </font>
    <font>
      <i/>
      <sz val="10"/>
      <color theme="0" tint="-0.499984740745262"/>
      <name val="Times New Roman"/>
      <family val="1"/>
    </font>
    <font>
      <b/>
      <sz val="11"/>
      <color rgb="FFCC00FF"/>
      <name val="Times New Roman"/>
      <family val="1"/>
    </font>
    <font>
      <sz val="11"/>
      <color theme="7" tint="-0.249977111117893"/>
      <name val="Times New Roman"/>
      <family val="1"/>
    </font>
    <font>
      <u/>
      <sz val="13"/>
      <color indexed="8"/>
      <name val="Times New Roman"/>
      <family val="1"/>
    </font>
    <font>
      <u/>
      <sz val="18"/>
      <color indexed="8"/>
      <name val="Times New Roman"/>
      <family val="1"/>
    </font>
    <font>
      <sz val="12"/>
      <color rgb="FF000000"/>
      <name val="Times New Roman"/>
      <family val="1"/>
    </font>
    <font>
      <b/>
      <u/>
      <sz val="5"/>
      <name val="Times New Roman"/>
      <family val="1"/>
    </font>
    <font>
      <b/>
      <sz val="16"/>
      <color indexed="8"/>
      <name val="Times New Roman"/>
      <family val="1"/>
    </font>
    <font>
      <sz val="8"/>
      <color theme="0"/>
      <name val="Times New Roman"/>
      <family val="1"/>
    </font>
    <font>
      <sz val="8"/>
      <color theme="0"/>
      <name val="Arial Unicode MS"/>
      <family val="2"/>
    </font>
    <font>
      <u/>
      <sz val="11"/>
      <name val="Times New Roman"/>
      <family val="1"/>
    </font>
    <font>
      <b/>
      <sz val="11"/>
      <color rgb="FF000000"/>
      <name val="Times New Roman"/>
      <family val="1"/>
    </font>
    <font>
      <sz val="11"/>
      <color theme="0" tint="-0.34998626667073579"/>
      <name val="Times New Roman"/>
      <family val="1"/>
    </font>
    <font>
      <u/>
      <sz val="12"/>
      <name val="Times New Roman"/>
      <family val="1"/>
    </font>
    <font>
      <b/>
      <sz val="10"/>
      <color theme="8" tint="-0.499984740745262"/>
      <name val="Times New Roman"/>
      <family val="1"/>
    </font>
    <font>
      <u/>
      <sz val="10"/>
      <color rgb="FFCC00FF"/>
      <name val="Times New Roman"/>
      <family val="1"/>
    </font>
    <font>
      <sz val="11"/>
      <color theme="2" tint="-0.89999084444715716"/>
      <name val="Times New Roman"/>
      <family val="1"/>
    </font>
    <font>
      <b/>
      <sz val="11"/>
      <color theme="2" tint="-0.89999084444715716"/>
      <name val="Times New Roman"/>
      <family val="1"/>
    </font>
    <font>
      <b/>
      <u/>
      <sz val="12"/>
      <color rgb="FF000000"/>
      <name val="Times New Roman"/>
      <family val="1"/>
    </font>
    <font>
      <b/>
      <sz val="9"/>
      <color rgb="FF000000"/>
      <name val="Times New Roman"/>
      <family val="1"/>
    </font>
    <font>
      <b/>
      <u/>
      <sz val="9"/>
      <color indexed="8"/>
      <name val="Times New Roman"/>
      <family val="1"/>
    </font>
    <font>
      <sz val="11"/>
      <color indexed="12"/>
      <name val="Times New Roman"/>
      <family val="1"/>
    </font>
    <font>
      <b/>
      <u val="double"/>
      <sz val="28"/>
      <color indexed="8"/>
      <name val="Times New Roman"/>
      <family val="1"/>
    </font>
    <font>
      <sz val="9"/>
      <color rgb="FFC0C0C0"/>
      <name val="Times New Roman"/>
      <family val="1"/>
    </font>
    <font>
      <sz val="9"/>
      <color indexed="12"/>
      <name val="Times New Roman"/>
      <family val="1"/>
    </font>
    <font>
      <sz val="9"/>
      <color rgb="FF800080"/>
      <name val="Times New Roman"/>
      <family val="1"/>
    </font>
    <font>
      <u val="double"/>
      <sz val="11"/>
      <color indexed="8"/>
      <name val="Times New Roman"/>
      <family val="1"/>
    </font>
    <font>
      <b/>
      <u val="double"/>
      <sz val="30"/>
      <color rgb="FF000000"/>
      <name val="Times New Roman"/>
      <family val="1"/>
    </font>
    <font>
      <b/>
      <u val="double"/>
      <sz val="36"/>
      <color rgb="FF000000"/>
      <name val="Times New Roman"/>
      <family val="1"/>
    </font>
    <font>
      <b/>
      <u val="double"/>
      <sz val="36"/>
      <color indexed="8"/>
      <name val="Times New Roman"/>
      <family val="1"/>
    </font>
    <font>
      <u/>
      <sz val="10"/>
      <color rgb="FF000000"/>
      <name val="Times New Roman"/>
      <family val="1"/>
    </font>
    <font>
      <sz val="10"/>
      <color rgb="FFFFFF00"/>
      <name val="Times New Roman"/>
      <family val="1"/>
    </font>
    <font>
      <u/>
      <sz val="10"/>
      <color theme="0"/>
      <name val="Times New Roman"/>
      <family val="1"/>
    </font>
    <font>
      <b/>
      <sz val="5"/>
      <color theme="0" tint="-4.9989318521683403E-2"/>
      <name val="Times New Roman"/>
      <family val="1"/>
    </font>
    <font>
      <b/>
      <i/>
      <u/>
      <sz val="9"/>
      <color theme="0" tint="-4.9989318521683403E-2"/>
      <name val="Times New Roman"/>
      <family val="1"/>
    </font>
    <font>
      <b/>
      <u val="double"/>
      <sz val="28"/>
      <color rgb="FF000000"/>
      <name val="Times New Roman"/>
      <family val="1"/>
    </font>
    <font>
      <b/>
      <sz val="28"/>
      <color indexed="8"/>
      <name val="Times New Roman"/>
      <family val="1"/>
    </font>
    <font>
      <b/>
      <sz val="36"/>
      <color indexed="8"/>
      <name val="Times New Roman"/>
      <family val="1"/>
    </font>
    <font>
      <b/>
      <i/>
      <sz val="16"/>
      <color indexed="10"/>
      <name val="Times New Roman"/>
      <family val="1"/>
    </font>
    <font>
      <sz val="7"/>
      <color theme="0" tint="-0.499984740745262"/>
      <name val="Times New Roman"/>
      <family val="1"/>
    </font>
  </fonts>
  <fills count="98">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indexed="65"/>
        <bgColor indexed="26"/>
      </patternFill>
    </fill>
    <fill>
      <patternFill patternType="solid">
        <fgColor indexed="43"/>
        <bgColor indexed="26"/>
      </patternFill>
    </fill>
    <fill>
      <patternFill patternType="solid">
        <fgColor indexed="15"/>
        <bgColor indexed="15"/>
      </patternFill>
    </fill>
    <fill>
      <patternFill patternType="solid">
        <fgColor theme="0" tint="-4.9989318521683403E-2"/>
        <bgColor indexed="64"/>
      </patternFill>
    </fill>
    <fill>
      <patternFill patternType="solid">
        <fgColor theme="0"/>
        <bgColor indexed="22"/>
      </patternFill>
    </fill>
    <fill>
      <patternFill patternType="solid">
        <fgColor indexed="65"/>
        <bgColor indexed="64"/>
      </patternFill>
    </fill>
    <fill>
      <patternFill patternType="solid">
        <fgColor rgb="FF00FFFF"/>
        <bgColor indexed="15"/>
      </patternFill>
    </fill>
    <fill>
      <patternFill patternType="solid">
        <fgColor rgb="FF00FFFF"/>
        <bgColor indexed="64"/>
      </patternFill>
    </fill>
    <fill>
      <patternFill patternType="solid">
        <fgColor rgb="FFFFFF99"/>
        <bgColor indexed="64"/>
      </patternFill>
    </fill>
    <fill>
      <patternFill patternType="solid">
        <fgColor rgb="FFFFFF99"/>
        <bgColor indexed="26"/>
      </patternFill>
    </fill>
    <fill>
      <patternFill patternType="solid">
        <fgColor indexed="9"/>
        <bgColor indexed="64"/>
      </patternFill>
    </fill>
    <fill>
      <patternFill patternType="solid">
        <fgColor rgb="FFFFFFFF"/>
        <bgColor indexed="64"/>
      </patternFill>
    </fill>
    <fill>
      <patternFill patternType="solid">
        <fgColor theme="7" tint="0.79985961485641044"/>
        <bgColor indexed="64"/>
      </patternFill>
    </fill>
    <fill>
      <patternFill patternType="solid">
        <fgColor theme="0"/>
        <bgColor indexed="60"/>
      </patternFill>
    </fill>
    <fill>
      <patternFill patternType="solid">
        <fgColor indexed="43"/>
        <bgColor indexed="64"/>
      </patternFill>
    </fill>
    <fill>
      <patternFill patternType="solid">
        <fgColor indexed="47"/>
        <bgColor indexed="22"/>
      </patternFill>
    </fill>
    <fill>
      <patternFill patternType="solid">
        <fgColor rgb="FFFFFFCC"/>
        <bgColor indexed="26"/>
      </patternFill>
    </fill>
    <fill>
      <patternFill patternType="solid">
        <fgColor theme="0" tint="-4.9989318521683403E-2"/>
        <bgColor indexed="26"/>
      </patternFill>
    </fill>
    <fill>
      <patternFill patternType="solid">
        <fgColor rgb="FFFFFFCC"/>
        <bgColor indexed="64"/>
      </patternFill>
    </fill>
    <fill>
      <patternFill patternType="solid">
        <fgColor indexed="9"/>
        <bgColor indexed="26"/>
      </patternFill>
    </fill>
    <fill>
      <patternFill patternType="solid">
        <fgColor indexed="45"/>
        <bgColor indexed="29"/>
      </patternFill>
    </fill>
    <fill>
      <patternFill patternType="solid">
        <fgColor indexed="52"/>
        <bgColor indexed="51"/>
      </patternFill>
    </fill>
    <fill>
      <patternFill patternType="solid">
        <fgColor indexed="27"/>
        <bgColor indexed="27"/>
      </patternFill>
    </fill>
    <fill>
      <patternFill patternType="solid">
        <fgColor theme="0"/>
        <bgColor indexed="31"/>
      </patternFill>
    </fill>
    <fill>
      <patternFill patternType="solid">
        <fgColor rgb="FFCCFFFF"/>
        <bgColor indexed="27"/>
      </patternFill>
    </fill>
    <fill>
      <patternFill patternType="solid">
        <fgColor rgb="FFCCFFFF"/>
        <bgColor indexed="26"/>
      </patternFill>
    </fill>
    <fill>
      <patternFill patternType="solid">
        <fgColor rgb="FFCCFFFF"/>
        <bgColor indexed="64"/>
      </patternFill>
    </fill>
    <fill>
      <patternFill patternType="solid">
        <fgColor rgb="FFFFFF99"/>
        <bgColor rgb="FFFFFBF7"/>
      </patternFill>
    </fill>
    <fill>
      <patternFill patternType="solid">
        <fgColor rgb="FFFFFBF7"/>
        <bgColor indexed="26"/>
      </patternFill>
    </fill>
    <fill>
      <patternFill patternType="solid">
        <fgColor rgb="FFF7FEFF"/>
        <bgColor indexed="64"/>
      </patternFill>
    </fill>
    <fill>
      <patternFill patternType="solid">
        <fgColor rgb="FFF7FEFF"/>
        <bgColor indexed="26"/>
      </patternFill>
    </fill>
    <fill>
      <patternFill patternType="solid">
        <fgColor rgb="FFFFC000"/>
        <bgColor indexed="64"/>
      </patternFill>
    </fill>
    <fill>
      <patternFill patternType="solid">
        <fgColor theme="0"/>
        <bgColor rgb="FFF7FEFF"/>
      </patternFill>
    </fill>
    <fill>
      <patternFill patternType="solid">
        <fgColor rgb="FFFFFBF7"/>
        <bgColor indexed="31"/>
      </patternFill>
    </fill>
    <fill>
      <patternFill patternType="solid">
        <fgColor theme="0" tint="-4.9989318521683403E-2"/>
        <bgColor indexed="31"/>
      </patternFill>
    </fill>
    <fill>
      <patternFill patternType="solid">
        <fgColor rgb="FFCCFFFF"/>
        <bgColor indexed="31"/>
      </patternFill>
    </fill>
    <fill>
      <patternFill patternType="solid">
        <fgColor rgb="FFF7FEFF"/>
        <bgColor indexed="27"/>
      </patternFill>
    </fill>
    <fill>
      <patternFill patternType="solid">
        <fgColor rgb="FFFFFF99"/>
        <bgColor indexed="27"/>
      </patternFill>
    </fill>
    <fill>
      <patternFill patternType="solid">
        <fgColor rgb="FFFFCC99"/>
        <bgColor indexed="22"/>
      </patternFill>
    </fill>
    <fill>
      <patternFill patternType="solid">
        <fgColor theme="5" tint="0.59999389629810485"/>
        <bgColor indexed="64"/>
      </patternFill>
    </fill>
    <fill>
      <patternFill patternType="solid">
        <fgColor rgb="FFFFCC99"/>
        <bgColor indexed="51"/>
      </patternFill>
    </fill>
    <fill>
      <patternFill patternType="solid">
        <fgColor indexed="41"/>
        <bgColor indexed="26"/>
      </patternFill>
    </fill>
    <fill>
      <patternFill patternType="solid">
        <fgColor rgb="FFFDF7DF"/>
        <bgColor indexed="26"/>
      </patternFill>
    </fill>
    <fill>
      <patternFill patternType="solid">
        <fgColor rgb="FFFDF7DF"/>
        <bgColor indexed="64"/>
      </patternFill>
    </fill>
    <fill>
      <patternFill patternType="solid">
        <fgColor theme="0" tint="-0.1498764000366222"/>
        <bgColor indexed="64"/>
      </patternFill>
    </fill>
    <fill>
      <patternFill patternType="solid">
        <fgColor rgb="FFFFFF00"/>
        <bgColor indexed="64"/>
      </patternFill>
    </fill>
    <fill>
      <patternFill patternType="solid">
        <fgColor rgb="FFFFFFFF"/>
        <bgColor rgb="FFFFFFFF"/>
      </patternFill>
    </fill>
    <fill>
      <patternFill patternType="solid">
        <fgColor theme="0"/>
        <bgColor indexed="8"/>
      </patternFill>
    </fill>
    <fill>
      <patternFill patternType="solid">
        <fgColor rgb="FFFFFF99"/>
        <bgColor rgb="FFFFFFFF"/>
      </patternFill>
    </fill>
    <fill>
      <patternFill patternType="solid">
        <fgColor rgb="FFCCFFFF"/>
        <bgColor rgb="FFFFFFFF"/>
      </patternFill>
    </fill>
    <fill>
      <patternFill patternType="solid">
        <fgColor indexed="41"/>
        <bgColor indexed="64"/>
      </patternFill>
    </fill>
    <fill>
      <patternFill patternType="solid">
        <fgColor indexed="27"/>
        <bgColor indexed="64"/>
      </patternFill>
    </fill>
    <fill>
      <patternFill patternType="solid">
        <fgColor indexed="11"/>
        <bgColor indexed="64"/>
      </patternFill>
    </fill>
    <fill>
      <patternFill patternType="solid">
        <fgColor rgb="FF00FF00"/>
        <bgColor rgb="FFFFFFFF"/>
      </patternFill>
    </fill>
    <fill>
      <patternFill patternType="solid">
        <fgColor indexed="51"/>
        <bgColor indexed="64"/>
      </patternFill>
    </fill>
    <fill>
      <patternFill patternType="solid">
        <fgColor rgb="FFFFCC00"/>
        <bgColor rgb="FFFFFFFF"/>
      </patternFill>
    </fill>
    <fill>
      <patternFill patternType="solid">
        <fgColor indexed="10"/>
        <bgColor indexed="64"/>
      </patternFill>
    </fill>
    <fill>
      <patternFill patternType="solid">
        <fgColor rgb="FFFF0000"/>
        <bgColor rgb="FFFFFFFF"/>
      </patternFill>
    </fill>
    <fill>
      <patternFill patternType="solid">
        <fgColor theme="0"/>
        <bgColor indexed="52"/>
      </patternFill>
    </fill>
    <fill>
      <patternFill patternType="solid">
        <fgColor theme="0"/>
        <bgColor rgb="FFFFFFFF"/>
      </patternFill>
    </fill>
    <fill>
      <patternFill patternType="solid">
        <fgColor rgb="FFFFFFFF"/>
        <bgColor indexed="26"/>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51"/>
        <bgColor indexed="13"/>
      </patternFill>
    </fill>
    <fill>
      <patternFill patternType="solid">
        <fgColor indexed="20"/>
        <bgColor indexed="64"/>
      </patternFill>
    </fill>
    <fill>
      <patternFill patternType="solid">
        <fgColor rgb="FFFF8080"/>
        <bgColor rgb="FFFFFFFF"/>
      </patternFill>
    </fill>
    <fill>
      <patternFill patternType="solid">
        <fgColor rgb="FFCCFFCC"/>
        <bgColor rgb="FFFFFFFF"/>
      </patternFill>
    </fill>
    <fill>
      <patternFill patternType="solid">
        <fgColor indexed="31"/>
        <bgColor indexed="64"/>
      </patternFill>
    </fill>
    <fill>
      <patternFill patternType="solid">
        <fgColor indexed="29"/>
        <bgColor indexed="64"/>
      </patternFill>
    </fill>
    <fill>
      <patternFill patternType="solid">
        <fgColor indexed="49"/>
        <bgColor indexed="64"/>
      </patternFill>
    </fill>
    <fill>
      <patternFill patternType="solid">
        <fgColor indexed="42"/>
        <bgColor indexed="64"/>
      </patternFill>
    </fill>
    <fill>
      <patternFill patternType="solid">
        <fgColor indexed="31"/>
        <bgColor indexed="22"/>
      </patternFill>
    </fill>
    <fill>
      <patternFill patternType="solid">
        <fgColor indexed="45"/>
        <bgColor indexed="64"/>
      </patternFill>
    </fill>
    <fill>
      <patternFill patternType="solid">
        <fgColor indexed="62"/>
        <bgColor indexed="64"/>
      </patternFill>
    </fill>
    <fill>
      <patternFill patternType="solid">
        <fgColor rgb="FF99CCFF"/>
        <bgColor rgb="FFFFFFFF"/>
      </patternFill>
    </fill>
    <fill>
      <patternFill patternType="solid">
        <fgColor indexed="46"/>
        <bgColor indexed="64"/>
      </patternFill>
    </fill>
    <fill>
      <patternFill patternType="solid">
        <fgColor indexed="44"/>
        <bgColor indexed="31"/>
      </patternFill>
    </fill>
    <fill>
      <patternFill patternType="solid">
        <fgColor indexed="44"/>
        <bgColor indexed="64"/>
      </patternFill>
    </fill>
    <fill>
      <patternFill patternType="solid">
        <fgColor indexed="42"/>
        <bgColor indexed="27"/>
      </patternFill>
    </fill>
    <fill>
      <patternFill patternType="solid">
        <fgColor indexed="29"/>
        <bgColor indexed="45"/>
      </patternFill>
    </fill>
    <fill>
      <patternFill patternType="solid">
        <fgColor rgb="FFCC99FF"/>
        <bgColor rgb="FFFFFFFF"/>
      </patternFill>
    </fill>
    <fill>
      <patternFill patternType="solid">
        <fgColor indexed="46"/>
        <bgColor indexed="24"/>
      </patternFill>
    </fill>
    <fill>
      <patternFill patternType="solid">
        <fgColor indexed="57"/>
        <bgColor indexed="64"/>
      </patternFill>
    </fill>
    <fill>
      <patternFill patternType="solid">
        <fgColor rgb="FFCCCCFF"/>
        <bgColor rgb="FFFFFFFF"/>
      </patternFill>
    </fill>
    <fill>
      <patternFill patternType="solid">
        <fgColor rgb="FFFFCC99"/>
        <bgColor rgb="FFFFFFFF"/>
      </patternFill>
    </fill>
    <fill>
      <patternFill patternType="solid">
        <fgColor rgb="FFFF99CC"/>
        <bgColor rgb="FFFFFFFF"/>
      </patternFill>
    </fill>
    <fill>
      <patternFill patternType="solid">
        <fgColor indexed="53"/>
        <bgColor indexed="64"/>
      </patternFill>
    </fill>
    <fill>
      <patternFill patternType="solid">
        <fgColor indexed="11"/>
        <bgColor indexed="49"/>
      </patternFill>
    </fill>
    <fill>
      <patternFill patternType="solid">
        <fgColor indexed="52"/>
        <bgColor indexed="64"/>
      </patternFill>
    </fill>
    <fill>
      <patternFill patternType="solid">
        <fgColor indexed="30"/>
        <bgColor indexed="64"/>
      </patternFill>
    </fill>
    <fill>
      <patternFill patternType="solid">
        <fgColor indexed="55"/>
        <bgColor indexed="64"/>
      </patternFill>
    </fill>
    <fill>
      <patternFill patternType="solid">
        <fgColor rgb="FFF2F2F2"/>
        <bgColor indexed="64"/>
      </patternFill>
    </fill>
    <fill>
      <patternFill patternType="solid">
        <fgColor rgb="FFF2F2F2"/>
        <bgColor rgb="FFFFFFFF"/>
      </patternFill>
    </fill>
  </fills>
  <borders count="531">
    <border>
      <left/>
      <right/>
      <top/>
      <bottom/>
      <diagonal/>
    </border>
    <border>
      <left style="thin">
        <color auto="1"/>
      </left>
      <right/>
      <top style="thin">
        <color theme="0" tint="-0.1498458815271462"/>
      </top>
      <bottom style="thin">
        <color theme="0" tint="-0.1498458815271462"/>
      </bottom>
      <diagonal/>
    </border>
    <border>
      <left style="thin">
        <color theme="0" tint="-0.1498458815271462"/>
      </left>
      <right style="thin">
        <color auto="1"/>
      </right>
      <top style="thin">
        <color theme="0" tint="-0.1498458815271462"/>
      </top>
      <bottom style="thin">
        <color theme="0" tint="-0.1498458815271462"/>
      </bottom>
      <diagonal/>
    </border>
    <border>
      <left style="thin">
        <color auto="1"/>
      </left>
      <right/>
      <top style="thin">
        <color theme="0" tint="-0.499984740745262"/>
      </top>
      <bottom/>
      <diagonal/>
    </border>
    <border>
      <left/>
      <right/>
      <top style="thin">
        <color theme="0" tint="-0.499984740745262"/>
      </top>
      <bottom/>
      <diagonal/>
    </border>
    <border>
      <left style="thin">
        <color auto="1"/>
      </left>
      <right/>
      <top/>
      <bottom style="thin">
        <color theme="0" tint="-0.499984740745262"/>
      </bottom>
      <diagonal/>
    </border>
    <border>
      <left/>
      <right/>
      <top/>
      <bottom style="thin">
        <color theme="0" tint="-0.499984740745262"/>
      </bottom>
      <diagonal/>
    </border>
    <border>
      <left style="thin">
        <color auto="1"/>
      </left>
      <right/>
      <top/>
      <bottom style="thin">
        <color theme="0" tint="-0.34998626667073579"/>
      </bottom>
      <diagonal/>
    </border>
    <border>
      <left/>
      <right/>
      <top/>
      <bottom style="thin">
        <color theme="0" tint="-0.34998626667073579"/>
      </bottom>
      <diagonal/>
    </border>
    <border>
      <left style="thin">
        <color auto="1"/>
      </left>
      <right/>
      <top style="thin">
        <color theme="0" tint="-0.1498458815271462"/>
      </top>
      <bottom/>
      <diagonal/>
    </border>
    <border>
      <left style="thin">
        <color theme="0" tint="-0.1498458815271462"/>
      </left>
      <right style="thin">
        <color auto="1"/>
      </right>
      <top style="thin">
        <color theme="0" tint="-0.1498458815271462"/>
      </top>
      <bottom/>
      <diagonal/>
    </border>
    <border>
      <left style="thin">
        <color auto="1"/>
      </left>
      <right/>
      <top style="thin">
        <color theme="0" tint="-0.499984740745262"/>
      </top>
      <bottom style="thin">
        <color theme="0" tint="-0.1498458815271462"/>
      </bottom>
      <diagonal/>
    </border>
    <border>
      <left style="thin">
        <color theme="0" tint="-0.1498458815271462"/>
      </left>
      <right style="thin">
        <color auto="1"/>
      </right>
      <top style="thin">
        <color theme="0" tint="-0.499984740745262"/>
      </top>
      <bottom style="thin">
        <color theme="0" tint="-0.1498458815271462"/>
      </bottom>
      <diagonal/>
    </border>
    <border>
      <left style="thin">
        <color auto="1"/>
      </left>
      <right/>
      <top style="thin">
        <color theme="0" tint="-0.1498458815271462"/>
      </top>
      <bottom style="thin">
        <color theme="0" tint="-0.499984740745262"/>
      </bottom>
      <diagonal/>
    </border>
    <border>
      <left style="thin">
        <color theme="0" tint="-0.1498458815271462"/>
      </left>
      <right style="thin">
        <color auto="1"/>
      </right>
      <top style="thin">
        <color theme="0" tint="-0.1498458815271462"/>
      </top>
      <bottom style="thin">
        <color theme="0" tint="-0.499984740745262"/>
      </bottom>
      <diagonal/>
    </border>
    <border>
      <left style="thin">
        <color auto="1"/>
      </left>
      <right/>
      <top/>
      <bottom style="thin">
        <color theme="0" tint="-0.1498458815271462"/>
      </bottom>
      <diagonal/>
    </border>
    <border>
      <left style="thin">
        <color theme="0" tint="-0.1498458815271462"/>
      </left>
      <right style="thin">
        <color auto="1"/>
      </right>
      <top/>
      <bottom style="thin">
        <color theme="0" tint="-0.1498458815271462"/>
      </bottom>
      <diagonal/>
    </border>
    <border>
      <left/>
      <right/>
      <top/>
      <bottom style="thin">
        <color auto="1"/>
      </bottom>
      <diagonal/>
    </border>
    <border>
      <left/>
      <right style="thin">
        <color auto="1"/>
      </right>
      <top/>
      <bottom/>
      <diagonal/>
    </border>
    <border>
      <left style="thin">
        <color theme="0" tint="-0.14981536301767021"/>
      </left>
      <right style="thin">
        <color auto="1"/>
      </right>
      <top style="thin">
        <color theme="0" tint="-0.1498458815271462"/>
      </top>
      <bottom style="thin">
        <color theme="0" tint="-0.1498458815271462"/>
      </bottom>
      <diagonal/>
    </border>
    <border>
      <left/>
      <right style="thin">
        <color auto="1"/>
      </right>
      <top style="thin">
        <color theme="0" tint="-0.499984740745262"/>
      </top>
      <bottom/>
      <diagonal/>
    </border>
    <border>
      <left/>
      <right style="thin">
        <color auto="1"/>
      </right>
      <top/>
      <bottom style="thin">
        <color theme="0" tint="-0.499984740745262"/>
      </bottom>
      <diagonal/>
    </border>
    <border>
      <left/>
      <right style="thin">
        <color auto="1"/>
      </right>
      <top/>
      <bottom style="thin">
        <color theme="0" tint="-0.34998626667073579"/>
      </bottom>
      <diagonal/>
    </border>
    <border>
      <left style="thin">
        <color theme="0" tint="-0.14981536301767021"/>
      </left>
      <right style="thin">
        <color auto="1"/>
      </right>
      <top style="thin">
        <color theme="0" tint="-0.1498458815271462"/>
      </top>
      <bottom/>
      <diagonal/>
    </border>
    <border>
      <left style="thin">
        <color theme="0" tint="-0.14981536301767021"/>
      </left>
      <right style="thin">
        <color auto="1"/>
      </right>
      <top style="thin">
        <color theme="0" tint="-0.499984740745262"/>
      </top>
      <bottom style="thin">
        <color theme="0" tint="-0.1498458815271462"/>
      </bottom>
      <diagonal/>
    </border>
    <border>
      <left style="thin">
        <color theme="0" tint="-0.14981536301767021"/>
      </left>
      <right style="thin">
        <color auto="1"/>
      </right>
      <top style="thin">
        <color theme="0" tint="-0.1498458815271462"/>
      </top>
      <bottom style="thin">
        <color theme="0" tint="-0.499984740745262"/>
      </bottom>
      <diagonal/>
    </border>
    <border>
      <left style="thin">
        <color theme="0" tint="-0.14981536301767021"/>
      </left>
      <right style="thin">
        <color auto="1"/>
      </right>
      <top/>
      <bottom style="thin">
        <color theme="0" tint="-0.1498458815271462"/>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indexed="22"/>
      </left>
      <right style="thin">
        <color indexed="22"/>
      </right>
      <top style="thin">
        <color indexed="22"/>
      </top>
      <bottom style="thin">
        <color indexed="22"/>
      </bottom>
      <diagonal/>
    </border>
    <border>
      <left/>
      <right style="thin">
        <color theme="0" tint="-0.1498764000366222"/>
      </right>
      <top/>
      <bottom/>
      <diagonal/>
    </border>
    <border>
      <left style="thin">
        <color theme="0" tint="-0.1498458815271462"/>
      </left>
      <right style="thin">
        <color theme="0" tint="-0.1498458815271462"/>
      </right>
      <top style="thin">
        <color theme="0" tint="-0.1498764000366222"/>
      </top>
      <bottom/>
      <diagonal/>
    </border>
    <border>
      <left style="thin">
        <color theme="0" tint="-0.1498458815271462"/>
      </left>
      <right style="thin">
        <color theme="0" tint="-0.1498458815271462"/>
      </right>
      <top/>
      <bottom/>
      <diagonal/>
    </border>
    <border>
      <left style="thin">
        <color theme="0" tint="-0.1498458815271462"/>
      </left>
      <right style="thin">
        <color auto="1"/>
      </right>
      <top style="thin">
        <color theme="0" tint="-0.1498764000366222"/>
      </top>
      <bottom/>
      <diagonal/>
    </border>
    <border>
      <left/>
      <right/>
      <top/>
      <bottom style="thin">
        <color theme="0" tint="-0.1498458815271462"/>
      </bottom>
      <diagonal/>
    </border>
    <border>
      <left style="thin">
        <color theme="0" tint="-0.1498458815271462"/>
      </left>
      <right style="thin">
        <color theme="0" tint="-0.1498458815271462"/>
      </right>
      <top/>
      <bottom style="thin">
        <color theme="0" tint="-0.1498458815271462"/>
      </bottom>
      <diagonal/>
    </border>
    <border>
      <left/>
      <right style="thin">
        <color auto="1"/>
      </right>
      <top/>
      <bottom style="thin">
        <color theme="0" tint="-0.1498458815271462"/>
      </bottom>
      <diagonal/>
    </border>
    <border>
      <left style="thin">
        <color theme="0" tint="-0.1498458815271462"/>
      </left>
      <right style="thin">
        <color auto="1"/>
      </right>
      <top/>
      <bottom/>
      <diagonal/>
    </border>
    <border>
      <left/>
      <right style="thin">
        <color theme="1"/>
      </right>
      <top style="thin">
        <color auto="1"/>
      </top>
      <bottom/>
      <diagonal/>
    </border>
    <border>
      <left/>
      <right style="thin">
        <color theme="1"/>
      </right>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thin">
        <color theme="0" tint="-0.1498458815271462"/>
      </right>
      <top style="thin">
        <color auto="1"/>
      </top>
      <bottom/>
      <diagonal/>
    </border>
    <border>
      <left/>
      <right style="thin">
        <color theme="0" tint="-0.34998626667073579"/>
      </right>
      <top style="thin">
        <color auto="1"/>
      </top>
      <bottom/>
      <diagonal/>
    </border>
    <border>
      <left/>
      <right style="thin">
        <color theme="0" tint="-0.149845881527146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style="thin">
        <color theme="0" tint="-0.1498458815271462"/>
      </right>
      <top/>
      <bottom style="thin">
        <color theme="0" tint="-0.1498458815271462"/>
      </bottom>
      <diagonal/>
    </border>
    <border>
      <left/>
      <right style="thin">
        <color theme="0" tint="-0.34998626667073579"/>
      </right>
      <top/>
      <bottom style="thin">
        <color theme="0" tint="-0.1498458815271462"/>
      </bottom>
      <diagonal/>
    </border>
    <border>
      <left style="thin">
        <color theme="0" tint="-0.34998626667073579"/>
      </left>
      <right style="thin">
        <color theme="0" tint="-0.34998626667073579"/>
      </right>
      <top/>
      <bottom style="thin">
        <color theme="0" tint="-0.1498458815271462"/>
      </bottom>
      <diagonal/>
    </border>
    <border>
      <left style="thin">
        <color theme="0" tint="-0.34998626667073579"/>
      </left>
      <right/>
      <top/>
      <bottom style="thin">
        <color theme="0" tint="-0.1498458815271462"/>
      </bottom>
      <diagonal/>
    </border>
    <border>
      <left/>
      <right/>
      <top style="thin">
        <color theme="0" tint="-0.1498458815271462"/>
      </top>
      <bottom/>
      <diagonal/>
    </border>
    <border>
      <left/>
      <right style="thin">
        <color auto="1"/>
      </right>
      <top style="thin">
        <color theme="0" tint="-0.1498458815271462"/>
      </top>
      <bottom/>
      <diagonal/>
    </border>
    <border>
      <left style="thin">
        <color auto="1"/>
      </left>
      <right style="thin">
        <color auto="1"/>
      </right>
      <top style="thin">
        <color theme="0" tint="-0.1498458815271462"/>
      </top>
      <bottom/>
      <diagonal/>
    </border>
    <border>
      <left style="thin">
        <color auto="1"/>
      </left>
      <right style="thin">
        <color auto="1"/>
      </right>
      <top/>
      <bottom style="thin">
        <color theme="0" tint="-0.1498458815271462"/>
      </bottom>
      <diagonal/>
    </border>
    <border>
      <left style="thin">
        <color auto="1"/>
      </left>
      <right/>
      <top style="thin">
        <color theme="0" tint="-0.1498458815271462"/>
      </top>
      <bottom style="thin">
        <color auto="1"/>
      </bottom>
      <diagonal/>
    </border>
    <border>
      <left/>
      <right/>
      <top style="thin">
        <color theme="0" tint="-0.1498458815271462"/>
      </top>
      <bottom style="thin">
        <color auto="1"/>
      </bottom>
      <diagonal/>
    </border>
    <border>
      <left/>
      <right style="thin">
        <color theme="0" tint="-4.9989318521683403E-2"/>
      </right>
      <top style="thin">
        <color theme="0" tint="-0.14981536301767021"/>
      </top>
      <bottom style="thin">
        <color auto="1"/>
      </bottom>
      <diagonal/>
    </border>
    <border>
      <left style="thin">
        <color theme="0" tint="-4.9989318521683403E-2"/>
      </left>
      <right style="thin">
        <color theme="0" tint="-4.9989318521683403E-2"/>
      </right>
      <top style="thin">
        <color theme="0" tint="-0.14981536301767021"/>
      </top>
      <bottom style="thin">
        <color auto="1"/>
      </bottom>
      <diagonal/>
    </border>
    <border>
      <left style="thin">
        <color theme="0" tint="-4.9989318521683403E-2"/>
      </left>
      <right style="thin">
        <color theme="0" tint="-0.1498458815271462"/>
      </right>
      <top style="thin">
        <color theme="0" tint="-0.14981536301767021"/>
      </top>
      <bottom style="thin">
        <color auto="1"/>
      </bottom>
      <diagonal/>
    </border>
    <border>
      <left style="thin">
        <color theme="0" tint="-0.1498458815271462"/>
      </left>
      <right style="thin">
        <color auto="1"/>
      </right>
      <top style="thin">
        <color theme="0" tint="-0.1498458815271462"/>
      </top>
      <bottom style="thin">
        <color auto="1"/>
      </bottom>
      <diagonal/>
    </border>
    <border>
      <left style="thin">
        <color auto="1"/>
      </left>
      <right style="thin">
        <color auto="1"/>
      </right>
      <top style="thin">
        <color theme="0" tint="-0.1498458815271462"/>
      </top>
      <bottom style="thin">
        <color auto="1"/>
      </bottom>
      <diagonal/>
    </border>
    <border>
      <left style="thin">
        <color theme="0" tint="-0.1498458815271462"/>
      </left>
      <right style="thin">
        <color theme="0" tint="-0.1498458815271462"/>
      </right>
      <top/>
      <bottom style="thin">
        <color theme="0" tint="-0.14981536301767021"/>
      </bottom>
      <diagonal/>
    </border>
    <border>
      <left style="thin">
        <color theme="0" tint="-0.1498458815271462"/>
      </left>
      <right style="thin">
        <color theme="0" tint="-0.1498458815271462"/>
      </right>
      <top style="thin">
        <color theme="0" tint="-0.14981536301767021"/>
      </top>
      <bottom style="thin">
        <color theme="0" tint="-0.14981536301767021"/>
      </bottom>
      <diagonal/>
    </border>
    <border>
      <left style="thin">
        <color theme="0" tint="-0.1498458815271462"/>
      </left>
      <right style="thin">
        <color auto="1"/>
      </right>
      <top/>
      <bottom style="thin">
        <color auto="1"/>
      </bottom>
      <diagonal/>
    </border>
    <border>
      <left style="thin">
        <color auto="1"/>
      </left>
      <right style="thin">
        <color theme="0" tint="-0.1498458815271462"/>
      </right>
      <top style="thin">
        <color theme="0" tint="-0.1498458815271462"/>
      </top>
      <bottom style="thin">
        <color theme="0" tint="-0.1498458815271462"/>
      </bottom>
      <diagonal/>
    </border>
    <border>
      <left/>
      <right/>
      <top style="thin">
        <color theme="0" tint="-0.14981536301767021"/>
      </top>
      <bottom/>
      <diagonal/>
    </border>
    <border>
      <left style="thin">
        <color theme="0" tint="-0.1498458815271462"/>
      </left>
      <right style="thin">
        <color theme="0" tint="-0.1498458815271462"/>
      </right>
      <top style="thin">
        <color theme="0" tint="-0.14981536301767021"/>
      </top>
      <bottom/>
      <diagonal/>
    </border>
    <border>
      <left/>
      <right style="thin">
        <color theme="0" tint="-0.1498458815271462"/>
      </right>
      <top style="thin">
        <color theme="0" tint="-0.34998626667073579"/>
      </top>
      <bottom/>
      <diagonal/>
    </border>
    <border>
      <left/>
      <right/>
      <top style="thin">
        <color theme="0" tint="-0.34998626667073579"/>
      </top>
      <bottom/>
      <diagonal/>
    </border>
    <border>
      <left/>
      <right style="thin">
        <color auto="1"/>
      </right>
      <top style="thin">
        <color theme="0" tint="-0.34998626667073579"/>
      </top>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tint="-0.1498458815271462"/>
      </left>
      <right/>
      <top/>
      <bottom/>
      <diagonal/>
    </border>
    <border>
      <left style="thin">
        <color theme="0" tint="-0.1498458815271462"/>
      </left>
      <right style="thin">
        <color theme="0" tint="-0.14981536301767021"/>
      </right>
      <top style="thin">
        <color theme="0" tint="-0.14981536301767021"/>
      </top>
      <bottom style="thin">
        <color auto="1"/>
      </bottom>
      <diagonal/>
    </border>
    <border>
      <left style="thin">
        <color theme="0" tint="-0.14981536301767021"/>
      </left>
      <right style="thin">
        <color theme="0" tint="-0.1498458815271462"/>
      </right>
      <top style="thin">
        <color theme="0" tint="-0.14981536301767021"/>
      </top>
      <bottom style="thin">
        <color auto="1"/>
      </bottom>
      <diagonal/>
    </border>
    <border>
      <left style="thin">
        <color auto="1"/>
      </left>
      <right style="thin">
        <color theme="0" tint="-0.1498458815271462"/>
      </right>
      <top style="thin">
        <color theme="0" tint="-0.1498458815271462"/>
      </top>
      <bottom style="thin">
        <color auto="1"/>
      </bottom>
      <diagonal/>
    </border>
    <border>
      <left/>
      <right style="thin">
        <color indexed="22"/>
      </right>
      <top/>
      <bottom/>
      <diagonal/>
    </border>
    <border>
      <left style="thin">
        <color theme="1"/>
      </left>
      <right/>
      <top/>
      <bottom style="thin">
        <color auto="1"/>
      </bottom>
      <diagonal/>
    </border>
    <border>
      <left/>
      <right style="thin">
        <color theme="1"/>
      </right>
      <top/>
      <bottom style="thin">
        <color auto="1"/>
      </bottom>
      <diagonal/>
    </border>
    <border>
      <left style="thin">
        <color theme="1"/>
      </left>
      <right/>
      <top/>
      <bottom/>
      <diagonal/>
    </border>
    <border>
      <left/>
      <right style="thin">
        <color theme="1"/>
      </right>
      <top/>
      <bottom/>
      <diagonal/>
    </border>
    <border>
      <left style="thin">
        <color theme="1"/>
      </left>
      <right/>
      <top style="thin">
        <color theme="0" tint="-0.1498458815271462"/>
      </top>
      <bottom/>
      <diagonal/>
    </border>
    <border>
      <left/>
      <right style="thin">
        <color theme="1"/>
      </right>
      <top style="thin">
        <color theme="0" tint="-0.1498458815271462"/>
      </top>
      <bottom/>
      <diagonal/>
    </border>
    <border>
      <left style="thin">
        <color theme="0" tint="-0.1498458815271462"/>
      </left>
      <right style="thin">
        <color theme="0" tint="-0.1498458815271462"/>
      </right>
      <top/>
      <bottom style="thin">
        <color auto="1"/>
      </bottom>
      <diagonal/>
    </border>
    <border>
      <left style="thin">
        <color auto="1"/>
      </left>
      <right/>
      <top style="thin">
        <color theme="0" tint="-0.24994659260841701"/>
      </top>
      <bottom style="thin">
        <color auto="1"/>
      </bottom>
      <diagonal/>
    </border>
    <border>
      <left style="double">
        <color theme="0" tint="-0.1498458815271462"/>
      </left>
      <right style="thin">
        <color auto="1"/>
      </right>
      <top/>
      <bottom style="thin">
        <color auto="1"/>
      </bottom>
      <diagonal/>
    </border>
    <border>
      <left style="double">
        <color theme="0" tint="-0.1498458815271462"/>
      </left>
      <right/>
      <top/>
      <bottom style="thin">
        <color auto="1"/>
      </bottom>
      <diagonal/>
    </border>
    <border>
      <left style="double">
        <color theme="0" tint="-0.24994659260841701"/>
      </left>
      <right style="thin">
        <color auto="1"/>
      </right>
      <top style="thin">
        <color theme="0" tint="-0.1498458815271462"/>
      </top>
      <bottom style="thin">
        <color theme="0" tint="-0.1498458815271462"/>
      </bottom>
      <diagonal/>
    </border>
    <border>
      <left style="thin">
        <color auto="1"/>
      </left>
      <right style="double">
        <color theme="0" tint="-0.24994659260841701"/>
      </right>
      <top style="thin">
        <color theme="0" tint="-0.1498458815271462"/>
      </top>
      <bottom style="thin">
        <color theme="0" tint="-0.1498458815271462"/>
      </bottom>
      <diagonal/>
    </border>
    <border>
      <left/>
      <right style="thin">
        <color auto="1"/>
      </right>
      <top style="thin">
        <color theme="0" tint="-0.1498458815271462"/>
      </top>
      <bottom style="thin">
        <color theme="0" tint="-0.1498458815271462"/>
      </bottom>
      <diagonal/>
    </border>
    <border>
      <left style="double">
        <color theme="0" tint="-0.24994659260841701"/>
      </left>
      <right style="thin">
        <color auto="1"/>
      </right>
      <top/>
      <bottom/>
      <diagonal/>
    </border>
    <border>
      <left/>
      <right style="thin">
        <color auto="1"/>
      </right>
      <top style="thin">
        <color theme="0" tint="-0.24994659260841701"/>
      </top>
      <bottom style="thin">
        <color auto="1"/>
      </bottom>
      <diagonal/>
    </border>
    <border>
      <left/>
      <right/>
      <top style="thin">
        <color theme="0" tint="-0.24994659260841701"/>
      </top>
      <bottom style="thin">
        <color auto="1"/>
      </bottom>
      <diagonal/>
    </border>
    <border>
      <left style="thin">
        <color auto="1"/>
      </left>
      <right style="thin">
        <color auto="1"/>
      </right>
      <top style="thin">
        <color theme="0" tint="-0.1498458815271462"/>
      </top>
      <bottom style="thin">
        <color theme="0" tint="-0.1498458815271462"/>
      </bottom>
      <diagonal/>
    </border>
    <border>
      <left style="thin">
        <color auto="1"/>
      </left>
      <right style="thin">
        <color auto="1"/>
      </right>
      <top style="thin">
        <color theme="0"/>
      </top>
      <bottom style="thin">
        <color auto="1"/>
      </bottom>
      <diagonal/>
    </border>
    <border>
      <left/>
      <right/>
      <top style="thin">
        <color theme="1"/>
      </top>
      <bottom style="thin">
        <color auto="1"/>
      </bottom>
      <diagonal/>
    </border>
    <border>
      <left style="thin">
        <color theme="0" tint="-0.34998626667073579"/>
      </left>
      <right style="thin">
        <color theme="0" tint="-0.34998626667073579"/>
      </right>
      <top style="thin">
        <color theme="0" tint="-0.14981536301767021"/>
      </top>
      <bottom style="thin">
        <color theme="0" tint="-0.14981536301767021"/>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1498458815271462"/>
      </top>
      <bottom style="thin">
        <color theme="0" tint="-0.34998626667073579"/>
      </bottom>
      <diagonal/>
    </border>
    <border>
      <left style="thin">
        <color auto="1"/>
      </left>
      <right style="thin">
        <color auto="1"/>
      </right>
      <top style="thin">
        <color theme="0" tint="-0.34998626667073579"/>
      </top>
      <bottom/>
      <diagonal/>
    </border>
    <border>
      <left style="thin">
        <color auto="1"/>
      </left>
      <right style="thin">
        <color auto="1"/>
      </right>
      <top style="thin">
        <color theme="0" tint="-0.34998626667073579"/>
      </top>
      <bottom style="thin">
        <color theme="0" tint="-0.34998626667073579"/>
      </bottom>
      <diagonal/>
    </border>
    <border>
      <left style="thin">
        <color theme="1"/>
      </left>
      <right style="thin">
        <color theme="1"/>
      </right>
      <top style="thin">
        <color theme="0" tint="-0.1498458815271462"/>
      </top>
      <bottom/>
      <diagonal/>
    </border>
    <border>
      <left style="thin">
        <color auto="1"/>
      </left>
      <right style="thin">
        <color auto="1"/>
      </right>
      <top style="thin">
        <color theme="0" tint="-0.499984740745262"/>
      </top>
      <bottom style="thin">
        <color theme="0" tint="-0.1498458815271462"/>
      </bottom>
      <diagonal/>
    </border>
    <border>
      <left/>
      <right style="thin">
        <color theme="1"/>
      </right>
      <top style="thin">
        <color theme="0" tint="-0.1498458815271462"/>
      </top>
      <bottom style="thin">
        <color theme="0" tint="-0.1498458815271462"/>
      </bottom>
      <diagonal/>
    </border>
    <border>
      <left style="thin">
        <color theme="1"/>
      </left>
      <right style="thin">
        <color theme="1"/>
      </right>
      <top/>
      <bottom/>
      <diagonal/>
    </border>
    <border>
      <left style="thin">
        <color theme="1"/>
      </left>
      <right/>
      <top style="thin">
        <color theme="1"/>
      </top>
      <bottom style="thin">
        <color theme="1"/>
      </bottom>
      <diagonal/>
    </border>
    <border>
      <left/>
      <right style="thin">
        <color auto="1"/>
      </right>
      <top style="thin">
        <color theme="1"/>
      </top>
      <bottom style="thin">
        <color theme="1"/>
      </bottom>
      <diagonal/>
    </border>
    <border>
      <left style="thin">
        <color auto="1"/>
      </left>
      <right style="thin">
        <color auto="1"/>
      </right>
      <top style="thin">
        <color theme="1"/>
      </top>
      <bottom style="thin">
        <color auto="1"/>
      </bottom>
      <diagonal/>
    </border>
    <border>
      <left/>
      <right style="thin">
        <color auto="1"/>
      </right>
      <top style="thin">
        <color theme="1"/>
      </top>
      <bottom style="thin">
        <color auto="1"/>
      </bottom>
      <diagonal/>
    </border>
    <border>
      <left/>
      <right style="thin">
        <color theme="0" tint="-0.1498458815271462"/>
      </right>
      <top/>
      <bottom style="thin">
        <color auto="1"/>
      </bottom>
      <diagonal/>
    </border>
    <border>
      <left style="thin">
        <color theme="0" tint="-0.1498458815271462"/>
      </left>
      <right/>
      <top/>
      <bottom style="thin">
        <color auto="1"/>
      </bottom>
      <diagonal/>
    </border>
    <border>
      <left style="thin">
        <color theme="1"/>
      </left>
      <right style="thin">
        <color auto="1"/>
      </right>
      <top style="thin">
        <color theme="0" tint="-0.1498458815271462"/>
      </top>
      <bottom style="thin">
        <color theme="0" tint="-0.1498458815271462"/>
      </bottom>
      <diagonal/>
    </border>
    <border>
      <left/>
      <right style="thin">
        <color theme="0" tint="-0.1498458815271462"/>
      </right>
      <top style="thin">
        <color theme="0" tint="-0.1498458815271462"/>
      </top>
      <bottom style="thin">
        <color theme="0" tint="-0.1498458815271462"/>
      </bottom>
      <diagonal/>
    </border>
    <border>
      <left style="thin">
        <color auto="1"/>
      </left>
      <right/>
      <top style="thin">
        <color theme="0" tint="-0.1498458815271462"/>
      </top>
      <bottom style="thin">
        <color theme="0" tint="-0.14981536301767021"/>
      </bottom>
      <diagonal/>
    </border>
    <border>
      <left style="thin">
        <color auto="1"/>
      </left>
      <right/>
      <top style="thin">
        <color theme="0" tint="-0.34998626667073579"/>
      </top>
      <bottom style="thin">
        <color theme="0" tint="-0.1498458815271462"/>
      </bottom>
      <diagonal/>
    </border>
    <border>
      <left style="thin">
        <color auto="1"/>
      </left>
      <right/>
      <top style="thin">
        <color theme="0" tint="-0.24994659260841701"/>
      </top>
      <bottom style="thin">
        <color theme="0" tint="-0.14981536301767021"/>
      </bottom>
      <diagonal/>
    </border>
    <border>
      <left style="thin">
        <color auto="1"/>
      </left>
      <right style="thin">
        <color auto="1"/>
      </right>
      <top style="thin">
        <color theme="0" tint="-0.34998626667073579"/>
      </top>
      <bottom style="thin">
        <color theme="0" tint="-0.1498458815271462"/>
      </bottom>
      <diagonal/>
    </border>
    <border>
      <left/>
      <right style="thin">
        <color auto="1"/>
      </right>
      <top style="thin">
        <color theme="0" tint="-0.34998626667073579"/>
      </top>
      <bottom style="thin">
        <color theme="0" tint="-0.1498458815271462"/>
      </bottom>
      <diagonal/>
    </border>
    <border>
      <left/>
      <right style="thin">
        <color auto="1"/>
      </right>
      <top style="thin">
        <color theme="0" tint="-0.1498458815271462"/>
      </top>
      <bottom style="thin">
        <color theme="0" tint="-0.34998626667073579"/>
      </bottom>
      <diagonal/>
    </border>
    <border>
      <left style="thin">
        <color auto="1"/>
      </left>
      <right/>
      <top style="thin">
        <color theme="0" tint="-0.1498458815271462"/>
      </top>
      <bottom style="thin">
        <color theme="0" tint="-0.34998626667073579"/>
      </bottom>
      <diagonal/>
    </border>
    <border>
      <left/>
      <right style="thin">
        <color auto="1"/>
      </right>
      <top style="thin">
        <color theme="0" tint="-0.1498458815271462"/>
      </top>
      <bottom style="thin">
        <color auto="1"/>
      </bottom>
      <diagonal/>
    </border>
    <border>
      <left style="thin">
        <color auto="1"/>
      </left>
      <right style="thin">
        <color auto="1"/>
      </right>
      <top style="thin">
        <color theme="0" tint="-0.1498458815271462"/>
      </top>
      <bottom style="thin">
        <color theme="0" tint="-0.14981536301767021"/>
      </bottom>
      <diagonal/>
    </border>
    <border>
      <left/>
      <right style="thin">
        <color theme="0" tint="-0.14981536301767021"/>
      </right>
      <top/>
      <bottom style="thin">
        <color auto="1"/>
      </bottom>
      <diagonal/>
    </border>
    <border>
      <left style="thin">
        <color theme="0" tint="-0.14981536301767021"/>
      </left>
      <right style="thin">
        <color auto="1"/>
      </right>
      <top style="thin">
        <color theme="0" tint="-0.14981536301767021"/>
      </top>
      <bottom style="thin">
        <color auto="1"/>
      </bottom>
      <diagonal/>
    </border>
    <border>
      <left style="thin">
        <color auto="1"/>
      </left>
      <right/>
      <top style="thin">
        <color theme="1"/>
      </top>
      <bottom style="thin">
        <color theme="1"/>
      </bottom>
      <diagonal/>
    </border>
    <border>
      <left style="thin">
        <color auto="1"/>
      </left>
      <right/>
      <top style="thin">
        <color theme="1" tint="0.1498458815271462"/>
      </top>
      <bottom/>
      <diagonal/>
    </border>
    <border>
      <left style="thin">
        <color theme="0" tint="-0.34998626667073579"/>
      </left>
      <right style="thin">
        <color auto="1"/>
      </right>
      <top style="thin">
        <color theme="1" tint="0.1498458815271462"/>
      </top>
      <bottom/>
      <diagonal/>
    </border>
    <border>
      <left style="thin">
        <color auto="1"/>
      </left>
      <right style="thin">
        <color theme="0" tint="-0.24994659260841701"/>
      </right>
      <top style="thin">
        <color theme="0" tint="-0.1498458815271462"/>
      </top>
      <bottom/>
      <diagonal/>
    </border>
    <border>
      <left style="thin">
        <color auto="1"/>
      </left>
      <right style="thin">
        <color auto="1"/>
      </right>
      <top style="thin">
        <color theme="0" tint="-0.14981536301767021"/>
      </top>
      <bottom style="thin">
        <color theme="0" tint="-0.14981536301767021"/>
      </bottom>
      <diagonal/>
    </border>
    <border>
      <left style="thin">
        <color auto="1"/>
      </left>
      <right style="thin">
        <color auto="1"/>
      </right>
      <top style="thin">
        <color theme="0" tint="-0.14981536301767021"/>
      </top>
      <bottom/>
      <diagonal/>
    </border>
    <border>
      <left style="thin">
        <color auto="1"/>
      </left>
      <right style="thin">
        <color theme="0" tint="-0.24994659260841701"/>
      </right>
      <top/>
      <bottom style="thin">
        <color theme="0" tint="-0.1498458815271462"/>
      </bottom>
      <diagonal/>
    </border>
    <border>
      <left style="thin">
        <color auto="1"/>
      </left>
      <right style="thin">
        <color theme="0" tint="-0.24994659260841701"/>
      </right>
      <top style="thin">
        <color theme="0" tint="-0.1498458815271462"/>
      </top>
      <bottom style="thin">
        <color theme="0" tint="-0.1498458815271462"/>
      </bottom>
      <diagonal/>
    </border>
    <border>
      <left style="thin">
        <color theme="0" tint="-0.34998626667073579"/>
      </left>
      <right/>
      <top style="thin">
        <color theme="0" tint="-0.1498458815271462"/>
      </top>
      <bottom style="thin">
        <color theme="0" tint="-0.1498458815271462"/>
      </bottom>
      <diagonal/>
    </border>
    <border>
      <left style="thin">
        <color auto="1"/>
      </left>
      <right style="thin">
        <color theme="0" tint="-0.34998626667073579"/>
      </right>
      <top style="thin">
        <color theme="0" tint="-0.1498458815271462"/>
      </top>
      <bottom style="thin">
        <color theme="0" tint="-0.1498458815271462"/>
      </bottom>
      <diagonal/>
    </border>
    <border>
      <left style="thin">
        <color auto="1"/>
      </left>
      <right style="thin">
        <color auto="1"/>
      </right>
      <top style="thin">
        <color theme="0" tint="-0.24994659260841701"/>
      </top>
      <bottom style="thin">
        <color theme="0" tint="-0.1498458815271462"/>
      </bottom>
      <diagonal/>
    </border>
    <border>
      <left style="thin">
        <color auto="1"/>
      </left>
      <right style="thin">
        <color auto="1"/>
      </right>
      <top style="thin">
        <color theme="0" tint="-0.24994659260841701"/>
      </top>
      <bottom/>
      <diagonal/>
    </border>
    <border>
      <left style="thin">
        <color auto="1"/>
      </left>
      <right style="thin">
        <color auto="1"/>
      </right>
      <top style="thin">
        <color theme="0" tint="-0.24994659260841701"/>
      </top>
      <bottom style="thin">
        <color auto="1"/>
      </bottom>
      <diagonal/>
    </border>
    <border>
      <left style="thin">
        <color theme="1"/>
      </left>
      <right style="thin">
        <color theme="0" tint="-0.499984740745262"/>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style="thin">
        <color auto="1"/>
      </left>
      <right style="thin">
        <color theme="0" tint="-0.34998626667073579"/>
      </right>
      <top style="thin">
        <color theme="0" tint="-0.34998626667073579"/>
      </top>
      <bottom style="thin">
        <color theme="0" tint="-0.1498458815271462"/>
      </bottom>
      <diagonal/>
    </border>
    <border>
      <left style="thin">
        <color theme="1"/>
      </left>
      <right style="thin">
        <color theme="0" tint="-0.499984740745262"/>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1"/>
      </left>
      <right style="thin">
        <color theme="0" tint="-0.499984740745262"/>
      </right>
      <top/>
      <bottom style="thin">
        <color theme="0" tint="-0.1498458815271462"/>
      </bottom>
      <diagonal/>
    </border>
    <border>
      <left style="thin">
        <color auto="1"/>
      </left>
      <right style="thin">
        <color theme="0" tint="-0.34998626667073579"/>
      </right>
      <top/>
      <bottom style="thin">
        <color theme="0" tint="-0.1498458815271462"/>
      </bottom>
      <diagonal/>
    </border>
    <border>
      <left style="thin">
        <color auto="1"/>
      </left>
      <right/>
      <top style="thin">
        <color theme="1"/>
      </top>
      <bottom style="thin">
        <color auto="1"/>
      </bottom>
      <diagonal/>
    </border>
    <border>
      <left style="thin">
        <color auto="1"/>
      </left>
      <right style="thin">
        <color theme="0" tint="-0.24994659260841701"/>
      </right>
      <top style="thin">
        <color theme="1"/>
      </top>
      <bottom style="thin">
        <color auto="1"/>
      </bottom>
      <diagonal/>
    </border>
    <border>
      <left style="thin">
        <color theme="0" tint="-0.24994659260841701"/>
      </left>
      <right style="thin">
        <color auto="1"/>
      </right>
      <top/>
      <bottom style="thin">
        <color auto="1"/>
      </bottom>
      <diagonal/>
    </border>
    <border>
      <left style="thin">
        <color theme="0" tint="-0.499984740745262"/>
      </left>
      <right/>
      <top style="thin">
        <color theme="0" tint="-0.1498458815271462"/>
      </top>
      <bottom style="thin">
        <color theme="0" tint="-0.1498458815271462"/>
      </bottom>
      <diagonal/>
    </border>
    <border>
      <left style="thin">
        <color auto="1"/>
      </left>
      <right style="thin">
        <color theme="0" tint="-0.499984740745262"/>
      </right>
      <top style="thin">
        <color theme="0" tint="-0.1498458815271462"/>
      </top>
      <bottom style="thin">
        <color theme="0" tint="-0.1498458815271462"/>
      </bottom>
      <diagonal/>
    </border>
    <border>
      <left style="thin">
        <color theme="1"/>
      </left>
      <right style="thin">
        <color theme="1"/>
      </right>
      <top/>
      <bottom style="thin">
        <color auto="1"/>
      </bottom>
      <diagonal/>
    </border>
    <border>
      <left style="thin">
        <color theme="0" tint="-0.1498458815271462"/>
      </left>
      <right/>
      <top/>
      <bottom style="thin">
        <color theme="0" tint="-0.1498458815271462"/>
      </bottom>
      <diagonal/>
    </border>
    <border>
      <left/>
      <right/>
      <top style="thin">
        <color theme="0" tint="-0.1498458815271462"/>
      </top>
      <bottom style="thin">
        <color theme="1"/>
      </bottom>
      <diagonal/>
    </border>
    <border>
      <left/>
      <right style="thin">
        <color theme="0" tint="-0.1498458815271462"/>
      </right>
      <top style="thin">
        <color theme="0" tint="-0.1498458815271462"/>
      </top>
      <bottom style="thin">
        <color theme="1"/>
      </bottom>
      <diagonal/>
    </border>
    <border>
      <left style="thin">
        <color theme="0" tint="-0.1498458815271462"/>
      </left>
      <right style="thin">
        <color auto="1"/>
      </right>
      <top style="thin">
        <color theme="0" tint="-0.1498458815271462"/>
      </top>
      <bottom style="thin">
        <color theme="1"/>
      </bottom>
      <diagonal/>
    </border>
    <border>
      <left style="thin">
        <color theme="0" tint="-0.34998626667073579"/>
      </left>
      <right style="thin">
        <color auto="1"/>
      </right>
      <top/>
      <bottom/>
      <diagonal/>
    </border>
    <border>
      <left style="thin">
        <color theme="0" tint="-0.34998626667073579"/>
      </left>
      <right style="thin">
        <color theme="0" tint="-0.34998626667073579"/>
      </right>
      <top style="thin">
        <color theme="0" tint="-0.14981536301767021"/>
      </top>
      <bottom style="thin">
        <color theme="0" tint="-0.34998626667073579"/>
      </bottom>
      <diagonal/>
    </border>
    <border>
      <left style="thin">
        <color auto="1"/>
      </left>
      <right/>
      <top style="thin">
        <color theme="0" tint="-0.34998626667073579"/>
      </top>
      <bottom/>
      <diagonal/>
    </border>
    <border>
      <left style="thin">
        <color theme="0" tint="-0.34998626667073579"/>
      </left>
      <right style="thin">
        <color theme="0" tint="-0.34998626667073579"/>
      </right>
      <top/>
      <bottom style="thin">
        <color theme="0" tint="-0.14981536301767021"/>
      </bottom>
      <diagonal/>
    </border>
    <border>
      <left style="thin">
        <color theme="0" tint="-0.34998626667073579"/>
      </left>
      <right style="thin">
        <color theme="0" tint="-0.34998626667073579"/>
      </right>
      <top style="thin">
        <color theme="0" tint="-0.14981536301767021"/>
      </top>
      <bottom style="thin">
        <color auto="1"/>
      </bottom>
      <diagonal/>
    </border>
    <border>
      <left style="thin">
        <color theme="0" tint="-0.24994659260841701"/>
      </left>
      <right style="thin">
        <color theme="0" tint="-0.24994659260841701"/>
      </right>
      <top style="thin">
        <color theme="0" tint="-0.1498458815271462"/>
      </top>
      <bottom/>
      <diagonal/>
    </border>
    <border>
      <left style="thin">
        <color theme="0" tint="-0.24994659260841701"/>
      </left>
      <right style="thin">
        <color theme="0" tint="-0.24994659260841701"/>
      </right>
      <top style="thin">
        <color theme="0" tint="-0.1498458815271462"/>
      </top>
      <bottom style="thin">
        <color theme="0" tint="-0.1498458815271462"/>
      </bottom>
      <diagonal/>
    </border>
    <border>
      <left style="thin">
        <color theme="0" tint="-0.24994659260841701"/>
      </left>
      <right style="thin">
        <color theme="0" tint="-0.24994659260841701"/>
      </right>
      <top/>
      <bottom style="thin">
        <color theme="0" tint="-0.1498458815271462"/>
      </bottom>
      <diagonal/>
    </border>
    <border>
      <left style="thin">
        <color theme="0" tint="-0.24994659260841701"/>
      </left>
      <right style="thin">
        <color theme="0" tint="-0.24994659260841701"/>
      </right>
      <top/>
      <bottom/>
      <diagonal/>
    </border>
    <border>
      <left style="thin">
        <color auto="1"/>
      </left>
      <right/>
      <top/>
      <bottom style="thin">
        <color theme="0" tint="-0.24994659260841701"/>
      </bottom>
      <diagonal/>
    </border>
    <border>
      <left style="thin">
        <color theme="0" tint="-0.34998626667073579"/>
      </left>
      <right style="thin">
        <color theme="0" tint="-0.34998626667073579"/>
      </right>
      <top style="thin">
        <color theme="0" tint="-0.24994659260841701"/>
      </top>
      <bottom style="thin">
        <color auto="1"/>
      </bottom>
      <diagonal/>
    </border>
    <border>
      <left style="thin">
        <color theme="0" tint="-0.1498458815271462"/>
      </left>
      <right style="thin">
        <color theme="0" tint="-0.1498458815271462"/>
      </right>
      <top style="thin">
        <color theme="0" tint="-0.1498458815271462"/>
      </top>
      <bottom style="thin">
        <color auto="1"/>
      </bottom>
      <diagonal/>
    </border>
    <border>
      <left style="thin">
        <color theme="0" tint="-0.34998626667073579"/>
      </left>
      <right style="thin">
        <color theme="0" tint="-0.34998626667073579"/>
      </right>
      <top/>
      <bottom style="thin">
        <color auto="1"/>
      </bottom>
      <diagonal/>
    </border>
    <border>
      <left/>
      <right style="thin">
        <color theme="0" tint="-0.24994659260841701"/>
      </right>
      <top/>
      <bottom/>
      <diagonal/>
    </border>
    <border>
      <left style="thin">
        <color auto="1"/>
      </left>
      <right style="double">
        <color theme="0" tint="-0.1498458815271462"/>
      </right>
      <top style="thin">
        <color theme="0" tint="-0.1498458815271462"/>
      </top>
      <bottom style="thin">
        <color theme="0" tint="-0.1498458815271462"/>
      </bottom>
      <diagonal/>
    </border>
    <border>
      <left style="double">
        <color theme="0" tint="-0.1498458815271462"/>
      </left>
      <right style="thin">
        <color auto="1"/>
      </right>
      <top style="thin">
        <color theme="0" tint="-0.1498458815271462"/>
      </top>
      <bottom style="thin">
        <color theme="0" tint="-0.1498458815271462"/>
      </bottom>
      <diagonal/>
    </border>
    <border>
      <left style="double">
        <color theme="0" tint="-0.14981536301767021"/>
      </left>
      <right style="thin">
        <color auto="1"/>
      </right>
      <top style="thin">
        <color theme="0" tint="-0.1498458815271462"/>
      </top>
      <bottom style="thin">
        <color theme="0" tint="-0.1498458815271462"/>
      </bottom>
      <diagonal/>
    </border>
    <border>
      <left style="double">
        <color theme="0" tint="-0.1498458815271462"/>
      </left>
      <right/>
      <top style="thin">
        <color theme="0" tint="-0.1498458815271462"/>
      </top>
      <bottom style="thin">
        <color theme="0" tint="-0.1498458815271462"/>
      </bottom>
      <diagonal/>
    </border>
    <border>
      <left style="thin">
        <color theme="1"/>
      </left>
      <right/>
      <top style="thin">
        <color theme="0" tint="-0.1498458815271462"/>
      </top>
      <bottom style="thin">
        <color theme="0" tint="-0.1498458815271462"/>
      </bottom>
      <diagonal/>
    </border>
    <border>
      <left style="double">
        <color theme="0" tint="-0.1498458815271462"/>
      </left>
      <right style="thin">
        <color auto="1"/>
      </right>
      <top/>
      <bottom/>
      <diagonal/>
    </border>
    <border>
      <left style="double">
        <color theme="0" tint="-0.14981536301767021"/>
      </left>
      <right style="thin">
        <color auto="1"/>
      </right>
      <top/>
      <bottom/>
      <diagonal/>
    </border>
    <border>
      <left/>
      <right style="thin">
        <color theme="0" tint="-0.14990691854609822"/>
      </right>
      <top/>
      <bottom/>
      <diagonal/>
    </border>
    <border>
      <left style="thin">
        <color theme="0" tint="-0.14990691854609822"/>
      </left>
      <right/>
      <top/>
      <bottom/>
      <diagonal/>
    </border>
    <border>
      <left style="thin">
        <color auto="1"/>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right style="thin">
        <color auto="1"/>
      </right>
      <top/>
      <bottom style="thin">
        <color theme="0" tint="-0.14990691854609822"/>
      </bottom>
      <diagonal/>
    </border>
    <border>
      <left style="thin">
        <color auto="1"/>
      </left>
      <right/>
      <top style="thin">
        <color theme="0" tint="-0.14990691854609822"/>
      </top>
      <bottom/>
      <diagonal/>
    </border>
    <border>
      <left/>
      <right/>
      <top style="thin">
        <color theme="0" tint="-0.14990691854609822"/>
      </top>
      <bottom/>
      <diagonal/>
    </border>
    <border>
      <left style="thin">
        <color theme="0" tint="-0.1498764000366222"/>
      </left>
      <right/>
      <top style="thin">
        <color theme="0" tint="-0.14990691854609822"/>
      </top>
      <bottom/>
      <diagonal/>
    </border>
    <border>
      <left/>
      <right style="thin">
        <color auto="1"/>
      </right>
      <top style="thin">
        <color theme="0" tint="-0.14990691854609822"/>
      </top>
      <bottom/>
      <diagonal/>
    </border>
    <border>
      <left style="thin">
        <color auto="1"/>
      </left>
      <right/>
      <top style="thin">
        <color theme="0" tint="-0.14990691854609822"/>
      </top>
      <bottom style="thin">
        <color auto="1"/>
      </bottom>
      <diagonal/>
    </border>
    <border>
      <left/>
      <right/>
      <top style="thin">
        <color theme="0" tint="-0.14990691854609822"/>
      </top>
      <bottom style="thin">
        <color auto="1"/>
      </bottom>
      <diagonal/>
    </border>
    <border>
      <left/>
      <right style="thin">
        <color theme="0" tint="-0.14990691854609822"/>
      </right>
      <top style="thin">
        <color theme="0" tint="-0.14990691854609822"/>
      </top>
      <bottom style="thin">
        <color auto="1"/>
      </bottom>
      <diagonal/>
    </border>
    <border>
      <left style="thin">
        <color theme="0" tint="-0.14990691854609822"/>
      </left>
      <right style="thin">
        <color auto="1"/>
      </right>
      <top style="thin">
        <color theme="0" tint="-0.14990691854609822"/>
      </top>
      <bottom style="thin">
        <color auto="1"/>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14990691854609822"/>
      </right>
      <top/>
      <bottom style="thin">
        <color theme="0" tint="-0.34998626667073579"/>
      </bottom>
      <diagonal/>
    </border>
    <border>
      <left style="thin">
        <color theme="0" tint="-0.14990691854609822"/>
      </left>
      <right/>
      <top/>
      <bottom style="thin">
        <color theme="0" tint="-0.34998626667073579"/>
      </bottom>
      <diagonal/>
    </border>
    <border>
      <left style="thin">
        <color theme="0" tint="-0.34998626667073579"/>
      </left>
      <right style="thin">
        <color theme="0" tint="-0.34998626667073579"/>
      </right>
      <top/>
      <bottom style="thin">
        <color theme="0" tint="-0.14990691854609822"/>
      </bottom>
      <diagonal/>
    </border>
    <border>
      <left style="thin">
        <color theme="0" tint="-0.34998626667073579"/>
      </left>
      <right style="thin">
        <color theme="0" tint="-0.14990691854609822"/>
      </right>
      <top/>
      <bottom/>
      <diagonal/>
    </border>
    <border>
      <left style="thin">
        <color theme="0" tint="-0.34998626667073579"/>
      </left>
      <right style="thin">
        <color theme="0" tint="-0.34998626667073579"/>
      </right>
      <top style="thin">
        <color theme="0" tint="-0.14990691854609822"/>
      </top>
      <bottom style="thin">
        <color theme="0" tint="-0.14990691854609822"/>
      </bottom>
      <diagonal/>
    </border>
    <border>
      <left style="thin">
        <color auto="1"/>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14990691854609822"/>
      </top>
      <bottom/>
      <diagonal/>
    </border>
    <border>
      <left style="thin">
        <color auto="1"/>
      </left>
      <right style="thin">
        <color theme="0" tint="-0.34998626667073579"/>
      </right>
      <top style="thin">
        <color theme="0" tint="-0.14990691854609822"/>
      </top>
      <bottom style="thin">
        <color theme="0" tint="-0.14990691854609822"/>
      </bottom>
      <diagonal/>
    </border>
    <border>
      <left/>
      <right style="thin">
        <color theme="0" tint="-0.34998626667073579"/>
      </right>
      <top style="thin">
        <color theme="0" tint="-0.14990691854609822"/>
      </top>
      <bottom style="thin">
        <color theme="0" tint="-0.14990691854609822"/>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14990691854609822"/>
      </right>
      <top style="thin">
        <color theme="0" tint="-0.34998626667073579"/>
      </top>
      <bottom/>
      <diagonal/>
    </border>
    <border>
      <left style="thin">
        <color theme="0" tint="-0.14990691854609822"/>
      </left>
      <right/>
      <top style="thin">
        <color theme="0" tint="-0.34998626667073579"/>
      </top>
      <bottom/>
      <diagonal/>
    </border>
    <border>
      <left/>
      <right style="thin">
        <color theme="0" tint="-0.34998626667073579"/>
      </right>
      <top/>
      <bottom style="thin">
        <color theme="0" tint="-0.14990691854609822"/>
      </bottom>
      <diagonal/>
    </border>
    <border>
      <left style="thin">
        <color theme="0" tint="-0.34998626667073579"/>
      </left>
      <right style="thin">
        <color theme="0" tint="-0.34998626667073579"/>
      </right>
      <top/>
      <bottom style="thin">
        <color theme="0" tint="-0.1498764000366222"/>
      </bottom>
      <diagonal/>
    </border>
    <border>
      <left style="thin">
        <color theme="0" tint="-0.34998626667073579"/>
      </left>
      <right style="thin">
        <color theme="0" tint="-0.34998626667073579"/>
      </right>
      <top style="thin">
        <color theme="0" tint="-0.1498764000366222"/>
      </top>
      <bottom style="thin">
        <color theme="0" tint="-0.1498764000366222"/>
      </bottom>
      <diagonal/>
    </border>
    <border>
      <left style="thin">
        <color auto="1"/>
      </left>
      <right style="thin">
        <color auto="1"/>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1498764000366222"/>
      </top>
      <bottom style="thin">
        <color theme="0" tint="-0.34998626667073579"/>
      </bottom>
      <diagonal/>
    </border>
    <border>
      <left style="thin">
        <color auto="1"/>
      </left>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1498764000366222"/>
      </top>
      <bottom style="thin">
        <color auto="1"/>
      </bottom>
      <diagonal/>
    </border>
    <border>
      <left/>
      <right style="thin">
        <color theme="0" tint="-0.34998626667073579"/>
      </right>
      <top/>
      <bottom style="thin">
        <color auto="1"/>
      </bottom>
      <diagonal/>
    </border>
    <border>
      <left style="thin">
        <color auto="1"/>
      </left>
      <right style="thin">
        <color auto="1"/>
      </right>
      <top style="thin">
        <color theme="0" tint="-0.14990691854609822"/>
      </top>
      <bottom/>
      <diagonal/>
    </border>
    <border>
      <left/>
      <right style="thin">
        <color theme="1"/>
      </right>
      <top/>
      <bottom style="thin">
        <color theme="0" tint="-0.14990691854609822"/>
      </bottom>
      <diagonal/>
    </border>
    <border>
      <left/>
      <right style="thin">
        <color theme="1"/>
      </right>
      <top style="thin">
        <color theme="0" tint="-0.14990691854609822"/>
      </top>
      <bottom/>
      <diagonal/>
    </border>
    <border>
      <left style="thin">
        <color theme="1"/>
      </left>
      <right/>
      <top style="thin">
        <color theme="0" tint="-0.14990691854609822"/>
      </top>
      <bottom/>
      <diagonal/>
    </border>
    <border>
      <left style="thin">
        <color auto="1"/>
      </left>
      <right style="thin">
        <color auto="1"/>
      </right>
      <top style="thin">
        <color theme="0" tint="-0.14990691854609822"/>
      </top>
      <bottom style="thin">
        <color auto="1"/>
      </bottom>
      <diagonal/>
    </border>
    <border>
      <left style="thin">
        <color theme="0" tint="-0.14990691854609822"/>
      </left>
      <right style="thin">
        <color auto="1"/>
      </right>
      <top/>
      <bottom style="thin">
        <color auto="1"/>
      </bottom>
      <diagonal/>
    </border>
    <border>
      <left style="thin">
        <color theme="0" tint="-0.14990691854609822"/>
      </left>
      <right style="thin">
        <color theme="0" tint="-0.14990691854609822"/>
      </right>
      <top/>
      <bottom style="thin">
        <color auto="1"/>
      </bottom>
      <diagonal/>
    </border>
    <border>
      <left style="thin">
        <color theme="0" tint="-0.14990691854609822"/>
      </left>
      <right style="thin">
        <color theme="0" tint="-0.34998626667073579"/>
      </right>
      <top/>
      <bottom style="thin">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auto="1"/>
      </right>
      <top style="thin">
        <color theme="0" tint="-0.14990691854609822"/>
      </top>
      <bottom style="thin">
        <color theme="0" tint="-0.14990691854609822"/>
      </bottom>
      <diagonal/>
    </border>
    <border>
      <left style="thin">
        <color theme="0" tint="-0.14990691854609822"/>
      </left>
      <right style="thin">
        <color theme="0" tint="-0.34998626667073579"/>
      </right>
      <top style="thin">
        <color theme="0" tint="-0.14990691854609822"/>
      </top>
      <bottom style="thin">
        <color theme="0" tint="-0.14990691854609822"/>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style="thin">
        <color theme="0" tint="-0.14990691854609822"/>
      </right>
      <top/>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90691854609822"/>
      </bottom>
      <diagonal/>
    </border>
    <border>
      <left style="double">
        <color theme="0" tint="-0.14990691854609822"/>
      </left>
      <right style="thin">
        <color auto="1"/>
      </right>
      <top/>
      <bottom style="thin">
        <color auto="1"/>
      </bottom>
      <diagonal/>
    </border>
    <border>
      <left/>
      <right style="thin">
        <color auto="1"/>
      </right>
      <top style="thin">
        <color theme="0" tint="-0.14990691854609822"/>
      </top>
      <bottom style="thin">
        <color theme="0" tint="-0.14990691854609822"/>
      </bottom>
      <diagonal/>
    </border>
    <border>
      <left style="thin">
        <color auto="1"/>
      </left>
      <right style="double">
        <color theme="0" tint="-0.14990691854609822"/>
      </right>
      <top style="thin">
        <color theme="0" tint="-0.14990691854609822"/>
      </top>
      <bottom style="thin">
        <color theme="0" tint="-0.14990691854609822"/>
      </bottom>
      <diagonal/>
    </border>
    <border>
      <left style="double">
        <color theme="0" tint="-0.14990691854609822"/>
      </left>
      <right style="thin">
        <color auto="1"/>
      </right>
      <top style="thin">
        <color theme="0" tint="-0.14990691854609822"/>
      </top>
      <bottom style="thin">
        <color theme="0" tint="-0.14990691854609822"/>
      </bottom>
      <diagonal/>
    </border>
    <border>
      <left/>
      <right style="thin">
        <color auto="1"/>
      </right>
      <top style="thin">
        <color theme="0" tint="-0.14990691854609822"/>
      </top>
      <bottom style="thin">
        <color auto="1"/>
      </bottom>
      <diagonal/>
    </border>
    <border>
      <left style="thin">
        <color auto="1"/>
      </left>
      <right style="double">
        <color theme="0" tint="-0.14990691854609822"/>
      </right>
      <top style="thin">
        <color theme="0" tint="-0.14990691854609822"/>
      </top>
      <bottom/>
      <diagonal/>
    </border>
    <border>
      <left style="double">
        <color theme="0" tint="-0.14990691854609822"/>
      </left>
      <right/>
      <top/>
      <bottom style="thin">
        <color auto="1"/>
      </bottom>
      <diagonal/>
    </border>
    <border>
      <left style="thin">
        <color auto="1"/>
      </left>
      <right style="double">
        <color theme="0" tint="-0.1498764000366222"/>
      </right>
      <top style="thin">
        <color theme="0" tint="-0.14990691854609822"/>
      </top>
      <bottom style="thin">
        <color theme="0" tint="-0.14990691854609822"/>
      </bottom>
      <diagonal/>
    </border>
    <border>
      <left style="double">
        <color theme="0" tint="-0.14990691854609822"/>
      </left>
      <right style="thin">
        <color auto="1"/>
      </right>
      <top style="thin">
        <color theme="0" tint="-0.14990691854609822"/>
      </top>
      <bottom/>
      <diagonal/>
    </border>
    <border>
      <left style="thin">
        <color theme="0" tint="-0.1498764000366222"/>
      </left>
      <right/>
      <top style="thin">
        <color theme="0" tint="-0.1498764000366222"/>
      </top>
      <bottom style="thin">
        <color theme="0" tint="-0.14990691854609822"/>
      </bottom>
      <diagonal/>
    </border>
    <border>
      <left style="thin">
        <color theme="0" tint="-0.14987640003662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90691854609822"/>
      </top>
      <bottom style="thin">
        <color theme="0" tint="-0.1498458815271462"/>
      </bottom>
      <diagonal/>
    </border>
    <border>
      <left style="thin">
        <color theme="0" tint="-0.1498764000366222"/>
      </left>
      <right/>
      <top style="thin">
        <color theme="0" tint="-0.14990691854609822"/>
      </top>
      <bottom style="thin">
        <color theme="0" tint="-0.1498458815271462"/>
      </bottom>
      <diagonal/>
    </border>
    <border>
      <left style="thin">
        <color theme="0" tint="-0.1498458815271462"/>
      </left>
      <right/>
      <top style="thin">
        <color theme="0" tint="-0.1498458815271462"/>
      </top>
      <bottom style="thin">
        <color theme="0" tint="-0.1498458815271462"/>
      </bottom>
      <diagonal/>
    </border>
    <border>
      <left/>
      <right/>
      <top style="thin">
        <color theme="1"/>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8458815271462"/>
      </left>
      <right style="thin">
        <color theme="0" tint="-0.149845881527146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style="thin">
        <color theme="0" tint="-0.1498764000366222"/>
      </left>
      <right style="thin">
        <color theme="0" tint="-0.1498764000366222"/>
      </right>
      <top style="thin">
        <color theme="0" tint="-0.14990691854609822"/>
      </top>
      <bottom/>
      <diagonal/>
    </border>
    <border>
      <left style="thin">
        <color theme="0" tint="-0.1498458815271462"/>
      </left>
      <right style="thin">
        <color theme="0" tint="-0.1498458815271462"/>
      </right>
      <top style="thin">
        <color theme="0" tint="-0.14990691854609822"/>
      </top>
      <bottom style="thin">
        <color theme="0" tint="-0.1498458815271462"/>
      </bottom>
      <diagonal/>
    </border>
    <border>
      <left style="double">
        <color auto="1"/>
      </left>
      <right style="thin">
        <color auto="1"/>
      </right>
      <top/>
      <bottom style="thin">
        <color theme="0" tint="-0.24994659260841701"/>
      </bottom>
      <diagonal/>
    </border>
    <border>
      <left style="double">
        <color auto="1"/>
      </left>
      <right style="thin">
        <color auto="1"/>
      </right>
      <top/>
      <bottom/>
      <diagonal/>
    </border>
    <border>
      <left style="thin">
        <color auto="1"/>
      </left>
      <right/>
      <top style="thin">
        <color theme="0" tint="-0.24994659260841701"/>
      </top>
      <bottom/>
      <diagonal/>
    </border>
    <border>
      <left style="double">
        <color auto="1"/>
      </left>
      <right style="thin">
        <color auto="1"/>
      </right>
      <top style="thin">
        <color theme="0" tint="-0.24994659260841701"/>
      </top>
      <bottom/>
      <diagonal/>
    </border>
    <border>
      <left style="double">
        <color auto="1"/>
      </left>
      <right style="thin">
        <color auto="1"/>
      </right>
      <top style="thin">
        <color theme="0" tint="-0.2499465926084170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thin">
        <color theme="0" tint="-0.1498458815271462"/>
      </bottom>
      <diagonal/>
    </border>
    <border>
      <left style="thin">
        <color auto="1"/>
      </left>
      <right style="double">
        <color auto="1"/>
      </right>
      <top/>
      <bottom style="thin">
        <color theme="0" tint="-0.24994659260841701"/>
      </bottom>
      <diagonal/>
    </border>
    <border>
      <left style="thin">
        <color theme="0"/>
      </left>
      <right style="thin">
        <color theme="0"/>
      </right>
      <top/>
      <bottom/>
      <diagonal/>
    </border>
    <border>
      <left style="thin">
        <color theme="1"/>
      </left>
      <right style="thin">
        <color theme="1"/>
      </right>
      <top style="thin">
        <color theme="0"/>
      </top>
      <bottom style="thin">
        <color theme="0" tint="-0.24994659260841701"/>
      </bottom>
      <diagonal/>
    </border>
    <border>
      <left style="thin">
        <color theme="1"/>
      </left>
      <right/>
      <top style="thin">
        <color theme="0"/>
      </top>
      <bottom style="thin">
        <color theme="0" tint="-0.24994659260841701"/>
      </bottom>
      <diagonal/>
    </border>
    <border>
      <left style="double">
        <color auto="1"/>
      </left>
      <right style="thin">
        <color theme="1"/>
      </right>
      <top style="thin">
        <color theme="0"/>
      </top>
      <bottom style="thin">
        <color theme="0" tint="-0.24994659260841701"/>
      </bottom>
      <diagonal/>
    </border>
    <border>
      <left style="thin">
        <color theme="0" tint="-0.1498458815271462"/>
      </left>
      <right/>
      <top style="thin">
        <color theme="0" tint="-0.1498458815271462"/>
      </top>
      <bottom/>
      <diagonal/>
    </border>
    <border>
      <left/>
      <right style="thin">
        <color theme="0" tint="-0.14981536301767021"/>
      </right>
      <top style="thin">
        <color theme="0" tint="-0.1498458815271462"/>
      </top>
      <bottom/>
      <diagonal/>
    </border>
    <border>
      <left/>
      <right style="thin">
        <color theme="0" tint="-0.14981536301767021"/>
      </right>
      <top/>
      <bottom/>
      <diagonal/>
    </border>
    <border>
      <left/>
      <right style="thin">
        <color theme="0" tint="-0.14981536301767021"/>
      </right>
      <top/>
      <bottom style="thin">
        <color theme="0" tint="-0.1498458815271462"/>
      </bottom>
      <diagonal/>
    </border>
    <border>
      <left style="thin">
        <color auto="1"/>
      </left>
      <right style="thin">
        <color indexed="55"/>
      </right>
      <top style="thin">
        <color auto="1"/>
      </top>
      <bottom/>
      <diagonal/>
    </border>
    <border>
      <left/>
      <right style="thin">
        <color indexed="55"/>
      </right>
      <top style="thin">
        <color auto="1"/>
      </top>
      <bottom/>
      <diagonal/>
    </border>
    <border>
      <left style="thin">
        <color auto="1"/>
      </left>
      <right style="thin">
        <color auto="1"/>
      </right>
      <top style="dotted">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thin">
        <color theme="0" tint="-0.1498458815271462"/>
      </top>
      <bottom style="thin">
        <color auto="1"/>
      </bottom>
      <diagonal/>
    </border>
    <border>
      <left/>
      <right style="thin">
        <color indexed="55"/>
      </right>
      <top/>
      <bottom style="thin">
        <color auto="1"/>
      </bottom>
      <diagonal/>
    </border>
    <border>
      <left/>
      <right style="thin">
        <color indexed="22"/>
      </right>
      <top/>
      <bottom style="thin">
        <color auto="1"/>
      </bottom>
      <diagonal/>
    </border>
    <border>
      <left style="thin">
        <color auto="1"/>
      </left>
      <right style="double">
        <color auto="1"/>
      </right>
      <top style="thin">
        <color rgb="FFD8D8D8"/>
      </top>
      <bottom style="thin">
        <color auto="1"/>
      </bottom>
      <diagonal/>
    </border>
    <border>
      <left/>
      <right style="thin">
        <color indexed="22"/>
      </right>
      <top style="thin">
        <color theme="0" tint="-0.1498458815271462"/>
      </top>
      <bottom style="thin">
        <color auto="1"/>
      </bottom>
      <diagonal/>
    </border>
    <border>
      <left style="thin">
        <color indexed="22"/>
      </left>
      <right style="thin">
        <color auto="1"/>
      </right>
      <top style="thin">
        <color theme="0" tint="-0.1498458815271462"/>
      </top>
      <bottom style="thin">
        <color auto="1"/>
      </bottom>
      <diagonal/>
    </border>
    <border>
      <left style="double">
        <color auto="1"/>
      </left>
      <right style="thin">
        <color auto="1"/>
      </right>
      <top style="thin">
        <color theme="0" tint="-0.1498458815271462"/>
      </top>
      <bottom style="thin">
        <color auto="1"/>
      </bottom>
      <diagonal/>
    </border>
    <border>
      <left/>
      <right/>
      <top/>
      <bottom style="thin">
        <color theme="0" tint="-0.24994659260841701"/>
      </bottom>
      <diagonal/>
    </border>
    <border>
      <left/>
      <right style="thin">
        <color auto="1"/>
      </right>
      <top/>
      <bottom style="thin">
        <color theme="0" tint="-0.24994659260841701"/>
      </bottom>
      <diagonal/>
    </border>
    <border>
      <left/>
      <right style="thin">
        <color auto="1"/>
      </right>
      <top style="thin">
        <color theme="0" tint="-0.24994659260841701"/>
      </top>
      <bottom/>
      <diagonal/>
    </border>
    <border>
      <left style="thin">
        <color auto="1"/>
      </left>
      <right style="thin">
        <color theme="0" tint="-0.34998626667073579"/>
      </right>
      <top style="thin">
        <color theme="0" tint="-0.1498458815271462"/>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22"/>
      </bottom>
      <diagonal/>
    </border>
    <border>
      <left/>
      <right/>
      <top/>
      <bottom style="medium">
        <color indexed="62"/>
      </bottom>
      <diagonal/>
    </border>
    <border>
      <left/>
      <right/>
      <top/>
      <bottom style="medium">
        <color rgb="FFC0C0C0"/>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rgb="FF333399"/>
      </bottom>
      <diagonal/>
    </border>
    <border>
      <left/>
      <right/>
      <top/>
      <bottom style="double">
        <color indexed="52"/>
      </bottom>
      <diagonal/>
    </border>
    <border>
      <left style="thin">
        <color rgb="FF000000"/>
      </left>
      <right style="thin">
        <color rgb="FF000000"/>
      </right>
      <top style="thin">
        <color rgb="FF000000"/>
      </top>
      <bottom style="thin">
        <color rgb="FF000000"/>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style="thin">
        <color rgb="FF000000"/>
      </left>
      <right/>
      <top/>
      <bottom/>
      <diagonal/>
    </border>
    <border>
      <left style="thin">
        <color theme="0"/>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style="thin">
        <color rgb="FF000000"/>
      </left>
      <right/>
      <top style="thin">
        <color rgb="FF000000"/>
      </top>
      <bottom style="thin">
        <color rgb="FF000000"/>
      </bottom>
      <diagonal/>
    </border>
    <border>
      <left style="thin">
        <color rgb="FFD8D8D8"/>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BFBFBF"/>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BFBFBF"/>
      </right>
      <top style="thin">
        <color rgb="FF000000"/>
      </top>
      <bottom style="thin">
        <color rgb="FF000000"/>
      </bottom>
      <diagonal/>
    </border>
    <border>
      <left style="thin">
        <color rgb="FFBFBFBF"/>
      </left>
      <right/>
      <top style="thin">
        <color rgb="FF000000"/>
      </top>
      <bottom style="thin">
        <color rgb="FF000000"/>
      </bottom>
      <diagonal/>
    </border>
    <border>
      <left style="thin">
        <color rgb="FF000000"/>
      </left>
      <right style="thin">
        <color rgb="FF000000"/>
      </right>
      <top/>
      <bottom style="thin">
        <color rgb="FFD8D8D8"/>
      </bottom>
      <diagonal/>
    </border>
    <border>
      <left style="double">
        <color auto="1"/>
      </left>
      <right style="thin">
        <color auto="1"/>
      </right>
      <top style="thin">
        <color auto="1"/>
      </top>
      <bottom style="thin">
        <color theme="0"/>
      </bottom>
      <diagonal/>
    </border>
    <border>
      <left/>
      <right/>
      <top style="thin">
        <color auto="1"/>
      </top>
      <bottom style="thin">
        <color theme="0"/>
      </bottom>
      <diagonal/>
    </border>
    <border>
      <left style="thin">
        <color auto="1"/>
      </left>
      <right style="thin">
        <color auto="1"/>
      </right>
      <top style="thin">
        <color auto="1"/>
      </top>
      <bottom style="thin">
        <color theme="0"/>
      </bottom>
      <diagonal/>
    </border>
    <border>
      <left style="thin">
        <color auto="1"/>
      </left>
      <right/>
      <top style="thin">
        <color auto="1"/>
      </top>
      <bottom style="thin">
        <color theme="0"/>
      </bottom>
      <diagonal/>
    </border>
    <border>
      <left style="thin">
        <color auto="1"/>
      </left>
      <right style="thin">
        <color indexed="22"/>
      </right>
      <top style="thin">
        <color auto="1"/>
      </top>
      <bottom style="thin">
        <color auto="1"/>
      </bottom>
      <diagonal/>
    </border>
    <border>
      <left style="thin">
        <color auto="1"/>
      </left>
      <right style="thin">
        <color auto="1"/>
      </right>
      <top style="thin">
        <color auto="1"/>
      </top>
      <bottom style="thin">
        <color auto="1"/>
      </bottom>
      <diagonal/>
    </border>
    <border>
      <left style="thin">
        <color theme="0" tint="-0.34998626667073579"/>
      </left>
      <right style="thin">
        <color auto="1"/>
      </right>
      <top style="thin">
        <color auto="1"/>
      </top>
      <bottom/>
      <diagonal/>
    </border>
    <border>
      <left style="thin">
        <color auto="1"/>
      </left>
      <right style="thin">
        <color indexed="55"/>
      </right>
      <top style="thin">
        <color auto="1"/>
      </top>
      <bottom style="thin">
        <color auto="1"/>
      </bottom>
      <diagonal/>
    </border>
    <border>
      <left/>
      <right style="thin">
        <color indexed="55"/>
      </right>
      <top style="thin">
        <color auto="1"/>
      </top>
      <bottom style="thin">
        <color auto="1"/>
      </bottom>
      <diagonal/>
    </border>
    <border>
      <left/>
      <right style="thin">
        <color theme="0" tint="-0.499984740745262"/>
      </right>
      <top style="thin">
        <color auto="1"/>
      </top>
      <bottom/>
      <diagonal/>
    </border>
    <border>
      <left/>
      <right style="thin">
        <color theme="0" tint="-0.499984740745262"/>
      </right>
      <top/>
      <bottom/>
      <diagonal/>
    </border>
    <border>
      <left/>
      <right style="thin">
        <color theme="0" tint="-0.499984740745262"/>
      </right>
      <top/>
      <bottom style="thin">
        <color theme="0" tint="-0.14990691854609822"/>
      </bottom>
      <diagonal/>
    </border>
    <border>
      <left/>
      <right style="thin">
        <color theme="0" tint="-0.499984740745262"/>
      </right>
      <top style="thin">
        <color theme="0" tint="-0.14990691854609822"/>
      </top>
      <bottom style="thin">
        <color auto="1"/>
      </bottom>
      <diagonal/>
    </border>
    <border>
      <left/>
      <right style="thin">
        <color theme="0" tint="-0.34998626667073579"/>
      </right>
      <top style="thin">
        <color theme="0" tint="-0.1498458815271462"/>
      </top>
      <bottom style="thin">
        <color theme="0"/>
      </bottom>
      <diagonal/>
    </border>
    <border>
      <left/>
      <right style="thin">
        <color theme="0" tint="-0.34998626667073579"/>
      </right>
      <top style="thin">
        <color theme="0"/>
      </top>
      <bottom/>
      <diagonal/>
    </border>
    <border>
      <left/>
      <right style="thin">
        <color indexed="64"/>
      </right>
      <top/>
      <bottom style="thin">
        <color auto="1"/>
      </bottom>
      <diagonal/>
    </border>
    <border>
      <left style="thin">
        <color theme="0"/>
      </left>
      <right style="thin">
        <color theme="0"/>
      </right>
      <top/>
      <bottom style="thin">
        <color theme="0"/>
      </bottom>
      <diagonal/>
    </border>
    <border>
      <left/>
      <right/>
      <top style="thin">
        <color theme="0"/>
      </top>
      <bottom/>
      <diagonal/>
    </border>
    <border>
      <left style="thin">
        <color rgb="FFBFBFBF"/>
      </left>
      <right style="thin">
        <color rgb="FFBFBFBF"/>
      </right>
      <top style="thin">
        <color rgb="FFBFBFBF"/>
      </top>
      <bottom style="thin">
        <color rgb="FFBFBFBF"/>
      </bottom>
      <diagonal/>
    </border>
    <border>
      <left/>
      <right style="thin">
        <color indexed="8"/>
      </right>
      <top style="thin">
        <color auto="1"/>
      </top>
      <bottom style="thin">
        <color auto="1"/>
      </bottom>
      <diagonal/>
    </border>
    <border>
      <left style="thin">
        <color theme="1"/>
      </left>
      <right style="thin">
        <color theme="1"/>
      </right>
      <top style="thin">
        <color theme="0" tint="-0.1498153630176702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rgb="FFD9D9D9"/>
      </top>
      <bottom style="thin">
        <color theme="0" tint="-0.24994659260841701"/>
      </bottom>
      <diagonal/>
    </border>
    <border>
      <left style="thin">
        <color theme="0" tint="-0.14981536301767021"/>
      </left>
      <right/>
      <top/>
      <bottom/>
      <diagonal/>
    </border>
    <border>
      <left style="thin">
        <color indexed="55"/>
      </left>
      <right style="thin">
        <color auto="1"/>
      </right>
      <top style="thin">
        <color auto="1"/>
      </top>
      <bottom style="thin">
        <color theme="0" tint="-0.1498458815271462"/>
      </bottom>
      <diagonal/>
    </border>
    <border>
      <left/>
      <right style="thin">
        <color indexed="55"/>
      </right>
      <top style="thin">
        <color auto="1"/>
      </top>
      <bottom style="thin">
        <color theme="0" tint="-0.1498458815271462"/>
      </bottom>
      <diagonal/>
    </border>
    <border>
      <left style="thin">
        <color auto="1"/>
      </left>
      <right style="double">
        <color auto="1"/>
      </right>
      <top style="thin">
        <color auto="1"/>
      </top>
      <bottom style="thin">
        <color theme="0" tint="-0.1498458815271462"/>
      </bottom>
      <diagonal/>
    </border>
    <border>
      <left style="thin">
        <color auto="1"/>
      </left>
      <right style="thin">
        <color auto="1"/>
      </right>
      <top style="thin">
        <color auto="1"/>
      </top>
      <bottom style="thin">
        <color theme="0" tint="-0.1498458815271462"/>
      </bottom>
      <diagonal/>
    </border>
    <border>
      <left style="double">
        <color auto="1"/>
      </left>
      <right style="thin">
        <color auto="1"/>
      </right>
      <top style="thin">
        <color auto="1"/>
      </top>
      <bottom style="thin">
        <color theme="0" tint="-0.1498458815271462"/>
      </bottom>
      <diagonal/>
    </border>
    <border>
      <left style="thin">
        <color indexed="22"/>
      </left>
      <right style="thin">
        <color auto="1"/>
      </right>
      <top style="thin">
        <color auto="1"/>
      </top>
      <bottom style="thin">
        <color theme="0" tint="-0.1498458815271462"/>
      </bottom>
      <diagonal/>
    </border>
    <border>
      <left/>
      <right style="thin">
        <color indexed="22"/>
      </right>
      <top style="thin">
        <color auto="1"/>
      </top>
      <bottom style="thin">
        <color theme="0" tint="-0.1498458815271462"/>
      </bottom>
      <diagonal/>
    </border>
    <border>
      <left style="double">
        <color auto="1"/>
      </left>
      <right/>
      <top style="thin">
        <color auto="1"/>
      </top>
      <bottom/>
      <diagonal/>
    </border>
    <border>
      <left style="thin">
        <color auto="1"/>
      </left>
      <right style="double">
        <color auto="1"/>
      </right>
      <top style="thin">
        <color auto="1"/>
      </top>
      <bottom/>
      <diagonal/>
    </border>
    <border>
      <left style="thin">
        <color indexed="8"/>
      </left>
      <right/>
      <top style="thin">
        <color auto="1"/>
      </top>
      <bottom style="thin">
        <color indexed="8"/>
      </bottom>
      <diagonal/>
    </border>
    <border>
      <left style="thin">
        <color auto="1"/>
      </left>
      <right/>
      <top style="thin">
        <color indexed="8"/>
      </top>
      <bottom/>
      <diagonal/>
    </border>
    <border>
      <left/>
      <right style="thin">
        <color auto="1"/>
      </right>
      <top style="thin">
        <color indexed="8"/>
      </top>
      <bottom/>
      <diagonal/>
    </border>
    <border>
      <left style="thin">
        <color auto="1"/>
      </left>
      <right style="thin">
        <color indexed="64"/>
      </right>
      <top style="thin">
        <color auto="1"/>
      </top>
      <bottom/>
      <diagonal/>
    </border>
    <border>
      <left style="thin">
        <color indexed="8"/>
      </left>
      <right style="thin">
        <color indexed="64"/>
      </right>
      <top style="thin">
        <color auto="1"/>
      </top>
      <bottom style="thin">
        <color indexed="8"/>
      </bottom>
      <diagonal/>
    </border>
    <border>
      <left style="thin">
        <color auto="1"/>
      </left>
      <right style="thin">
        <color theme="0" tint="-0.34998626667073579"/>
      </right>
      <top style="thin">
        <color auto="1"/>
      </top>
      <bottom style="thin">
        <color theme="0" tint="-0.1498458815271462"/>
      </bottom>
      <diagonal/>
    </border>
    <border>
      <left style="thin">
        <color rgb="FF000000"/>
      </left>
      <right style="thin">
        <color rgb="FF000000"/>
      </right>
      <top style="thin">
        <color rgb="FFD8D8D8"/>
      </top>
      <bottom style="thin">
        <color rgb="FF000000"/>
      </bottom>
      <diagonal/>
    </border>
    <border>
      <left style="thin">
        <color rgb="FF000000"/>
      </left>
      <right style="double">
        <color rgb="FF000000"/>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1498458815271462"/>
      </left>
      <right style="thin">
        <color theme="0" tint="-0.1498458815271462"/>
      </right>
      <top style="thin">
        <color theme="0" tint="-0.1498764000366222"/>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style="thin">
        <color theme="0" tint="-0.14996795556505021"/>
      </left>
      <right style="thin">
        <color theme="0" tint="-0.14990691854609822"/>
      </right>
      <top style="thin">
        <color theme="0" tint="-0.14990691854609822"/>
      </top>
      <bottom style="thin">
        <color theme="0" tint="-0.1498764000366222"/>
      </bottom>
      <diagonal/>
    </border>
    <border>
      <left style="thin">
        <color theme="0" tint="-0.14996795556505021"/>
      </left>
      <right/>
      <top/>
      <bottom/>
      <diagonal/>
    </border>
    <border>
      <left style="thin">
        <color theme="0" tint="-0.14996795556505021"/>
      </left>
      <right style="thin">
        <color theme="0" tint="-0.1498458815271462"/>
      </right>
      <top style="thin">
        <color theme="0" tint="-0.34998626667073579"/>
      </top>
      <bottom/>
      <diagonal/>
    </border>
    <border>
      <left style="thin">
        <color theme="0" tint="-0.14996795556505021"/>
      </left>
      <right style="thin">
        <color theme="0" tint="-0.24994659260841701"/>
      </right>
      <top style="thin">
        <color theme="0" tint="-0.24994659260841701"/>
      </top>
      <bottom style="thin">
        <color auto="1"/>
      </bottom>
      <diagonal/>
    </border>
    <border>
      <left/>
      <right style="thin">
        <color theme="0" tint="-0.1498458815271462"/>
      </right>
      <top style="thin">
        <color theme="0" tint="-0.1498458815271462"/>
      </top>
      <bottom/>
      <diagonal/>
    </border>
    <border>
      <left style="thin">
        <color theme="0" tint="-0.1498458815271462"/>
      </left>
      <right/>
      <top style="thin">
        <color theme="0" tint="-0.24994659260841701"/>
      </top>
      <bottom style="thin">
        <color theme="0" tint="-0.14981536301767021"/>
      </bottom>
      <diagonal/>
    </border>
    <border>
      <left/>
      <right style="thin">
        <color theme="0" tint="-0.1498458815271462"/>
      </right>
      <top style="thin">
        <color theme="0" tint="-0.2499465926084170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bottom>
      <diagonal/>
    </border>
    <border>
      <left style="thin">
        <color theme="0" tint="-0.1498764000366222"/>
      </left>
      <right style="thin">
        <color theme="0" tint="-0.1498764000366222"/>
      </right>
      <top/>
      <bottom style="thin">
        <color theme="0" tint="-0.14990691854609822"/>
      </bottom>
      <diagonal/>
    </border>
    <border>
      <left/>
      <right style="thin">
        <color theme="0" tint="-0.499984740745262"/>
      </right>
      <top style="thin">
        <color theme="0"/>
      </top>
      <bottom style="thin">
        <color theme="0"/>
      </bottom>
      <diagonal/>
    </border>
    <border>
      <left style="thin">
        <color theme="0" tint="-0.499984740745262"/>
      </left>
      <right/>
      <top style="thin">
        <color auto="1"/>
      </top>
      <bottom/>
      <diagonal/>
    </border>
    <border>
      <left style="thin">
        <color theme="0" tint="-0.499984740745262"/>
      </left>
      <right/>
      <top/>
      <bottom/>
      <diagonal/>
    </border>
    <border>
      <left style="thin">
        <color auto="1"/>
      </left>
      <right style="thin">
        <color auto="1"/>
      </right>
      <top style="thin">
        <color theme="0" tint="-0.14996795556505021"/>
      </top>
      <bottom style="thin">
        <color theme="0" tint="-0.14996795556505021"/>
      </bottom>
      <diagonal/>
    </border>
    <border>
      <left style="thin">
        <color auto="1"/>
      </left>
      <right/>
      <top style="thin">
        <color auto="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indexed="55"/>
      </left>
      <right style="thin">
        <color auto="1"/>
      </right>
      <top style="thin">
        <color auto="1"/>
      </top>
      <bottom/>
      <diagonal/>
    </border>
    <border>
      <left style="thin">
        <color auto="1"/>
      </left>
      <right style="thin">
        <color theme="0" tint="-0.34998626667073579"/>
      </right>
      <top style="thin">
        <color auto="1"/>
      </top>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rgb="FF000000"/>
      </left>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double">
        <color auto="1"/>
      </left>
      <right style="thin">
        <color auto="1"/>
      </right>
      <top style="thin">
        <color auto="1"/>
      </top>
      <bottom/>
      <diagonal/>
    </border>
    <border>
      <left style="double">
        <color auto="1"/>
      </left>
      <right style="thin">
        <color auto="1"/>
      </right>
      <top style="thin">
        <color auto="1"/>
      </top>
      <bottom style="thin">
        <color theme="0" tint="-0.24994659260841701"/>
      </bottom>
      <diagonal/>
    </border>
    <border>
      <left/>
      <right style="thin">
        <color theme="1"/>
      </right>
      <top style="thin">
        <color auto="1"/>
      </top>
      <bottom style="thin">
        <color auto="1"/>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theme="0" tint="-0.14990691854609822"/>
      </right>
      <top style="thin">
        <color auto="1"/>
      </top>
      <bottom/>
      <diagonal/>
    </border>
    <border>
      <left style="thin">
        <color theme="0" tint="-0.14990691854609822"/>
      </left>
      <right/>
      <top style="thin">
        <color auto="1"/>
      </top>
      <bottom/>
      <diagonal/>
    </border>
    <border>
      <left style="thin">
        <color auto="1"/>
      </left>
      <right style="thin">
        <color theme="0" tint="-0.14990691854609822"/>
      </right>
      <top style="thin">
        <color auto="1"/>
      </top>
      <bottom/>
      <diagonal/>
    </border>
    <border>
      <left style="thin">
        <color theme="0" tint="-0.14990691854609822"/>
      </left>
      <right style="thin">
        <color auto="1"/>
      </right>
      <top style="thin">
        <color auto="1"/>
      </top>
      <bottom/>
      <diagonal/>
    </border>
    <border>
      <left style="thin">
        <color theme="0" tint="-0.14990691854609822"/>
      </left>
      <right style="thin">
        <color theme="0" tint="-0.14990691854609822"/>
      </right>
      <top style="thin">
        <color auto="1"/>
      </top>
      <bottom/>
      <diagonal/>
    </border>
    <border>
      <left style="thin">
        <color theme="0" tint="-0.14990691854609822"/>
      </left>
      <right style="thin">
        <color theme="0" tint="-0.34998626667073579"/>
      </right>
      <top style="thin">
        <color auto="1"/>
      </top>
      <bottom/>
      <diagonal/>
    </border>
    <border>
      <left style="thin">
        <color auto="1"/>
      </left>
      <right style="thin">
        <color theme="0" tint="-0.14990691854609822"/>
      </right>
      <top style="thin">
        <color auto="1"/>
      </top>
      <bottom style="thin">
        <color theme="0" tint="-0.14990691854609822"/>
      </bottom>
      <diagonal/>
    </border>
    <border>
      <left style="thin">
        <color theme="0" tint="-0.14990691854609822"/>
      </left>
      <right style="thin">
        <color auto="1"/>
      </right>
      <top style="thin">
        <color auto="1"/>
      </top>
      <bottom style="thin">
        <color theme="0" tint="-0.14990691854609822"/>
      </bottom>
      <diagonal/>
    </border>
    <border>
      <left style="thin">
        <color theme="0" tint="-0.14990691854609822"/>
      </left>
      <right style="thin">
        <color theme="0" tint="-0.14990691854609822"/>
      </right>
      <top style="thin">
        <color auto="1"/>
      </top>
      <bottom style="thin">
        <color theme="0" tint="-0.14990691854609822"/>
      </bottom>
      <diagonal/>
    </border>
    <border>
      <left style="thin">
        <color theme="0" tint="-0.14990691854609822"/>
      </left>
      <right style="thin">
        <color theme="0" tint="-0.34998626667073579"/>
      </right>
      <top style="thin">
        <color auto="1"/>
      </top>
      <bottom style="thin">
        <color theme="0" tint="-0.14990691854609822"/>
      </bottom>
      <diagonal/>
    </border>
    <border>
      <left/>
      <right style="double">
        <color auto="1"/>
      </right>
      <top style="thin">
        <color auto="1"/>
      </top>
      <bottom style="thin">
        <color auto="1"/>
      </bottom>
      <diagonal/>
    </border>
    <border>
      <left style="thin">
        <color theme="0" tint="-0.24994659260841701"/>
      </left>
      <right style="double">
        <color auto="1"/>
      </right>
      <top style="thin">
        <color auto="1"/>
      </top>
      <bottom style="thin">
        <color auto="1"/>
      </bottom>
      <diagonal/>
    </border>
    <border>
      <left style="thin">
        <color theme="0" tint="-0.14990691854609822"/>
      </left>
      <right style="double">
        <color auto="1"/>
      </right>
      <top style="thin">
        <color auto="1"/>
      </top>
      <bottom style="thin">
        <color auto="1"/>
      </bottom>
      <diagonal/>
    </border>
    <border>
      <left style="thin">
        <color auto="1"/>
      </left>
      <right/>
      <top style="thin">
        <color auto="1"/>
      </top>
      <bottom style="thin">
        <color theme="0" tint="-0.14990691854609822"/>
      </bottom>
      <diagonal/>
    </border>
    <border>
      <left/>
      <right/>
      <top style="thin">
        <color auto="1"/>
      </top>
      <bottom style="thin">
        <color theme="0" tint="-0.14990691854609822"/>
      </bottom>
      <diagonal/>
    </border>
    <border>
      <left/>
      <right style="thin">
        <color auto="1"/>
      </right>
      <top style="thin">
        <color auto="1"/>
      </top>
      <bottom style="thin">
        <color theme="0" tint="-0.14990691854609822"/>
      </bottom>
      <diagonal/>
    </border>
    <border>
      <left style="thin">
        <color auto="1"/>
      </left>
      <right style="double">
        <color theme="0" tint="-0.14990691854609822"/>
      </right>
      <top style="thin">
        <color auto="1"/>
      </top>
      <bottom/>
      <diagonal/>
    </border>
    <border>
      <left style="double">
        <color theme="0" tint="-0.14990691854609822"/>
      </left>
      <right style="thin">
        <color auto="1"/>
      </right>
      <top style="thin">
        <color auto="1"/>
      </top>
      <bottom/>
      <diagonal/>
    </border>
    <border>
      <left style="thin">
        <color auto="1"/>
      </left>
      <right style="double">
        <color theme="0" tint="-0.14990691854609822"/>
      </right>
      <top style="thin">
        <color auto="1"/>
      </top>
      <bottom style="thin">
        <color theme="0" tint="-0.14990691854609822"/>
      </bottom>
      <diagonal/>
    </border>
    <border>
      <left style="double">
        <color theme="0" tint="-0.14990691854609822"/>
      </left>
      <right style="thin">
        <color auto="1"/>
      </right>
      <top style="thin">
        <color auto="1"/>
      </top>
      <bottom style="thin">
        <color theme="0" tint="-0.14990691854609822"/>
      </bottom>
      <diagonal/>
    </border>
    <border>
      <left style="thin">
        <color auto="1"/>
      </left>
      <right style="double">
        <color theme="0" tint="-0.1498764000366222"/>
      </right>
      <top style="thin">
        <color auto="1"/>
      </top>
      <bottom/>
      <diagonal/>
    </border>
    <border>
      <left/>
      <right style="thin">
        <color theme="0" tint="-0.34998626667073579"/>
      </right>
      <top style="thin">
        <color auto="1"/>
      </top>
      <bottom style="thin">
        <color auto="1"/>
      </bottom>
      <diagonal/>
    </border>
    <border>
      <left style="thin">
        <color auto="1"/>
      </left>
      <right style="double">
        <color theme="0" tint="-0.1498764000366222"/>
      </right>
      <top style="thin">
        <color auto="1"/>
      </top>
      <bottom style="thin">
        <color theme="0" tint="-0.14990691854609822"/>
      </bottom>
      <diagonal/>
    </border>
    <border>
      <left style="thin">
        <color theme="0" tint="-0.34998626667073579"/>
      </left>
      <right style="thin">
        <color theme="0" tint="-0.34998626667073579"/>
      </right>
      <top style="thin">
        <color auto="1"/>
      </top>
      <bottom style="thin">
        <color auto="1"/>
      </bottom>
      <diagonal/>
    </border>
    <border>
      <left style="thin">
        <color theme="0" tint="-0.24994659260841701"/>
      </left>
      <right style="thin">
        <color auto="1"/>
      </right>
      <top style="thin">
        <color auto="1"/>
      </top>
      <bottom/>
      <diagonal/>
    </border>
    <border>
      <left style="thin">
        <color auto="1"/>
      </left>
      <right style="thin">
        <color theme="0" tint="-0.1498458815271462"/>
      </right>
      <top style="thin">
        <color auto="1"/>
      </top>
      <bottom/>
      <diagonal/>
    </border>
    <border>
      <left style="thin">
        <color theme="0" tint="-0.1498458815271462"/>
      </left>
      <right style="thin">
        <color theme="0" tint="-0.1498458815271462"/>
      </right>
      <top style="thin">
        <color auto="1"/>
      </top>
      <bottom/>
      <diagonal/>
    </border>
    <border>
      <left style="thin">
        <color theme="0" tint="-0.1498458815271462"/>
      </left>
      <right style="thin">
        <color auto="1"/>
      </right>
      <top style="thin">
        <color auto="1"/>
      </top>
      <bottom/>
      <diagonal/>
    </border>
    <border>
      <left style="thin">
        <color theme="0" tint="-0.1498458815271462"/>
      </left>
      <right/>
      <top style="thin">
        <color auto="1"/>
      </top>
      <bottom/>
      <diagonal/>
    </border>
    <border>
      <left style="thin">
        <color theme="0" tint="-0.1498458815271462"/>
      </left>
      <right style="thin">
        <color theme="0" tint="-0.1498458815271462"/>
      </right>
      <top style="thin">
        <color auto="1"/>
      </top>
      <bottom style="thin">
        <color theme="0" tint="-0.1498458815271462"/>
      </bottom>
      <diagonal/>
    </border>
    <border>
      <left style="thin">
        <color theme="0" tint="-0.24994659260841701"/>
      </left>
      <right style="thin">
        <color theme="0" tint="-0.34998626667073579"/>
      </right>
      <top style="thin">
        <color auto="1"/>
      </top>
      <bottom style="thin">
        <color theme="0" tint="-0.24994659260841701"/>
      </bottom>
      <diagonal/>
    </border>
    <border>
      <left style="thin">
        <color theme="1" tint="0.499984740745262"/>
      </left>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1498458815271462"/>
      </bottom>
      <diagonal/>
    </border>
    <border>
      <left/>
      <right/>
      <top style="thin">
        <color auto="1"/>
      </top>
      <bottom style="thin">
        <color theme="0" tint="-0.1498458815271462"/>
      </bottom>
      <diagonal/>
    </border>
    <border>
      <left/>
      <right style="thin">
        <color auto="1"/>
      </right>
      <top style="thin">
        <color auto="1"/>
      </top>
      <bottom style="thin">
        <color theme="0" tint="-0.1498458815271462"/>
      </bottom>
      <diagonal/>
    </border>
    <border>
      <left style="thin">
        <color auto="1"/>
      </left>
      <right style="double">
        <color theme="0" tint="-0.1498458815271462"/>
      </right>
      <top style="thin">
        <color auto="1"/>
      </top>
      <bottom/>
      <diagonal/>
    </border>
    <border>
      <left style="double">
        <color theme="0" tint="-0.1498458815271462"/>
      </left>
      <right style="thin">
        <color auto="1"/>
      </right>
      <top style="thin">
        <color auto="1"/>
      </top>
      <bottom/>
      <diagonal/>
    </border>
    <border>
      <left style="double">
        <color theme="0" tint="-0.14981536301767021"/>
      </left>
      <right style="thin">
        <color auto="1"/>
      </right>
      <top style="thin">
        <color auto="1"/>
      </top>
      <bottom/>
      <diagonal/>
    </border>
    <border>
      <left style="thin">
        <color auto="1"/>
      </left>
      <right style="double">
        <color theme="0" tint="-0.1498458815271462"/>
      </right>
      <top style="thin">
        <color auto="1"/>
      </top>
      <bottom style="thin">
        <color theme="0" tint="-0.1498458815271462"/>
      </bottom>
      <diagonal/>
    </border>
    <border>
      <left style="double">
        <color theme="0" tint="-0.1498458815271462"/>
      </left>
      <right style="thin">
        <color auto="1"/>
      </right>
      <top style="thin">
        <color auto="1"/>
      </top>
      <bottom style="thin">
        <color theme="0" tint="-0.1498458815271462"/>
      </bottom>
      <diagonal/>
    </border>
    <border>
      <left style="double">
        <color theme="0" tint="-0.14981536301767021"/>
      </left>
      <right style="thin">
        <color auto="1"/>
      </right>
      <top style="thin">
        <color auto="1"/>
      </top>
      <bottom style="thin">
        <color theme="0" tint="-0.1498458815271462"/>
      </bottom>
      <diagonal/>
    </border>
    <border>
      <left style="thin">
        <color theme="0" tint="-0.14981536301767021"/>
      </left>
      <right style="thin">
        <color auto="1"/>
      </right>
      <top style="thin">
        <color auto="1"/>
      </top>
      <bottom style="thin">
        <color auto="1"/>
      </bottom>
      <diagonal/>
    </border>
    <border>
      <left style="thin">
        <color theme="0" tint="-0.34998626667073579"/>
      </left>
      <right style="thin">
        <color theme="0" tint="-0.34998626667073579"/>
      </right>
      <top style="thin">
        <color auto="1"/>
      </top>
      <bottom style="thin">
        <color theme="0" tint="-0.14981536301767021"/>
      </bottom>
      <diagonal/>
    </border>
    <border>
      <left/>
      <right style="thin">
        <color theme="1"/>
      </right>
      <top style="thin">
        <color auto="1"/>
      </top>
      <bottom style="thin">
        <color theme="0" tint="-0.1498458815271462"/>
      </bottom>
      <diagonal/>
    </border>
    <border>
      <left style="thin">
        <color theme="0" tint="-0.1498458815271462"/>
      </left>
      <right style="double">
        <color auto="1"/>
      </right>
      <top style="thin">
        <color auto="1"/>
      </top>
      <bottom style="thin">
        <color auto="1"/>
      </bottom>
      <diagonal/>
    </border>
    <border>
      <left style="thin">
        <color theme="1"/>
      </left>
      <right style="thin">
        <color auto="1"/>
      </right>
      <top style="thin">
        <color auto="1"/>
      </top>
      <bottom style="thin">
        <color auto="1"/>
      </bottom>
      <diagonal/>
    </border>
    <border>
      <left style="thin">
        <color auto="1"/>
      </left>
      <right style="thin">
        <color auto="1"/>
      </right>
      <top style="thin">
        <color auto="1"/>
      </top>
      <bottom style="thin">
        <color theme="0" tint="-0.14981536301767021"/>
      </bottom>
      <diagonal/>
    </border>
    <border>
      <left style="thin">
        <color auto="1"/>
      </left>
      <right/>
      <top style="thin">
        <color auto="1"/>
      </top>
      <bottom style="thin">
        <color theme="1" tint="0.1498458815271462"/>
      </bottom>
      <diagonal/>
    </border>
    <border>
      <left/>
      <right style="thin">
        <color auto="1"/>
      </right>
      <top style="thin">
        <color auto="1"/>
      </top>
      <bottom style="thin">
        <color theme="1" tint="0.1498458815271462"/>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theme="0" tint="-0.499984740745262"/>
      </right>
      <top style="thin">
        <color auto="1"/>
      </top>
      <bottom/>
      <diagonal/>
    </border>
    <border>
      <left style="thin">
        <color theme="0" tint="-0.34998626667073579"/>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0" tint="-0.499984740745262"/>
      </left>
      <right style="thin">
        <color theme="0" tint="-0.499984740745262"/>
      </right>
      <top style="thin">
        <color auto="1"/>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theme="1"/>
      </left>
      <right style="thin">
        <color theme="1"/>
      </right>
      <top style="thin">
        <color auto="1"/>
      </top>
      <bottom/>
      <diagonal/>
    </border>
    <border>
      <left style="thin">
        <color theme="0" tint="-0.34998626667073579"/>
      </left>
      <right/>
      <top style="thin">
        <color auto="1"/>
      </top>
      <bottom/>
      <diagonal/>
    </border>
    <border>
      <left style="thin">
        <color theme="0" tint="-0.1498458815271462"/>
      </left>
      <right style="thin">
        <color theme="0" tint="-0.1498458815271462"/>
      </right>
      <top style="thin">
        <color auto="1"/>
      </top>
      <bottom style="thin">
        <color auto="1"/>
      </bottom>
      <diagonal/>
    </border>
    <border>
      <left style="thin">
        <color auto="1"/>
      </left>
      <right style="thin">
        <color theme="0" tint="-0.1498458815271462"/>
      </right>
      <top style="thin">
        <color auto="1"/>
      </top>
      <bottom style="thin">
        <color theme="0" tint="-0.1498458815271462"/>
      </bottom>
      <diagonal/>
    </border>
    <border>
      <left style="thin">
        <color theme="0" tint="-0.1498458815271462"/>
      </left>
      <right style="thin">
        <color auto="1"/>
      </right>
      <top style="thin">
        <color auto="1"/>
      </top>
      <bottom style="thin">
        <color theme="0" tint="-0.1498458815271462"/>
      </bottom>
      <diagonal/>
    </border>
    <border>
      <left style="thin">
        <color auto="1"/>
      </left>
      <right style="thin">
        <color theme="1" tint="0.499984740745262"/>
      </right>
      <top style="thin">
        <color auto="1"/>
      </top>
      <bottom style="thin">
        <color theme="1"/>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style="thin">
        <color auto="1"/>
      </right>
      <top style="thin">
        <color auto="1"/>
      </top>
      <bottom style="thin">
        <color theme="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theme="0" tint="-0.24994659260841701"/>
      </left>
      <right style="thin">
        <color auto="1"/>
      </right>
      <top style="thin">
        <color auto="1"/>
      </top>
      <bottom/>
      <diagonal/>
    </border>
    <border>
      <left style="thin">
        <color auto="1"/>
      </left>
      <right style="double">
        <color theme="0" tint="-0.24994659260841701"/>
      </right>
      <top style="thin">
        <color auto="1"/>
      </top>
      <bottom/>
      <diagonal/>
    </border>
    <border>
      <left style="double">
        <color theme="0" tint="-0.24994659260841701"/>
      </left>
      <right style="thin">
        <color auto="1"/>
      </right>
      <top style="thin">
        <color auto="1"/>
      </top>
      <bottom style="thin">
        <color theme="0" tint="-0.24994659260841701"/>
      </bottom>
      <diagonal/>
    </border>
    <border>
      <left style="thin">
        <color auto="1"/>
      </left>
      <right style="double">
        <color theme="0" tint="-0.24994659260841701"/>
      </right>
      <top style="thin">
        <color auto="1"/>
      </top>
      <bottom style="thin">
        <color theme="0" tint="-0.24994659260841701"/>
      </bottom>
      <diagonal/>
    </border>
    <border>
      <left style="thin">
        <color theme="0" tint="-0.24994659260841701"/>
      </left>
      <right/>
      <top style="thin">
        <color auto="1"/>
      </top>
      <bottom style="thin">
        <color auto="1"/>
      </bottom>
      <diagonal/>
    </border>
    <border>
      <left style="thin">
        <color theme="0" tint="-0.1498458815271462"/>
      </left>
      <right/>
      <top style="thin">
        <color auto="1"/>
      </top>
      <bottom style="thin">
        <color auto="1"/>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14981536301767021"/>
      </left>
      <right style="thin">
        <color auto="1"/>
      </right>
      <top style="thin">
        <color auto="1"/>
      </top>
      <bottom style="thin">
        <color theme="0" tint="-0.1498458815271462"/>
      </bottom>
      <diagonal/>
    </border>
    <border>
      <left style="thin">
        <color indexed="55"/>
      </left>
      <right style="thin">
        <color auto="1"/>
      </right>
      <top style="thin">
        <color auto="1"/>
      </top>
      <bottom style="thin">
        <color auto="1"/>
      </bottom>
      <diagonal/>
    </border>
    <border>
      <left style="thin">
        <color auto="1"/>
      </left>
      <right style="thin">
        <color theme="0" tint="-0.34998626667073579"/>
      </right>
      <top style="thin">
        <color auto="1"/>
      </top>
      <bottom style="thin">
        <color auto="1"/>
      </bottom>
      <diagonal/>
    </border>
    <border>
      <left style="thin">
        <color indexed="64"/>
      </left>
      <right style="thin">
        <color auto="1"/>
      </right>
      <top/>
      <bottom style="thin">
        <color auto="1"/>
      </bottom>
      <diagonal/>
    </border>
    <border>
      <left style="thin">
        <color auto="1"/>
      </left>
      <right style="double">
        <color auto="1"/>
      </right>
      <top/>
      <bottom style="thin">
        <color auto="1"/>
      </bottom>
      <diagonal/>
    </border>
    <border>
      <left style="thin">
        <color auto="1"/>
      </left>
      <right style="thin">
        <color theme="0" tint="-0.14990691854609822"/>
      </right>
      <top style="thin">
        <color auto="1"/>
      </top>
      <bottom style="thin">
        <color auto="1"/>
      </bottom>
      <diagonal/>
    </border>
    <border>
      <left style="thin">
        <color auto="1"/>
      </left>
      <right style="thin">
        <color theme="1" tint="0.499984740745262"/>
      </right>
      <top style="thin">
        <color auto="1"/>
      </top>
      <bottom style="thin">
        <color auto="1"/>
      </bottom>
      <diagonal/>
    </border>
    <border>
      <left style="thin">
        <color auto="1"/>
      </left>
      <right style="thin">
        <color theme="0" tint="-0.1498458815271462"/>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auto="1"/>
      </left>
      <right style="thin">
        <color theme="0"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22"/>
      </left>
      <right style="thin">
        <color auto="1"/>
      </right>
      <top style="thin">
        <color auto="1"/>
      </top>
      <bottom style="thin">
        <color auto="1"/>
      </bottom>
      <diagonal/>
    </border>
    <border>
      <left style="thin">
        <color indexed="55"/>
      </left>
      <right style="thin">
        <color auto="1"/>
      </right>
      <top style="thin">
        <color auto="1"/>
      </top>
      <bottom style="thin">
        <color auto="1"/>
      </bottom>
      <diagonal/>
    </border>
    <border>
      <left style="thin">
        <color auto="1"/>
      </left>
      <right style="thin">
        <color theme="0" tint="-0.34998626667073579"/>
      </right>
      <top style="thin">
        <color auto="1"/>
      </top>
      <bottom style="thin">
        <color auto="1"/>
      </bottom>
      <diagonal/>
    </border>
    <border>
      <left style="thin">
        <color indexed="64"/>
      </left>
      <right style="thin">
        <color indexed="64"/>
      </right>
      <top/>
      <bottom/>
      <diagonal/>
    </border>
    <border>
      <left style="thin">
        <color auto="1"/>
      </left>
      <right style="double">
        <color auto="1"/>
      </right>
      <top/>
      <bottom/>
      <diagonal/>
    </border>
    <border>
      <left style="thin">
        <color indexed="55"/>
      </left>
      <right style="thin">
        <color auto="1"/>
      </right>
      <top/>
      <bottom/>
      <diagonal/>
    </border>
    <border>
      <left style="thin">
        <color indexed="22"/>
      </left>
      <right style="thin">
        <color auto="1"/>
      </right>
      <top/>
      <bottom style="thin">
        <color auto="1"/>
      </bottom>
      <diagonal/>
    </border>
    <border>
      <left style="thin">
        <color indexed="64"/>
      </left>
      <right/>
      <top/>
      <bottom/>
      <diagonal/>
    </border>
    <border>
      <left style="thin">
        <color indexed="64"/>
      </left>
      <right style="thin">
        <color auto="1"/>
      </right>
      <top/>
      <bottom style="thin">
        <color auto="1"/>
      </bottom>
      <diagonal/>
    </border>
    <border>
      <left style="thin">
        <color auto="1"/>
      </left>
      <right style="double">
        <color auto="1"/>
      </right>
      <top/>
      <bottom style="thin">
        <color auto="1"/>
      </bottom>
      <diagonal/>
    </border>
    <border>
      <left style="thin">
        <color indexed="55"/>
      </left>
      <right/>
      <top/>
      <bottom style="thin">
        <color auto="1"/>
      </bottom>
      <diagonal/>
    </border>
    <border>
      <left style="thin">
        <color indexed="64"/>
      </left>
      <right style="thin">
        <color indexed="64"/>
      </right>
      <top/>
      <bottom/>
      <diagonal/>
    </border>
    <border>
      <left style="thin">
        <color indexed="55"/>
      </left>
      <right style="thin">
        <color auto="1"/>
      </right>
      <top/>
      <bottom style="thin">
        <color auto="1"/>
      </bottom>
      <diagonal/>
    </border>
    <border>
      <left style="thin">
        <color auto="1"/>
      </left>
      <right style="double">
        <color auto="1"/>
      </right>
      <top/>
      <bottom/>
      <diagonal/>
    </border>
    <border>
      <left style="thin">
        <color auto="1"/>
      </left>
      <right style="thin">
        <color theme="0"/>
      </right>
      <top/>
      <bottom/>
      <diagonal/>
    </border>
    <border>
      <left style="thin">
        <color auto="1"/>
      </left>
      <right style="thin">
        <color theme="0" tint="-0.34998626667073579"/>
      </right>
      <top/>
      <bottom style="thin">
        <color auto="1"/>
      </bottom>
      <diagonal/>
    </border>
    <border>
      <left style="thin">
        <color indexed="22"/>
      </left>
      <right/>
      <top/>
      <bottom/>
      <diagonal/>
    </border>
    <border>
      <left style="thin">
        <color auto="1"/>
      </left>
      <right style="thin">
        <color theme="0" tint="-0.14990691854609822"/>
      </right>
      <top/>
      <bottom style="thin">
        <color auto="1"/>
      </bottom>
      <diagonal/>
    </border>
    <border>
      <left style="thin">
        <color auto="1"/>
      </left>
      <right style="double">
        <color theme="0" tint="-0.14990691854609822"/>
      </right>
      <top/>
      <bottom style="thin">
        <color auto="1"/>
      </bottom>
      <diagonal/>
    </border>
    <border>
      <left style="thin">
        <color auto="1"/>
      </left>
      <right style="double">
        <color theme="0" tint="-0.14990691854609822"/>
      </right>
      <top/>
      <bottom/>
      <diagonal/>
    </border>
    <border>
      <left style="thin">
        <color auto="1"/>
      </left>
      <right style="thin">
        <color theme="0" tint="-0.1498458815271462"/>
      </right>
      <top/>
      <bottom style="thin">
        <color auto="1"/>
      </bottom>
      <diagonal/>
    </border>
    <border>
      <left style="thin">
        <color auto="1"/>
      </left>
      <right style="double">
        <color theme="0" tint="-0.1498458815271462"/>
      </right>
      <top/>
      <bottom style="thin">
        <color auto="1"/>
      </bottom>
      <diagonal/>
    </border>
    <border>
      <left style="thin">
        <color auto="1"/>
      </left>
      <right style="double">
        <color theme="0" tint="-0.1498458815271462"/>
      </right>
      <top/>
      <bottom/>
      <diagonal/>
    </border>
    <border>
      <left style="thin">
        <color indexed="8"/>
      </left>
      <right/>
      <top/>
      <bottom/>
      <diagonal/>
    </border>
    <border>
      <left style="thin">
        <color auto="1"/>
      </left>
      <right style="thin">
        <color theme="0" tint="-0.24994659260841701"/>
      </right>
      <top/>
      <bottom/>
      <diagonal/>
    </border>
    <border>
      <left style="thin">
        <color auto="1"/>
      </left>
      <right style="thin">
        <color theme="0" tint="-0.24994659260841701"/>
      </right>
      <top/>
      <bottom style="thin">
        <color auto="1"/>
      </bottom>
      <diagonal/>
    </border>
    <border>
      <left style="thin">
        <color auto="1"/>
      </left>
      <right style="thin">
        <color theme="0" tint="-0.1498458815271462"/>
      </right>
      <top/>
      <bottom/>
      <diagonal/>
    </border>
    <border>
      <left style="thin">
        <color auto="1"/>
      </left>
      <right style="double">
        <color theme="0" tint="-0.24994659260841701"/>
      </right>
      <top/>
      <bottom/>
      <diagonal/>
    </border>
  </borders>
  <cellStyleXfs count="31477">
    <xf numFmtId="0" fontId="0" fillId="0" borderId="0"/>
    <xf numFmtId="0" fontId="254" fillId="65" borderId="296"/>
    <xf numFmtId="0" fontId="251" fillId="65" borderId="294"/>
    <xf numFmtId="0" fontId="252" fillId="66" borderId="294"/>
    <xf numFmtId="0" fontId="251" fillId="65" borderId="294"/>
    <xf numFmtId="0" fontId="251" fillId="65" borderId="294"/>
    <xf numFmtId="164" fontId="305" fillId="0" borderId="0" applyFont="0" applyFill="0" applyBorder="0" applyAlignment="0" applyProtection="0"/>
    <xf numFmtId="0" fontId="305" fillId="67" borderId="34"/>
    <xf numFmtId="0" fontId="251" fillId="65" borderId="294"/>
    <xf numFmtId="0" fontId="251" fillId="65" borderId="294"/>
    <xf numFmtId="0" fontId="252" fillId="66" borderId="294"/>
    <xf numFmtId="0" fontId="251" fillId="65" borderId="294"/>
    <xf numFmtId="0" fontId="253" fillId="0" borderId="295"/>
    <xf numFmtId="0" fontId="253" fillId="0" borderId="295"/>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252" fillId="66" borderId="294"/>
    <xf numFmtId="0" fontId="255" fillId="75" borderId="0"/>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3" fillId="0" borderId="295"/>
    <xf numFmtId="0" fontId="252" fillId="66" borderId="29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3" fillId="0" borderId="295"/>
    <xf numFmtId="0" fontId="254" fillId="65" borderId="296"/>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178" fillId="0" borderId="0"/>
    <xf numFmtId="0" fontId="22" fillId="0" borderId="0">
      <alignment vertical="top"/>
      <protection locked="0"/>
    </xf>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254" fillId="65" borderId="296"/>
    <xf numFmtId="0" fontId="251" fillId="65" borderId="294"/>
    <xf numFmtId="0" fontId="254" fillId="65" borderId="296"/>
    <xf numFmtId="0" fontId="251" fillId="65" borderId="294"/>
    <xf numFmtId="0" fontId="254" fillId="65" borderId="296"/>
    <xf numFmtId="0" fontId="251" fillId="65" borderId="294"/>
    <xf numFmtId="0" fontId="252" fillId="66" borderId="294"/>
    <xf numFmtId="0" fontId="252" fillId="66" borderId="294"/>
    <xf numFmtId="0" fontId="251" fillId="65" borderId="294"/>
    <xf numFmtId="0" fontId="253" fillId="0" borderId="295"/>
    <xf numFmtId="0" fontId="254" fillId="65" borderId="296"/>
    <xf numFmtId="0" fontId="252" fillId="66" borderId="294"/>
    <xf numFmtId="0" fontId="305" fillId="67" borderId="34"/>
    <xf numFmtId="0" fontId="254" fillId="65" borderId="296"/>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254" fillId="65" borderId="296"/>
    <xf numFmtId="0" fontId="251" fillId="65" borderId="294"/>
    <xf numFmtId="0" fontId="251" fillId="65" borderId="294"/>
    <xf numFmtId="0" fontId="251" fillId="65" borderId="294"/>
    <xf numFmtId="0" fontId="252" fillId="66" borderId="294"/>
    <xf numFmtId="0" fontId="252" fillId="66" borderId="294"/>
    <xf numFmtId="0" fontId="252" fillId="66" borderId="294"/>
    <xf numFmtId="0" fontId="254" fillId="65" borderId="296"/>
    <xf numFmtId="0" fontId="251" fillId="65" borderId="294"/>
    <xf numFmtId="0" fontId="253" fillId="0" borderId="295"/>
    <xf numFmtId="0" fontId="252" fillId="66" borderId="294"/>
    <xf numFmtId="0" fontId="255" fillId="56" borderId="0"/>
    <xf numFmtId="0" fontId="251" fillId="65" borderId="294"/>
    <xf numFmtId="0" fontId="251" fillId="65" borderId="294"/>
    <xf numFmtId="0" fontId="305" fillId="67" borderId="34"/>
    <xf numFmtId="0" fontId="305" fillId="67" borderId="34"/>
    <xf numFmtId="0" fontId="305" fillId="67" borderId="34"/>
    <xf numFmtId="0" fontId="253" fillId="0" borderId="295"/>
    <xf numFmtId="0" fontId="251" fillId="65" borderId="294"/>
    <xf numFmtId="0" fontId="252" fillId="66" borderId="294"/>
    <xf numFmtId="0" fontId="252" fillId="66" borderId="294"/>
    <xf numFmtId="0" fontId="305" fillId="67" borderId="3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3" fillId="0" borderId="295"/>
    <xf numFmtId="0" fontId="305" fillId="67" borderId="34"/>
    <xf numFmtId="0" fontId="305" fillId="67" borderId="34"/>
    <xf numFmtId="0" fontId="251" fillId="65" borderId="294"/>
    <xf numFmtId="0" fontId="258" fillId="71" borderId="0"/>
    <xf numFmtId="0" fontId="251" fillId="65" borderId="294"/>
    <xf numFmtId="0" fontId="252" fillId="66" borderId="294"/>
    <xf numFmtId="0" fontId="253" fillId="0" borderId="295"/>
    <xf numFmtId="0" fontId="252" fillId="66" borderId="294"/>
    <xf numFmtId="0" fontId="254" fillId="65" borderId="296"/>
    <xf numFmtId="0" fontId="251" fillId="65" borderId="294"/>
    <xf numFmtId="0" fontId="251" fillId="65" borderId="294"/>
    <xf numFmtId="0" fontId="305" fillId="67" borderId="34"/>
    <xf numFmtId="0" fontId="305" fillId="67" borderId="34"/>
    <xf numFmtId="0" fontId="262" fillId="77" borderId="0"/>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3" fillId="0" borderId="295"/>
    <xf numFmtId="0" fontId="254" fillId="65" borderId="296"/>
    <xf numFmtId="0" fontId="251" fillId="65" borderId="294"/>
    <xf numFmtId="0" fontId="252" fillId="66" borderId="294"/>
    <xf numFmtId="0" fontId="255" fillId="66" borderId="0"/>
    <xf numFmtId="0" fontId="305" fillId="67" borderId="34"/>
    <xf numFmtId="0" fontId="252" fillId="66" borderId="294"/>
    <xf numFmtId="0" fontId="305" fillId="67" borderId="34"/>
    <xf numFmtId="0" fontId="254" fillId="65" borderId="296"/>
    <xf numFmtId="0" fontId="305" fillId="67" borderId="34"/>
    <xf numFmtId="0" fontId="254" fillId="65" borderId="296"/>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2" fillId="66" borderId="294"/>
    <xf numFmtId="0" fontId="305" fillId="0" borderId="0"/>
    <xf numFmtId="0" fontId="252" fillId="66" borderId="294"/>
    <xf numFmtId="0" fontId="251" fillId="65" borderId="294"/>
    <xf numFmtId="0" fontId="305" fillId="67" borderId="34"/>
    <xf numFmtId="0" fontId="251" fillId="65" borderId="294"/>
    <xf numFmtId="0" fontId="251" fillId="65" borderId="294"/>
    <xf numFmtId="0" fontId="305" fillId="67" borderId="34"/>
    <xf numFmtId="0" fontId="254" fillId="65" borderId="296"/>
    <xf numFmtId="0" fontId="252" fillId="66" borderId="294"/>
    <xf numFmtId="0" fontId="305" fillId="67" borderId="34"/>
    <xf numFmtId="0" fontId="305" fillId="67" borderId="34"/>
    <xf numFmtId="0" fontId="255" fillId="75" borderId="0"/>
    <xf numFmtId="0" fontId="252" fillId="66" borderId="294"/>
    <xf numFmtId="0" fontId="252" fillId="66" borderId="294"/>
    <xf numFmtId="0" fontId="305" fillId="67" borderId="34"/>
    <xf numFmtId="0" fontId="251" fillId="65" borderId="294"/>
    <xf numFmtId="0" fontId="254" fillId="65" borderId="296"/>
    <xf numFmtId="0" fontId="251" fillId="65" borderId="294"/>
    <xf numFmtId="0" fontId="305" fillId="67" borderId="34"/>
    <xf numFmtId="0" fontId="252" fillId="66" borderId="29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5" fillId="83" borderId="0"/>
    <xf numFmtId="0" fontId="251" fillId="65" borderId="294"/>
    <xf numFmtId="0" fontId="253" fillId="0" borderId="295"/>
    <xf numFmtId="0" fontId="305" fillId="67" borderId="34"/>
    <xf numFmtId="0" fontId="305" fillId="67" borderId="34"/>
    <xf numFmtId="0" fontId="251" fillId="65" borderId="294"/>
    <xf numFmtId="0" fontId="255" fillId="83" borderId="0"/>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255" fillId="75" borderId="0"/>
    <xf numFmtId="0" fontId="305" fillId="67" borderId="34"/>
    <xf numFmtId="0" fontId="252" fillId="66" borderId="294"/>
    <xf numFmtId="0" fontId="305" fillId="67" borderId="34"/>
    <xf numFmtId="0" fontId="305" fillId="67" borderId="34"/>
    <xf numFmtId="0" fontId="254" fillId="65" borderId="296"/>
    <xf numFmtId="0" fontId="251" fillId="65" borderId="294"/>
    <xf numFmtId="0" fontId="251" fillId="65" borderId="294"/>
    <xf numFmtId="0" fontId="253" fillId="0" borderId="295"/>
    <xf numFmtId="0" fontId="305" fillId="67" borderId="34"/>
    <xf numFmtId="0" fontId="251" fillId="65" borderId="294"/>
    <xf numFmtId="0" fontId="251" fillId="65" borderId="294"/>
    <xf numFmtId="0" fontId="254" fillId="65" borderId="296"/>
    <xf numFmtId="0" fontId="252" fillId="66" borderId="294"/>
    <xf numFmtId="0" fontId="254" fillId="65" borderId="296"/>
    <xf numFmtId="0" fontId="251" fillId="65" borderId="294"/>
    <xf numFmtId="0" fontId="252" fillId="66" borderId="294"/>
    <xf numFmtId="0" fontId="252" fillId="66" borderId="294"/>
    <xf numFmtId="0" fontId="252" fillId="66" borderId="29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3" fillId="0" borderId="295"/>
    <xf numFmtId="0" fontId="254" fillId="65" borderId="296"/>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4" fillId="65" borderId="296"/>
    <xf numFmtId="0" fontId="305" fillId="67" borderId="34"/>
    <xf numFmtId="0" fontId="254" fillId="65" borderId="296"/>
    <xf numFmtId="0" fontId="254" fillId="65" borderId="296"/>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305" fillId="67" borderId="34"/>
    <xf numFmtId="0" fontId="253" fillId="0" borderId="295"/>
    <xf numFmtId="0" fontId="254" fillId="65" borderId="296"/>
    <xf numFmtId="0" fontId="251" fillId="65" borderId="294"/>
    <xf numFmtId="0" fontId="251" fillId="65" borderId="294"/>
    <xf numFmtId="0" fontId="252" fillId="66" borderId="294"/>
    <xf numFmtId="0" fontId="253" fillId="0" borderId="295"/>
    <xf numFmtId="0" fontId="255" fillId="56" borderId="0"/>
    <xf numFmtId="0" fontId="253" fillId="0" borderId="295"/>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1" fillId="65" borderId="294"/>
    <xf numFmtId="0" fontId="253" fillId="0" borderId="295"/>
    <xf numFmtId="0" fontId="305" fillId="0" borderId="0"/>
    <xf numFmtId="0" fontId="305" fillId="67" borderId="34"/>
    <xf numFmtId="0" fontId="253" fillId="0" borderId="295"/>
    <xf numFmtId="0" fontId="254" fillId="65" borderId="296"/>
    <xf numFmtId="0" fontId="305" fillId="67" borderId="34"/>
    <xf numFmtId="0" fontId="252" fillId="66" borderId="294"/>
    <xf numFmtId="0" fontId="255" fillId="77" borderId="0"/>
    <xf numFmtId="0" fontId="305" fillId="67" borderId="34"/>
    <xf numFmtId="0" fontId="254" fillId="65" borderId="296"/>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5" fillId="68" borderId="0"/>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1" fillId="65" borderId="294"/>
    <xf numFmtId="0" fontId="305" fillId="67" borderId="34"/>
    <xf numFmtId="0" fontId="253" fillId="0" borderId="295"/>
    <xf numFmtId="0" fontId="305" fillId="67" borderId="34"/>
    <xf numFmtId="0" fontId="305" fillId="67" borderId="34"/>
    <xf numFmtId="0" fontId="256" fillId="87" borderId="0"/>
    <xf numFmtId="0" fontId="251" fillId="65" borderId="294"/>
    <xf numFmtId="0" fontId="305" fillId="67" borderId="34"/>
    <xf numFmtId="0" fontId="251" fillId="65" borderId="294"/>
    <xf numFmtId="0" fontId="251" fillId="65" borderId="294"/>
    <xf numFmtId="0" fontId="252" fillId="66" borderId="294"/>
    <xf numFmtId="0" fontId="256" fillId="56" borderId="0"/>
    <xf numFmtId="0" fontId="305" fillId="67" borderId="34"/>
    <xf numFmtId="0" fontId="254" fillId="65" borderId="296"/>
    <xf numFmtId="0" fontId="305" fillId="67" borderId="34"/>
    <xf numFmtId="0" fontId="253" fillId="0" borderId="295"/>
    <xf numFmtId="0" fontId="252" fillId="66" borderId="294"/>
    <xf numFmtId="0" fontId="251" fillId="65" borderId="294"/>
    <xf numFmtId="0" fontId="305" fillId="67" borderId="3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5" fillId="66" borderId="0"/>
    <xf numFmtId="0" fontId="254" fillId="65" borderId="296"/>
    <xf numFmtId="0" fontId="254" fillId="65" borderId="296"/>
    <xf numFmtId="0" fontId="305" fillId="67" borderId="34"/>
    <xf numFmtId="0" fontId="254" fillId="65" borderId="296"/>
    <xf numFmtId="0" fontId="254" fillId="65" borderId="296"/>
    <xf numFmtId="0" fontId="251" fillId="65" borderId="294"/>
    <xf numFmtId="0" fontId="253" fillId="0" borderId="295"/>
    <xf numFmtId="0" fontId="178" fillId="0" borderId="0"/>
    <xf numFmtId="0" fontId="251" fillId="65" borderId="294"/>
    <xf numFmtId="0" fontId="254" fillId="65" borderId="296"/>
    <xf numFmtId="0" fontId="251" fillId="65" borderId="294"/>
    <xf numFmtId="0" fontId="305" fillId="67" borderId="34"/>
    <xf numFmtId="0" fontId="253" fillId="0" borderId="295"/>
    <xf numFmtId="0" fontId="252" fillId="66" borderId="294"/>
    <xf numFmtId="0" fontId="251" fillId="65" borderId="294"/>
    <xf numFmtId="0" fontId="252" fillId="66" borderId="294"/>
    <xf numFmtId="0" fontId="305" fillId="67" borderId="34"/>
    <xf numFmtId="0" fontId="253" fillId="0" borderId="295"/>
    <xf numFmtId="0" fontId="252" fillId="66" borderId="29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2" fillId="66" borderId="294"/>
    <xf numFmtId="0" fontId="253" fillId="0" borderId="295"/>
    <xf numFmtId="0" fontId="255" fillId="80" borderId="0"/>
    <xf numFmtId="0" fontId="254" fillId="65" borderId="296"/>
    <xf numFmtId="0" fontId="253" fillId="0" borderId="295"/>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3" fillId="0" borderId="295"/>
    <xf numFmtId="0" fontId="252" fillId="66" borderId="294"/>
    <xf numFmtId="0" fontId="252" fillId="66" borderId="294"/>
    <xf numFmtId="0" fontId="254" fillId="65" borderId="296"/>
    <xf numFmtId="0" fontId="253" fillId="0" borderId="295"/>
    <xf numFmtId="0" fontId="251" fillId="65" borderId="294"/>
    <xf numFmtId="0" fontId="305" fillId="67" borderId="34"/>
    <xf numFmtId="0" fontId="251" fillId="65" borderId="294"/>
    <xf numFmtId="0" fontId="252" fillId="66" borderId="294"/>
    <xf numFmtId="0" fontId="252" fillId="66" borderId="294"/>
    <xf numFmtId="0" fontId="251" fillId="65" borderId="294"/>
    <xf numFmtId="0" fontId="305" fillId="67" borderId="34"/>
    <xf numFmtId="0" fontId="252" fillId="66" borderId="294"/>
    <xf numFmtId="0" fontId="252" fillId="66"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305" fillId="67" borderId="34"/>
    <xf numFmtId="0" fontId="252" fillId="66" borderId="294"/>
    <xf numFmtId="0" fontId="305" fillId="67" borderId="34"/>
    <xf numFmtId="0" fontId="254" fillId="65" borderId="296"/>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4" fillId="65" borderId="296"/>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305" fillId="67" borderId="34"/>
    <xf numFmtId="0" fontId="254" fillId="65" borderId="296"/>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22" fillId="0" borderId="0">
      <alignment vertical="top"/>
      <protection locked="0"/>
    </xf>
    <xf numFmtId="0" fontId="251" fillId="65" borderId="294"/>
    <xf numFmtId="0" fontId="252" fillId="66" borderId="294"/>
    <xf numFmtId="0" fontId="254" fillId="65" borderId="296"/>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6" fillId="69" borderId="0"/>
    <xf numFmtId="0" fontId="252" fillId="66" borderId="294"/>
    <xf numFmtId="0" fontId="251" fillId="65" borderId="294"/>
    <xf numFmtId="0" fontId="305" fillId="67" borderId="34"/>
    <xf numFmtId="0" fontId="305" fillId="67" borderId="34"/>
    <xf numFmtId="0" fontId="252" fillId="66" borderId="294"/>
    <xf numFmtId="0" fontId="305" fillId="67" borderId="34"/>
    <xf numFmtId="0" fontId="251" fillId="65" borderId="294"/>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253" fillId="0" borderId="295"/>
    <xf numFmtId="0" fontId="305" fillId="67" borderId="34"/>
    <xf numFmtId="0" fontId="254" fillId="65" borderId="296"/>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305" fillId="67" borderId="34"/>
    <xf numFmtId="0" fontId="252" fillId="66" borderId="294"/>
    <xf numFmtId="0" fontId="264" fillId="0" borderId="0" applyNumberFormat="0" applyFill="0" applyBorder="0" applyAlignment="0" applyProtection="0"/>
    <xf numFmtId="0" fontId="305" fillId="67" borderId="34"/>
    <xf numFmtId="0" fontId="251" fillId="65" borderId="294"/>
    <xf numFmtId="0" fontId="252" fillId="66" borderId="294"/>
    <xf numFmtId="0" fontId="254" fillId="65" borderId="296"/>
    <xf numFmtId="0" fontId="254" fillId="65" borderId="296"/>
    <xf numFmtId="0" fontId="251" fillId="65" borderId="294"/>
    <xf numFmtId="0" fontId="251" fillId="65" borderId="294"/>
    <xf numFmtId="0" fontId="251" fillId="65" borderId="294"/>
    <xf numFmtId="0" fontId="251" fillId="65" borderId="294"/>
    <xf numFmtId="0" fontId="255" fillId="72" borderId="0"/>
    <xf numFmtId="0" fontId="305" fillId="67" borderId="34"/>
    <xf numFmtId="0" fontId="253" fillId="0" borderId="295"/>
    <xf numFmtId="0" fontId="255" fillId="56" borderId="0"/>
    <xf numFmtId="0" fontId="305" fillId="67" borderId="34"/>
    <xf numFmtId="0" fontId="255" fillId="72" borderId="0"/>
    <xf numFmtId="0" fontId="254" fillId="65" borderId="296"/>
    <xf numFmtId="0" fontId="305" fillId="67" borderId="34"/>
    <xf numFmtId="0" fontId="252" fillId="66" borderId="294"/>
    <xf numFmtId="0" fontId="251" fillId="65" borderId="294"/>
    <xf numFmtId="0" fontId="251" fillId="65" borderId="294"/>
    <xf numFmtId="0" fontId="305" fillId="67" borderId="34"/>
    <xf numFmtId="0" fontId="251" fillId="65" borderId="294"/>
    <xf numFmtId="0" fontId="254" fillId="65" borderId="296"/>
    <xf numFmtId="0" fontId="305" fillId="67" borderId="34"/>
    <xf numFmtId="0" fontId="251" fillId="65" borderId="294"/>
    <xf numFmtId="0" fontId="254" fillId="65" borderId="296"/>
    <xf numFmtId="0" fontId="254" fillId="65" borderId="296"/>
    <xf numFmtId="0" fontId="255" fillId="72" borderId="0"/>
    <xf numFmtId="0" fontId="305" fillId="67" borderId="34"/>
    <xf numFmtId="0" fontId="252" fillId="66" borderId="29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305" fillId="67" borderId="34"/>
    <xf numFmtId="0" fontId="255" fillId="72" borderId="0"/>
    <xf numFmtId="0" fontId="251" fillId="65" borderId="294"/>
    <xf numFmtId="0" fontId="251" fillId="65" borderId="294"/>
    <xf numFmtId="0" fontId="255" fillId="72" borderId="0"/>
    <xf numFmtId="0" fontId="253" fillId="0" borderId="295"/>
    <xf numFmtId="0" fontId="255" fillId="72" borderId="0"/>
    <xf numFmtId="0" fontId="252" fillId="66" borderId="294"/>
    <xf numFmtId="0" fontId="255" fillId="72" borderId="0"/>
    <xf numFmtId="0" fontId="305" fillId="67" borderId="3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252" fillId="66" borderId="294"/>
    <xf numFmtId="0" fontId="255" fillId="72" borderId="0"/>
    <xf numFmtId="0" fontId="251" fillId="65" borderId="294"/>
    <xf numFmtId="0" fontId="305" fillId="67" borderId="34"/>
    <xf numFmtId="0" fontId="251" fillId="65" borderId="294"/>
    <xf numFmtId="0" fontId="253" fillId="0" borderId="295"/>
    <xf numFmtId="0" fontId="252" fillId="66" borderId="294"/>
    <xf numFmtId="0" fontId="251" fillId="65" borderId="294"/>
    <xf numFmtId="0" fontId="253" fillId="0" borderId="295"/>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252" fillId="66" borderId="294"/>
    <xf numFmtId="0" fontId="252" fillId="66" borderId="294"/>
    <xf numFmtId="0" fontId="253" fillId="0" borderId="295"/>
    <xf numFmtId="0" fontId="251" fillId="65" borderId="294"/>
    <xf numFmtId="0" fontId="305" fillId="67" borderId="34"/>
    <xf numFmtId="0" fontId="254" fillId="65" borderId="296"/>
    <xf numFmtId="0" fontId="254" fillId="65" borderId="296"/>
    <xf numFmtId="0" fontId="254" fillId="65" borderId="296"/>
    <xf numFmtId="0" fontId="251" fillId="65" borderId="294"/>
    <xf numFmtId="0" fontId="255" fillId="76" borderId="0"/>
    <xf numFmtId="0" fontId="251" fillId="65" borderId="294"/>
    <xf numFmtId="0" fontId="252" fillId="66" borderId="294"/>
    <xf numFmtId="0" fontId="253" fillId="0" borderId="295"/>
    <xf numFmtId="0" fontId="254" fillId="65" borderId="296"/>
    <xf numFmtId="0" fontId="251" fillId="65" borderId="294"/>
    <xf numFmtId="0" fontId="251" fillId="65" borderId="294"/>
    <xf numFmtId="0" fontId="253" fillId="0" borderId="295"/>
    <xf numFmtId="0" fontId="305" fillId="67" borderId="34"/>
    <xf numFmtId="0" fontId="305" fillId="67" borderId="34"/>
    <xf numFmtId="0" fontId="253" fillId="0" borderId="295"/>
    <xf numFmtId="0" fontId="258" fillId="88" borderId="0"/>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3" fillId="0" borderId="295"/>
    <xf numFmtId="0" fontId="258" fillId="89" borderId="0"/>
    <xf numFmtId="0" fontId="305" fillId="67" borderId="34"/>
    <xf numFmtId="0" fontId="254" fillId="65" borderId="296"/>
    <xf numFmtId="0" fontId="258" fillId="88" borderId="0"/>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253" fillId="0" borderId="295"/>
    <xf numFmtId="0" fontId="255" fillId="19" borderId="0"/>
    <xf numFmtId="0" fontId="255" fillId="72" borderId="0"/>
    <xf numFmtId="0" fontId="252" fillId="66" borderId="294"/>
    <xf numFmtId="0" fontId="305" fillId="67" borderId="34"/>
    <xf numFmtId="0" fontId="251" fillId="65" borderId="294"/>
    <xf numFmtId="0" fontId="251" fillId="65" borderId="294"/>
    <xf numFmtId="0" fontId="254" fillId="65" borderId="296"/>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1" fillId="65" borderId="294"/>
    <xf numFmtId="0" fontId="252" fillId="66" borderId="294"/>
    <xf numFmtId="0" fontId="253" fillId="0" borderId="295"/>
    <xf numFmtId="0" fontId="255" fillId="82" borderId="0"/>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8" fillId="88" borderId="0"/>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3" fillId="0" borderId="295"/>
    <xf numFmtId="0" fontId="253" fillId="0" borderId="295"/>
    <xf numFmtId="0" fontId="251" fillId="65" borderId="294"/>
    <xf numFmtId="0" fontId="305" fillId="67" borderId="34"/>
    <xf numFmtId="0" fontId="255" fillId="72" borderId="0"/>
    <xf numFmtId="0" fontId="305" fillId="67" borderId="34"/>
    <xf numFmtId="0" fontId="251" fillId="65" borderId="294"/>
    <xf numFmtId="0" fontId="252" fillId="66" borderId="294"/>
    <xf numFmtId="0" fontId="253" fillId="0" borderId="295"/>
    <xf numFmtId="0" fontId="251" fillId="65" borderId="294"/>
    <xf numFmtId="0" fontId="254" fillId="65" borderId="296"/>
    <xf numFmtId="0" fontId="251" fillId="65" borderId="294"/>
    <xf numFmtId="0" fontId="305" fillId="67" borderId="34"/>
    <xf numFmtId="0" fontId="252" fillId="66" borderId="294"/>
    <xf numFmtId="0" fontId="251" fillId="65" borderId="294"/>
    <xf numFmtId="0" fontId="254" fillId="65" borderId="296"/>
    <xf numFmtId="0" fontId="251" fillId="65" borderId="294"/>
    <xf numFmtId="0" fontId="252" fillId="66" borderId="294"/>
    <xf numFmtId="0" fontId="252" fillId="66" borderId="294"/>
    <xf numFmtId="0" fontId="251" fillId="65" borderId="294"/>
    <xf numFmtId="0" fontId="305" fillId="67" borderId="34"/>
    <xf numFmtId="0" fontId="305" fillId="67" borderId="34"/>
    <xf numFmtId="0" fontId="251" fillId="65" borderId="294"/>
    <xf numFmtId="0" fontId="305" fillId="67" borderId="34"/>
    <xf numFmtId="0" fontId="255" fillId="76" borderId="0"/>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1" fillId="65" borderId="294"/>
    <xf numFmtId="0" fontId="254" fillId="65" borderId="296"/>
    <xf numFmtId="0" fontId="251" fillId="65" borderId="294"/>
    <xf numFmtId="0" fontId="255" fillId="72" borderId="0"/>
    <xf numFmtId="0" fontId="252" fillId="66" borderId="294"/>
    <xf numFmtId="0" fontId="251" fillId="65" borderId="294"/>
    <xf numFmtId="0" fontId="254" fillId="65" borderId="296"/>
    <xf numFmtId="0" fontId="251" fillId="65" borderId="294"/>
    <xf numFmtId="0" fontId="255" fillId="72" borderId="0"/>
    <xf numFmtId="0" fontId="252" fillId="66" borderId="294"/>
    <xf numFmtId="0" fontId="254" fillId="65" borderId="296"/>
    <xf numFmtId="0" fontId="255" fillId="24" borderId="0"/>
    <xf numFmtId="0" fontId="251" fillId="65" borderId="294"/>
    <xf numFmtId="0" fontId="251" fillId="65" borderId="294"/>
    <xf numFmtId="0" fontId="255" fillId="77" borderId="0"/>
    <xf numFmtId="0" fontId="305" fillId="67" borderId="3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8" fillId="90" borderId="0"/>
    <xf numFmtId="0" fontId="251" fillId="65" borderId="294"/>
    <xf numFmtId="0" fontId="305" fillId="67" borderId="3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8" fillId="90" borderId="0"/>
    <xf numFmtId="0" fontId="252" fillId="66" borderId="294"/>
    <xf numFmtId="0" fontId="251" fillId="65" borderId="294"/>
    <xf numFmtId="0" fontId="252" fillId="66" borderId="294"/>
    <xf numFmtId="0" fontId="305" fillId="67" borderId="34"/>
    <xf numFmtId="0" fontId="251" fillId="65" borderId="294"/>
    <xf numFmtId="0" fontId="305" fillId="67" borderId="34"/>
    <xf numFmtId="0" fontId="254" fillId="65" borderId="296"/>
    <xf numFmtId="0" fontId="254" fillId="65" borderId="296"/>
    <xf numFmtId="0" fontId="255" fillId="77" borderId="0"/>
    <xf numFmtId="0" fontId="253" fillId="0" borderId="295"/>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5" fillId="77" borderId="0"/>
    <xf numFmtId="0" fontId="251" fillId="65" borderId="294"/>
    <xf numFmtId="0" fontId="255" fillId="77" borderId="0"/>
    <xf numFmtId="0" fontId="305" fillId="67" borderId="34"/>
    <xf numFmtId="0" fontId="305" fillId="67" borderId="34"/>
    <xf numFmtId="0" fontId="305" fillId="67" borderId="34"/>
    <xf numFmtId="0" fontId="305" fillId="67" borderId="34"/>
    <xf numFmtId="0" fontId="251" fillId="65" borderId="294"/>
    <xf numFmtId="0" fontId="252" fillId="66" borderId="294"/>
    <xf numFmtId="0" fontId="256" fillId="73" borderId="0"/>
    <xf numFmtId="0" fontId="305" fillId="67" borderId="34"/>
    <xf numFmtId="0" fontId="255" fillId="77" borderId="0"/>
    <xf numFmtId="0" fontId="305" fillId="67" borderId="34"/>
    <xf numFmtId="0" fontId="251" fillId="65" borderId="294"/>
    <xf numFmtId="0" fontId="254" fillId="65" borderId="296"/>
    <xf numFmtId="0" fontId="305" fillId="67" borderId="34"/>
    <xf numFmtId="0" fontId="305" fillId="67" borderId="34"/>
    <xf numFmtId="0" fontId="251" fillId="65" borderId="294"/>
    <xf numFmtId="0" fontId="252" fillId="66" borderId="294"/>
    <xf numFmtId="0" fontId="251" fillId="65" borderId="294"/>
    <xf numFmtId="0" fontId="255" fillId="77" borderId="0"/>
    <xf numFmtId="0" fontId="305" fillId="67" borderId="34"/>
    <xf numFmtId="0" fontId="305" fillId="67" borderId="34"/>
    <xf numFmtId="0" fontId="305" fillId="67" borderId="34"/>
    <xf numFmtId="0" fontId="251" fillId="65" borderId="294"/>
    <xf numFmtId="0" fontId="253" fillId="0" borderId="295"/>
    <xf numFmtId="0" fontId="256" fillId="73" borderId="0"/>
    <xf numFmtId="0" fontId="305" fillId="67" borderId="34"/>
    <xf numFmtId="0" fontId="252" fillId="66" borderId="294"/>
    <xf numFmtId="0" fontId="305" fillId="67" borderId="34"/>
    <xf numFmtId="0" fontId="305" fillId="67" borderId="34"/>
    <xf numFmtId="0" fontId="305" fillId="67" borderId="34"/>
    <xf numFmtId="0" fontId="251" fillId="65" borderId="294"/>
    <xf numFmtId="0" fontId="255" fillId="82" borderId="0"/>
    <xf numFmtId="0" fontId="252" fillId="66" borderId="294"/>
    <xf numFmtId="0" fontId="305" fillId="67" borderId="34"/>
    <xf numFmtId="0" fontId="255" fillId="77" borderId="0"/>
    <xf numFmtId="0" fontId="305" fillId="67" borderId="34"/>
    <xf numFmtId="0" fontId="305" fillId="67" borderId="34"/>
    <xf numFmtId="0" fontId="255" fillId="77" borderId="0"/>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305" fillId="67" borderId="34"/>
    <xf numFmtId="0" fontId="255" fillId="77" borderId="0"/>
    <xf numFmtId="0" fontId="305" fillId="67" borderId="34"/>
    <xf numFmtId="0" fontId="305" fillId="67" borderId="34"/>
    <xf numFmtId="0" fontId="251" fillId="65" borderId="294"/>
    <xf numFmtId="0" fontId="258" fillId="90" borderId="0"/>
    <xf numFmtId="0" fontId="253" fillId="0" borderId="295"/>
    <xf numFmtId="0" fontId="305" fillId="67" borderId="34"/>
    <xf numFmtId="0" fontId="251" fillId="65" borderId="294"/>
    <xf numFmtId="0" fontId="251" fillId="65" borderId="294"/>
    <xf numFmtId="0" fontId="305" fillId="67" borderId="34"/>
    <xf numFmtId="0" fontId="252" fillId="66" borderId="294"/>
    <xf numFmtId="0" fontId="251" fillId="65" borderId="294"/>
    <xf numFmtId="0" fontId="253" fillId="0" borderId="295"/>
    <xf numFmtId="0" fontId="255" fillId="55" borderId="0"/>
    <xf numFmtId="0" fontId="305" fillId="67" borderId="34"/>
    <xf numFmtId="0" fontId="305" fillId="67" borderId="34"/>
    <xf numFmtId="0" fontId="251" fillId="65" borderId="294"/>
    <xf numFmtId="0" fontId="255" fillId="24" borderId="0"/>
    <xf numFmtId="0" fontId="305" fillId="67" borderId="34"/>
    <xf numFmtId="0" fontId="305" fillId="67" borderId="34"/>
    <xf numFmtId="0" fontId="252" fillId="66" borderId="294"/>
    <xf numFmtId="0" fontId="254" fillId="65" borderId="296"/>
    <xf numFmtId="0" fontId="255" fillId="77" borderId="0"/>
    <xf numFmtId="0" fontId="255" fillId="77" borderId="0"/>
    <xf numFmtId="0" fontId="251" fillId="65" borderId="294"/>
    <xf numFmtId="0" fontId="255" fillId="75" borderId="0"/>
    <xf numFmtId="0" fontId="305" fillId="67" borderId="34"/>
    <xf numFmtId="0" fontId="252" fillId="66" borderId="294"/>
    <xf numFmtId="0" fontId="251" fillId="65" borderId="294"/>
    <xf numFmtId="0" fontId="253" fillId="0" borderId="295"/>
    <xf numFmtId="0" fontId="305" fillId="67" borderId="34"/>
    <xf numFmtId="0" fontId="305" fillId="67" borderId="34"/>
    <xf numFmtId="0" fontId="252" fillId="66" borderId="294"/>
    <xf numFmtId="0" fontId="252" fillId="66" borderId="294"/>
    <xf numFmtId="0" fontId="253" fillId="0" borderId="295"/>
    <xf numFmtId="0" fontId="251" fillId="65" borderId="294"/>
    <xf numFmtId="0" fontId="258" fillId="71" borderId="0"/>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254" fillId="65" borderId="296"/>
    <xf numFmtId="0" fontId="305" fillId="67" borderId="34"/>
    <xf numFmtId="0" fontId="254" fillId="65" borderId="296"/>
    <xf numFmtId="0" fontId="254" fillId="65" borderId="296"/>
    <xf numFmtId="0" fontId="258" fillId="71" borderId="0"/>
    <xf numFmtId="0" fontId="251" fillId="65" borderId="294"/>
    <xf numFmtId="0" fontId="305" fillId="67" borderId="34"/>
    <xf numFmtId="0" fontId="251" fillId="65" borderId="294"/>
    <xf numFmtId="0" fontId="254" fillId="65" borderId="296"/>
    <xf numFmtId="0" fontId="305" fillId="67" borderId="34"/>
    <xf numFmtId="0" fontId="254" fillId="65" borderId="296"/>
    <xf numFmtId="0" fontId="254" fillId="65" borderId="296"/>
    <xf numFmtId="0" fontId="255" fillId="75" borderId="0"/>
    <xf numFmtId="0" fontId="305" fillId="67" borderId="34"/>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3" fillId="0" borderId="295"/>
    <xf numFmtId="0" fontId="252" fillId="66" borderId="294"/>
    <xf numFmtId="0" fontId="255" fillId="75" borderId="0"/>
    <xf numFmtId="0" fontId="251" fillId="65" borderId="294"/>
    <xf numFmtId="0" fontId="254" fillId="65" borderId="296"/>
    <xf numFmtId="0" fontId="305" fillId="67" borderId="34"/>
    <xf numFmtId="0" fontId="252" fillId="66" borderId="294"/>
    <xf numFmtId="0" fontId="252" fillId="66" borderId="294"/>
    <xf numFmtId="0" fontId="305" fillId="67" borderId="34"/>
    <xf numFmtId="0" fontId="253" fillId="0" borderId="295"/>
    <xf numFmtId="0" fontId="251" fillId="65" borderId="294"/>
    <xf numFmtId="0" fontId="252" fillId="66" borderId="294"/>
    <xf numFmtId="0" fontId="254" fillId="65" borderId="296"/>
    <xf numFmtId="0" fontId="251" fillId="65" borderId="294"/>
    <xf numFmtId="0" fontId="255" fillId="56" borderId="0"/>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5" fillId="75" borderId="0"/>
    <xf numFmtId="0" fontId="305" fillId="67" borderId="34"/>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3" fillId="0" borderId="295"/>
    <xf numFmtId="0" fontId="254" fillId="65" borderId="296"/>
    <xf numFmtId="0" fontId="252" fillId="66" borderId="294"/>
    <xf numFmtId="0" fontId="255" fillId="75" borderId="0"/>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4" fillId="65" borderId="296"/>
    <xf numFmtId="0" fontId="252" fillId="66" borderId="294"/>
    <xf numFmtId="0" fontId="255" fillId="75" borderId="0"/>
    <xf numFmtId="0" fontId="251" fillId="65" borderId="294"/>
    <xf numFmtId="0" fontId="305" fillId="67" borderId="34"/>
    <xf numFmtId="0" fontId="255" fillId="75" borderId="0"/>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5" fillId="75" borderId="0"/>
    <xf numFmtId="0" fontId="251" fillId="65" borderId="294"/>
    <xf numFmtId="0" fontId="255" fillId="75" borderId="0"/>
    <xf numFmtId="0" fontId="253" fillId="0" borderId="295"/>
    <xf numFmtId="0" fontId="251" fillId="65" borderId="294"/>
    <xf numFmtId="0" fontId="305" fillId="67" borderId="34"/>
    <xf numFmtId="0" fontId="251" fillId="65" borderId="294"/>
    <xf numFmtId="0" fontId="253" fillId="0" borderId="295"/>
    <xf numFmtId="0" fontId="305" fillId="67" borderId="34"/>
    <xf numFmtId="0" fontId="305" fillId="67" borderId="34"/>
    <xf numFmtId="0" fontId="252" fillId="66" borderId="294"/>
    <xf numFmtId="0" fontId="251" fillId="65" borderId="294"/>
    <xf numFmtId="0" fontId="305" fillId="67" borderId="34"/>
    <xf numFmtId="0" fontId="253" fillId="0" borderId="295"/>
    <xf numFmtId="0" fontId="251" fillId="65" borderId="294"/>
    <xf numFmtId="0" fontId="252" fillId="66" borderId="294"/>
    <xf numFmtId="0" fontId="255" fillId="86" borderId="0"/>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2" fillId="66" borderId="294"/>
    <xf numFmtId="0" fontId="253" fillId="0" borderId="295"/>
    <xf numFmtId="0" fontId="251" fillId="65" borderId="294"/>
    <xf numFmtId="0" fontId="255" fillId="80" borderId="0"/>
    <xf numFmtId="0" fontId="251" fillId="65" borderId="294"/>
    <xf numFmtId="0" fontId="305" fillId="67" borderId="34"/>
    <xf numFmtId="0" fontId="252" fillId="66" borderId="294"/>
    <xf numFmtId="0" fontId="251" fillId="65" borderId="294"/>
    <xf numFmtId="0" fontId="254" fillId="65" borderId="296"/>
    <xf numFmtId="0" fontId="258" fillId="85" borderId="0"/>
    <xf numFmtId="0" fontId="251" fillId="65" borderId="294"/>
    <xf numFmtId="0" fontId="305" fillId="67" borderId="34"/>
    <xf numFmtId="0" fontId="254" fillId="65" borderId="296"/>
    <xf numFmtId="0" fontId="251" fillId="65" borderId="294"/>
    <xf numFmtId="0" fontId="305" fillId="67" borderId="34"/>
    <xf numFmtId="0" fontId="251" fillId="65" borderId="294"/>
    <xf numFmtId="0" fontId="253" fillId="0" borderId="295"/>
    <xf numFmtId="0" fontId="251" fillId="65" borderId="294"/>
    <xf numFmtId="0" fontId="255" fillId="80" borderId="0"/>
    <xf numFmtId="0" fontId="253" fillId="0" borderId="295"/>
    <xf numFmtId="0" fontId="254" fillId="65" borderId="296"/>
    <xf numFmtId="0" fontId="258" fillId="85" borderId="0"/>
    <xf numFmtId="0" fontId="251" fillId="65" borderId="294"/>
    <xf numFmtId="0" fontId="305" fillId="67" borderId="34"/>
    <xf numFmtId="0" fontId="254" fillId="65" borderId="296"/>
    <xf numFmtId="0" fontId="251" fillId="65" borderId="294"/>
    <xf numFmtId="0" fontId="253" fillId="0" borderId="295"/>
    <xf numFmtId="0" fontId="251" fillId="65" borderId="294"/>
    <xf numFmtId="0" fontId="305" fillId="67" borderId="34"/>
    <xf numFmtId="0" fontId="253" fillId="0" borderId="295"/>
    <xf numFmtId="0" fontId="255" fillId="80" borderId="0"/>
    <xf numFmtId="0" fontId="253" fillId="0" borderId="295"/>
    <xf numFmtId="0" fontId="254" fillId="65" borderId="296"/>
    <xf numFmtId="0" fontId="255" fillId="80" borderId="0"/>
    <xf numFmtId="0" fontId="251" fillId="65" borderId="294"/>
    <xf numFmtId="0" fontId="305" fillId="67" borderId="34"/>
    <xf numFmtId="0" fontId="305" fillId="67" borderId="34"/>
    <xf numFmtId="0" fontId="253" fillId="0" borderId="295"/>
    <xf numFmtId="0" fontId="253" fillId="0" borderId="295"/>
    <xf numFmtId="0" fontId="255" fillId="80" borderId="0"/>
    <xf numFmtId="0" fontId="252" fillId="66" borderId="294"/>
    <xf numFmtId="0" fontId="251" fillId="65" borderId="294"/>
    <xf numFmtId="0" fontId="252" fillId="66" borderId="294"/>
    <xf numFmtId="0" fontId="254" fillId="65" borderId="296"/>
    <xf numFmtId="0" fontId="254" fillId="65" borderId="296"/>
    <xf numFmtId="0" fontId="251" fillId="65" borderId="294"/>
    <xf numFmtId="0" fontId="305" fillId="67" borderId="34"/>
    <xf numFmtId="0" fontId="254" fillId="65" borderId="296"/>
    <xf numFmtId="0" fontId="251" fillId="65" borderId="294"/>
    <xf numFmtId="0" fontId="305" fillId="67" borderId="34"/>
    <xf numFmtId="0" fontId="253" fillId="0" borderId="295"/>
    <xf numFmtId="0" fontId="251" fillId="65" borderId="294"/>
    <xf numFmtId="0" fontId="255" fillId="80" borderId="0"/>
    <xf numFmtId="0" fontId="252" fillId="66" borderId="294"/>
    <xf numFmtId="0" fontId="251" fillId="65" borderId="294"/>
    <xf numFmtId="0" fontId="251" fillId="65" borderId="294"/>
    <xf numFmtId="0" fontId="255" fillId="80" borderId="0"/>
    <xf numFmtId="0" fontId="252" fillId="66"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2" fillId="66" borderId="294"/>
    <xf numFmtId="0" fontId="258" fillId="79" borderId="0"/>
    <xf numFmtId="0" fontId="255" fillId="80" borderId="0"/>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5" fillId="80" borderId="0"/>
    <xf numFmtId="0" fontId="252" fillId="66" borderId="294"/>
    <xf numFmtId="0" fontId="251" fillId="65" borderId="294"/>
    <xf numFmtId="0" fontId="252" fillId="66" borderId="294"/>
    <xf numFmtId="0" fontId="252" fillId="66" borderId="294"/>
    <xf numFmtId="0" fontId="305" fillId="67" borderId="34"/>
    <xf numFmtId="0" fontId="253" fillId="0" borderId="295"/>
    <xf numFmtId="0" fontId="254" fillId="65" borderId="296"/>
    <xf numFmtId="0" fontId="254" fillId="65" borderId="296"/>
    <xf numFmtId="0" fontId="305" fillId="67" borderId="34"/>
    <xf numFmtId="0" fontId="255" fillId="80" borderId="0"/>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255" fillId="58" borderId="0"/>
    <xf numFmtId="0" fontId="305" fillId="67" borderId="34"/>
    <xf numFmtId="0" fontId="253" fillId="0" borderId="295"/>
    <xf numFmtId="0" fontId="252" fillId="66" borderId="294"/>
    <xf numFmtId="0" fontId="251" fillId="65" borderId="294"/>
    <xf numFmtId="0" fontId="254" fillId="65" borderId="296"/>
    <xf numFmtId="0" fontId="305" fillId="67" borderId="34"/>
    <xf numFmtId="0" fontId="305" fillId="67" borderId="34"/>
    <xf numFmtId="0" fontId="253" fillId="0" borderId="295"/>
    <xf numFmtId="0" fontId="253" fillId="0" borderId="295"/>
    <xf numFmtId="0" fontId="258" fillId="85" borderId="0"/>
    <xf numFmtId="0" fontId="253" fillId="0" borderId="295"/>
    <xf numFmtId="0" fontId="255" fillId="73" borderId="0"/>
    <xf numFmtId="0" fontId="253" fillId="0" borderId="295"/>
    <xf numFmtId="0" fontId="252" fillId="66" borderId="294"/>
    <xf numFmtId="0" fontId="251" fillId="65" borderId="294"/>
    <xf numFmtId="0" fontId="254" fillId="65" borderId="296"/>
    <xf numFmtId="0" fontId="305" fillId="67" borderId="34"/>
    <xf numFmtId="0" fontId="305" fillId="67" borderId="34"/>
    <xf numFmtId="0" fontId="253" fillId="0" borderId="295"/>
    <xf numFmtId="0" fontId="255" fillId="86" borderId="0"/>
    <xf numFmtId="0" fontId="305" fillId="67" borderId="34"/>
    <xf numFmtId="0" fontId="253" fillId="0" borderId="295"/>
    <xf numFmtId="0" fontId="251" fillId="65" borderId="294"/>
    <xf numFmtId="0" fontId="251" fillId="65" borderId="294"/>
    <xf numFmtId="0" fontId="252" fillId="66" borderId="294"/>
    <xf numFmtId="0" fontId="255" fillId="80" borderId="0"/>
    <xf numFmtId="0" fontId="253" fillId="0" borderId="295"/>
    <xf numFmtId="0" fontId="251" fillId="65" borderId="294"/>
    <xf numFmtId="0" fontId="251" fillId="65" borderId="294"/>
    <xf numFmtId="0" fontId="252" fillId="66" borderId="294"/>
    <xf numFmtId="0" fontId="255" fillId="80" borderId="0"/>
    <xf numFmtId="0" fontId="251" fillId="65" borderId="294"/>
    <xf numFmtId="0" fontId="255" fillId="26" borderId="0"/>
    <xf numFmtId="0" fontId="305" fillId="67" borderId="34"/>
    <xf numFmtId="0" fontId="178" fillId="0" borderId="0"/>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4" fillId="65" borderId="296"/>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8" fillId="59" borderId="0"/>
    <xf numFmtId="0" fontId="305" fillId="67" borderId="34"/>
    <xf numFmtId="0" fontId="305" fillId="67" borderId="34"/>
    <xf numFmtId="0" fontId="305" fillId="67" borderId="34"/>
    <xf numFmtId="0" fontId="305" fillId="67" borderId="34"/>
    <xf numFmtId="0" fontId="252" fillId="66" borderId="294"/>
    <xf numFmtId="0" fontId="251" fillId="65" borderId="294"/>
    <xf numFmtId="0" fontId="252" fillId="66" borderId="294"/>
    <xf numFmtId="0" fontId="255" fillId="55" borderId="0"/>
    <xf numFmtId="0" fontId="254" fillId="65" borderId="296"/>
    <xf numFmtId="0" fontId="305" fillId="67" borderId="34"/>
    <xf numFmtId="0" fontId="251" fillId="65" borderId="294"/>
    <xf numFmtId="0" fontId="305" fillId="67" borderId="34"/>
    <xf numFmtId="0" fontId="254" fillId="65" borderId="296"/>
    <xf numFmtId="0" fontId="258" fillId="53" borderId="0"/>
    <xf numFmtId="0" fontId="251" fillId="65" borderId="294"/>
    <xf numFmtId="0" fontId="251" fillId="65" borderId="294"/>
    <xf numFmtId="0" fontId="251" fillId="65" borderId="294"/>
    <xf numFmtId="0" fontId="258" fillId="53" borderId="0"/>
    <xf numFmtId="0" fontId="251" fillId="65" borderId="294"/>
    <xf numFmtId="0" fontId="251" fillId="65" borderId="294"/>
    <xf numFmtId="0" fontId="253" fillId="0" borderId="295"/>
    <xf numFmtId="0" fontId="254" fillId="65" borderId="296"/>
    <xf numFmtId="0" fontId="252" fillId="66" borderId="294"/>
    <xf numFmtId="0" fontId="251" fillId="65" borderId="294"/>
    <xf numFmtId="0" fontId="255" fillId="55" borderId="0"/>
    <xf numFmtId="0" fontId="251" fillId="65" borderId="294"/>
    <xf numFmtId="0" fontId="305" fillId="67" borderId="34"/>
    <xf numFmtId="0" fontId="253" fillId="0" borderId="295"/>
    <xf numFmtId="0" fontId="253" fillId="0" borderId="295"/>
    <xf numFmtId="0" fontId="254" fillId="65" borderId="296"/>
    <xf numFmtId="0" fontId="252" fillId="66" borderId="294"/>
    <xf numFmtId="0" fontId="251" fillId="65" borderId="294"/>
    <xf numFmtId="0" fontId="252" fillId="66" borderId="294"/>
    <xf numFmtId="0" fontId="251" fillId="65" borderId="294"/>
    <xf numFmtId="0" fontId="254" fillId="65" borderId="296"/>
    <xf numFmtId="0" fontId="251" fillId="65" borderId="294"/>
    <xf numFmtId="0" fontId="305" fillId="67" borderId="34"/>
    <xf numFmtId="0" fontId="254" fillId="65" borderId="296"/>
    <xf numFmtId="0" fontId="251" fillId="65" borderId="294"/>
    <xf numFmtId="0" fontId="305" fillId="67" borderId="34"/>
    <xf numFmtId="0" fontId="255" fillId="55" borderId="0"/>
    <xf numFmtId="0" fontId="252" fillId="66" borderId="294"/>
    <xf numFmtId="0" fontId="254" fillId="65" borderId="296"/>
    <xf numFmtId="0" fontId="251" fillId="65" borderId="294"/>
    <xf numFmtId="0" fontId="251" fillId="65" borderId="294"/>
    <xf numFmtId="0" fontId="305" fillId="67" borderId="34"/>
    <xf numFmtId="0" fontId="254" fillId="65" borderId="296"/>
    <xf numFmtId="0" fontId="251" fillId="65" borderId="294"/>
    <xf numFmtId="0" fontId="255" fillId="55" borderId="0"/>
    <xf numFmtId="0" fontId="305" fillId="67" borderId="34"/>
    <xf numFmtId="0" fontId="251" fillId="65" borderId="294"/>
    <xf numFmtId="0" fontId="252" fillId="66" borderId="294"/>
    <xf numFmtId="0" fontId="251" fillId="65" borderId="294"/>
    <xf numFmtId="0" fontId="255" fillId="55" borderId="0"/>
    <xf numFmtId="0" fontId="252" fillId="66" borderId="294"/>
    <xf numFmtId="0" fontId="251" fillId="65" borderId="294"/>
    <xf numFmtId="0" fontId="252" fillId="66" borderId="294"/>
    <xf numFmtId="0" fontId="254" fillId="65" borderId="296"/>
    <xf numFmtId="0" fontId="251" fillId="65" borderId="294"/>
    <xf numFmtId="0" fontId="251" fillId="65" borderId="294"/>
    <xf numFmtId="0" fontId="255" fillId="55" borderId="0"/>
    <xf numFmtId="0" fontId="252" fillId="66" borderId="294"/>
    <xf numFmtId="0" fontId="305" fillId="67" borderId="34"/>
    <xf numFmtId="0" fontId="255" fillId="55" borderId="0"/>
    <xf numFmtId="0" fontId="252" fillId="66" borderId="294"/>
    <xf numFmtId="0" fontId="251" fillId="65" borderId="294"/>
    <xf numFmtId="0" fontId="253" fillId="0" borderId="295"/>
    <xf numFmtId="0" fontId="251" fillId="65" borderId="294"/>
    <xf numFmtId="0" fontId="251" fillId="65" borderId="294"/>
    <xf numFmtId="0" fontId="305" fillId="67" borderId="34"/>
    <xf numFmtId="0" fontId="253" fillId="0" borderId="295"/>
    <xf numFmtId="0" fontId="255" fillId="55" borderId="0"/>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305" fillId="67" borderId="34"/>
    <xf numFmtId="0" fontId="253" fillId="0" borderId="295"/>
    <xf numFmtId="0" fontId="254" fillId="65" borderId="296"/>
    <xf numFmtId="0" fontId="254" fillId="65" borderId="296"/>
    <xf numFmtId="0" fontId="255" fillId="55" borderId="0"/>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253" fillId="0" borderId="295"/>
    <xf numFmtId="0" fontId="258" fillId="53" borderId="0"/>
    <xf numFmtId="0" fontId="251" fillId="65" borderId="294"/>
    <xf numFmtId="0" fontId="251" fillId="65" borderId="294"/>
    <xf numFmtId="0" fontId="252" fillId="66" borderId="294"/>
    <xf numFmtId="0" fontId="253" fillId="0" borderId="295"/>
    <xf numFmtId="0" fontId="253" fillId="0" borderId="295"/>
    <xf numFmtId="0" fontId="251" fillId="65" borderId="294"/>
    <xf numFmtId="0" fontId="305" fillId="67" borderId="34"/>
    <xf numFmtId="0" fontId="251" fillId="65" borderId="294"/>
    <xf numFmtId="0" fontId="252" fillId="66" borderId="294"/>
    <xf numFmtId="0" fontId="253" fillId="0" borderId="295"/>
    <xf numFmtId="0" fontId="252" fillId="66" borderId="294"/>
    <xf numFmtId="0" fontId="305" fillId="67" borderId="34"/>
    <xf numFmtId="0" fontId="253" fillId="0" borderId="295"/>
    <xf numFmtId="0" fontId="255" fillId="26" borderId="0"/>
    <xf numFmtId="0" fontId="251" fillId="65" borderId="294"/>
    <xf numFmtId="0" fontId="252" fillId="66" borderId="294"/>
    <xf numFmtId="0" fontId="255" fillId="55" borderId="0"/>
    <xf numFmtId="0" fontId="251" fillId="65" borderId="294"/>
    <xf numFmtId="0" fontId="252" fillId="66" borderId="294"/>
    <xf numFmtId="0" fontId="251" fillId="65" borderId="294"/>
    <xf numFmtId="0" fontId="255" fillId="58" borderId="0"/>
    <xf numFmtId="0" fontId="305" fillId="67" borderId="34"/>
    <xf numFmtId="0" fontId="305" fillId="67" borderId="34"/>
    <xf numFmtId="0" fontId="305" fillId="67" borderId="34"/>
    <xf numFmtId="0" fontId="253" fillId="0" borderId="295"/>
    <xf numFmtId="0" fontId="305" fillId="67" borderId="34"/>
    <xf numFmtId="0" fontId="252" fillId="66" borderId="294"/>
    <xf numFmtId="0" fontId="251" fillId="65" borderId="294"/>
    <xf numFmtId="0" fontId="305" fillId="67" borderId="34"/>
    <xf numFmtId="0" fontId="178" fillId="0" borderId="0"/>
    <xf numFmtId="0" fontId="251" fillId="65" borderId="294"/>
    <xf numFmtId="0" fontId="253" fillId="0" borderId="295"/>
    <xf numFmtId="0" fontId="251" fillId="65" borderId="294"/>
    <xf numFmtId="0" fontId="251" fillId="65" borderId="294"/>
    <xf numFmtId="0" fontId="305" fillId="67" borderId="34"/>
    <xf numFmtId="0" fontId="251" fillId="65" borderId="294"/>
    <xf numFmtId="0" fontId="252" fillId="66" borderId="294"/>
    <xf numFmtId="0" fontId="255" fillId="55" borderId="0"/>
    <xf numFmtId="0" fontId="251" fillId="65" borderId="294"/>
    <xf numFmtId="0" fontId="305" fillId="67" borderId="34"/>
    <xf numFmtId="0" fontId="255" fillId="19" borderId="0"/>
    <xf numFmtId="0" fontId="252" fillId="66" borderId="294"/>
    <xf numFmtId="0" fontId="251" fillId="65" borderId="294"/>
    <xf numFmtId="0" fontId="252" fillId="66" borderId="294"/>
    <xf numFmtId="0" fontId="251" fillId="65" borderId="294"/>
    <xf numFmtId="0" fontId="255" fillId="66" borderId="0"/>
    <xf numFmtId="0" fontId="252" fillId="66"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254" fillId="65" borderId="296"/>
    <xf numFmtId="0" fontId="251" fillId="65" borderId="294"/>
    <xf numFmtId="0" fontId="253" fillId="0" borderId="295"/>
    <xf numFmtId="0" fontId="251" fillId="65" borderId="294"/>
    <xf numFmtId="0" fontId="258" fillId="89" borderId="0"/>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4" fillId="65" borderId="296"/>
    <xf numFmtId="0" fontId="251" fillId="65" borderId="294"/>
    <xf numFmtId="0" fontId="251" fillId="65" borderId="294"/>
    <xf numFmtId="0" fontId="258" fillId="89" borderId="0"/>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3" fillId="0" borderId="295"/>
    <xf numFmtId="0" fontId="255" fillId="66" borderId="0"/>
    <xf numFmtId="0" fontId="305" fillId="67" borderId="34"/>
    <xf numFmtId="0" fontId="251" fillId="65" borderId="294"/>
    <xf numFmtId="0" fontId="251" fillId="65" borderId="294"/>
    <xf numFmtId="0" fontId="252" fillId="66" borderId="294"/>
    <xf numFmtId="0" fontId="255" fillId="66" borderId="0"/>
    <xf numFmtId="0" fontId="252" fillId="66"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254" fillId="65" borderId="296"/>
    <xf numFmtId="0" fontId="251" fillId="65" borderId="294"/>
    <xf numFmtId="0" fontId="305" fillId="67" borderId="34"/>
    <xf numFmtId="0" fontId="305" fillId="67" borderId="34"/>
    <xf numFmtId="0" fontId="253" fillId="0" borderId="295"/>
    <xf numFmtId="0" fontId="254" fillId="65" borderId="296"/>
    <xf numFmtId="0" fontId="254" fillId="65" borderId="296"/>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3" fillId="0" borderId="295"/>
    <xf numFmtId="0" fontId="254" fillId="65" borderId="296"/>
    <xf numFmtId="0" fontId="251" fillId="65" borderId="294"/>
    <xf numFmtId="0" fontId="252" fillId="66" borderId="294"/>
    <xf numFmtId="0" fontId="253" fillId="0" borderId="295"/>
    <xf numFmtId="0" fontId="255" fillId="82" borderId="0"/>
    <xf numFmtId="0" fontId="252" fillId="66" borderId="294"/>
    <xf numFmtId="0" fontId="255" fillId="66" borderId="0"/>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5" fillId="66" borderId="0"/>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255" fillId="66" borderId="0"/>
    <xf numFmtId="0" fontId="305" fillId="67" borderId="34"/>
    <xf numFmtId="0" fontId="251" fillId="65" borderId="294"/>
    <xf numFmtId="0" fontId="252" fillId="66" borderId="294"/>
    <xf numFmtId="0" fontId="253" fillId="0" borderId="295"/>
    <xf numFmtId="0" fontId="253" fillId="0" borderId="295"/>
    <xf numFmtId="0" fontId="251" fillId="65" borderId="294"/>
    <xf numFmtId="0" fontId="305" fillId="67" borderId="34"/>
    <xf numFmtId="0" fontId="254" fillId="65" borderId="296"/>
    <xf numFmtId="0" fontId="251" fillId="65" borderId="294"/>
    <xf numFmtId="0" fontId="305" fillId="67" borderId="34"/>
    <xf numFmtId="0" fontId="305" fillId="67" borderId="34"/>
    <xf numFmtId="0" fontId="253" fillId="0" borderId="295"/>
    <xf numFmtId="0" fontId="255" fillId="66" borderId="0"/>
    <xf numFmtId="0" fontId="251" fillId="65" borderId="294"/>
    <xf numFmtId="0" fontId="253" fillId="0" borderId="295"/>
    <xf numFmtId="0" fontId="305" fillId="67" borderId="3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3" fillId="0" borderId="295"/>
    <xf numFmtId="0" fontId="252" fillId="66" borderId="294"/>
    <xf numFmtId="0" fontId="255" fillId="66" borderId="0"/>
    <xf numFmtId="0" fontId="305" fillId="67" borderId="34"/>
    <xf numFmtId="0" fontId="251" fillId="65" borderId="294"/>
    <xf numFmtId="0" fontId="253" fillId="0" borderId="295"/>
    <xf numFmtId="0" fontId="254" fillId="65" borderId="296"/>
    <xf numFmtId="0" fontId="254" fillId="65" borderId="296"/>
    <xf numFmtId="0" fontId="255" fillId="66" borderId="0"/>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252" fillId="66" borderId="294"/>
    <xf numFmtId="0" fontId="253" fillId="0" borderId="295"/>
    <xf numFmtId="0" fontId="251" fillId="65" borderId="294"/>
    <xf numFmtId="0" fontId="255" fillId="66" borderId="0"/>
    <xf numFmtId="0" fontId="251" fillId="65" borderId="294"/>
    <xf numFmtId="0" fontId="305" fillId="67" borderId="34"/>
    <xf numFmtId="0" fontId="252" fillId="66" borderId="294"/>
    <xf numFmtId="0" fontId="252" fillId="66" borderId="294"/>
    <xf numFmtId="0" fontId="251" fillId="65" borderId="294"/>
    <xf numFmtId="0" fontId="251" fillId="65" borderId="294"/>
    <xf numFmtId="0" fontId="253" fillId="0" borderId="295"/>
    <xf numFmtId="0" fontId="251" fillId="65" borderId="294"/>
    <xf numFmtId="0" fontId="252" fillId="66" borderId="294"/>
    <xf numFmtId="0" fontId="255" fillId="81" borderId="0"/>
    <xf numFmtId="0" fontId="252" fillId="66" borderId="294"/>
    <xf numFmtId="0" fontId="251" fillId="65" borderId="29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252" fillId="66" borderId="29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5" fillId="82" borderId="0"/>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8" fillId="79" borderId="0"/>
    <xf numFmtId="0" fontId="254" fillId="65" borderId="296"/>
    <xf numFmtId="0" fontId="251" fillId="65" borderId="294"/>
    <xf numFmtId="0" fontId="305" fillId="67" borderId="34"/>
    <xf numFmtId="0" fontId="254" fillId="65" borderId="296"/>
    <xf numFmtId="0" fontId="251" fillId="65" borderId="294"/>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8" fillId="79" borderId="0"/>
    <xf numFmtId="0" fontId="252" fillId="66" borderId="29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255" fillId="82" borderId="0"/>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6" fillId="74" borderId="0"/>
    <xf numFmtId="0" fontId="252" fillId="66" borderId="29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2" fillId="66" borderId="294"/>
    <xf numFmtId="0" fontId="305" fillId="67" borderId="34"/>
    <xf numFmtId="0" fontId="305" fillId="67" borderId="34"/>
    <xf numFmtId="0" fontId="255" fillId="82" borderId="0"/>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4" fillId="65" borderId="296"/>
    <xf numFmtId="0" fontId="254" fillId="65" borderId="296"/>
    <xf numFmtId="0" fontId="252" fillId="66" borderId="294"/>
    <xf numFmtId="0" fontId="251" fillId="65" borderId="294"/>
    <xf numFmtId="0" fontId="252" fillId="66" borderId="294"/>
    <xf numFmtId="0" fontId="305" fillId="67" borderId="34"/>
    <xf numFmtId="0" fontId="255" fillId="82" borderId="0"/>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305" fillId="67" borderId="34"/>
    <xf numFmtId="0" fontId="254" fillId="65" borderId="296"/>
    <xf numFmtId="0" fontId="252" fillId="66" borderId="294"/>
    <xf numFmtId="0" fontId="253" fillId="0" borderId="295"/>
    <xf numFmtId="0" fontId="255" fillId="82" borderId="0"/>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2" fillId="66" borderId="294"/>
    <xf numFmtId="0" fontId="251" fillId="65" borderId="294"/>
    <xf numFmtId="0" fontId="255" fillId="82" borderId="0"/>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5" fillId="82" borderId="0"/>
    <xf numFmtId="0" fontId="252" fillId="66" borderId="294"/>
    <xf numFmtId="0" fontId="251" fillId="65" borderId="294"/>
    <xf numFmtId="0" fontId="253" fillId="0" borderId="295"/>
    <xf numFmtId="0" fontId="255" fillId="82" borderId="0"/>
    <xf numFmtId="0" fontId="254" fillId="65" borderId="296"/>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305" fillId="67" borderId="34"/>
    <xf numFmtId="0" fontId="253" fillId="0" borderId="295"/>
    <xf numFmtId="9" fontId="305" fillId="0" borderId="0"/>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5" fillId="81" borderId="0"/>
    <xf numFmtId="0" fontId="251" fillId="65" borderId="294"/>
    <xf numFmtId="0" fontId="251" fillId="65" borderId="294"/>
    <xf numFmtId="0" fontId="251" fillId="65" borderId="294"/>
    <xf numFmtId="0" fontId="255" fillId="82" borderId="0"/>
    <xf numFmtId="0" fontId="251" fillId="65" borderId="294"/>
    <xf numFmtId="0" fontId="305" fillId="67" borderId="34"/>
    <xf numFmtId="0" fontId="255" fillId="82" borderId="0"/>
    <xf numFmtId="0" fontId="251" fillId="65" borderId="294"/>
    <xf numFmtId="0" fontId="252" fillId="66" borderId="294"/>
    <xf numFmtId="0" fontId="251" fillId="65" borderId="294"/>
    <xf numFmtId="0" fontId="255" fillId="84" borderId="0"/>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255" fillId="73" borderId="0"/>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8" fillId="70" borderId="0"/>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8" fillId="70" borderId="0"/>
    <xf numFmtId="0" fontId="251" fillId="65" borderId="294"/>
    <xf numFmtId="0" fontId="305" fillId="67" borderId="34"/>
    <xf numFmtId="0" fontId="253" fillId="0" borderId="295"/>
    <xf numFmtId="0" fontId="305" fillId="67" borderId="34"/>
    <xf numFmtId="0" fontId="251" fillId="65" borderId="294"/>
    <xf numFmtId="0" fontId="251" fillId="65" borderId="294"/>
    <xf numFmtId="0" fontId="252" fillId="66" borderId="294"/>
    <xf numFmtId="0" fontId="251" fillId="65" borderId="294"/>
    <xf numFmtId="0" fontId="255" fillId="73" borderId="0"/>
    <xf numFmtId="0" fontId="252" fillId="66" borderId="294"/>
    <xf numFmtId="0" fontId="254" fillId="65" borderId="296"/>
    <xf numFmtId="0" fontId="305" fillId="67" borderId="34"/>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2" fillId="66" borderId="294"/>
    <xf numFmtId="0" fontId="255" fillId="73" borderId="0"/>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4" fillId="65" borderId="296"/>
    <xf numFmtId="0" fontId="251" fillId="65" borderId="294"/>
    <xf numFmtId="0" fontId="253" fillId="0" borderId="295"/>
    <xf numFmtId="0" fontId="255" fillId="73" borderId="0"/>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305" fillId="67" borderId="34"/>
    <xf numFmtId="0" fontId="251" fillId="65" borderId="294"/>
    <xf numFmtId="0" fontId="252" fillId="66" borderId="294"/>
    <xf numFmtId="0" fontId="252" fillId="66" borderId="294"/>
    <xf numFmtId="0" fontId="254" fillId="65" borderId="296"/>
    <xf numFmtId="0" fontId="305" fillId="67" borderId="34"/>
    <xf numFmtId="0" fontId="251" fillId="65" borderId="294"/>
    <xf numFmtId="0" fontId="251" fillId="65" borderId="294"/>
    <xf numFmtId="0" fontId="252" fillId="66" borderId="294"/>
    <xf numFmtId="0" fontId="252" fillId="66" borderId="294"/>
    <xf numFmtId="0" fontId="251" fillId="65" borderId="294"/>
    <xf numFmtId="0" fontId="253" fillId="0" borderId="295"/>
    <xf numFmtId="0" fontId="251" fillId="65" borderId="294"/>
    <xf numFmtId="0" fontId="254" fillId="65" borderId="296"/>
    <xf numFmtId="0" fontId="252" fillId="66" borderId="294"/>
    <xf numFmtId="0" fontId="251" fillId="65" borderId="294"/>
    <xf numFmtId="0" fontId="255" fillId="73" borderId="0"/>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305" fillId="67" borderId="34"/>
    <xf numFmtId="0" fontId="251" fillId="65" borderId="294"/>
    <xf numFmtId="0" fontId="305" fillId="67" borderId="34"/>
    <xf numFmtId="0" fontId="252" fillId="66" borderId="294"/>
    <xf numFmtId="0" fontId="253" fillId="0" borderId="295"/>
    <xf numFmtId="0" fontId="255" fillId="73" borderId="0"/>
    <xf numFmtId="0" fontId="252" fillId="66" borderId="294"/>
    <xf numFmtId="0" fontId="252" fillId="66" borderId="294"/>
    <xf numFmtId="0" fontId="254" fillId="65" borderId="296"/>
    <xf numFmtId="0" fontId="305" fillId="67" borderId="34"/>
    <xf numFmtId="0" fontId="251" fillId="65" borderId="294"/>
    <xf numFmtId="0" fontId="251" fillId="65" borderId="294"/>
    <xf numFmtId="0" fontId="252" fillId="66" borderId="294"/>
    <xf numFmtId="0" fontId="254" fillId="65" borderId="296"/>
    <xf numFmtId="0" fontId="252" fillId="66" borderId="294"/>
    <xf numFmtId="0" fontId="255" fillId="73" borderId="0"/>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4" fillId="65" borderId="296"/>
    <xf numFmtId="0" fontId="305" fillId="67" borderId="34"/>
    <xf numFmtId="0" fontId="251" fillId="65" borderId="294"/>
    <xf numFmtId="0" fontId="254" fillId="65" borderId="296"/>
    <xf numFmtId="0" fontId="305" fillId="67" borderId="34"/>
    <xf numFmtId="0" fontId="252" fillId="66" borderId="294"/>
    <xf numFmtId="0" fontId="253" fillId="0" borderId="295"/>
    <xf numFmtId="0" fontId="255" fillId="73" borderId="0"/>
    <xf numFmtId="0" fontId="305" fillId="67" borderId="34"/>
    <xf numFmtId="0" fontId="252" fillId="66" borderId="294"/>
    <xf numFmtId="0" fontId="252" fillId="66" borderId="294"/>
    <xf numFmtId="0" fontId="253" fillId="0" borderId="295"/>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5" fillId="73" borderId="0"/>
    <xf numFmtId="0" fontId="251" fillId="65" borderId="294"/>
    <xf numFmtId="0" fontId="252" fillId="66" borderId="294"/>
    <xf numFmtId="0" fontId="251" fillId="65" borderId="294"/>
    <xf numFmtId="0" fontId="258" fillId="70" borderId="0"/>
    <xf numFmtId="0" fontId="251" fillId="65" borderId="294"/>
    <xf numFmtId="0" fontId="252" fillId="66" borderId="294"/>
    <xf numFmtId="0" fontId="251" fillId="65" borderId="294"/>
    <xf numFmtId="0" fontId="255" fillId="84" borderId="0"/>
    <xf numFmtId="0" fontId="251" fillId="65" borderId="294"/>
    <xf numFmtId="0" fontId="251" fillId="65" borderId="294"/>
    <xf numFmtId="0" fontId="255" fillId="73" borderId="0"/>
    <xf numFmtId="0" fontId="251" fillId="65" borderId="294"/>
    <xf numFmtId="0" fontId="255" fillId="73" borderId="0"/>
    <xf numFmtId="0" fontId="253" fillId="0" borderId="295"/>
    <xf numFmtId="0" fontId="253" fillId="0" borderId="295"/>
    <xf numFmtId="0" fontId="251" fillId="65" borderId="294"/>
    <xf numFmtId="0" fontId="251" fillId="65" borderId="294"/>
    <xf numFmtId="0" fontId="255" fillId="92" borderId="0"/>
    <xf numFmtId="0" fontId="252" fillId="66" borderId="294"/>
    <xf numFmtId="0" fontId="251" fillId="65" borderId="294"/>
    <xf numFmtId="0" fontId="305" fillId="67" borderId="34"/>
    <xf numFmtId="0" fontId="254" fillId="65" borderId="296"/>
    <xf numFmtId="0" fontId="251" fillId="65" borderId="294"/>
    <xf numFmtId="0" fontId="305" fillId="67" borderId="34"/>
    <xf numFmtId="0" fontId="255" fillId="56" borderId="0"/>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8" fillId="57" borderId="0"/>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8" fillId="57" borderId="0"/>
    <xf numFmtId="0" fontId="251" fillId="65" borderId="294"/>
    <xf numFmtId="0" fontId="253" fillId="0" borderId="295"/>
    <xf numFmtId="0" fontId="255" fillId="56" borderId="0"/>
    <xf numFmtId="0" fontId="251" fillId="65" borderId="294"/>
    <xf numFmtId="0" fontId="253" fillId="0" borderId="295"/>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252" fillId="66" borderId="294"/>
    <xf numFmtId="0" fontId="252" fillId="66" borderId="294"/>
    <xf numFmtId="0" fontId="254" fillId="65" borderId="296"/>
    <xf numFmtId="0" fontId="305" fillId="67" borderId="34"/>
    <xf numFmtId="0" fontId="251" fillId="65" borderId="294"/>
    <xf numFmtId="0" fontId="251" fillId="65" borderId="294"/>
    <xf numFmtId="0" fontId="305" fillId="67" borderId="34"/>
    <xf numFmtId="0" fontId="252" fillId="66" borderId="294"/>
    <xf numFmtId="0" fontId="255" fillId="56" borderId="0"/>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305" fillId="67" borderId="34"/>
    <xf numFmtId="0" fontId="253" fillId="0" borderId="295"/>
    <xf numFmtId="0" fontId="255" fillId="56" borderId="0"/>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1" fillId="65" borderId="294"/>
    <xf numFmtId="0" fontId="251" fillId="65" borderId="294"/>
    <xf numFmtId="0" fontId="253" fillId="0" borderId="295"/>
    <xf numFmtId="0" fontId="255" fillId="56" borderId="0"/>
    <xf numFmtId="0" fontId="253" fillId="0" borderId="295"/>
    <xf numFmtId="0" fontId="252" fillId="66" borderId="294"/>
    <xf numFmtId="0" fontId="255" fillId="56" borderId="0"/>
    <xf numFmtId="0" fontId="253" fillId="0" borderId="295"/>
    <xf numFmtId="0" fontId="252" fillId="66" borderId="294"/>
    <xf numFmtId="0" fontId="258" fillId="57" borderId="0"/>
    <xf numFmtId="0" fontId="251" fillId="65" borderId="294"/>
    <xf numFmtId="0" fontId="255" fillId="92" borderId="0"/>
    <xf numFmtId="0" fontId="251" fillId="65" borderId="294"/>
    <xf numFmtId="0" fontId="253" fillId="0" borderId="295"/>
    <xf numFmtId="0" fontId="251" fillId="65" borderId="294"/>
    <xf numFmtId="0" fontId="255" fillId="56" borderId="0"/>
    <xf numFmtId="0" fontId="253" fillId="0" borderId="295"/>
    <xf numFmtId="0" fontId="251" fillId="65" borderId="294"/>
    <xf numFmtId="0" fontId="252" fillId="66" borderId="294"/>
    <xf numFmtId="0" fontId="252" fillId="66" borderId="294"/>
    <xf numFmtId="0" fontId="255" fillId="56" borderId="0"/>
    <xf numFmtId="0" fontId="251" fillId="65" borderId="294"/>
    <xf numFmtId="0" fontId="255" fillId="86" borderId="0"/>
    <xf numFmtId="0" fontId="255" fillId="80" borderId="0"/>
    <xf numFmtId="9" fontId="138" fillId="0" borderId="0"/>
    <xf numFmtId="0" fontId="305" fillId="67" borderId="34"/>
    <xf numFmtId="0" fontId="251" fillId="65" borderId="294"/>
    <xf numFmtId="0" fontId="255" fillId="80" borderId="0"/>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5" fillId="58" borderId="0"/>
    <xf numFmtId="0" fontId="258" fillId="85" borderId="0"/>
    <xf numFmtId="0" fontId="305" fillId="67" borderId="34"/>
    <xf numFmtId="0" fontId="258" fillId="85" borderId="0"/>
    <xf numFmtId="0" fontId="305" fillId="67" borderId="34"/>
    <xf numFmtId="0" fontId="305" fillId="67" borderId="34"/>
    <xf numFmtId="0" fontId="251" fillId="65" borderId="294"/>
    <xf numFmtId="0" fontId="305" fillId="67" borderId="34"/>
    <xf numFmtId="0" fontId="252" fillId="66" borderId="294"/>
    <xf numFmtId="0" fontId="254" fillId="65" borderId="296"/>
    <xf numFmtId="0" fontId="252" fillId="66" borderId="294"/>
    <xf numFmtId="0" fontId="251" fillId="65" borderId="294"/>
    <xf numFmtId="0" fontId="255" fillId="80" borderId="0"/>
    <xf numFmtId="0" fontId="305" fillId="67" borderId="34"/>
    <xf numFmtId="0" fontId="305" fillId="67" borderId="34"/>
    <xf numFmtId="0" fontId="305" fillId="67" borderId="34"/>
    <xf numFmtId="0" fontId="254" fillId="65" borderId="296"/>
    <xf numFmtId="0" fontId="251" fillId="65" borderId="294"/>
    <xf numFmtId="0" fontId="252" fillId="66" borderId="294"/>
    <xf numFmtId="0" fontId="251" fillId="65" borderId="294"/>
    <xf numFmtId="0" fontId="255" fillId="80" borderId="0"/>
    <xf numFmtId="0" fontId="256" fillId="93" borderId="0"/>
    <xf numFmtId="0" fontId="255" fillId="80" borderId="0"/>
    <xf numFmtId="0" fontId="252" fillId="66" borderId="294"/>
    <xf numFmtId="0" fontId="253" fillId="0" borderId="295"/>
    <xf numFmtId="0" fontId="255" fillId="80" borderId="0"/>
    <xf numFmtId="0" fontId="256" fillId="93" borderId="0"/>
    <xf numFmtId="0" fontId="255" fillId="80" borderId="0"/>
    <xf numFmtId="0" fontId="252" fillId="66" borderId="294"/>
    <xf numFmtId="0" fontId="253" fillId="0" borderId="295"/>
    <xf numFmtId="0" fontId="255" fillId="80" borderId="0"/>
    <xf numFmtId="0" fontId="255" fillId="80" borderId="0"/>
    <xf numFmtId="0" fontId="251" fillId="65" borderId="294"/>
    <xf numFmtId="0" fontId="253" fillId="0" borderId="295"/>
    <xf numFmtId="0" fontId="252" fillId="66" borderId="294"/>
    <xf numFmtId="0" fontId="255" fillId="80" borderId="0"/>
    <xf numFmtId="0" fontId="258" fillId="85" borderId="0"/>
    <xf numFmtId="0" fontId="251" fillId="65" borderId="294"/>
    <xf numFmtId="0" fontId="255" fillId="86" borderId="0"/>
    <xf numFmtId="0" fontId="251" fillId="65" borderId="294"/>
    <xf numFmtId="0" fontId="251" fillId="65" borderId="294"/>
    <xf numFmtId="0" fontId="255" fillId="80" borderId="0"/>
    <xf numFmtId="0" fontId="251" fillId="65" borderId="294"/>
    <xf numFmtId="0" fontId="251" fillId="65" borderId="294"/>
    <xf numFmtId="0" fontId="252" fillId="66" borderId="294"/>
    <xf numFmtId="0" fontId="252" fillId="66" borderId="294"/>
    <xf numFmtId="0" fontId="251" fillId="65" borderId="294"/>
    <xf numFmtId="0" fontId="255" fillId="81" borderId="0"/>
    <xf numFmtId="0" fontId="252" fillId="66" borderId="294"/>
    <xf numFmtId="0" fontId="305" fillId="67" borderId="34"/>
    <xf numFmtId="0" fontId="251" fillId="65" borderId="294"/>
    <xf numFmtId="0" fontId="252" fillId="66" borderId="294"/>
    <xf numFmtId="0" fontId="251" fillId="65" borderId="294"/>
    <xf numFmtId="0" fontId="253" fillId="0" borderId="295"/>
    <xf numFmtId="0" fontId="255" fillId="82" borderId="0"/>
    <xf numFmtId="0" fontId="305" fillId="67" borderId="34"/>
    <xf numFmtId="0" fontId="251" fillId="65" borderId="294"/>
    <xf numFmtId="0" fontId="252" fillId="66" borderId="294"/>
    <xf numFmtId="0" fontId="258" fillId="79" borderId="0"/>
    <xf numFmtId="0" fontId="305" fillId="67" borderId="34"/>
    <xf numFmtId="0" fontId="305" fillId="67" borderId="34"/>
    <xf numFmtId="0" fontId="251" fillId="65" borderId="294"/>
    <xf numFmtId="0" fontId="252" fillId="66" borderId="294"/>
    <xf numFmtId="0" fontId="251" fillId="65" borderId="294"/>
    <xf numFmtId="0" fontId="258" fillId="79" borderId="0"/>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305" fillId="67" borderId="34"/>
    <xf numFmtId="0" fontId="255" fillId="82" borderId="0"/>
    <xf numFmtId="0" fontId="305" fillId="67" borderId="3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5" fillId="82" borderId="0"/>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305" fillId="67" borderId="34"/>
    <xf numFmtId="0" fontId="255" fillId="82" borderId="0"/>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5" fillId="82" borderId="0"/>
    <xf numFmtId="0" fontId="253" fillId="0" borderId="295"/>
    <xf numFmtId="0" fontId="305" fillId="67" borderId="34"/>
    <xf numFmtId="0" fontId="255" fillId="82" borderId="0"/>
    <xf numFmtId="0" fontId="251" fillId="65" borderId="29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5" fillId="82" borderId="0"/>
    <xf numFmtId="0" fontId="254" fillId="65" borderId="296"/>
    <xf numFmtId="0" fontId="251" fillId="65" borderId="294"/>
    <xf numFmtId="0" fontId="256" fillId="94" borderId="0"/>
    <xf numFmtId="0" fontId="252" fillId="66" borderId="294"/>
    <xf numFmtId="0" fontId="305" fillId="67" borderId="34"/>
    <xf numFmtId="0" fontId="252" fillId="66" borderId="294"/>
    <xf numFmtId="0" fontId="255" fillId="82" borderId="0"/>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5" fillId="82" borderId="0"/>
    <xf numFmtId="0" fontId="252" fillId="66" borderId="294"/>
    <xf numFmtId="0" fontId="251" fillId="65" borderId="294"/>
    <xf numFmtId="0" fontId="252" fillId="66" borderId="294"/>
    <xf numFmtId="0" fontId="251" fillId="65" borderId="294"/>
    <xf numFmtId="0" fontId="258" fillId="79" borderId="0"/>
    <xf numFmtId="0" fontId="251" fillId="65" borderId="294"/>
    <xf numFmtId="0" fontId="255" fillId="58" borderId="0"/>
    <xf numFmtId="0" fontId="305" fillId="67" borderId="34"/>
    <xf numFmtId="0" fontId="251" fillId="65" borderId="294"/>
    <xf numFmtId="0" fontId="252" fillId="66" borderId="294"/>
    <xf numFmtId="0" fontId="251" fillId="65" borderId="294"/>
    <xf numFmtId="0" fontId="252" fillId="66" borderId="294"/>
    <xf numFmtId="0" fontId="255" fillId="81" borderId="0"/>
    <xf numFmtId="0" fontId="305" fillId="67" borderId="34"/>
    <xf numFmtId="0" fontId="305" fillId="0" borderId="0"/>
    <xf numFmtId="0" fontId="305" fillId="67" borderId="34"/>
    <xf numFmtId="0" fontId="253" fillId="0" borderId="295"/>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5" fillId="82" borderId="0"/>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5" fillId="82" borderId="0"/>
    <xf numFmtId="0" fontId="251" fillId="65" borderId="294"/>
    <xf numFmtId="0" fontId="253" fillId="0" borderId="295"/>
    <xf numFmtId="0" fontId="251" fillId="65" borderId="294"/>
    <xf numFmtId="0" fontId="252" fillId="66" borderId="294"/>
    <xf numFmtId="0" fontId="251" fillId="65" borderId="294"/>
    <xf numFmtId="0" fontId="254" fillId="65" borderId="296"/>
    <xf numFmtId="0" fontId="251" fillId="65" borderId="294"/>
    <xf numFmtId="0" fontId="255" fillId="68" borderId="0"/>
    <xf numFmtId="0" fontId="251" fillId="65" borderId="294"/>
    <xf numFmtId="0" fontId="305" fillId="67" borderId="34"/>
    <xf numFmtId="0" fontId="251" fillId="65" borderId="294"/>
    <xf numFmtId="0" fontId="251" fillId="65" borderId="294"/>
    <xf numFmtId="0" fontId="252" fillId="66" borderId="294"/>
    <xf numFmtId="0" fontId="253" fillId="0" borderId="295"/>
    <xf numFmtId="0" fontId="255" fillId="58" borderId="0"/>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8" fillId="59" borderId="0"/>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255" fillId="58" borderId="0"/>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305" fillId="67" borderId="34"/>
    <xf numFmtId="0" fontId="305" fillId="67" borderId="34"/>
    <xf numFmtId="0" fontId="253" fillId="0" borderId="295"/>
    <xf numFmtId="0" fontId="305" fillId="67" borderId="34"/>
    <xf numFmtId="0" fontId="255" fillId="58" borderId="0"/>
    <xf numFmtId="0" fontId="254" fillId="65" borderId="296"/>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5" fillId="58" borderId="0"/>
    <xf numFmtId="0" fontId="305" fillId="67" borderId="34"/>
    <xf numFmtId="0" fontId="251" fillId="65" borderId="294"/>
    <xf numFmtId="0" fontId="305" fillId="67" borderId="34"/>
    <xf numFmtId="0" fontId="252" fillId="66" borderId="294"/>
    <xf numFmtId="0" fontId="251" fillId="65" borderId="294"/>
    <xf numFmtId="0" fontId="254" fillId="65" borderId="296"/>
    <xf numFmtId="0" fontId="251" fillId="65" borderId="294"/>
    <xf numFmtId="0" fontId="254" fillId="65" borderId="296"/>
    <xf numFmtId="0" fontId="254" fillId="65" borderId="296"/>
    <xf numFmtId="0" fontId="305" fillId="67" borderId="34"/>
    <xf numFmtId="0" fontId="254" fillId="65" borderId="296"/>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5" fillId="58" borderId="0"/>
    <xf numFmtId="0" fontId="254" fillId="65" borderId="296"/>
    <xf numFmtId="0" fontId="251" fillId="65" borderId="294"/>
    <xf numFmtId="0" fontId="305" fillId="67" borderId="34"/>
    <xf numFmtId="0" fontId="255" fillId="58" borderId="0"/>
    <xf numFmtId="0" fontId="305" fillId="67" borderId="34"/>
    <xf numFmtId="0" fontId="252" fillId="66"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5" fillId="58" borderId="0"/>
    <xf numFmtId="0" fontId="252" fillId="66" borderId="294"/>
    <xf numFmtId="0" fontId="252" fillId="66" borderId="294"/>
    <xf numFmtId="0" fontId="253" fillId="0" borderId="295"/>
    <xf numFmtId="0" fontId="254" fillId="65" borderId="296"/>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8" fillId="59" borderId="0"/>
    <xf numFmtId="0" fontId="251" fillId="65" borderId="294"/>
    <xf numFmtId="0" fontId="305" fillId="67" borderId="34"/>
    <xf numFmtId="0" fontId="251" fillId="65" borderId="294"/>
    <xf numFmtId="0" fontId="305" fillId="67" borderId="34"/>
    <xf numFmtId="0" fontId="253" fillId="0" borderId="295"/>
    <xf numFmtId="0" fontId="305" fillId="67" borderId="34"/>
    <xf numFmtId="0" fontId="256" fillId="87" borderId="0"/>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4" fillId="65" borderId="296"/>
    <xf numFmtId="0" fontId="251" fillId="65" borderId="294"/>
    <xf numFmtId="0" fontId="255" fillId="58" borderId="0"/>
    <xf numFmtId="0" fontId="252" fillId="66" borderId="294"/>
    <xf numFmtId="0" fontId="256" fillId="94" borderId="0"/>
    <xf numFmtId="0" fontId="252" fillId="66" borderId="294"/>
    <xf numFmtId="0" fontId="305" fillId="67" borderId="34"/>
    <xf numFmtId="0" fontId="252" fillId="66" borderId="294"/>
    <xf numFmtId="0" fontId="253" fillId="0" borderId="295"/>
    <xf numFmtId="0" fontId="256" fillId="56" borderId="0"/>
    <xf numFmtId="0" fontId="305" fillId="67" borderId="34"/>
    <xf numFmtId="0" fontId="254" fillId="65" borderId="296"/>
    <xf numFmtId="0" fontId="305" fillId="67" borderId="34"/>
    <xf numFmtId="0" fontId="253" fillId="0" borderId="295"/>
    <xf numFmtId="0" fontId="252" fillId="66" borderId="294"/>
    <xf numFmtId="0" fontId="251" fillId="65" borderId="294"/>
    <xf numFmtId="0" fontId="305" fillId="67" borderId="34"/>
    <xf numFmtId="0" fontId="305" fillId="67" borderId="34"/>
    <xf numFmtId="0" fontId="251" fillId="65" borderId="294"/>
    <xf numFmtId="0" fontId="254" fillId="65" borderId="296"/>
    <xf numFmtId="0" fontId="251" fillId="65" borderId="294"/>
    <xf numFmtId="0" fontId="305" fillId="67" borderId="34"/>
    <xf numFmtId="0" fontId="251" fillId="65" borderId="294"/>
    <xf numFmtId="0" fontId="252" fillId="66" borderId="294"/>
    <xf numFmtId="0" fontId="251" fillId="65" borderId="294"/>
    <xf numFmtId="0" fontId="256" fillId="69" borderId="0"/>
    <xf numFmtId="0" fontId="252" fillId="66" borderId="294"/>
    <xf numFmtId="0" fontId="305" fillId="67" borderId="34"/>
    <xf numFmtId="0" fontId="253" fillId="0" borderId="295"/>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3" fillId="0" borderId="295"/>
    <xf numFmtId="0" fontId="256" fillId="69" borderId="0"/>
    <xf numFmtId="0" fontId="251" fillId="65" borderId="294"/>
    <xf numFmtId="0" fontId="305" fillId="67" borderId="34"/>
    <xf numFmtId="0" fontId="305" fillId="67" borderId="34"/>
    <xf numFmtId="0" fontId="252" fillId="66" borderId="294"/>
    <xf numFmtId="0" fontId="252" fillId="66" borderId="294"/>
    <xf numFmtId="0" fontId="251" fillId="65" borderId="294"/>
    <xf numFmtId="0" fontId="251" fillId="65" borderId="294"/>
    <xf numFmtId="0" fontId="256" fillId="74" borderId="0"/>
    <xf numFmtId="0" fontId="251" fillId="65" borderId="29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252" fillId="66" borderId="294"/>
    <xf numFmtId="0" fontId="251" fillId="65" borderId="294"/>
    <xf numFmtId="0" fontId="256" fillId="74" borderId="0"/>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3" fillId="0" borderId="295"/>
    <xf numFmtId="0" fontId="256" fillId="78" borderId="0"/>
    <xf numFmtId="0" fontId="305" fillId="67" borderId="3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3" fillId="0" borderId="295"/>
    <xf numFmtId="0" fontId="256" fillId="78" borderId="0"/>
    <xf numFmtId="0" fontId="305" fillId="67" borderId="34"/>
    <xf numFmtId="0" fontId="305" fillId="67" borderId="34"/>
    <xf numFmtId="0" fontId="253" fillId="0" borderId="295"/>
    <xf numFmtId="0" fontId="256" fillId="60" borderId="0"/>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253" fillId="0" borderId="295"/>
    <xf numFmtId="0" fontId="305" fillId="67" borderId="34"/>
    <xf numFmtId="0" fontId="256" fillId="60" borderId="0"/>
    <xf numFmtId="0" fontId="251" fillId="65" borderId="294"/>
    <xf numFmtId="0" fontId="251" fillId="65" borderId="294"/>
    <xf numFmtId="0" fontId="251" fillId="65" borderId="294"/>
    <xf numFmtId="0" fontId="253" fillId="0" borderId="295"/>
    <xf numFmtId="0" fontId="252" fillId="66" borderId="29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6" fillId="69" borderId="0"/>
    <xf numFmtId="0" fontId="252" fillId="66" borderId="294"/>
    <xf numFmtId="0" fontId="251" fillId="65" borderId="294"/>
    <xf numFmtId="0" fontId="253" fillId="0" borderId="295"/>
    <xf numFmtId="0" fontId="305" fillId="67" borderId="34"/>
    <xf numFmtId="0" fontId="251" fillId="65"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3" fillId="0" borderId="295"/>
    <xf numFmtId="0" fontId="305" fillId="67" borderId="34"/>
    <xf numFmtId="0" fontId="251" fillId="65" borderId="294"/>
    <xf numFmtId="0" fontId="252" fillId="66" borderId="294"/>
    <xf numFmtId="0" fontId="251" fillId="65" borderId="294"/>
    <xf numFmtId="0" fontId="256" fillId="74" borderId="0"/>
    <xf numFmtId="0" fontId="305" fillId="67" borderId="34"/>
    <xf numFmtId="0" fontId="252" fillId="66" borderId="294"/>
    <xf numFmtId="0" fontId="252" fillId="66"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2" fillId="66" borderId="294"/>
    <xf numFmtId="0" fontId="251" fillId="65" borderId="294"/>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4" fillId="65" borderId="296"/>
    <xf numFmtId="0" fontId="251" fillId="65" borderId="294"/>
    <xf numFmtId="0" fontId="252" fillId="66" borderId="294"/>
    <xf numFmtId="0" fontId="256" fillId="91" borderId="0"/>
    <xf numFmtId="0" fontId="252" fillId="66" borderId="294"/>
    <xf numFmtId="0" fontId="305" fillId="67" borderId="34"/>
    <xf numFmtId="0" fontId="305" fillId="67" borderId="34"/>
    <xf numFmtId="0" fontId="252" fillId="66" borderId="294"/>
    <xf numFmtId="0" fontId="251" fillId="65" borderId="294"/>
    <xf numFmtId="0" fontId="251" fillId="65" borderId="294"/>
    <xf numFmtId="0" fontId="305" fillId="67" borderId="34"/>
    <xf numFmtId="0" fontId="253" fillId="0" borderId="295"/>
    <xf numFmtId="0" fontId="254" fillId="65" borderId="296"/>
    <xf numFmtId="0" fontId="251" fillId="65" borderId="294"/>
    <xf numFmtId="0" fontId="251" fillId="65" borderId="294"/>
    <xf numFmtId="0" fontId="251" fillId="65" borderId="294"/>
    <xf numFmtId="0" fontId="252" fillId="66" borderId="294"/>
    <xf numFmtId="0" fontId="256" fillId="91" borderId="0"/>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252" fillId="66" borderId="294"/>
    <xf numFmtId="0" fontId="262" fillId="77" borderId="0"/>
    <xf numFmtId="0" fontId="252" fillId="66" borderId="29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3" fillId="0" borderId="295"/>
    <xf numFmtId="0" fontId="251" fillId="65" borderId="294"/>
    <xf numFmtId="0" fontId="251" fillId="65" borderId="294"/>
    <xf numFmtId="0" fontId="252" fillId="66" borderId="294"/>
    <xf numFmtId="0" fontId="252" fillId="66" borderId="294"/>
    <xf numFmtId="0" fontId="305" fillId="67" borderId="34"/>
    <xf numFmtId="0" fontId="305" fillId="67" borderId="34"/>
    <xf numFmtId="0" fontId="251" fillId="65" borderId="294"/>
    <xf numFmtId="0" fontId="253" fillId="0" borderId="295"/>
    <xf numFmtId="0" fontId="254" fillId="65" borderId="296"/>
    <xf numFmtId="0" fontId="305" fillId="67" borderId="34"/>
    <xf numFmtId="0" fontId="251" fillId="65" borderId="294"/>
    <xf numFmtId="0" fontId="251" fillId="65" borderId="294"/>
    <xf numFmtId="0" fontId="254" fillId="65" borderId="296"/>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4" fillId="65" borderId="296"/>
    <xf numFmtId="0" fontId="251" fillId="65" borderId="294"/>
    <xf numFmtId="0" fontId="251" fillId="65" borderId="294"/>
    <xf numFmtId="0" fontId="253" fillId="0" borderId="295"/>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4" fillId="65" borderId="296"/>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251" fillId="65" borderId="294"/>
    <xf numFmtId="0" fontId="253" fillId="0" borderId="295"/>
    <xf numFmtId="0" fontId="251" fillId="65" borderId="294"/>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4" fillId="65" borderId="296"/>
    <xf numFmtId="0" fontId="252" fillId="66" borderId="294"/>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4" fillId="65" borderId="296"/>
    <xf numFmtId="0" fontId="251" fillId="65" borderId="294"/>
    <xf numFmtId="0" fontId="252" fillId="66"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22" fillId="0" borderId="0">
      <alignment vertical="top"/>
      <protection locked="0"/>
    </xf>
    <xf numFmtId="0" fontId="251" fillId="65" borderId="294"/>
    <xf numFmtId="0" fontId="252" fillId="66" borderId="294"/>
    <xf numFmtId="0" fontId="305" fillId="67" borderId="34"/>
    <xf numFmtId="0" fontId="305" fillId="67" borderId="34"/>
    <xf numFmtId="0" fontId="305" fillId="67" borderId="34"/>
    <xf numFmtId="0" fontId="254" fillId="65" borderId="296"/>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305" fillId="67" borderId="34"/>
    <xf numFmtId="0" fontId="254" fillId="65" borderId="296"/>
    <xf numFmtId="0" fontId="305" fillId="67" borderId="34"/>
    <xf numFmtId="0" fontId="253" fillId="0" borderId="295"/>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2" fillId="66" borderId="294"/>
    <xf numFmtId="0" fontId="254" fillId="65" borderId="296"/>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3" fillId="0" borderId="295"/>
    <xf numFmtId="0" fontId="254" fillId="65" borderId="296"/>
    <xf numFmtId="0" fontId="254" fillId="65" borderId="296"/>
    <xf numFmtId="0" fontId="251" fillId="65" borderId="294"/>
    <xf numFmtId="0" fontId="305" fillId="67" borderId="34"/>
    <xf numFmtId="0" fontId="254" fillId="65" borderId="296"/>
    <xf numFmtId="0" fontId="305" fillId="67" borderId="34"/>
    <xf numFmtId="0" fontId="254" fillId="65" borderId="296"/>
    <xf numFmtId="0" fontId="251" fillId="65" borderId="294"/>
    <xf numFmtId="0" fontId="305" fillId="67" borderId="34"/>
    <xf numFmtId="0" fontId="305" fillId="67" borderId="3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3" fillId="0" borderId="295"/>
    <xf numFmtId="0" fontId="305" fillId="67" borderId="34"/>
    <xf numFmtId="0" fontId="253" fillId="0" borderId="295"/>
    <xf numFmtId="0" fontId="254" fillId="65" borderId="296"/>
    <xf numFmtId="0" fontId="305" fillId="67" borderId="34"/>
    <xf numFmtId="0" fontId="252" fillId="66" borderId="294"/>
    <xf numFmtId="0" fontId="254" fillId="65" borderId="296"/>
    <xf numFmtId="0" fontId="305" fillId="67" borderId="34"/>
    <xf numFmtId="0" fontId="305" fillId="67" borderId="34"/>
    <xf numFmtId="0" fontId="253" fillId="0" borderId="295"/>
    <xf numFmtId="0" fontId="254" fillId="65" borderId="296"/>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305" fillId="67" borderId="34"/>
    <xf numFmtId="0" fontId="251" fillId="65" borderId="294"/>
    <xf numFmtId="0" fontId="253" fillId="0" borderId="295"/>
    <xf numFmtId="0" fontId="252" fillId="66" borderId="294"/>
    <xf numFmtId="0" fontId="251" fillId="65" borderId="294"/>
    <xf numFmtId="0" fontId="305" fillId="67" borderId="34"/>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254" fillId="65" borderId="296"/>
    <xf numFmtId="0" fontId="254" fillId="65" borderId="296"/>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4" fillId="65" borderId="296"/>
    <xf numFmtId="0" fontId="254" fillId="65" borderId="296"/>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4" fillId="65" borderId="296"/>
    <xf numFmtId="0" fontId="254" fillId="65" borderId="296"/>
    <xf numFmtId="0" fontId="254" fillId="65" borderId="296"/>
    <xf numFmtId="0" fontId="251" fillId="65" borderId="294"/>
    <xf numFmtId="0" fontId="305" fillId="67" borderId="34"/>
    <xf numFmtId="0" fontId="305" fillId="67" borderId="34"/>
    <xf numFmtId="0" fontId="305" fillId="67" borderId="34"/>
    <xf numFmtId="0" fontId="254" fillId="65" borderId="296"/>
    <xf numFmtId="0" fontId="251" fillId="65" borderId="294"/>
    <xf numFmtId="0" fontId="305" fillId="67" borderId="34"/>
    <xf numFmtId="0" fontId="251" fillId="65" borderId="294"/>
    <xf numFmtId="0" fontId="305" fillId="67" borderId="34"/>
    <xf numFmtId="0" fontId="254" fillId="65" borderId="296"/>
    <xf numFmtId="0" fontId="251" fillId="65" borderId="294"/>
    <xf numFmtId="0" fontId="254" fillId="65" borderId="296"/>
    <xf numFmtId="0" fontId="254" fillId="65" borderId="296"/>
    <xf numFmtId="0" fontId="251" fillId="65" borderId="294"/>
    <xf numFmtId="0" fontId="305" fillId="67" borderId="34"/>
    <xf numFmtId="0" fontId="305" fillId="67" borderId="34"/>
    <xf numFmtId="0" fontId="305" fillId="67" borderId="34"/>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305" fillId="67" borderId="34"/>
    <xf numFmtId="0" fontId="252" fillId="66"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4" fillId="65" borderId="296"/>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305" fillId="67" borderId="34"/>
    <xf numFmtId="0" fontId="253" fillId="0" borderId="295"/>
    <xf numFmtId="0" fontId="251" fillId="65" borderId="294"/>
    <xf numFmtId="0" fontId="254" fillId="65" borderId="296"/>
    <xf numFmtId="0" fontId="251" fillId="65" borderId="294"/>
    <xf numFmtId="0" fontId="305" fillId="67" borderId="34"/>
    <xf numFmtId="0" fontId="252" fillId="66" borderId="294"/>
    <xf numFmtId="0" fontId="251" fillId="65" borderId="294"/>
    <xf numFmtId="0" fontId="251" fillId="65" borderId="294"/>
    <xf numFmtId="0" fontId="253" fillId="0" borderId="295"/>
    <xf numFmtId="0" fontId="254" fillId="65" borderId="296"/>
    <xf numFmtId="0" fontId="251" fillId="65" borderId="294"/>
    <xf numFmtId="0" fontId="305" fillId="67" borderId="34"/>
    <xf numFmtId="0" fontId="254" fillId="65" borderId="296"/>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254" fillId="65" borderId="296"/>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2" fillId="66"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2" fillId="66" borderId="294"/>
    <xf numFmtId="0" fontId="252" fillId="66" borderId="294"/>
    <xf numFmtId="0" fontId="251" fillId="65" borderId="294"/>
    <xf numFmtId="0" fontId="253" fillId="0" borderId="295"/>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305" fillId="67" borderId="3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4" fillId="65" borderId="296"/>
    <xf numFmtId="0" fontId="254" fillId="65" borderId="296"/>
    <xf numFmtId="0" fontId="252" fillId="66" borderId="294"/>
    <xf numFmtId="0" fontId="254" fillId="65" borderId="296"/>
    <xf numFmtId="0" fontId="254" fillId="65" borderId="296"/>
    <xf numFmtId="0" fontId="251" fillId="65" borderId="294"/>
    <xf numFmtId="0" fontId="251" fillId="65" borderId="294"/>
    <xf numFmtId="0" fontId="251" fillId="65" borderId="294"/>
    <xf numFmtId="0" fontId="251" fillId="65" borderId="294"/>
    <xf numFmtId="0" fontId="254" fillId="65" borderId="296"/>
    <xf numFmtId="0" fontId="254" fillId="65" borderId="296"/>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254" fillId="65" borderId="296"/>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1" fillId="65" borderId="294"/>
    <xf numFmtId="0" fontId="254" fillId="65" borderId="296"/>
    <xf numFmtId="0" fontId="254" fillId="65" borderId="296"/>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305" fillId="67" borderId="34"/>
    <xf numFmtId="0" fontId="253" fillId="0" borderId="295"/>
    <xf numFmtId="0" fontId="254" fillId="65" borderId="296"/>
    <xf numFmtId="0" fontId="254" fillId="65" borderId="296"/>
    <xf numFmtId="0" fontId="305" fillId="67" borderId="34"/>
    <xf numFmtId="0" fontId="251" fillId="65" borderId="294"/>
    <xf numFmtId="0" fontId="305" fillId="67" borderId="34"/>
    <xf numFmtId="0" fontId="254" fillId="65" borderId="296"/>
    <xf numFmtId="0" fontId="251" fillId="65" borderId="294"/>
    <xf numFmtId="0" fontId="305" fillId="67" borderId="34"/>
    <xf numFmtId="0" fontId="253" fillId="0" borderId="295"/>
    <xf numFmtId="0" fontId="254" fillId="65" borderId="296"/>
    <xf numFmtId="0" fontId="305" fillId="67" borderId="34"/>
    <xf numFmtId="0" fontId="251" fillId="65" borderId="294"/>
    <xf numFmtId="0" fontId="305" fillId="67" borderId="34"/>
    <xf numFmtId="0" fontId="305" fillId="67" borderId="34"/>
    <xf numFmtId="0" fontId="305" fillId="67" borderId="34"/>
    <xf numFmtId="0" fontId="251" fillId="65" borderId="294"/>
    <xf numFmtId="0" fontId="253" fillId="0" borderId="295"/>
    <xf numFmtId="0" fontId="254" fillId="65" borderId="296"/>
    <xf numFmtId="0" fontId="254" fillId="65" borderId="296"/>
    <xf numFmtId="0" fontId="251" fillId="65" borderId="294"/>
    <xf numFmtId="0" fontId="305" fillId="67" borderId="34"/>
    <xf numFmtId="0" fontId="253" fillId="0" borderId="295"/>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305" fillId="67" borderId="34"/>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4" fillId="65" borderId="296"/>
    <xf numFmtId="0" fontId="254" fillId="65" borderId="296"/>
    <xf numFmtId="0" fontId="305" fillId="67" borderId="34"/>
    <xf numFmtId="0" fontId="254" fillId="65" borderId="296"/>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2" fillId="66" borderId="294"/>
    <xf numFmtId="0" fontId="305" fillId="0" borderId="0"/>
    <xf numFmtId="0" fontId="305" fillId="67" borderId="34"/>
    <xf numFmtId="0" fontId="253" fillId="0" borderId="295"/>
    <xf numFmtId="0" fontId="254" fillId="65" borderId="296"/>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4" fillId="65" borderId="296"/>
    <xf numFmtId="0" fontId="254" fillId="65" borderId="296"/>
    <xf numFmtId="0" fontId="251" fillId="65" borderId="294"/>
    <xf numFmtId="0" fontId="305" fillId="67" borderId="34"/>
    <xf numFmtId="0" fontId="254" fillId="65" borderId="296"/>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4" fillId="65" borderId="296"/>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254" fillId="65" borderId="296"/>
    <xf numFmtId="0" fontId="251" fillId="65" borderId="294"/>
    <xf numFmtId="0" fontId="305" fillId="67" borderId="34"/>
    <xf numFmtId="0" fontId="253" fillId="0" borderId="295"/>
    <xf numFmtId="0" fontId="254" fillId="65" borderId="296"/>
    <xf numFmtId="0" fontId="305" fillId="67" borderId="34"/>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305" fillId="67" borderId="34"/>
    <xf numFmtId="0" fontId="252" fillId="66" borderId="29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2" fillId="66"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2" fillId="66" borderId="294"/>
    <xf numFmtId="0" fontId="251" fillId="65" borderId="29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178" fillId="0" borderId="0"/>
    <xf numFmtId="0" fontId="251" fillId="65" borderId="294"/>
    <xf numFmtId="0" fontId="305" fillId="67" borderId="34"/>
    <xf numFmtId="0" fontId="252" fillId="66" borderId="294"/>
    <xf numFmtId="0" fontId="254" fillId="65" borderId="296"/>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178" fillId="0" borderId="0"/>
    <xf numFmtId="0" fontId="251" fillId="65" borderId="294"/>
    <xf numFmtId="0" fontId="251" fillId="65" borderId="294"/>
    <xf numFmtId="0" fontId="252" fillId="66" borderId="294"/>
    <xf numFmtId="0" fontId="252" fillId="66" borderId="294"/>
    <xf numFmtId="0" fontId="252" fillId="66" borderId="294"/>
    <xf numFmtId="0" fontId="253" fillId="0" borderId="295"/>
    <xf numFmtId="0" fontId="251" fillId="65" borderId="294"/>
    <xf numFmtId="0" fontId="251" fillId="65" borderId="294"/>
    <xf numFmtId="0" fontId="251" fillId="65" borderId="294"/>
    <xf numFmtId="0" fontId="178" fillId="0" borderId="0"/>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305" fillId="67" borderId="34"/>
    <xf numFmtId="0" fontId="305" fillId="0" borderId="0"/>
    <xf numFmtId="0" fontId="305" fillId="67" borderId="34"/>
    <xf numFmtId="0" fontId="253" fillId="0" borderId="295"/>
    <xf numFmtId="0" fontId="305" fillId="67" borderId="34"/>
    <xf numFmtId="0" fontId="251" fillId="65" borderId="294"/>
    <xf numFmtId="0" fontId="254" fillId="65" borderId="296"/>
    <xf numFmtId="0" fontId="252" fillId="66" borderId="294"/>
    <xf numFmtId="0" fontId="253" fillId="0" borderId="295"/>
    <xf numFmtId="0" fontId="305" fillId="67" borderId="34"/>
    <xf numFmtId="0" fontId="251" fillId="65" borderId="294"/>
    <xf numFmtId="0" fontId="251" fillId="65" borderId="294"/>
    <xf numFmtId="0" fontId="253" fillId="0" borderId="295"/>
    <xf numFmtId="0" fontId="251" fillId="65" borderId="294"/>
    <xf numFmtId="0" fontId="305" fillId="67" borderId="34"/>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305" fillId="67" borderId="34"/>
    <xf numFmtId="0" fontId="305" fillId="67" borderId="34"/>
    <xf numFmtId="0" fontId="252" fillId="66" borderId="294"/>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7" fillId="0" borderId="298"/>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7" fillId="0" borderId="297"/>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7" fillId="0" borderId="297"/>
    <xf numFmtId="0" fontId="253" fillId="0" borderId="295"/>
    <xf numFmtId="0" fontId="254" fillId="65" borderId="296"/>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3" fillId="0" borderId="295"/>
    <xf numFmtId="0" fontId="254" fillId="65" borderId="296"/>
    <xf numFmtId="0" fontId="251" fillId="65" borderId="294"/>
    <xf numFmtId="0" fontId="305" fillId="67" borderId="34"/>
    <xf numFmtId="0" fontId="254" fillId="65" borderId="296"/>
    <xf numFmtId="0" fontId="254" fillId="65" borderId="296"/>
    <xf numFmtId="0" fontId="305" fillId="67" borderId="34"/>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4" fillId="65" borderId="296"/>
    <xf numFmtId="0" fontId="251" fillId="65" borderId="294"/>
    <xf numFmtId="0" fontId="251" fillId="65" borderId="294"/>
    <xf numFmtId="0" fontId="305" fillId="67" borderId="34"/>
    <xf numFmtId="0" fontId="252" fillId="66" borderId="294"/>
    <xf numFmtId="0" fontId="253" fillId="0" borderId="295"/>
    <xf numFmtId="0" fontId="305" fillId="67" borderId="3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3" fillId="0" borderId="295"/>
    <xf numFmtId="0" fontId="252" fillId="66" borderId="294"/>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253" fillId="0" borderId="295"/>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3" fillId="0" borderId="295"/>
    <xf numFmtId="0" fontId="252" fillId="66" borderId="29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3" fillId="0" borderId="295"/>
    <xf numFmtId="0" fontId="254" fillId="65" borderId="296"/>
    <xf numFmtId="0" fontId="252" fillId="66" borderId="29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2" fillId="66" borderId="294"/>
    <xf numFmtId="0" fontId="253" fillId="0" borderId="295"/>
    <xf numFmtId="0" fontId="251" fillId="65" borderId="294"/>
    <xf numFmtId="0" fontId="251" fillId="65" borderId="294"/>
    <xf numFmtId="0" fontId="252" fillId="66" borderId="294"/>
    <xf numFmtId="0" fontId="254" fillId="65" borderId="296"/>
    <xf numFmtId="0" fontId="251" fillId="65" borderId="294"/>
    <xf numFmtId="0" fontId="253" fillId="0" borderId="295"/>
    <xf numFmtId="0" fontId="253" fillId="0" borderId="295"/>
    <xf numFmtId="0" fontId="251" fillId="65" borderId="294"/>
    <xf numFmtId="0" fontId="254" fillId="65" borderId="296"/>
    <xf numFmtId="0" fontId="251" fillId="65" borderId="294"/>
    <xf numFmtId="0" fontId="252" fillId="66" borderId="294"/>
    <xf numFmtId="0" fontId="305" fillId="67" borderId="34"/>
    <xf numFmtId="0" fontId="253" fillId="0" borderId="295"/>
    <xf numFmtId="0" fontId="251" fillId="65" borderId="294"/>
    <xf numFmtId="0" fontId="305" fillId="67" borderId="34"/>
    <xf numFmtId="0" fontId="254" fillId="65" borderId="296"/>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2" fillId="66" borderId="294"/>
    <xf numFmtId="0" fontId="253" fillId="0" borderId="295"/>
    <xf numFmtId="0" fontId="251" fillId="65" borderId="294"/>
    <xf numFmtId="0" fontId="254" fillId="65" borderId="296"/>
    <xf numFmtId="0" fontId="251" fillId="65"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2" fillId="66" borderId="294"/>
    <xf numFmtId="0" fontId="253" fillId="0" borderId="295"/>
    <xf numFmtId="0" fontId="251" fillId="65" borderId="294"/>
    <xf numFmtId="0" fontId="251" fillId="65" borderId="294"/>
    <xf numFmtId="0" fontId="252" fillId="66" borderId="294"/>
    <xf numFmtId="0" fontId="252" fillId="66" borderId="294"/>
    <xf numFmtId="0" fontId="253" fillId="0" borderId="295"/>
    <xf numFmtId="0" fontId="251" fillId="65" borderId="294"/>
    <xf numFmtId="0" fontId="251" fillId="65" borderId="294"/>
    <xf numFmtId="0" fontId="251" fillId="65" borderId="294"/>
    <xf numFmtId="0" fontId="305" fillId="67" borderId="3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254" fillId="65" borderId="296"/>
    <xf numFmtId="0" fontId="254" fillId="65" borderId="296"/>
    <xf numFmtId="0" fontId="251" fillId="65" borderId="29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253" fillId="0" borderId="295"/>
    <xf numFmtId="0" fontId="251" fillId="65"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253" fillId="0" borderId="295"/>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305" fillId="67" borderId="34"/>
    <xf numFmtId="0" fontId="251" fillId="65" borderId="294"/>
    <xf numFmtId="0" fontId="252" fillId="66" borderId="294"/>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3" fillId="0" borderId="295"/>
    <xf numFmtId="0" fontId="251" fillId="65" borderId="294"/>
    <xf numFmtId="0" fontId="305" fillId="67" borderId="34"/>
    <xf numFmtId="0" fontId="305" fillId="67" borderId="34"/>
    <xf numFmtId="0" fontId="305" fillId="67" borderId="34"/>
    <xf numFmtId="0" fontId="253" fillId="0" borderId="295"/>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4" fillId="65" borderId="296"/>
    <xf numFmtId="0" fontId="305" fillId="67" borderId="34"/>
    <xf numFmtId="0" fontId="251" fillId="65" borderId="294"/>
    <xf numFmtId="0" fontId="251" fillId="65" borderId="294"/>
    <xf numFmtId="0" fontId="253" fillId="0" borderId="295"/>
    <xf numFmtId="0" fontId="251" fillId="65" borderId="294"/>
    <xf numFmtId="0" fontId="305" fillId="67" borderId="34"/>
    <xf numFmtId="0" fontId="251" fillId="65" borderId="294"/>
    <xf numFmtId="0" fontId="305" fillId="67" borderId="34"/>
    <xf numFmtId="0" fontId="254" fillId="65" borderId="296"/>
    <xf numFmtId="0" fontId="252" fillId="66" borderId="294"/>
    <xf numFmtId="0" fontId="305" fillId="67" borderId="34"/>
    <xf numFmtId="0" fontId="252" fillId="66" borderId="294"/>
    <xf numFmtId="0" fontId="253" fillId="0" borderId="295"/>
    <xf numFmtId="0" fontId="305" fillId="67" borderId="34"/>
    <xf numFmtId="0" fontId="251" fillId="65" borderId="294"/>
    <xf numFmtId="0" fontId="305" fillId="67" borderId="34"/>
    <xf numFmtId="0" fontId="305" fillId="67" borderId="34"/>
    <xf numFmtId="0" fontId="253" fillId="0" borderId="295"/>
    <xf numFmtId="0" fontId="251" fillId="65" borderId="294"/>
    <xf numFmtId="0" fontId="305" fillId="67" borderId="34"/>
    <xf numFmtId="0" fontId="252" fillId="66" borderId="294"/>
    <xf numFmtId="0" fontId="305" fillId="67" borderId="34"/>
    <xf numFmtId="0" fontId="305" fillId="67" borderId="34"/>
    <xf numFmtId="0" fontId="251" fillId="65" borderId="294"/>
    <xf numFmtId="0" fontId="254" fillId="65" borderId="296"/>
    <xf numFmtId="0" fontId="305" fillId="67" borderId="34"/>
    <xf numFmtId="0" fontId="305" fillId="67" borderId="34"/>
    <xf numFmtId="0" fontId="251" fillId="65" borderId="294"/>
    <xf numFmtId="0" fontId="251" fillId="65" borderId="294"/>
    <xf numFmtId="0" fontId="253" fillId="0" borderId="295"/>
    <xf numFmtId="0" fontId="253" fillId="0" borderId="295"/>
    <xf numFmtId="0" fontId="253" fillId="0" borderId="295"/>
    <xf numFmtId="0" fontId="251" fillId="65" borderId="294"/>
    <xf numFmtId="0" fontId="254" fillId="65" borderId="296"/>
    <xf numFmtId="0" fontId="251" fillId="65" borderId="294"/>
    <xf numFmtId="0" fontId="251" fillId="65" borderId="294"/>
    <xf numFmtId="0" fontId="305" fillId="67" borderId="34"/>
    <xf numFmtId="0" fontId="252" fillId="66" borderId="294"/>
    <xf numFmtId="0" fontId="253" fillId="0" borderId="295"/>
    <xf numFmtId="0" fontId="305" fillId="67" borderId="34"/>
    <xf numFmtId="0" fontId="251" fillId="65" borderId="294"/>
    <xf numFmtId="0" fontId="305" fillId="67" borderId="34"/>
    <xf numFmtId="0" fontId="305" fillId="67" borderId="34"/>
    <xf numFmtId="0" fontId="253" fillId="0" borderId="295"/>
    <xf numFmtId="0" fontId="251" fillId="65" borderId="294"/>
    <xf numFmtId="0" fontId="251" fillId="65" borderId="294"/>
    <xf numFmtId="0" fontId="305" fillId="67" borderId="34"/>
    <xf numFmtId="0" fontId="305" fillId="67" borderId="34"/>
    <xf numFmtId="0" fontId="252" fillId="66" borderId="294"/>
    <xf numFmtId="0" fontId="251" fillId="65" borderId="294"/>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3" fillId="0" borderId="295"/>
    <xf numFmtId="0" fontId="305" fillId="67" borderId="34"/>
    <xf numFmtId="0" fontId="251" fillId="65" borderId="294"/>
    <xf numFmtId="0" fontId="251" fillId="65" borderId="294"/>
    <xf numFmtId="0" fontId="252" fillId="66" borderId="294"/>
    <xf numFmtId="0" fontId="253" fillId="0" borderId="295"/>
    <xf numFmtId="0" fontId="254" fillId="65" borderId="296"/>
    <xf numFmtId="0" fontId="305" fillId="67" borderId="3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305" fillId="67" borderId="34"/>
    <xf numFmtId="0" fontId="251" fillId="65" borderId="294"/>
    <xf numFmtId="0" fontId="305" fillId="67" borderId="34"/>
    <xf numFmtId="0" fontId="305" fillId="67" borderId="34"/>
    <xf numFmtId="0" fontId="305" fillId="67" borderId="3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2" fillId="66" borderId="294"/>
    <xf numFmtId="0" fontId="305" fillId="67" borderId="34"/>
    <xf numFmtId="0" fontId="305" fillId="67" borderId="34"/>
    <xf numFmtId="0" fontId="253" fillId="0" borderId="295"/>
    <xf numFmtId="0" fontId="305" fillId="67" borderId="34"/>
    <xf numFmtId="0" fontId="251" fillId="65" borderId="294"/>
    <xf numFmtId="0" fontId="251" fillId="65" borderId="294"/>
    <xf numFmtId="0" fontId="251" fillId="65" borderId="294"/>
    <xf numFmtId="0" fontId="305" fillId="67" borderId="34"/>
    <xf numFmtId="0" fontId="254" fillId="65" borderId="296"/>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4" fillId="65" borderId="296"/>
    <xf numFmtId="0" fontId="251" fillId="65" borderId="294"/>
    <xf numFmtId="0" fontId="251" fillId="65" borderId="294"/>
    <xf numFmtId="0" fontId="251" fillId="65" borderId="294"/>
    <xf numFmtId="0" fontId="253" fillId="0" borderId="295"/>
    <xf numFmtId="0" fontId="253" fillId="0" borderId="295"/>
    <xf numFmtId="0" fontId="251" fillId="65" borderId="29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3" fillId="0" borderId="295"/>
    <xf numFmtId="0" fontId="251" fillId="65" borderId="294"/>
    <xf numFmtId="0" fontId="305" fillId="67" borderId="3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3" fillId="0" borderId="295"/>
    <xf numFmtId="0" fontId="251" fillId="65" borderId="294"/>
    <xf numFmtId="0" fontId="305" fillId="67" borderId="34"/>
    <xf numFmtId="0" fontId="251" fillId="65" borderId="29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3" fillId="0" borderId="295"/>
    <xf numFmtId="0" fontId="305" fillId="67" borderId="34"/>
    <xf numFmtId="0" fontId="305" fillId="67" borderId="34"/>
    <xf numFmtId="0" fontId="253" fillId="0" borderId="295"/>
    <xf numFmtId="0" fontId="251" fillId="65" borderId="294"/>
    <xf numFmtId="0" fontId="251" fillId="65" borderId="294"/>
    <xf numFmtId="0" fontId="305" fillId="67" borderId="34"/>
    <xf numFmtId="0" fontId="305" fillId="67" borderId="34"/>
    <xf numFmtId="0" fontId="254" fillId="65" borderId="296"/>
    <xf numFmtId="0" fontId="254" fillId="65" borderId="296"/>
    <xf numFmtId="0" fontId="251" fillId="65" borderId="294"/>
    <xf numFmtId="0" fontId="251" fillId="65" borderId="294"/>
    <xf numFmtId="0" fontId="305" fillId="67" borderId="34"/>
    <xf numFmtId="0" fontId="253" fillId="0" borderId="295"/>
    <xf numFmtId="0" fontId="252" fillId="66" borderId="294"/>
    <xf numFmtId="0" fontId="251" fillId="65" borderId="294"/>
    <xf numFmtId="0" fontId="254" fillId="65" borderId="296"/>
    <xf numFmtId="0" fontId="251" fillId="65" borderId="294"/>
    <xf numFmtId="0" fontId="305" fillId="67" borderId="34"/>
    <xf numFmtId="0" fontId="305" fillId="67" borderId="34"/>
    <xf numFmtId="0" fontId="251" fillId="65" borderId="294"/>
    <xf numFmtId="0" fontId="251" fillId="65" borderId="294"/>
    <xf numFmtId="0" fontId="254" fillId="65" borderId="296"/>
    <xf numFmtId="0" fontId="251" fillId="65" borderId="294"/>
    <xf numFmtId="0" fontId="305" fillId="67" borderId="34"/>
    <xf numFmtId="0" fontId="305" fillId="67" borderId="34"/>
    <xf numFmtId="0" fontId="254" fillId="65" borderId="296"/>
    <xf numFmtId="0" fontId="254" fillId="65" borderId="296"/>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3" fillId="0" borderId="295"/>
    <xf numFmtId="0" fontId="305" fillId="67" borderId="3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253" fillId="0" borderId="295"/>
    <xf numFmtId="0" fontId="305" fillId="67" borderId="34"/>
    <xf numFmtId="0" fontId="305" fillId="67" borderId="34"/>
    <xf numFmtId="0" fontId="253" fillId="0" borderId="295"/>
    <xf numFmtId="0" fontId="253" fillId="0" borderId="295"/>
    <xf numFmtId="0" fontId="251" fillId="65" borderId="294"/>
    <xf numFmtId="0" fontId="305" fillId="67" borderId="34"/>
    <xf numFmtId="0" fontId="252" fillId="66" borderId="294"/>
    <xf numFmtId="0" fontId="251" fillId="65" borderId="294"/>
    <xf numFmtId="0" fontId="251" fillId="65" borderId="294"/>
    <xf numFmtId="0" fontId="253" fillId="0" borderId="295"/>
    <xf numFmtId="0" fontId="251" fillId="65"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253" fillId="0" borderId="295"/>
    <xf numFmtId="0" fontId="252" fillId="66"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254" fillId="65" borderId="296"/>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4" fillId="65" borderId="296"/>
    <xf numFmtId="0" fontId="251" fillId="65" borderId="29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253" fillId="0" borderId="295"/>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2" fillId="66" borderId="294"/>
    <xf numFmtId="0" fontId="305" fillId="67" borderId="34"/>
    <xf numFmtId="0" fontId="253" fillId="0" borderId="295"/>
    <xf numFmtId="0" fontId="251" fillId="65" borderId="294"/>
    <xf numFmtId="0" fontId="252" fillId="66" borderId="29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254" fillId="65" borderId="296"/>
    <xf numFmtId="0" fontId="251" fillId="65" borderId="294"/>
    <xf numFmtId="0" fontId="305" fillId="67" borderId="34"/>
    <xf numFmtId="0" fontId="251" fillId="65" borderId="294"/>
    <xf numFmtId="0" fontId="253" fillId="0" borderId="295"/>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1" fillId="65" borderId="294"/>
    <xf numFmtId="0" fontId="251" fillId="65" borderId="294"/>
    <xf numFmtId="0" fontId="305" fillId="67" borderId="34"/>
    <xf numFmtId="0" fontId="254" fillId="65" borderId="296"/>
    <xf numFmtId="0" fontId="254" fillId="65" borderId="296"/>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252" fillId="66" borderId="294"/>
    <xf numFmtId="0" fontId="251" fillId="65" borderId="29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254" fillId="65" borderId="296"/>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4" fillId="65" borderId="296"/>
    <xf numFmtId="0" fontId="305" fillId="67" borderId="34"/>
    <xf numFmtId="0" fontId="251" fillId="65" borderId="29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3" fillId="0" borderId="295"/>
    <xf numFmtId="0" fontId="251" fillId="65" borderId="294"/>
    <xf numFmtId="0" fontId="254" fillId="65" borderId="296"/>
    <xf numFmtId="0" fontId="251" fillId="65" borderId="294"/>
    <xf numFmtId="0" fontId="254" fillId="65" borderId="296"/>
    <xf numFmtId="0" fontId="251" fillId="65" borderId="294"/>
    <xf numFmtId="0" fontId="251" fillId="65" borderId="294"/>
    <xf numFmtId="0" fontId="252" fillId="66" borderId="294"/>
    <xf numFmtId="0" fontId="305" fillId="67" borderId="34"/>
    <xf numFmtId="0" fontId="253" fillId="0" borderId="295"/>
    <xf numFmtId="0" fontId="305" fillId="67" borderId="34"/>
    <xf numFmtId="0" fontId="251" fillId="65" borderId="294"/>
    <xf numFmtId="0" fontId="251" fillId="65" borderId="294"/>
    <xf numFmtId="0" fontId="253" fillId="0" borderId="295"/>
    <xf numFmtId="0" fontId="254" fillId="65" borderId="296"/>
    <xf numFmtId="0" fontId="251" fillId="65" borderId="29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253" fillId="0" borderId="295"/>
    <xf numFmtId="0" fontId="251" fillId="65" borderId="294"/>
    <xf numFmtId="0" fontId="254" fillId="65" borderId="296"/>
    <xf numFmtId="0" fontId="251" fillId="65" borderId="294"/>
    <xf numFmtId="0" fontId="254" fillId="65" borderId="296"/>
    <xf numFmtId="0" fontId="251" fillId="65" borderId="294"/>
    <xf numFmtId="0" fontId="252" fillId="66" borderId="294"/>
    <xf numFmtId="0" fontId="305" fillId="67" borderId="34"/>
    <xf numFmtId="0" fontId="252" fillId="66" borderId="294"/>
    <xf numFmtId="0" fontId="305" fillId="67" borderId="34"/>
    <xf numFmtId="0" fontId="252" fillId="66" borderId="294"/>
    <xf numFmtId="0" fontId="254" fillId="65" borderId="296"/>
    <xf numFmtId="0" fontId="305" fillId="67" borderId="34"/>
    <xf numFmtId="0" fontId="251" fillId="65" borderId="294"/>
    <xf numFmtId="0" fontId="253" fillId="0" borderId="295"/>
    <xf numFmtId="0" fontId="252" fillId="66" borderId="29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4" fillId="65" borderId="296"/>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253" fillId="0" borderId="295"/>
    <xf numFmtId="0" fontId="305" fillId="67" borderId="34"/>
    <xf numFmtId="0" fontId="251" fillId="65" borderId="294"/>
    <xf numFmtId="0" fontId="254" fillId="65" borderId="296"/>
    <xf numFmtId="0" fontId="252" fillId="66" borderId="294"/>
    <xf numFmtId="0" fontId="254" fillId="65" borderId="296"/>
    <xf numFmtId="0" fontId="251" fillId="65" borderId="294"/>
    <xf numFmtId="0" fontId="252" fillId="66" borderId="294"/>
    <xf numFmtId="0" fontId="252" fillId="66" borderId="294"/>
    <xf numFmtId="0" fontId="254" fillId="65" borderId="296"/>
    <xf numFmtId="0" fontId="251" fillId="65" borderId="294"/>
    <xf numFmtId="0" fontId="252" fillId="66" borderId="294"/>
    <xf numFmtId="0" fontId="252" fillId="66" borderId="294"/>
    <xf numFmtId="0" fontId="252" fillId="66"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253" fillId="0" borderId="295"/>
    <xf numFmtId="0" fontId="252" fillId="66" borderId="294"/>
    <xf numFmtId="0" fontId="251" fillId="65" borderId="294"/>
    <xf numFmtId="0" fontId="305" fillId="67" borderId="34"/>
    <xf numFmtId="0" fontId="254" fillId="65" borderId="296"/>
    <xf numFmtId="0" fontId="252" fillId="66" borderId="294"/>
    <xf numFmtId="0" fontId="305" fillId="67" borderId="34"/>
    <xf numFmtId="0" fontId="252" fillId="66" borderId="294"/>
    <xf numFmtId="0" fontId="251" fillId="65" borderId="294"/>
    <xf numFmtId="0" fontId="252" fillId="66" borderId="294"/>
    <xf numFmtId="0" fontId="253" fillId="0" borderId="295"/>
    <xf numFmtId="0" fontId="252" fillId="66" borderId="294"/>
    <xf numFmtId="0" fontId="251" fillId="65" borderId="294"/>
    <xf numFmtId="0" fontId="305" fillId="67" borderId="34"/>
    <xf numFmtId="0" fontId="252" fillId="66" borderId="294"/>
    <xf numFmtId="0" fontId="251" fillId="65" borderId="294"/>
    <xf numFmtId="0" fontId="254" fillId="65" borderId="296"/>
    <xf numFmtId="0" fontId="252" fillId="66" borderId="294"/>
    <xf numFmtId="0" fontId="251" fillId="65" borderId="29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305" fillId="0" borderId="0"/>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1" fillId="65" borderId="294"/>
    <xf numFmtId="0" fontId="305" fillId="67" borderId="34"/>
    <xf numFmtId="0" fontId="305" fillId="0" borderId="0"/>
    <xf numFmtId="0" fontId="253" fillId="0" borderId="295"/>
    <xf numFmtId="0" fontId="252" fillId="66" borderId="294"/>
    <xf numFmtId="0" fontId="251" fillId="65" borderId="294"/>
    <xf numFmtId="0" fontId="252" fillId="66" borderId="294"/>
    <xf numFmtId="0" fontId="305" fillId="67" borderId="34"/>
    <xf numFmtId="0" fontId="253" fillId="0" borderId="295"/>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252" fillId="66" borderId="294"/>
    <xf numFmtId="0" fontId="252" fillId="66" borderId="294"/>
    <xf numFmtId="0" fontId="251" fillId="65" borderId="294"/>
    <xf numFmtId="0" fontId="305" fillId="0" borderId="0"/>
    <xf numFmtId="0" fontId="253" fillId="0" borderId="295"/>
    <xf numFmtId="0" fontId="252" fillId="66" borderId="294"/>
    <xf numFmtId="0" fontId="251" fillId="65" borderId="294"/>
    <xf numFmtId="0" fontId="252" fillId="66" borderId="294"/>
    <xf numFmtId="0" fontId="305" fillId="67" borderId="34"/>
    <xf numFmtId="0" fontId="305" fillId="0" borderId="0"/>
    <xf numFmtId="0" fontId="252" fillId="66" borderId="294"/>
    <xf numFmtId="0" fontId="251" fillId="65" borderId="294"/>
    <xf numFmtId="0" fontId="252" fillId="66" borderId="294"/>
    <xf numFmtId="0" fontId="305" fillId="0" borderId="0"/>
    <xf numFmtId="0" fontId="305" fillId="67" borderId="34"/>
    <xf numFmtId="0" fontId="252" fillId="66" borderId="294"/>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253" fillId="0" borderId="295"/>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3" fillId="0" borderId="295"/>
    <xf numFmtId="0" fontId="251" fillId="65" borderId="294"/>
    <xf numFmtId="0" fontId="252" fillId="66" borderId="294"/>
    <xf numFmtId="0" fontId="305" fillId="67" borderId="34"/>
    <xf numFmtId="0" fontId="252" fillId="66" borderId="294"/>
    <xf numFmtId="0" fontId="253" fillId="0" borderId="295"/>
    <xf numFmtId="0" fontId="251" fillId="65" borderId="29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253" fillId="0" borderId="295"/>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305" fillId="67" borderId="34"/>
    <xf numFmtId="0" fontId="253" fillId="0" borderId="295"/>
    <xf numFmtId="0" fontId="253" fillId="0" borderId="295"/>
    <xf numFmtId="0" fontId="251" fillId="65" borderId="29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305" fillId="67" borderId="34"/>
    <xf numFmtId="0" fontId="251" fillId="65" borderId="294"/>
    <xf numFmtId="0" fontId="251" fillId="65" borderId="294"/>
    <xf numFmtId="0" fontId="305" fillId="67" borderId="34"/>
    <xf numFmtId="0" fontId="252" fillId="66" borderId="294"/>
    <xf numFmtId="0" fontId="305" fillId="67" borderId="34"/>
    <xf numFmtId="0" fontId="253" fillId="0" borderId="295"/>
    <xf numFmtId="0" fontId="252" fillId="66" borderId="294"/>
    <xf numFmtId="0" fontId="253" fillId="0" borderId="295"/>
    <xf numFmtId="0" fontId="305" fillId="67" borderId="34"/>
    <xf numFmtId="0" fontId="251" fillId="65" borderId="294"/>
    <xf numFmtId="0" fontId="251" fillId="65"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305" fillId="67" borderId="34"/>
    <xf numFmtId="0" fontId="251" fillId="65" borderId="294"/>
    <xf numFmtId="0" fontId="252" fillId="66" borderId="294"/>
    <xf numFmtId="0" fontId="252" fillId="66" borderId="294"/>
    <xf numFmtId="0" fontId="253" fillId="0" borderId="295"/>
    <xf numFmtId="0" fontId="251" fillId="65" borderId="294"/>
    <xf numFmtId="0" fontId="251" fillId="65" borderId="294"/>
    <xf numFmtId="0" fontId="252" fillId="66" borderId="294"/>
    <xf numFmtId="0" fontId="305" fillId="67" borderId="3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305" fillId="67" borderId="34"/>
    <xf numFmtId="0" fontId="251" fillId="65" borderId="294"/>
    <xf numFmtId="0" fontId="305" fillId="67" borderId="34"/>
    <xf numFmtId="0" fontId="252" fillId="66" borderId="294"/>
    <xf numFmtId="0" fontId="252" fillId="66" borderId="294"/>
    <xf numFmtId="0" fontId="253" fillId="0" borderId="295"/>
    <xf numFmtId="0" fontId="251" fillId="65" borderId="294"/>
    <xf numFmtId="0" fontId="252" fillId="66" borderId="294"/>
    <xf numFmtId="0" fontId="251" fillId="65" borderId="294"/>
    <xf numFmtId="0" fontId="305" fillId="67" borderId="34"/>
    <xf numFmtId="0" fontId="252" fillId="66" borderId="294"/>
    <xf numFmtId="0" fontId="252" fillId="66" borderId="294"/>
    <xf numFmtId="0" fontId="253" fillId="0" borderId="295"/>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3" fillId="0" borderId="295"/>
    <xf numFmtId="0" fontId="253" fillId="0" borderId="295"/>
    <xf numFmtId="0" fontId="251" fillId="65" borderId="294"/>
    <xf numFmtId="0" fontId="252" fillId="66" borderId="294"/>
    <xf numFmtId="0" fontId="251" fillId="65" borderId="294"/>
    <xf numFmtId="0" fontId="251" fillId="65" borderId="294"/>
    <xf numFmtId="0" fontId="305" fillId="67" borderId="3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2" fillId="66" borderId="294"/>
    <xf numFmtId="0" fontId="253" fillId="0" borderId="295"/>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3" fillId="0" borderId="295"/>
    <xf numFmtId="0" fontId="252" fillId="66" borderId="294"/>
    <xf numFmtId="0" fontId="251" fillId="65"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253" fillId="0" borderId="295"/>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3" fillId="0" borderId="295"/>
    <xf numFmtId="0" fontId="252" fillId="66" borderId="294"/>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3" fillId="0" borderId="295"/>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3" fillId="0" borderId="295"/>
    <xf numFmtId="0" fontId="251" fillId="65" borderId="294"/>
    <xf numFmtId="0" fontId="253" fillId="0" borderId="295"/>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305" fillId="67" borderId="34"/>
    <xf numFmtId="0" fontId="252" fillId="66" borderId="294"/>
    <xf numFmtId="0" fontId="253" fillId="0" borderId="295"/>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2" fillId="66" borderId="294"/>
    <xf numFmtId="0" fontId="253" fillId="0" borderId="295"/>
    <xf numFmtId="0" fontId="252" fillId="66" borderId="294"/>
    <xf numFmtId="0" fontId="251" fillId="65" borderId="294"/>
    <xf numFmtId="0" fontId="251" fillId="65" borderId="294"/>
    <xf numFmtId="0" fontId="252" fillId="66" borderId="294"/>
    <xf numFmtId="0" fontId="305" fillId="67" borderId="34"/>
    <xf numFmtId="0" fontId="254" fillId="65" borderId="296"/>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260" fillId="0" borderId="299"/>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4" fillId="65" borderId="296"/>
    <xf numFmtId="0" fontId="251" fillId="65" borderId="294"/>
    <xf numFmtId="0" fontId="305" fillId="67" borderId="34"/>
    <xf numFmtId="0" fontId="253" fillId="0" borderId="295"/>
    <xf numFmtId="0" fontId="254" fillId="65" borderId="296"/>
    <xf numFmtId="0" fontId="305" fillId="67" borderId="34"/>
    <xf numFmtId="0" fontId="251" fillId="65" borderId="294"/>
    <xf numFmtId="0" fontId="251" fillId="65" borderId="294"/>
    <xf numFmtId="0" fontId="253" fillId="0" borderId="295"/>
    <xf numFmtId="0" fontId="305" fillId="67" borderId="34"/>
    <xf numFmtId="0" fontId="251" fillId="65" borderId="294"/>
    <xf numFmtId="0" fontId="251" fillId="65" borderId="294"/>
    <xf numFmtId="0" fontId="253" fillId="0" borderId="295"/>
    <xf numFmtId="0" fontId="305" fillId="67" borderId="34"/>
    <xf numFmtId="0" fontId="251" fillId="65" borderId="294"/>
    <xf numFmtId="0" fontId="251" fillId="65" borderId="294"/>
    <xf numFmtId="0" fontId="251" fillId="65" borderId="294"/>
    <xf numFmtId="0" fontId="253" fillId="0" borderId="295"/>
    <xf numFmtId="0" fontId="305" fillId="67" borderId="34"/>
    <xf numFmtId="0" fontId="251" fillId="65" borderId="294"/>
    <xf numFmtId="0" fontId="305" fillId="67" borderId="34"/>
    <xf numFmtId="0" fontId="251" fillId="65" borderId="294"/>
    <xf numFmtId="0" fontId="254" fillId="65" borderId="296"/>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305" fillId="67" borderId="34"/>
    <xf numFmtId="0" fontId="253" fillId="0" borderId="295"/>
    <xf numFmtId="0" fontId="253" fillId="0" borderId="295"/>
    <xf numFmtId="0" fontId="251" fillId="65" borderId="294"/>
    <xf numFmtId="0" fontId="252" fillId="66" borderId="294"/>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252" fillId="66"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4" fillId="65" borderId="296"/>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305" fillId="67" borderId="34"/>
    <xf numFmtId="0" fontId="253" fillId="0" borderId="295"/>
    <xf numFmtId="0" fontId="251" fillId="65" borderId="294"/>
    <xf numFmtId="0" fontId="252" fillId="66" borderId="294"/>
    <xf numFmtId="0" fontId="305" fillId="67" borderId="34"/>
    <xf numFmtId="0" fontId="251" fillId="65" borderId="294"/>
    <xf numFmtId="0" fontId="253" fillId="0" borderId="295"/>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253" fillId="0" borderId="295"/>
    <xf numFmtId="0" fontId="251" fillId="65" borderId="294"/>
    <xf numFmtId="0" fontId="252" fillId="66" borderId="294"/>
    <xf numFmtId="0" fontId="253" fillId="0" borderId="295"/>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4" fillId="65" borderId="296"/>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3" fillId="0" borderId="295"/>
    <xf numFmtId="0" fontId="305" fillId="67" borderId="34"/>
    <xf numFmtId="0" fontId="251" fillId="65" borderId="294"/>
    <xf numFmtId="0" fontId="251" fillId="65" borderId="294"/>
    <xf numFmtId="0" fontId="305" fillId="67" borderId="34"/>
    <xf numFmtId="0" fontId="254" fillId="65" borderId="296"/>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252" fillId="66" borderId="294"/>
    <xf numFmtId="0" fontId="305" fillId="67" borderId="3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254" fillId="65" borderId="296"/>
    <xf numFmtId="0" fontId="305" fillId="67" borderId="34"/>
    <xf numFmtId="0" fontId="254" fillId="65" borderId="296"/>
    <xf numFmtId="0" fontId="251" fillId="65" borderId="294"/>
    <xf numFmtId="0" fontId="305" fillId="67" borderId="34"/>
    <xf numFmtId="0" fontId="252" fillId="66"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2" fillId="66" borderId="294"/>
    <xf numFmtId="0" fontId="253" fillId="0" borderId="295"/>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305" fillId="67" borderId="34"/>
    <xf numFmtId="0" fontId="253" fillId="0" borderId="295"/>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4" fillId="65" borderId="296"/>
    <xf numFmtId="0" fontId="305" fillId="67" borderId="34"/>
    <xf numFmtId="0" fontId="254" fillId="65" borderId="296"/>
    <xf numFmtId="0" fontId="254" fillId="65" borderId="296"/>
    <xf numFmtId="0" fontId="251" fillId="65" borderId="294"/>
    <xf numFmtId="0" fontId="251" fillId="65" borderId="294"/>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3" fillId="0" borderId="295"/>
    <xf numFmtId="0" fontId="252" fillId="66" borderId="294"/>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1" fillId="65" borderId="294"/>
    <xf numFmtId="0" fontId="254" fillId="65" borderId="296"/>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254" fillId="65" borderId="296"/>
    <xf numFmtId="0" fontId="251" fillId="65" borderId="294"/>
    <xf numFmtId="0" fontId="305" fillId="67" borderId="34"/>
    <xf numFmtId="0" fontId="253" fillId="0" borderId="295"/>
    <xf numFmtId="0" fontId="305" fillId="67" borderId="34"/>
    <xf numFmtId="0" fontId="251" fillId="65" borderId="294"/>
    <xf numFmtId="0" fontId="254" fillId="65" borderId="296"/>
    <xf numFmtId="0" fontId="305" fillId="67" borderId="34"/>
    <xf numFmtId="0" fontId="254" fillId="65" borderId="296"/>
    <xf numFmtId="0" fontId="251" fillId="65" borderId="294"/>
    <xf numFmtId="0" fontId="305" fillId="67" borderId="3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251" fillId="65" borderId="294"/>
    <xf numFmtId="0" fontId="305" fillId="67" borderId="34"/>
    <xf numFmtId="0" fontId="254" fillId="65" borderId="296"/>
    <xf numFmtId="0" fontId="251" fillId="65" borderId="294"/>
    <xf numFmtId="0" fontId="254" fillId="65" borderId="296"/>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305" fillId="67" borderId="34"/>
    <xf numFmtId="0" fontId="252" fillId="66" borderId="294"/>
    <xf numFmtId="0" fontId="305" fillId="67" borderId="34"/>
    <xf numFmtId="0" fontId="254" fillId="65" borderId="296"/>
    <xf numFmtId="0" fontId="251" fillId="65" borderId="294"/>
    <xf numFmtId="0" fontId="254" fillId="65" borderId="296"/>
    <xf numFmtId="0" fontId="251" fillId="65" borderId="294"/>
    <xf numFmtId="0" fontId="251" fillId="65" borderId="294"/>
    <xf numFmtId="0" fontId="252" fillId="66" borderId="294"/>
    <xf numFmtId="0" fontId="305" fillId="67" borderId="34"/>
    <xf numFmtId="0" fontId="252" fillId="66" borderId="294"/>
    <xf numFmtId="0" fontId="305" fillId="67" borderId="34"/>
    <xf numFmtId="0" fontId="253" fillId="0" borderId="295"/>
    <xf numFmtId="0" fontId="251" fillId="65" borderId="294"/>
    <xf numFmtId="0" fontId="305" fillId="67" borderId="34"/>
    <xf numFmtId="0" fontId="305" fillId="67" borderId="34"/>
    <xf numFmtId="0" fontId="305" fillId="67" borderId="34"/>
    <xf numFmtId="0" fontId="252" fillId="66"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4" fillId="65" borderId="296"/>
    <xf numFmtId="0" fontId="305" fillId="67" borderId="34"/>
    <xf numFmtId="0" fontId="254" fillId="65" borderId="296"/>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253" fillId="0" borderId="295"/>
    <xf numFmtId="0" fontId="251" fillId="65" borderId="294"/>
    <xf numFmtId="0" fontId="252" fillId="66" borderId="294"/>
    <xf numFmtId="0" fontId="260" fillId="0" borderId="299"/>
    <xf numFmtId="0" fontId="251" fillId="65" borderId="294"/>
    <xf numFmtId="0" fontId="251" fillId="65" borderId="294"/>
    <xf numFmtId="0" fontId="305" fillId="67" borderId="34"/>
    <xf numFmtId="0" fontId="252" fillId="66" borderId="294"/>
    <xf numFmtId="0" fontId="252" fillId="66" borderId="294"/>
    <xf numFmtId="0" fontId="253" fillId="0" borderId="295"/>
    <xf numFmtId="0" fontId="251" fillId="65" borderId="294"/>
    <xf numFmtId="0" fontId="251" fillId="65" borderId="294"/>
    <xf numFmtId="0" fontId="305" fillId="67" borderId="34"/>
    <xf numFmtId="0" fontId="252" fillId="66" borderId="294"/>
    <xf numFmtId="0" fontId="251" fillId="65" borderId="294"/>
    <xf numFmtId="0" fontId="254" fillId="65" borderId="296"/>
    <xf numFmtId="0" fontId="251" fillId="65" borderId="294"/>
    <xf numFmtId="0" fontId="252" fillId="66" borderId="294"/>
    <xf numFmtId="0" fontId="305" fillId="67" borderId="34"/>
    <xf numFmtId="0" fontId="252" fillId="66" borderId="294"/>
    <xf numFmtId="0" fontId="253" fillId="0" borderId="295"/>
    <xf numFmtId="0" fontId="251" fillId="65" borderId="294"/>
    <xf numFmtId="0" fontId="254" fillId="65" borderId="296"/>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4" fillId="65" borderId="296"/>
    <xf numFmtId="0" fontId="251" fillId="65" borderId="294"/>
    <xf numFmtId="0" fontId="254" fillId="65" borderId="296"/>
    <xf numFmtId="0" fontId="252" fillId="66" borderId="294"/>
    <xf numFmtId="0" fontId="251" fillId="65" borderId="294"/>
    <xf numFmtId="0" fontId="252" fillId="66" borderId="294"/>
    <xf numFmtId="0" fontId="251" fillId="65" borderId="294"/>
    <xf numFmtId="0" fontId="305" fillId="67" borderId="34"/>
    <xf numFmtId="0" fontId="254" fillId="65" borderId="296"/>
    <xf numFmtId="0" fontId="251" fillId="65" borderId="294"/>
    <xf numFmtId="0" fontId="252" fillId="66" borderId="294"/>
    <xf numFmtId="0" fontId="305" fillId="67" borderId="34"/>
    <xf numFmtId="0" fontId="251" fillId="65" borderId="294"/>
    <xf numFmtId="0" fontId="305" fillId="67" borderId="34"/>
    <xf numFmtId="0" fontId="305" fillId="67" borderId="34"/>
    <xf numFmtId="0" fontId="305" fillId="67" borderId="34"/>
    <xf numFmtId="0" fontId="254" fillId="65" borderId="296"/>
    <xf numFmtId="0" fontId="305" fillId="67" borderId="34"/>
    <xf numFmtId="0" fontId="252" fillId="66" borderId="294"/>
    <xf numFmtId="0" fontId="253" fillId="0" borderId="295"/>
    <xf numFmtId="0" fontId="251" fillId="65" borderId="294"/>
    <xf numFmtId="0" fontId="305" fillId="67" borderId="34"/>
    <xf numFmtId="0" fontId="254" fillId="65" borderId="296"/>
    <xf numFmtId="0" fontId="251" fillId="65" borderId="294"/>
    <xf numFmtId="0" fontId="254" fillId="65" borderId="296"/>
    <xf numFmtId="0" fontId="305" fillId="67" borderId="34"/>
    <xf numFmtId="0" fontId="254" fillId="65" borderId="296"/>
    <xf numFmtId="0" fontId="305" fillId="67" borderId="34"/>
    <xf numFmtId="0" fontId="251" fillId="65" borderId="294"/>
    <xf numFmtId="0" fontId="305" fillId="67" borderId="34"/>
    <xf numFmtId="0" fontId="305" fillId="67" borderId="34"/>
    <xf numFmtId="0" fontId="253" fillId="0" borderId="295"/>
    <xf numFmtId="0" fontId="252" fillId="66" borderId="294"/>
    <xf numFmtId="0" fontId="251" fillId="65" borderId="294"/>
    <xf numFmtId="0" fontId="251" fillId="65" borderId="294"/>
    <xf numFmtId="0" fontId="254" fillId="65" borderId="296"/>
    <xf numFmtId="0" fontId="251" fillId="65" borderId="294"/>
    <xf numFmtId="0" fontId="254" fillId="65" borderId="296"/>
    <xf numFmtId="0" fontId="305" fillId="67" borderId="34"/>
    <xf numFmtId="0" fontId="254" fillId="65" borderId="296"/>
    <xf numFmtId="0" fontId="305" fillId="67" borderId="34"/>
    <xf numFmtId="0" fontId="252" fillId="66"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2" fillId="66" borderId="294"/>
    <xf numFmtId="0" fontId="305" fillId="67" borderId="34"/>
    <xf numFmtId="0" fontId="253" fillId="0" borderId="295"/>
    <xf numFmtId="0" fontId="305" fillId="67" borderId="3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253" fillId="0" borderId="295"/>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3" fillId="0" borderId="295"/>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1" fillId="65" borderId="294"/>
    <xf numFmtId="0" fontId="254" fillId="65" borderId="296"/>
    <xf numFmtId="0" fontId="252" fillId="66" borderId="294"/>
    <xf numFmtId="0" fontId="305" fillId="67" borderId="3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2" fillId="66" borderId="294"/>
    <xf numFmtId="0" fontId="251" fillId="65" borderId="294"/>
    <xf numFmtId="0" fontId="253" fillId="0" borderId="295"/>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305" fillId="67" borderId="3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305" fillId="67" borderId="34"/>
    <xf numFmtId="0" fontId="253" fillId="0" borderId="295"/>
    <xf numFmtId="0" fontId="305" fillId="67" borderId="34"/>
    <xf numFmtId="0" fontId="251" fillId="65" borderId="294"/>
    <xf numFmtId="0" fontId="251" fillId="65" borderId="294"/>
    <xf numFmtId="0" fontId="251" fillId="65" borderId="294"/>
    <xf numFmtId="0" fontId="305" fillId="67" borderId="34"/>
    <xf numFmtId="0" fontId="253" fillId="0" borderId="295"/>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3" fillId="0" borderId="295"/>
    <xf numFmtId="0" fontId="305" fillId="67" borderId="3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253" fillId="0" borderId="295"/>
    <xf numFmtId="0" fontId="251" fillId="65" borderId="294"/>
    <xf numFmtId="0" fontId="305" fillId="67" borderId="34"/>
    <xf numFmtId="0" fontId="252" fillId="66" borderId="294"/>
    <xf numFmtId="0" fontId="251" fillId="65" borderId="294"/>
    <xf numFmtId="0" fontId="251" fillId="65" borderId="294"/>
    <xf numFmtId="0" fontId="254" fillId="65" borderId="296"/>
    <xf numFmtId="0" fontId="305" fillId="67" borderId="34"/>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2" fillId="66"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4" fillId="65" borderId="296"/>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252" fillId="66" borderId="294"/>
    <xf numFmtId="0" fontId="305" fillId="67" borderId="34"/>
    <xf numFmtId="0" fontId="251" fillId="65" borderId="294"/>
    <xf numFmtId="0" fontId="252" fillId="66" borderId="294"/>
    <xf numFmtId="0" fontId="254" fillId="65" borderId="296"/>
    <xf numFmtId="0" fontId="251" fillId="65" borderId="294"/>
    <xf numFmtId="0" fontId="305" fillId="67" borderId="34"/>
    <xf numFmtId="0" fontId="253" fillId="0" borderId="295"/>
    <xf numFmtId="0" fontId="251" fillId="65" borderId="294"/>
    <xf numFmtId="0" fontId="251" fillId="65" borderId="294"/>
    <xf numFmtId="0" fontId="251" fillId="65" borderId="29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252" fillId="66" borderId="294"/>
    <xf numFmtId="0" fontId="251" fillId="65" borderId="294"/>
    <xf numFmtId="0" fontId="305" fillId="67" borderId="34"/>
    <xf numFmtId="0" fontId="253" fillId="0" borderId="295"/>
    <xf numFmtId="0" fontId="254" fillId="65" borderId="296"/>
    <xf numFmtId="0" fontId="252" fillId="66" borderId="294"/>
    <xf numFmtId="0" fontId="254" fillId="65" borderId="296"/>
    <xf numFmtId="0" fontId="305" fillId="67" borderId="34"/>
    <xf numFmtId="0" fontId="253" fillId="0" borderId="295"/>
    <xf numFmtId="0" fontId="254" fillId="65" borderId="296"/>
    <xf numFmtId="0" fontId="251" fillId="65" borderId="294"/>
    <xf numFmtId="0" fontId="305" fillId="67" borderId="34"/>
    <xf numFmtId="0" fontId="251" fillId="65" borderId="294"/>
    <xf numFmtId="0" fontId="305" fillId="67" borderId="34"/>
    <xf numFmtId="0" fontId="253" fillId="0" borderId="295"/>
    <xf numFmtId="0" fontId="254" fillId="65" borderId="296"/>
    <xf numFmtId="0" fontId="254" fillId="65" borderId="296"/>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3" fillId="0" borderId="295"/>
    <xf numFmtId="0" fontId="252" fillId="66" borderId="294"/>
    <xf numFmtId="0" fontId="253" fillId="0" borderId="295"/>
    <xf numFmtId="0" fontId="251" fillId="65" borderId="294"/>
    <xf numFmtId="0" fontId="305" fillId="67" borderId="34"/>
    <xf numFmtId="0" fontId="251" fillId="65" borderId="294"/>
    <xf numFmtId="0" fontId="305" fillId="67" borderId="34"/>
    <xf numFmtId="0" fontId="253" fillId="0" borderId="295"/>
    <xf numFmtId="0" fontId="252" fillId="66" borderId="294"/>
    <xf numFmtId="0" fontId="253" fillId="0" borderId="295"/>
    <xf numFmtId="0" fontId="251" fillId="65" borderId="294"/>
    <xf numFmtId="0" fontId="253" fillId="0" borderId="295"/>
    <xf numFmtId="0" fontId="251" fillId="65" borderId="294"/>
    <xf numFmtId="0" fontId="305" fillId="67" borderId="34"/>
    <xf numFmtId="0" fontId="253" fillId="0" borderId="295"/>
    <xf numFmtId="0" fontId="252" fillId="66" borderId="294"/>
    <xf numFmtId="0" fontId="251" fillId="65" borderId="294"/>
    <xf numFmtId="0" fontId="251" fillId="65" borderId="294"/>
    <xf numFmtId="0" fontId="305" fillId="67" borderId="34"/>
    <xf numFmtId="0" fontId="305" fillId="67" borderId="34"/>
    <xf numFmtId="0" fontId="253" fillId="0" borderId="295"/>
    <xf numFmtId="0" fontId="252" fillId="66" borderId="294"/>
    <xf numFmtId="0" fontId="251" fillId="65" borderId="294"/>
    <xf numFmtId="0" fontId="251" fillId="65" borderId="294"/>
    <xf numFmtId="0" fontId="305" fillId="67" borderId="34"/>
    <xf numFmtId="0" fontId="252" fillId="66" borderId="294"/>
    <xf numFmtId="0" fontId="253" fillId="0" borderId="295"/>
    <xf numFmtId="0" fontId="251" fillId="65" borderId="294"/>
    <xf numFmtId="0" fontId="253" fillId="0" borderId="295"/>
    <xf numFmtId="0" fontId="305" fillId="67" borderId="3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3" fillId="0" borderId="295"/>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253" fillId="0" borderId="295"/>
    <xf numFmtId="0" fontId="253" fillId="0" borderId="295"/>
    <xf numFmtId="0" fontId="305" fillId="67" borderId="34"/>
    <xf numFmtId="0" fontId="253" fillId="0" borderId="295"/>
    <xf numFmtId="0" fontId="252" fillId="66" borderId="294"/>
    <xf numFmtId="0" fontId="251" fillId="65" borderId="294"/>
    <xf numFmtId="0" fontId="251" fillId="65" borderId="294"/>
    <xf numFmtId="0" fontId="305" fillId="67" borderId="34"/>
    <xf numFmtId="0" fontId="252" fillId="66" borderId="294"/>
    <xf numFmtId="0" fontId="305" fillId="67" borderId="34"/>
    <xf numFmtId="0" fontId="305" fillId="67" borderId="34"/>
    <xf numFmtId="0" fontId="253" fillId="0" borderId="295"/>
    <xf numFmtId="0" fontId="252" fillId="66" borderId="294"/>
    <xf numFmtId="0" fontId="305" fillId="67" borderId="34"/>
    <xf numFmtId="0" fontId="251" fillId="65" borderId="294"/>
    <xf numFmtId="0" fontId="251" fillId="65" borderId="294"/>
    <xf numFmtId="0" fontId="305" fillId="67" borderId="34"/>
    <xf numFmtId="0" fontId="252" fillId="66" borderId="294"/>
    <xf numFmtId="0" fontId="252" fillId="66" borderId="294"/>
    <xf numFmtId="0" fontId="251" fillId="65" borderId="294"/>
    <xf numFmtId="0" fontId="253" fillId="0" borderId="295"/>
    <xf numFmtId="0" fontId="251" fillId="65" borderId="294"/>
    <xf numFmtId="0" fontId="254" fillId="65" borderId="296"/>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3" fillId="0" borderId="295"/>
    <xf numFmtId="0" fontId="254" fillId="65" borderId="296"/>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4" fillId="65" borderId="296"/>
    <xf numFmtId="0" fontId="252" fillId="66" borderId="294"/>
    <xf numFmtId="0" fontId="254" fillId="65" borderId="296"/>
    <xf numFmtId="0" fontId="251" fillId="65" borderId="294"/>
    <xf numFmtId="0" fontId="305" fillId="67" borderId="34"/>
    <xf numFmtId="0" fontId="253" fillId="0" borderId="295"/>
    <xf numFmtId="0" fontId="254" fillId="65" borderId="296"/>
    <xf numFmtId="0" fontId="254" fillId="65" borderId="296"/>
    <xf numFmtId="0" fontId="251" fillId="65" borderId="294"/>
    <xf numFmtId="0" fontId="305" fillId="67" borderId="34"/>
    <xf numFmtId="0" fontId="305" fillId="67" borderId="34"/>
    <xf numFmtId="0" fontId="253" fillId="0" borderId="295"/>
    <xf numFmtId="0" fontId="252" fillId="66" borderId="294"/>
    <xf numFmtId="0" fontId="251" fillId="65" borderId="294"/>
    <xf numFmtId="0" fontId="253" fillId="0" borderId="295"/>
    <xf numFmtId="0" fontId="252" fillId="66" borderId="294"/>
    <xf numFmtId="0" fontId="253" fillId="0" borderId="295"/>
    <xf numFmtId="0" fontId="252" fillId="66" borderId="294"/>
    <xf numFmtId="0" fontId="254" fillId="65" borderId="296"/>
    <xf numFmtId="0" fontId="251" fillId="65" borderId="294"/>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253" fillId="0" borderId="295"/>
    <xf numFmtId="0" fontId="252" fillId="66" borderId="294"/>
    <xf numFmtId="0" fontId="251" fillId="65" borderId="294"/>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305" fillId="67" borderId="34"/>
    <xf numFmtId="0" fontId="254" fillId="65" borderId="296"/>
    <xf numFmtId="0" fontId="252" fillId="66" borderId="29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305" fillId="67" borderId="34"/>
    <xf numFmtId="0" fontId="254" fillId="65" borderId="296"/>
    <xf numFmtId="0" fontId="252" fillId="66" borderId="294"/>
    <xf numFmtId="0" fontId="251" fillId="65" borderId="294"/>
    <xf numFmtId="0" fontId="252" fillId="66" borderId="294"/>
    <xf numFmtId="0" fontId="254" fillId="65" borderId="296"/>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3" fillId="0" borderId="295"/>
    <xf numFmtId="0" fontId="251" fillId="65" borderId="294"/>
    <xf numFmtId="0" fontId="252" fillId="66" borderId="294"/>
    <xf numFmtId="0" fontId="252" fillId="66" borderId="294"/>
    <xf numFmtId="0" fontId="251" fillId="65" borderId="294"/>
    <xf numFmtId="0" fontId="305" fillId="67" borderId="34"/>
    <xf numFmtId="0" fontId="305" fillId="67" borderId="34"/>
    <xf numFmtId="0" fontId="254" fillId="65" borderId="296"/>
    <xf numFmtId="0" fontId="305" fillId="67" borderId="34"/>
    <xf numFmtId="0" fontId="252" fillId="66" borderId="294"/>
    <xf numFmtId="0" fontId="251" fillId="65" borderId="29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305" fillId="67" borderId="34"/>
    <xf numFmtId="0" fontId="305" fillId="67" borderId="34"/>
    <xf numFmtId="0" fontId="305" fillId="67" borderId="3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4" fillId="65" borderId="296"/>
    <xf numFmtId="0" fontId="254" fillId="65" borderId="296"/>
    <xf numFmtId="0" fontId="305" fillId="67" borderId="34"/>
    <xf numFmtId="0" fontId="251" fillId="65"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2" fillId="66"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2" fillId="66" borderId="29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4" fillId="65" borderId="296"/>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2" fillId="66"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2" fillId="66" borderId="294"/>
    <xf numFmtId="0" fontId="254" fillId="65" borderId="296"/>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305" fillId="67" borderId="34"/>
    <xf numFmtId="0" fontId="254" fillId="65" borderId="296"/>
    <xf numFmtId="0" fontId="252" fillId="66" borderId="294"/>
    <xf numFmtId="0" fontId="254" fillId="65" borderId="296"/>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253" fillId="0" borderId="295"/>
    <xf numFmtId="0" fontId="305" fillId="67" borderId="34"/>
    <xf numFmtId="0" fontId="251" fillId="65" borderId="294"/>
    <xf numFmtId="0" fontId="253" fillId="0" borderId="295"/>
    <xf numFmtId="0" fontId="251" fillId="65" borderId="294"/>
    <xf numFmtId="0" fontId="252" fillId="66" borderId="294"/>
    <xf numFmtId="0" fontId="252" fillId="66"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1" fillId="65" borderId="294"/>
    <xf numFmtId="0" fontId="253" fillId="0" borderId="295"/>
    <xf numFmtId="0" fontId="253" fillId="0" borderId="295"/>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3" fillId="0" borderId="295"/>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4" fillId="65" borderId="296"/>
    <xf numFmtId="0" fontId="251" fillId="65" borderId="294"/>
    <xf numFmtId="0" fontId="305" fillId="67" borderId="3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253" fillId="0" borderId="295"/>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252" fillId="66" borderId="294"/>
    <xf numFmtId="0" fontId="305" fillId="67" borderId="34"/>
    <xf numFmtId="0" fontId="251" fillId="65" borderId="294"/>
    <xf numFmtId="0" fontId="253" fillId="0" borderId="295"/>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3" fillId="0" borderId="295"/>
    <xf numFmtId="0" fontId="305" fillId="67" borderId="34"/>
    <xf numFmtId="0" fontId="251" fillId="65" borderId="294"/>
    <xf numFmtId="0" fontId="253" fillId="0" borderId="295"/>
    <xf numFmtId="0" fontId="251" fillId="65" borderId="294"/>
    <xf numFmtId="0" fontId="253" fillId="0" borderId="295"/>
    <xf numFmtId="0" fontId="253" fillId="0" borderId="295"/>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3" fillId="0" borderId="295"/>
    <xf numFmtId="0" fontId="253" fillId="0" borderId="295"/>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7" fillId="0" borderId="0"/>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252" fillId="66" borderId="294"/>
    <xf numFmtId="0" fontId="251" fillId="65" borderId="294"/>
    <xf numFmtId="0" fontId="253" fillId="0" borderId="295"/>
    <xf numFmtId="0" fontId="251" fillId="65" borderId="294"/>
    <xf numFmtId="0" fontId="253" fillId="0" borderId="295"/>
    <xf numFmtId="0" fontId="253" fillId="0" borderId="295"/>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3" fillId="0" borderId="295"/>
    <xf numFmtId="0" fontId="252" fillId="66" borderId="294"/>
    <xf numFmtId="0" fontId="251" fillId="65" borderId="294"/>
    <xf numFmtId="0" fontId="253" fillId="0" borderId="295"/>
    <xf numFmtId="0" fontId="251" fillId="65" borderId="294"/>
    <xf numFmtId="0" fontId="305" fillId="67" borderId="34"/>
    <xf numFmtId="0" fontId="251" fillId="65" borderId="294"/>
    <xf numFmtId="0" fontId="252" fillId="66" borderId="294"/>
    <xf numFmtId="0" fontId="254" fillId="65" borderId="296"/>
    <xf numFmtId="0" fontId="251" fillId="65" borderId="29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2" fillId="66" borderId="294"/>
    <xf numFmtId="0" fontId="254" fillId="65" borderId="296"/>
    <xf numFmtId="0" fontId="305" fillId="67" borderId="34"/>
    <xf numFmtId="0" fontId="254" fillId="65" borderId="296"/>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305" fillId="67" borderId="34"/>
    <xf numFmtId="0" fontId="305" fillId="67" borderId="34"/>
    <xf numFmtId="0" fontId="305" fillId="67" borderId="34"/>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251" fillId="65" borderId="294"/>
    <xf numFmtId="0" fontId="305" fillId="67" borderId="34"/>
    <xf numFmtId="0" fontId="305" fillId="67" borderId="34"/>
    <xf numFmtId="0" fontId="305" fillId="67" borderId="34"/>
    <xf numFmtId="0" fontId="305" fillId="67" borderId="34"/>
    <xf numFmtId="0" fontId="254" fillId="65" borderId="296"/>
    <xf numFmtId="0" fontId="251" fillId="65" borderId="294"/>
    <xf numFmtId="0" fontId="251" fillId="65" borderId="294"/>
    <xf numFmtId="0" fontId="254" fillId="65" borderId="296"/>
    <xf numFmtId="0" fontId="251" fillId="65" borderId="294"/>
    <xf numFmtId="0" fontId="305" fillId="67" borderId="34"/>
    <xf numFmtId="0" fontId="254" fillId="65" borderId="296"/>
    <xf numFmtId="0" fontId="251" fillId="65" borderId="294"/>
    <xf numFmtId="0" fontId="251" fillId="65" borderId="294"/>
    <xf numFmtId="0" fontId="254" fillId="65" borderId="296"/>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254" fillId="65" borderId="296"/>
    <xf numFmtId="0" fontId="251" fillId="65" borderId="294"/>
    <xf numFmtId="0" fontId="305" fillId="67" borderId="34"/>
    <xf numFmtId="0" fontId="305" fillId="67" borderId="34"/>
    <xf numFmtId="0" fontId="254" fillId="65" borderId="296"/>
    <xf numFmtId="0" fontId="251" fillId="65" borderId="294"/>
    <xf numFmtId="0" fontId="254" fillId="65" borderId="296"/>
    <xf numFmtId="0" fontId="305" fillId="67" borderId="34"/>
    <xf numFmtId="0" fontId="305" fillId="67" borderId="34"/>
    <xf numFmtId="0" fontId="254" fillId="65" borderId="296"/>
    <xf numFmtId="0" fontId="251" fillId="65" borderId="29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3" fillId="0" borderId="295"/>
    <xf numFmtId="0" fontId="252" fillId="66" borderId="294"/>
    <xf numFmtId="0" fontId="305" fillId="67" borderId="3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3" fillId="0" borderId="295"/>
    <xf numFmtId="0" fontId="254" fillId="65" borderId="296"/>
    <xf numFmtId="0" fontId="251" fillId="65" borderId="294"/>
    <xf numFmtId="0" fontId="251" fillId="65" borderId="294"/>
    <xf numFmtId="0" fontId="253" fillId="0" borderId="295"/>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305" fillId="67" borderId="3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2" fillId="66" borderId="294"/>
    <xf numFmtId="0" fontId="254" fillId="65" borderId="296"/>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52" fillId="66" borderId="294"/>
    <xf numFmtId="0" fontId="251" fillId="65" borderId="294"/>
    <xf numFmtId="0" fontId="253" fillId="0" borderId="295"/>
    <xf numFmtId="0" fontId="253" fillId="0" borderId="295"/>
    <xf numFmtId="0" fontId="252" fillId="66" borderId="29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2" fillId="66" borderId="294"/>
    <xf numFmtId="0" fontId="252" fillId="66" borderId="294"/>
    <xf numFmtId="0" fontId="305" fillId="67" borderId="34"/>
    <xf numFmtId="0" fontId="252" fillId="66" borderId="294"/>
    <xf numFmtId="0" fontId="254" fillId="65" borderId="296"/>
    <xf numFmtId="0" fontId="251" fillId="65" borderId="294"/>
    <xf numFmtId="0" fontId="252" fillId="66" borderId="294"/>
    <xf numFmtId="0" fontId="251" fillId="65" borderId="294"/>
    <xf numFmtId="0" fontId="305" fillId="67" borderId="34"/>
    <xf numFmtId="0" fontId="252" fillId="66" borderId="294"/>
    <xf numFmtId="0" fontId="252" fillId="66" borderId="294"/>
    <xf numFmtId="0" fontId="251" fillId="65" borderId="294"/>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4" fillId="65" borderId="296"/>
    <xf numFmtId="0" fontId="251" fillId="65" borderId="294"/>
    <xf numFmtId="0" fontId="253" fillId="0" borderId="295"/>
    <xf numFmtId="0" fontId="251" fillId="65" borderId="294"/>
    <xf numFmtId="0" fontId="251" fillId="65" borderId="294"/>
    <xf numFmtId="0" fontId="254" fillId="65" borderId="296"/>
    <xf numFmtId="0" fontId="251" fillId="65" borderId="294"/>
    <xf numFmtId="0" fontId="254" fillId="65" borderId="296"/>
    <xf numFmtId="0" fontId="305" fillId="67" borderId="34"/>
    <xf numFmtId="0" fontId="251" fillId="65" borderId="294"/>
    <xf numFmtId="0" fontId="254" fillId="65" borderId="296"/>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254" fillId="65" borderId="296"/>
    <xf numFmtId="0" fontId="251" fillId="65" borderId="294"/>
    <xf numFmtId="0" fontId="252" fillId="66" borderId="294"/>
    <xf numFmtId="0" fontId="305" fillId="67" borderId="34"/>
    <xf numFmtId="0" fontId="253" fillId="0" borderId="295"/>
    <xf numFmtId="0" fontId="254" fillId="65" borderId="296"/>
    <xf numFmtId="0" fontId="305" fillId="67" borderId="34"/>
    <xf numFmtId="0" fontId="252" fillId="66" borderId="294"/>
    <xf numFmtId="0" fontId="254" fillId="65" borderId="296"/>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3" fillId="0" borderId="295"/>
    <xf numFmtId="0" fontId="254" fillId="65" borderId="296"/>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252" fillId="66" borderId="294"/>
    <xf numFmtId="0" fontId="251" fillId="65" borderId="294"/>
    <xf numFmtId="0" fontId="251" fillId="65" borderId="294"/>
    <xf numFmtId="0" fontId="253" fillId="0" borderId="295"/>
    <xf numFmtId="0" fontId="254" fillId="65" borderId="296"/>
    <xf numFmtId="0" fontId="251" fillId="65" borderId="294"/>
    <xf numFmtId="0" fontId="252" fillId="66" borderId="294"/>
    <xf numFmtId="0" fontId="251" fillId="65" borderId="294"/>
    <xf numFmtId="0" fontId="253" fillId="0" borderId="295"/>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3" fillId="0" borderId="295"/>
    <xf numFmtId="0" fontId="251" fillId="65" borderId="294"/>
    <xf numFmtId="0" fontId="253" fillId="0" borderId="295"/>
    <xf numFmtId="0" fontId="305" fillId="67" borderId="3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3" fillId="0" borderId="295"/>
    <xf numFmtId="0" fontId="305" fillId="67" borderId="34"/>
    <xf numFmtId="0" fontId="251" fillId="65" borderId="294"/>
    <xf numFmtId="0" fontId="254" fillId="65" borderId="296"/>
    <xf numFmtId="0" fontId="252" fillId="66" borderId="294"/>
    <xf numFmtId="0" fontId="251" fillId="65" borderId="294"/>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305" fillId="67" borderId="34"/>
    <xf numFmtId="0" fontId="253" fillId="0" borderId="295"/>
    <xf numFmtId="0" fontId="254" fillId="65" borderId="296"/>
    <xf numFmtId="0" fontId="251" fillId="65" borderId="294"/>
    <xf numFmtId="0" fontId="251" fillId="65" borderId="294"/>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252" fillId="66" borderId="294"/>
    <xf numFmtId="0" fontId="254" fillId="65" borderId="296"/>
    <xf numFmtId="0" fontId="254" fillId="65" borderId="296"/>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3" fillId="0" borderId="295"/>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2" fillId="66" borderId="294"/>
    <xf numFmtId="0" fontId="254" fillId="65" borderId="296"/>
    <xf numFmtId="0" fontId="251" fillId="65" borderId="29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2" fillId="66" borderId="294"/>
    <xf numFmtId="0" fontId="254" fillId="65" borderId="296"/>
    <xf numFmtId="0" fontId="305" fillId="67" borderId="34"/>
    <xf numFmtId="0" fontId="305" fillId="67" borderId="34"/>
    <xf numFmtId="0" fontId="253" fillId="0" borderId="295"/>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3" fillId="0" borderId="295"/>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1" fillId="65" borderId="294"/>
    <xf numFmtId="0" fontId="251" fillId="65" borderId="294"/>
    <xf numFmtId="0" fontId="253" fillId="0" borderId="295"/>
    <xf numFmtId="0" fontId="305" fillId="67" borderId="34"/>
    <xf numFmtId="0" fontId="251" fillId="65" borderId="294"/>
    <xf numFmtId="0" fontId="252" fillId="66" borderId="294"/>
    <xf numFmtId="0" fontId="254" fillId="65" borderId="296"/>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252" fillId="66" borderId="294"/>
    <xf numFmtId="0" fontId="305" fillId="67" borderId="34"/>
    <xf numFmtId="0" fontId="254" fillId="65" borderId="296"/>
    <xf numFmtId="0" fontId="251" fillId="65" borderId="294"/>
    <xf numFmtId="0" fontId="305" fillId="67" borderId="34"/>
    <xf numFmtId="0" fontId="252" fillId="66" borderId="294"/>
    <xf numFmtId="0" fontId="253" fillId="0" borderId="295"/>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4" fillId="65" borderId="296"/>
    <xf numFmtId="0" fontId="252" fillId="66" borderId="294"/>
    <xf numFmtId="0" fontId="251" fillId="65" borderId="294"/>
    <xf numFmtId="0" fontId="252" fillId="66" borderId="294"/>
    <xf numFmtId="0" fontId="252" fillId="66" borderId="29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305" fillId="67" borderId="34"/>
    <xf numFmtId="0" fontId="305" fillId="67" borderId="34"/>
    <xf numFmtId="0" fontId="254" fillId="65" borderId="296"/>
    <xf numFmtId="0" fontId="254" fillId="65" borderId="296"/>
    <xf numFmtId="0" fontId="254" fillId="65" borderId="296"/>
    <xf numFmtId="0" fontId="251" fillId="65" borderId="29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253" fillId="0" borderId="295"/>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2" fillId="66" borderId="294"/>
    <xf numFmtId="0" fontId="305" fillId="67" borderId="34"/>
    <xf numFmtId="0" fontId="251" fillId="65" borderId="294"/>
    <xf numFmtId="0" fontId="305" fillId="67" borderId="34"/>
    <xf numFmtId="0" fontId="254" fillId="65" borderId="296"/>
    <xf numFmtId="0" fontId="251" fillId="65" borderId="294"/>
    <xf numFmtId="0" fontId="253" fillId="0" borderId="295"/>
    <xf numFmtId="0" fontId="252" fillId="66" borderId="294"/>
    <xf numFmtId="0" fontId="253" fillId="0" borderId="295"/>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305" fillId="67" borderId="34"/>
    <xf numFmtId="0" fontId="253" fillId="0" borderId="295"/>
    <xf numFmtId="0" fontId="305" fillId="67" borderId="34"/>
    <xf numFmtId="0" fontId="253" fillId="0" borderId="295"/>
    <xf numFmtId="0" fontId="305" fillId="67" borderId="34"/>
    <xf numFmtId="0" fontId="251" fillId="65" borderId="294"/>
    <xf numFmtId="0" fontId="305" fillId="67" borderId="34"/>
    <xf numFmtId="0" fontId="251" fillId="65" borderId="294"/>
    <xf numFmtId="0" fontId="253" fillId="0" borderId="295"/>
    <xf numFmtId="0" fontId="254" fillId="65" borderId="296"/>
    <xf numFmtId="0" fontId="305" fillId="67" borderId="34"/>
    <xf numFmtId="0" fontId="251" fillId="65" borderId="294"/>
    <xf numFmtId="0" fontId="305" fillId="67" borderId="34"/>
    <xf numFmtId="0" fontId="305" fillId="67" borderId="3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2" fillId="66" borderId="294"/>
    <xf numFmtId="0" fontId="254" fillId="65" borderId="296"/>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2" fillId="66" borderId="294"/>
    <xf numFmtId="0" fontId="252" fillId="66" borderId="294"/>
    <xf numFmtId="0" fontId="305" fillId="67" borderId="34"/>
    <xf numFmtId="0" fontId="251" fillId="65" borderId="294"/>
    <xf numFmtId="0" fontId="252" fillId="66" borderId="294"/>
    <xf numFmtId="0" fontId="253" fillId="0" borderId="295"/>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4" fillId="65" borderId="296"/>
    <xf numFmtId="0" fontId="254" fillId="65" borderId="296"/>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4" fillId="65" borderId="296"/>
    <xf numFmtId="0" fontId="254" fillId="65" borderId="296"/>
    <xf numFmtId="0" fontId="251" fillId="65" borderId="294"/>
    <xf numFmtId="0" fontId="251" fillId="65" borderId="294"/>
    <xf numFmtId="0" fontId="251" fillId="65" borderId="294"/>
    <xf numFmtId="0" fontId="305" fillId="67" borderId="34"/>
    <xf numFmtId="0" fontId="254" fillId="65" borderId="296"/>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253" fillId="0" borderId="295"/>
    <xf numFmtId="0" fontId="251" fillId="65" borderId="294"/>
    <xf numFmtId="0" fontId="251" fillId="65" borderId="294"/>
    <xf numFmtId="0" fontId="305" fillId="67" borderId="34"/>
    <xf numFmtId="0" fontId="253" fillId="0" borderId="295"/>
    <xf numFmtId="0" fontId="305" fillId="67" borderId="34"/>
    <xf numFmtId="0" fontId="251" fillId="65" borderId="294"/>
    <xf numFmtId="0" fontId="253" fillId="0" borderId="295"/>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4" fillId="65" borderId="296"/>
    <xf numFmtId="0" fontId="254" fillId="65" borderId="296"/>
    <xf numFmtId="0" fontId="251" fillId="65" borderId="294"/>
    <xf numFmtId="0" fontId="305" fillId="67" borderId="34"/>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305" fillId="67" borderId="34"/>
    <xf numFmtId="0" fontId="251" fillId="65" borderId="294"/>
    <xf numFmtId="0" fontId="252" fillId="66" borderId="294"/>
    <xf numFmtId="0" fontId="251" fillId="65" borderId="294"/>
    <xf numFmtId="0" fontId="253" fillId="0" borderId="295"/>
    <xf numFmtId="0" fontId="305" fillId="67" borderId="34"/>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4" fillId="65" borderId="296"/>
    <xf numFmtId="0" fontId="252" fillId="66" borderId="294"/>
    <xf numFmtId="0" fontId="251" fillId="65" borderId="294"/>
    <xf numFmtId="0" fontId="252" fillId="66" borderId="294"/>
    <xf numFmtId="0" fontId="251" fillId="65" borderId="294"/>
    <xf numFmtId="0" fontId="253" fillId="0" borderId="295"/>
    <xf numFmtId="0" fontId="254" fillId="65" borderId="296"/>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251" fillId="65" borderId="294"/>
    <xf numFmtId="0" fontId="254" fillId="65" borderId="296"/>
    <xf numFmtId="0" fontId="251" fillId="65" borderId="294"/>
    <xf numFmtId="0" fontId="254" fillId="65" borderId="296"/>
    <xf numFmtId="0" fontId="251" fillId="65" borderId="294"/>
    <xf numFmtId="0" fontId="254" fillId="65" borderId="296"/>
    <xf numFmtId="0" fontId="251" fillId="65" borderId="294"/>
    <xf numFmtId="0" fontId="251" fillId="65" borderId="294"/>
    <xf numFmtId="0" fontId="253" fillId="0" borderId="295"/>
    <xf numFmtId="0" fontId="305" fillId="67" borderId="34"/>
    <xf numFmtId="0" fontId="305" fillId="67" borderId="34"/>
    <xf numFmtId="0" fontId="251" fillId="65" borderId="294"/>
    <xf numFmtId="0" fontId="253" fillId="0" borderId="295"/>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251" fillId="65" borderId="294"/>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2" fillId="66" borderId="294"/>
    <xf numFmtId="0" fontId="305" fillId="67" borderId="34"/>
    <xf numFmtId="0" fontId="254" fillId="65" borderId="296"/>
    <xf numFmtId="0" fontId="251" fillId="65" borderId="294"/>
    <xf numFmtId="0" fontId="253" fillId="0" borderId="295"/>
    <xf numFmtId="0" fontId="305" fillId="67" borderId="34"/>
    <xf numFmtId="0" fontId="253" fillId="0" borderId="295"/>
    <xf numFmtId="0" fontId="252" fillId="66" borderId="294"/>
    <xf numFmtId="0" fontId="305" fillId="67" borderId="34"/>
    <xf numFmtId="0" fontId="254" fillId="65" borderId="296"/>
    <xf numFmtId="0" fontId="251" fillId="65" borderId="294"/>
    <xf numFmtId="0" fontId="253" fillId="0" borderId="295"/>
    <xf numFmtId="0" fontId="305" fillId="67" borderId="34"/>
    <xf numFmtId="0" fontId="253" fillId="0" borderId="295"/>
    <xf numFmtId="0" fontId="252" fillId="66" borderId="294"/>
    <xf numFmtId="0" fontId="305" fillId="67" borderId="34"/>
    <xf numFmtId="0" fontId="305" fillId="67" borderId="34"/>
    <xf numFmtId="0" fontId="254" fillId="65" borderId="296"/>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3" fillId="0" borderId="295"/>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253" fillId="0" borderId="295"/>
    <xf numFmtId="0" fontId="305" fillId="67" borderId="34"/>
    <xf numFmtId="0" fontId="252" fillId="66" borderId="294"/>
    <xf numFmtId="0" fontId="251" fillId="65" borderId="294"/>
    <xf numFmtId="0" fontId="251" fillId="65" borderId="294"/>
    <xf numFmtId="0" fontId="253" fillId="0" borderId="295"/>
    <xf numFmtId="0" fontId="254" fillId="65" borderId="296"/>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254" fillId="65" borderId="296"/>
    <xf numFmtId="0" fontId="305" fillId="67" borderId="34"/>
    <xf numFmtId="0" fontId="254" fillId="65" borderId="296"/>
    <xf numFmtId="0" fontId="251" fillId="65" borderId="294"/>
    <xf numFmtId="0" fontId="254" fillId="65" borderId="296"/>
    <xf numFmtId="0" fontId="251" fillId="65" borderId="294"/>
    <xf numFmtId="0" fontId="305" fillId="67" borderId="34"/>
    <xf numFmtId="0" fontId="254" fillId="65" borderId="296"/>
    <xf numFmtId="0" fontId="305" fillId="67" borderId="34"/>
    <xf numFmtId="0" fontId="254" fillId="65" borderId="296"/>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254" fillId="65" borderId="296"/>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4" fillId="65" borderId="296"/>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4" fillId="65" borderId="296"/>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1" fillId="65" borderId="294"/>
    <xf numFmtId="0" fontId="305" fillId="67" borderId="34"/>
    <xf numFmtId="0" fontId="252" fillId="66" borderId="294"/>
    <xf numFmtId="0" fontId="253" fillId="0" borderId="295"/>
    <xf numFmtId="0" fontId="252" fillId="66" borderId="294"/>
    <xf numFmtId="0" fontId="251" fillId="65" borderId="294"/>
    <xf numFmtId="0" fontId="253" fillId="0" borderId="295"/>
    <xf numFmtId="0" fontId="252" fillId="66" borderId="294"/>
    <xf numFmtId="0" fontId="305" fillId="67" borderId="34"/>
    <xf numFmtId="0" fontId="305" fillId="67" borderId="34"/>
    <xf numFmtId="0" fontId="305" fillId="67" borderId="34"/>
    <xf numFmtId="0" fontId="305" fillId="67" borderId="34"/>
    <xf numFmtId="0" fontId="254" fillId="65" borderId="296"/>
    <xf numFmtId="0" fontId="251" fillId="65" borderId="294"/>
    <xf numFmtId="0" fontId="253" fillId="0" borderId="295"/>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253" fillId="0" borderId="295"/>
    <xf numFmtId="0" fontId="305" fillId="67" borderId="34"/>
    <xf numFmtId="0" fontId="305" fillId="67" borderId="34"/>
    <xf numFmtId="0" fontId="252" fillId="66" borderId="294"/>
    <xf numFmtId="0" fontId="251" fillId="65" borderId="294"/>
    <xf numFmtId="0" fontId="305" fillId="67" borderId="34"/>
    <xf numFmtId="0" fontId="252" fillId="66" borderId="294"/>
    <xf numFmtId="0" fontId="253" fillId="0" borderId="295"/>
    <xf numFmtId="0" fontId="252" fillId="66" borderId="294"/>
    <xf numFmtId="0" fontId="251" fillId="65" borderId="294"/>
    <xf numFmtId="0" fontId="253" fillId="0" borderId="295"/>
    <xf numFmtId="0" fontId="305" fillId="67" borderId="34"/>
    <xf numFmtId="0" fontId="252" fillId="66" borderId="294"/>
    <xf numFmtId="0" fontId="252" fillId="66" borderId="294"/>
    <xf numFmtId="0" fontId="253" fillId="0" borderId="295"/>
    <xf numFmtId="0" fontId="252" fillId="66" borderId="294"/>
    <xf numFmtId="0" fontId="254" fillId="65" borderId="296"/>
    <xf numFmtId="0" fontId="251" fillId="65" borderId="294"/>
    <xf numFmtId="0" fontId="251" fillId="65" borderId="29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251" fillId="65" borderId="294"/>
    <xf numFmtId="0" fontId="251" fillId="65" borderId="29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253" fillId="0" borderId="295"/>
    <xf numFmtId="0" fontId="251" fillId="65" borderId="294"/>
    <xf numFmtId="0" fontId="305" fillId="67" borderId="34"/>
    <xf numFmtId="0" fontId="251" fillId="65" borderId="294"/>
    <xf numFmtId="0" fontId="251" fillId="65" borderId="294"/>
    <xf numFmtId="0" fontId="253" fillId="0" borderId="295"/>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1" fillId="65" borderId="294"/>
    <xf numFmtId="0" fontId="252" fillId="66" borderId="294"/>
    <xf numFmtId="0" fontId="251" fillId="65" borderId="294"/>
    <xf numFmtId="0" fontId="254" fillId="65" borderId="296"/>
    <xf numFmtId="0" fontId="254" fillId="65" borderId="296"/>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2" fillId="66" borderId="294"/>
    <xf numFmtId="0" fontId="253" fillId="0" borderId="295"/>
    <xf numFmtId="0" fontId="252" fillId="66" borderId="294"/>
    <xf numFmtId="0" fontId="251" fillId="65" borderId="294"/>
    <xf numFmtId="0" fontId="305" fillId="67" borderId="34"/>
    <xf numFmtId="0" fontId="252" fillId="66" borderId="294"/>
    <xf numFmtId="0" fontId="253" fillId="0" borderId="295"/>
    <xf numFmtId="0" fontId="252" fillId="66" borderId="294"/>
    <xf numFmtId="0" fontId="251" fillId="65" borderId="294"/>
    <xf numFmtId="0" fontId="253" fillId="0" borderId="295"/>
    <xf numFmtId="0" fontId="252" fillId="66" borderId="294"/>
    <xf numFmtId="0" fontId="253" fillId="0" borderId="295"/>
    <xf numFmtId="0" fontId="305" fillId="67" borderId="34"/>
    <xf numFmtId="0" fontId="252" fillId="66" borderId="294"/>
    <xf numFmtId="0" fontId="251" fillId="65" borderId="294"/>
    <xf numFmtId="0" fontId="253" fillId="0" borderId="295"/>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4" fillId="65" borderId="296"/>
    <xf numFmtId="0" fontId="251" fillId="65" borderId="294"/>
    <xf numFmtId="0" fontId="253" fillId="0" borderId="295"/>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253" fillId="0" borderId="295"/>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3" fillId="0" borderId="295"/>
    <xf numFmtId="0" fontId="305" fillId="67" borderId="34"/>
    <xf numFmtId="0" fontId="252" fillId="66" borderId="294"/>
    <xf numFmtId="0" fontId="305" fillId="67" borderId="34"/>
    <xf numFmtId="0" fontId="305" fillId="67" borderId="34"/>
    <xf numFmtId="0" fontId="251" fillId="65" borderId="294"/>
    <xf numFmtId="0" fontId="253" fillId="0" borderId="295"/>
    <xf numFmtId="0" fontId="305" fillId="67" borderId="34"/>
    <xf numFmtId="0" fontId="252" fillId="66" borderId="294"/>
    <xf numFmtId="0" fontId="305" fillId="67" borderId="34"/>
    <xf numFmtId="0" fontId="305" fillId="67" borderId="34"/>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2" fillId="66" borderId="294"/>
    <xf numFmtId="0" fontId="251" fillId="65" borderId="294"/>
    <xf numFmtId="0" fontId="252" fillId="66" borderId="294"/>
    <xf numFmtId="0" fontId="251" fillId="65" borderId="294"/>
    <xf numFmtId="0" fontId="254" fillId="65" borderId="296"/>
    <xf numFmtId="0" fontId="305" fillId="67" borderId="34"/>
    <xf numFmtId="0" fontId="252" fillId="66" borderId="294"/>
    <xf numFmtId="0" fontId="305" fillId="67" borderId="34"/>
    <xf numFmtId="0" fontId="252" fillId="66" borderId="294"/>
    <xf numFmtId="0" fontId="252" fillId="66" borderId="294"/>
    <xf numFmtId="0" fontId="251" fillId="65" borderId="294"/>
    <xf numFmtId="0" fontId="254" fillId="65" borderId="296"/>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305" fillId="0" borderId="0"/>
    <xf numFmtId="0" fontId="252" fillId="66" borderId="294"/>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305" fillId="67" borderId="34"/>
    <xf numFmtId="0" fontId="305" fillId="67" borderId="34"/>
    <xf numFmtId="0" fontId="251" fillId="65" borderId="294"/>
    <xf numFmtId="0" fontId="253" fillId="0" borderId="295"/>
    <xf numFmtId="0" fontId="305" fillId="67" borderId="34"/>
    <xf numFmtId="0" fontId="252" fillId="66"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60" fillId="0" borderId="299"/>
    <xf numFmtId="0" fontId="251" fillId="65" borderId="294"/>
    <xf numFmtId="0" fontId="305" fillId="67" borderId="34"/>
    <xf numFmtId="0" fontId="252" fillId="66" borderId="294"/>
    <xf numFmtId="0" fontId="251" fillId="65" borderId="294"/>
    <xf numFmtId="0" fontId="305" fillId="67" borderId="3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1" fillId="65" borderId="294"/>
    <xf numFmtId="0" fontId="252" fillId="66" borderId="294"/>
    <xf numFmtId="0" fontId="254" fillId="65" borderId="296"/>
    <xf numFmtId="0" fontId="251" fillId="65" borderId="294"/>
    <xf numFmtId="0" fontId="305" fillId="67" borderId="34"/>
    <xf numFmtId="0" fontId="305" fillId="67" borderId="34"/>
    <xf numFmtId="0" fontId="305" fillId="67" borderId="34"/>
    <xf numFmtId="0" fontId="254" fillId="65" borderId="296"/>
    <xf numFmtId="0" fontId="252" fillId="66" borderId="294"/>
    <xf numFmtId="0" fontId="305" fillId="67" borderId="34"/>
    <xf numFmtId="0" fontId="305" fillId="67" borderId="34"/>
    <xf numFmtId="0" fontId="251" fillId="65" borderId="294"/>
    <xf numFmtId="0" fontId="305" fillId="67" borderId="34"/>
    <xf numFmtId="0" fontId="253" fillId="0" borderId="295"/>
    <xf numFmtId="0" fontId="254" fillId="65" borderId="296"/>
    <xf numFmtId="0" fontId="305" fillId="67" borderId="34"/>
    <xf numFmtId="0" fontId="252" fillId="66" borderId="294"/>
    <xf numFmtId="0" fontId="257" fillId="0" borderId="298"/>
    <xf numFmtId="0" fontId="251" fillId="65" borderId="294"/>
    <xf numFmtId="0" fontId="305" fillId="67" borderId="34"/>
    <xf numFmtId="0" fontId="253" fillId="0" borderId="295"/>
    <xf numFmtId="0" fontId="254" fillId="65" borderId="296"/>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254" fillId="65" borderId="296"/>
    <xf numFmtId="0" fontId="251" fillId="65" borderId="294"/>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1" fillId="65" borderId="294"/>
    <xf numFmtId="0" fontId="305" fillId="67" borderId="34"/>
    <xf numFmtId="0" fontId="253" fillId="0" borderId="295"/>
    <xf numFmtId="0" fontId="251" fillId="65" borderId="294"/>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4" fillId="65" borderId="296"/>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2" fillId="66" borderId="294"/>
    <xf numFmtId="0" fontId="253" fillId="0" borderId="295"/>
    <xf numFmtId="0" fontId="251" fillId="65"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2" fillId="66" borderId="294"/>
    <xf numFmtId="0" fontId="254" fillId="65" borderId="296"/>
    <xf numFmtId="0" fontId="251" fillId="65" borderId="294"/>
    <xf numFmtId="0" fontId="254" fillId="65" borderId="296"/>
    <xf numFmtId="0" fontId="251" fillId="65" borderId="294"/>
    <xf numFmtId="0" fontId="305" fillId="67" borderId="34"/>
    <xf numFmtId="0" fontId="254" fillId="65" borderId="296"/>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4" fillId="65" borderId="296"/>
    <xf numFmtId="0" fontId="251" fillId="65" borderId="294"/>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305" fillId="67" borderId="34"/>
    <xf numFmtId="0" fontId="251" fillId="65" borderId="294"/>
    <xf numFmtId="0" fontId="252" fillId="66" borderId="294"/>
    <xf numFmtId="0" fontId="253" fillId="0" borderId="295"/>
    <xf numFmtId="0" fontId="253" fillId="0" borderId="295"/>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2" fillId="66" borderId="294"/>
    <xf numFmtId="0" fontId="252" fillId="66" borderId="294"/>
    <xf numFmtId="0" fontId="251" fillId="65" borderId="294"/>
    <xf numFmtId="0" fontId="252" fillId="66" borderId="294"/>
    <xf numFmtId="0" fontId="305" fillId="67" borderId="34"/>
    <xf numFmtId="0" fontId="252" fillId="66" borderId="294"/>
    <xf numFmtId="0" fontId="252" fillId="66" borderId="294"/>
    <xf numFmtId="0" fontId="251" fillId="65" borderId="294"/>
    <xf numFmtId="0" fontId="305" fillId="67" borderId="34"/>
    <xf numFmtId="0" fontId="305" fillId="67" borderId="34"/>
    <xf numFmtId="0" fontId="252" fillId="66"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3" fillId="0" borderId="295"/>
    <xf numFmtId="0" fontId="251" fillId="65" borderId="294"/>
    <xf numFmtId="0" fontId="254" fillId="65" borderId="296"/>
    <xf numFmtId="0" fontId="251" fillId="65" borderId="294"/>
    <xf numFmtId="0" fontId="305" fillId="67" borderId="34"/>
    <xf numFmtId="0" fontId="252" fillId="66"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254" fillId="65" borderId="296"/>
    <xf numFmtId="0" fontId="305" fillId="67" borderId="34"/>
    <xf numFmtId="0" fontId="253" fillId="0" borderId="295"/>
    <xf numFmtId="0" fontId="253" fillId="0" borderId="295"/>
    <xf numFmtId="0" fontId="254" fillId="65" borderId="296"/>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251" fillId="65" borderId="294"/>
    <xf numFmtId="0" fontId="254" fillId="65" borderId="296"/>
    <xf numFmtId="0" fontId="251" fillId="65" borderId="294"/>
    <xf numFmtId="0" fontId="252" fillId="66" borderId="294"/>
    <xf numFmtId="0" fontId="254" fillId="65" borderId="296"/>
    <xf numFmtId="0" fontId="254" fillId="65" borderId="296"/>
    <xf numFmtId="0" fontId="254" fillId="65" borderId="296"/>
    <xf numFmtId="0" fontId="305" fillId="67" borderId="34"/>
    <xf numFmtId="0" fontId="251" fillId="65" borderId="294"/>
    <xf numFmtId="0" fontId="251" fillId="65" borderId="294"/>
    <xf numFmtId="0" fontId="253" fillId="0" borderId="295"/>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1" fillId="65" borderId="294"/>
    <xf numFmtId="0" fontId="254" fillId="65" borderId="296"/>
    <xf numFmtId="0" fontId="251" fillId="65" borderId="294"/>
    <xf numFmtId="0" fontId="254" fillId="65" borderId="296"/>
    <xf numFmtId="0" fontId="305" fillId="67" borderId="34"/>
    <xf numFmtId="0" fontId="251" fillId="65" borderId="294"/>
    <xf numFmtId="0" fontId="251" fillId="65" borderId="294"/>
    <xf numFmtId="0" fontId="254" fillId="65" borderId="296"/>
    <xf numFmtId="0" fontId="251" fillId="65" borderId="294"/>
    <xf numFmtId="0" fontId="251" fillId="65" borderId="294"/>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3" fillId="0" borderId="295"/>
    <xf numFmtId="0" fontId="251" fillId="65" borderId="294"/>
    <xf numFmtId="0" fontId="251" fillId="65" borderId="294"/>
    <xf numFmtId="0" fontId="251" fillId="65" borderId="294"/>
    <xf numFmtId="0" fontId="305" fillId="67" borderId="3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2" fillId="66" borderId="294"/>
    <xf numFmtId="0" fontId="254" fillId="65" borderId="296"/>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3" fillId="0" borderId="295"/>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3" fillId="0" borderId="295"/>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253" fillId="0" borderId="295"/>
    <xf numFmtId="0" fontId="254" fillId="65" borderId="296"/>
    <xf numFmtId="0" fontId="251" fillId="65" borderId="294"/>
    <xf numFmtId="0" fontId="254" fillId="65" borderId="296"/>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4" fillId="65" borderId="296"/>
    <xf numFmtId="0" fontId="251" fillId="65" borderId="294"/>
    <xf numFmtId="0" fontId="251" fillId="65" borderId="294"/>
    <xf numFmtId="0" fontId="252" fillId="66" borderId="294"/>
    <xf numFmtId="0" fontId="253" fillId="0" borderId="295"/>
    <xf numFmtId="0" fontId="254" fillId="65" borderId="296"/>
    <xf numFmtId="0" fontId="251" fillId="65" borderId="294"/>
    <xf numFmtId="0" fontId="253" fillId="0" borderId="295"/>
    <xf numFmtId="0" fontId="251" fillId="65" borderId="294"/>
    <xf numFmtId="0" fontId="253" fillId="0" borderId="295"/>
    <xf numFmtId="0" fontId="254" fillId="65" borderId="296"/>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2" fillId="66" borderId="294"/>
    <xf numFmtId="0" fontId="251" fillId="65" borderId="294"/>
    <xf numFmtId="0" fontId="253" fillId="0" borderId="295"/>
    <xf numFmtId="0" fontId="251" fillId="65" borderId="294"/>
    <xf numFmtId="0" fontId="305" fillId="67" borderId="34"/>
    <xf numFmtId="0" fontId="254" fillId="65" borderId="296"/>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2" fillId="66" borderId="294"/>
    <xf numFmtId="0" fontId="252" fillId="66" borderId="294"/>
    <xf numFmtId="0" fontId="251" fillId="65" borderId="294"/>
    <xf numFmtId="0" fontId="253" fillId="0" borderId="295"/>
    <xf numFmtId="0" fontId="252" fillId="66" borderId="294"/>
    <xf numFmtId="0" fontId="253" fillId="0" borderId="295"/>
    <xf numFmtId="0" fontId="252" fillId="66" borderId="294"/>
    <xf numFmtId="0" fontId="251" fillId="65" borderId="294"/>
    <xf numFmtId="0" fontId="253" fillId="0" borderId="295"/>
    <xf numFmtId="0" fontId="252" fillId="66" borderId="294"/>
    <xf numFmtId="0" fontId="251" fillId="65" borderId="294"/>
    <xf numFmtId="0" fontId="251" fillId="65" borderId="294"/>
    <xf numFmtId="0" fontId="251" fillId="65" borderId="294"/>
    <xf numFmtId="0" fontId="305" fillId="0" borderId="0"/>
    <xf numFmtId="0" fontId="254" fillId="65" borderId="296"/>
    <xf numFmtId="0" fontId="251" fillId="65" borderId="294"/>
    <xf numFmtId="0" fontId="305" fillId="67" borderId="34"/>
    <xf numFmtId="0" fontId="251" fillId="65" borderId="294"/>
    <xf numFmtId="0" fontId="254" fillId="65" borderId="296"/>
    <xf numFmtId="0" fontId="251" fillId="65" borderId="294"/>
    <xf numFmtId="0" fontId="305" fillId="67" borderId="34"/>
    <xf numFmtId="0" fontId="251" fillId="65" borderId="294"/>
    <xf numFmtId="0" fontId="253" fillId="0" borderId="295"/>
    <xf numFmtId="0" fontId="252" fillId="66"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4" fillId="65" borderId="296"/>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252" fillId="66" borderId="294"/>
    <xf numFmtId="0" fontId="253" fillId="0" borderId="295"/>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3" fillId="0" borderId="295"/>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1" fillId="65" borderId="294"/>
    <xf numFmtId="0" fontId="253" fillId="0" borderId="295"/>
    <xf numFmtId="0" fontId="251" fillId="65" borderId="294"/>
    <xf numFmtId="0" fontId="252" fillId="66" borderId="294"/>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138" fillId="0" borderId="0"/>
    <xf numFmtId="0" fontId="305" fillId="67" borderId="3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3" fillId="0" borderId="295"/>
    <xf numFmtId="0" fontId="252" fillId="66" borderId="294"/>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3" fillId="0" borderId="295"/>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305" fillId="67" borderId="34"/>
    <xf numFmtId="0" fontId="252" fillId="66"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305" fillId="67" borderId="34"/>
    <xf numFmtId="0" fontId="254" fillId="65" borderId="296"/>
    <xf numFmtId="0" fontId="251" fillId="65" borderId="294"/>
    <xf numFmtId="0" fontId="251" fillId="65" borderId="294"/>
    <xf numFmtId="0" fontId="305" fillId="67" borderId="34"/>
    <xf numFmtId="0" fontId="305" fillId="67" borderId="34"/>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4" fillId="65" borderId="296"/>
    <xf numFmtId="0" fontId="251" fillId="65" borderId="294"/>
    <xf numFmtId="0" fontId="254" fillId="65" borderId="296"/>
    <xf numFmtId="0" fontId="251" fillId="65" borderId="294"/>
    <xf numFmtId="0" fontId="305" fillId="67" borderId="34"/>
    <xf numFmtId="0" fontId="251" fillId="65" borderId="294"/>
    <xf numFmtId="0" fontId="254" fillId="65" borderId="296"/>
    <xf numFmtId="0" fontId="251" fillId="65" borderId="294"/>
    <xf numFmtId="0" fontId="251" fillId="65" borderId="294"/>
    <xf numFmtId="0" fontId="254" fillId="65" borderId="296"/>
    <xf numFmtId="0" fontId="254" fillId="65" borderId="296"/>
    <xf numFmtId="0" fontId="251" fillId="65" borderId="294"/>
    <xf numFmtId="0" fontId="251" fillId="65" borderId="294"/>
    <xf numFmtId="0" fontId="252" fillId="66" borderId="294"/>
    <xf numFmtId="0" fontId="305" fillId="67" borderId="34"/>
    <xf numFmtId="0" fontId="253" fillId="0" borderId="295"/>
    <xf numFmtId="0" fontId="251" fillId="65" borderId="294"/>
    <xf numFmtId="0" fontId="253" fillId="0" borderId="295"/>
    <xf numFmtId="0" fontId="251" fillId="65" borderId="294"/>
    <xf numFmtId="0" fontId="251" fillId="65" borderId="294"/>
    <xf numFmtId="0" fontId="253" fillId="0" borderId="295"/>
    <xf numFmtId="0" fontId="252" fillId="66" borderId="294"/>
    <xf numFmtId="0" fontId="251" fillId="65" borderId="294"/>
    <xf numFmtId="0" fontId="305" fillId="67" borderId="34"/>
    <xf numFmtId="0" fontId="251" fillId="65" borderId="294"/>
    <xf numFmtId="0" fontId="253" fillId="0" borderId="295"/>
    <xf numFmtId="0" fontId="251" fillId="65" borderId="294"/>
    <xf numFmtId="0" fontId="305" fillId="67" borderId="3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4" fillId="65" borderId="296"/>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3" fillId="0" borderId="295"/>
    <xf numFmtId="0" fontId="252" fillId="66" borderId="294"/>
    <xf numFmtId="0" fontId="251" fillId="65" borderId="294"/>
    <xf numFmtId="0" fontId="251" fillId="65" borderId="294"/>
    <xf numFmtId="0" fontId="251" fillId="65" borderId="294"/>
    <xf numFmtId="0" fontId="252" fillId="66" borderId="294"/>
    <xf numFmtId="0" fontId="253" fillId="0" borderId="295"/>
    <xf numFmtId="0" fontId="252" fillId="66" borderId="294"/>
    <xf numFmtId="0" fontId="305" fillId="67" borderId="34"/>
    <xf numFmtId="0" fontId="251" fillId="65" borderId="294"/>
    <xf numFmtId="0" fontId="251" fillId="65" borderId="294"/>
    <xf numFmtId="0" fontId="254" fillId="65" borderId="296"/>
    <xf numFmtId="0" fontId="251" fillId="65" borderId="294"/>
    <xf numFmtId="0" fontId="252" fillId="66" borderId="294"/>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305" fillId="67" borderId="34"/>
    <xf numFmtId="0" fontId="251" fillId="65" borderId="294"/>
    <xf numFmtId="0" fontId="254" fillId="65" borderId="296"/>
    <xf numFmtId="0" fontId="251" fillId="65"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3" fillId="0" borderId="295"/>
    <xf numFmtId="0" fontId="253" fillId="0" borderId="295"/>
    <xf numFmtId="0" fontId="251" fillId="65" borderId="294"/>
    <xf numFmtId="0" fontId="252" fillId="66"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3" fillId="0" borderId="295"/>
    <xf numFmtId="0" fontId="254" fillId="65" borderId="296"/>
    <xf numFmtId="0" fontId="305" fillId="67" borderId="3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2" fillId="66" borderId="294"/>
    <xf numFmtId="0" fontId="305" fillId="67" borderId="3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4" fillId="65" borderId="296"/>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3" fillId="0" borderId="295"/>
    <xf numFmtId="0" fontId="252" fillId="66" borderId="294"/>
    <xf numFmtId="0" fontId="305" fillId="67" borderId="34"/>
    <xf numFmtId="0" fontId="251" fillId="65" borderId="294"/>
    <xf numFmtId="0" fontId="251" fillId="65" borderId="29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305" fillId="67" borderId="34"/>
    <xf numFmtId="0" fontId="253" fillId="0" borderId="295"/>
    <xf numFmtId="0" fontId="305" fillId="67" borderId="34"/>
    <xf numFmtId="0" fontId="253" fillId="0" borderId="295"/>
    <xf numFmtId="0" fontId="254" fillId="65" borderId="296"/>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3" fillId="0" borderId="295"/>
    <xf numFmtId="0" fontId="254" fillId="65" borderId="296"/>
    <xf numFmtId="0" fontId="251" fillId="65" borderId="294"/>
    <xf numFmtId="0" fontId="253" fillId="0" borderId="295"/>
    <xf numFmtId="0" fontId="251" fillId="65" borderId="294"/>
    <xf numFmtId="0" fontId="251" fillId="65" borderId="294"/>
    <xf numFmtId="0" fontId="252" fillId="66" borderId="294"/>
    <xf numFmtId="0" fontId="253" fillId="0" borderId="295"/>
    <xf numFmtId="0" fontId="251" fillId="65" borderId="294"/>
    <xf numFmtId="0" fontId="254" fillId="65" borderId="296"/>
    <xf numFmtId="0" fontId="251" fillId="65" borderId="29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2" fillId="66" borderId="294"/>
    <xf numFmtId="0" fontId="254" fillId="65" borderId="296"/>
    <xf numFmtId="0" fontId="251" fillId="65" borderId="294"/>
    <xf numFmtId="0" fontId="253" fillId="0" borderId="295"/>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2" fillId="66" borderId="294"/>
    <xf numFmtId="0" fontId="251" fillId="65" borderId="294"/>
    <xf numFmtId="0" fontId="252" fillId="66" borderId="294"/>
    <xf numFmtId="0" fontId="252" fillId="66" borderId="294"/>
    <xf numFmtId="0" fontId="251" fillId="65" borderId="294"/>
    <xf numFmtId="0" fontId="253" fillId="0" borderId="295"/>
    <xf numFmtId="0" fontId="253" fillId="0" borderId="295"/>
    <xf numFmtId="0" fontId="252" fillId="66" borderId="294"/>
    <xf numFmtId="0" fontId="253" fillId="0" borderId="295"/>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1" fillId="65" borderId="294"/>
    <xf numFmtId="0" fontId="254" fillId="65" borderId="296"/>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3" fillId="0" borderId="295"/>
    <xf numFmtId="0" fontId="305" fillId="67" borderId="34"/>
    <xf numFmtId="0" fontId="253" fillId="0" borderId="295"/>
    <xf numFmtId="0" fontId="305" fillId="67" borderId="34"/>
    <xf numFmtId="0" fontId="251" fillId="65"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3" fillId="0" borderId="295"/>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305" fillId="67" borderId="34"/>
    <xf numFmtId="0" fontId="253" fillId="0" borderId="295"/>
    <xf numFmtId="0" fontId="254" fillId="65" borderId="296"/>
    <xf numFmtId="0" fontId="251" fillId="65" borderId="294"/>
    <xf numFmtId="0" fontId="253" fillId="0" borderId="295"/>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4" fillId="65" borderId="296"/>
    <xf numFmtId="0" fontId="251" fillId="65" borderId="294"/>
    <xf numFmtId="0" fontId="253" fillId="0" borderId="295"/>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254" fillId="65" borderId="296"/>
    <xf numFmtId="0" fontId="251" fillId="65" borderId="294"/>
    <xf numFmtId="0" fontId="253" fillId="0" borderId="295"/>
    <xf numFmtId="0" fontId="254" fillId="65" borderId="296"/>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305" fillId="67" borderId="34"/>
    <xf numFmtId="0" fontId="252" fillId="66" borderId="294"/>
    <xf numFmtId="0" fontId="251" fillId="65" borderId="294"/>
    <xf numFmtId="0" fontId="305" fillId="67" borderId="34"/>
    <xf numFmtId="0" fontId="253" fillId="0" borderId="295"/>
    <xf numFmtId="0" fontId="252" fillId="66" borderId="294"/>
    <xf numFmtId="0" fontId="253" fillId="0" borderId="295"/>
    <xf numFmtId="0" fontId="252" fillId="66" borderId="294"/>
    <xf numFmtId="0" fontId="254" fillId="65" borderId="296"/>
    <xf numFmtId="0" fontId="251" fillId="65" borderId="294"/>
    <xf numFmtId="0" fontId="253" fillId="0" borderId="295"/>
    <xf numFmtId="0" fontId="252" fillId="66" borderId="294"/>
    <xf numFmtId="0" fontId="305" fillId="67" borderId="34"/>
    <xf numFmtId="0" fontId="253" fillId="0" borderId="295"/>
    <xf numFmtId="0" fontId="252" fillId="66" borderId="294"/>
    <xf numFmtId="0" fontId="254" fillId="65" borderId="296"/>
    <xf numFmtId="0" fontId="251" fillId="65" borderId="294"/>
    <xf numFmtId="0" fontId="253" fillId="0" borderId="295"/>
    <xf numFmtId="0" fontId="252" fillId="66" borderId="294"/>
    <xf numFmtId="0" fontId="305" fillId="67" borderId="34"/>
    <xf numFmtId="0" fontId="253" fillId="0" borderId="295"/>
    <xf numFmtId="0" fontId="252" fillId="66" borderId="294"/>
    <xf numFmtId="0" fontId="251" fillId="65" borderId="294"/>
    <xf numFmtId="0" fontId="253" fillId="0" borderId="295"/>
    <xf numFmtId="0" fontId="252" fillId="66" borderId="294"/>
    <xf numFmtId="0" fontId="251" fillId="65" borderId="294"/>
    <xf numFmtId="0" fontId="305" fillId="67" borderId="34"/>
    <xf numFmtId="0" fontId="253" fillId="0" borderId="295"/>
    <xf numFmtId="0" fontId="252" fillId="66" borderId="294"/>
    <xf numFmtId="0" fontId="251" fillId="65" borderId="294"/>
    <xf numFmtId="0" fontId="251" fillId="65" borderId="294"/>
    <xf numFmtId="0" fontId="252" fillId="66" borderId="294"/>
    <xf numFmtId="0" fontId="305" fillId="67" borderId="34"/>
    <xf numFmtId="0" fontId="252" fillId="66" borderId="294"/>
    <xf numFmtId="0" fontId="252" fillId="66" borderId="294"/>
    <xf numFmtId="0" fontId="251" fillId="65" borderId="294"/>
    <xf numFmtId="0" fontId="253" fillId="0" borderId="295"/>
    <xf numFmtId="0" fontId="253" fillId="0" borderId="295"/>
    <xf numFmtId="0" fontId="254" fillId="65" borderId="296"/>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3" fillId="0" borderId="295"/>
    <xf numFmtId="0" fontId="305" fillId="67" borderId="34"/>
    <xf numFmtId="0" fontId="252" fillId="66" borderId="294"/>
    <xf numFmtId="0" fontId="251" fillId="65" borderId="294"/>
    <xf numFmtId="0" fontId="253" fillId="0" borderId="295"/>
    <xf numFmtId="0" fontId="252" fillId="66" borderId="294"/>
    <xf numFmtId="0" fontId="251" fillId="65" borderId="294"/>
    <xf numFmtId="0" fontId="253" fillId="0" borderId="295"/>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3" fillId="0" borderId="295"/>
    <xf numFmtId="0" fontId="252" fillId="66" borderId="294"/>
    <xf numFmtId="0" fontId="252" fillId="66" borderId="294"/>
    <xf numFmtId="0" fontId="251" fillId="65" borderId="294"/>
    <xf numFmtId="0" fontId="253" fillId="0" borderId="295"/>
    <xf numFmtId="0" fontId="252" fillId="66" borderId="294"/>
    <xf numFmtId="0" fontId="252" fillId="66" borderId="29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305" fillId="67" borderId="34"/>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252" fillId="66" borderId="294"/>
    <xf numFmtId="0" fontId="251" fillId="65" borderId="294"/>
    <xf numFmtId="0" fontId="253" fillId="0" borderId="295"/>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252" fillId="66" borderId="294"/>
    <xf numFmtId="0" fontId="252" fillId="66" borderId="294"/>
    <xf numFmtId="0" fontId="254" fillId="65" borderId="296"/>
    <xf numFmtId="0" fontId="254" fillId="65" borderId="296"/>
    <xf numFmtId="0" fontId="305" fillId="67" borderId="34"/>
    <xf numFmtId="0" fontId="251" fillId="65" borderId="294"/>
    <xf numFmtId="0" fontId="251" fillId="65" borderId="294"/>
    <xf numFmtId="0" fontId="305" fillId="67" borderId="34"/>
    <xf numFmtId="0" fontId="251" fillId="65" borderId="294"/>
    <xf numFmtId="0" fontId="253" fillId="0" borderId="295"/>
    <xf numFmtId="0" fontId="252" fillId="66" borderId="294"/>
    <xf numFmtId="0" fontId="251" fillId="65" borderId="294"/>
    <xf numFmtId="0" fontId="305" fillId="67" borderId="34"/>
    <xf numFmtId="0" fontId="253" fillId="0" borderId="295"/>
    <xf numFmtId="0" fontId="305" fillId="67" borderId="34"/>
    <xf numFmtId="0" fontId="253" fillId="0" borderId="295"/>
    <xf numFmtId="0" fontId="252" fillId="66" borderId="294"/>
    <xf numFmtId="0" fontId="305" fillId="67" borderId="34"/>
    <xf numFmtId="0" fontId="251" fillId="65" borderId="294"/>
    <xf numFmtId="0" fontId="305" fillId="67" borderId="34"/>
    <xf numFmtId="0" fontId="253" fillId="0" borderId="295"/>
    <xf numFmtId="0" fontId="254" fillId="65" borderId="296"/>
    <xf numFmtId="0" fontId="305" fillId="67" borderId="34"/>
    <xf numFmtId="0" fontId="253" fillId="0" borderId="295"/>
    <xf numFmtId="0" fontId="252" fillId="66" borderId="294"/>
    <xf numFmtId="0" fontId="251" fillId="65" borderId="294"/>
    <xf numFmtId="0" fontId="252" fillId="66" borderId="294"/>
    <xf numFmtId="0" fontId="305" fillId="67" borderId="34"/>
    <xf numFmtId="0" fontId="251" fillId="65" borderId="294"/>
    <xf numFmtId="0" fontId="254" fillId="65" borderId="296"/>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4" fillId="65" borderId="296"/>
    <xf numFmtId="0" fontId="305" fillId="67" borderId="34"/>
    <xf numFmtId="0" fontId="305" fillId="67" borderId="34"/>
    <xf numFmtId="0" fontId="251" fillId="65" borderId="294"/>
    <xf numFmtId="0" fontId="254" fillId="65" borderId="296"/>
    <xf numFmtId="0" fontId="251" fillId="65" borderId="294"/>
    <xf numFmtId="0" fontId="252" fillId="66" borderId="294"/>
    <xf numFmtId="0" fontId="252" fillId="66" borderId="294"/>
    <xf numFmtId="0" fontId="305" fillId="67" borderId="34"/>
    <xf numFmtId="0" fontId="254" fillId="65" borderId="296"/>
    <xf numFmtId="0" fontId="251" fillId="65" borderId="294"/>
    <xf numFmtId="0" fontId="305" fillId="67" borderId="34"/>
    <xf numFmtId="0" fontId="254" fillId="65" borderId="296"/>
    <xf numFmtId="0" fontId="251" fillId="65" borderId="294"/>
    <xf numFmtId="0" fontId="305" fillId="67" borderId="34"/>
    <xf numFmtId="0" fontId="252" fillId="66" borderId="294"/>
    <xf numFmtId="0" fontId="305" fillId="67" borderId="3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251" fillId="65" borderId="294"/>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3" fillId="0" borderId="295"/>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3" fillId="0" borderId="295"/>
    <xf numFmtId="0" fontId="252" fillId="66" borderId="294"/>
    <xf numFmtId="0" fontId="251" fillId="65" borderId="294"/>
    <xf numFmtId="0" fontId="253" fillId="0" borderId="295"/>
    <xf numFmtId="0" fontId="252" fillId="66" borderId="294"/>
    <xf numFmtId="0" fontId="305" fillId="67" borderId="34"/>
    <xf numFmtId="0" fontId="253" fillId="0" borderId="295"/>
    <xf numFmtId="0" fontId="305" fillId="67" borderId="34"/>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305" fillId="67" borderId="34"/>
    <xf numFmtId="0" fontId="252" fillId="66" borderId="294"/>
    <xf numFmtId="0" fontId="305" fillId="67" borderId="34"/>
    <xf numFmtId="0" fontId="254" fillId="65" borderId="296"/>
    <xf numFmtId="0" fontId="251" fillId="65" borderId="294"/>
    <xf numFmtId="0" fontId="305" fillId="67" borderId="34"/>
    <xf numFmtId="0" fontId="252" fillId="66" borderId="294"/>
    <xf numFmtId="0" fontId="305" fillId="67" borderId="34"/>
    <xf numFmtId="0" fontId="251" fillId="65" borderId="294"/>
    <xf numFmtId="0" fontId="252" fillId="66" borderId="294"/>
    <xf numFmtId="0" fontId="305" fillId="67" borderId="3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252" fillId="66" borderId="294"/>
    <xf numFmtId="0" fontId="251" fillId="65" borderId="294"/>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2" fillId="66" borderId="294"/>
    <xf numFmtId="0" fontId="254" fillId="65" borderId="296"/>
    <xf numFmtId="0" fontId="251" fillId="65" borderId="294"/>
    <xf numFmtId="0" fontId="305" fillId="67" borderId="34"/>
    <xf numFmtId="0" fontId="253" fillId="0" borderId="295"/>
    <xf numFmtId="0" fontId="254" fillId="65" borderId="296"/>
    <xf numFmtId="0" fontId="252" fillId="66" borderId="294"/>
    <xf numFmtId="0" fontId="253" fillId="0" borderId="295"/>
    <xf numFmtId="0" fontId="254" fillId="65" borderId="296"/>
    <xf numFmtId="0" fontId="305" fillId="67" borderId="34"/>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305" fillId="67" borderId="3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4" fillId="65" borderId="296"/>
    <xf numFmtId="0" fontId="251" fillId="65" borderId="294"/>
    <xf numFmtId="0" fontId="305" fillId="67" borderId="34"/>
    <xf numFmtId="0" fontId="251" fillId="65" borderId="294"/>
    <xf numFmtId="0" fontId="252" fillId="66" borderId="294"/>
    <xf numFmtId="0" fontId="305" fillId="67" borderId="34"/>
    <xf numFmtId="0" fontId="253" fillId="0" borderId="295"/>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3" fillId="0" borderId="295"/>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4" fillId="65" borderId="296"/>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4" fillId="65" borderId="296"/>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1" fillId="65" borderId="294"/>
    <xf numFmtId="0" fontId="254" fillId="65" borderId="296"/>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305" fillId="67" borderId="34"/>
    <xf numFmtId="0" fontId="253" fillId="0" borderId="295"/>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254" fillId="65" borderId="296"/>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2" fillId="66" borderId="294"/>
    <xf numFmtId="0" fontId="252" fillId="66" borderId="294"/>
    <xf numFmtId="0" fontId="254" fillId="65" borderId="296"/>
    <xf numFmtId="0" fontId="251" fillId="65" borderId="294"/>
    <xf numFmtId="0" fontId="251" fillId="65" borderId="294"/>
    <xf numFmtId="0" fontId="252" fillId="66" borderId="294"/>
    <xf numFmtId="0" fontId="252" fillId="66" borderId="294"/>
    <xf numFmtId="0" fontId="305" fillId="67" borderId="34"/>
    <xf numFmtId="0" fontId="254" fillId="65" borderId="296"/>
    <xf numFmtId="0" fontId="254" fillId="65" borderId="296"/>
    <xf numFmtId="0" fontId="305" fillId="67" borderId="34"/>
    <xf numFmtId="0" fontId="251" fillId="65" borderId="294"/>
    <xf numFmtId="0" fontId="252" fillId="66" borderId="294"/>
    <xf numFmtId="0" fontId="253" fillId="0" borderId="295"/>
    <xf numFmtId="0" fontId="252" fillId="66" borderId="294"/>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2" fillId="66" borderId="294"/>
    <xf numFmtId="0" fontId="253" fillId="0" borderId="295"/>
    <xf numFmtId="0" fontId="252" fillId="66" borderId="294"/>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252" fillId="66" borderId="294"/>
    <xf numFmtId="0" fontId="252" fillId="66" borderId="294"/>
    <xf numFmtId="0" fontId="251" fillId="65" borderId="29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4" fillId="65" borderId="296"/>
    <xf numFmtId="0" fontId="251" fillId="65" borderId="294"/>
    <xf numFmtId="0" fontId="252" fillId="66" borderId="294"/>
    <xf numFmtId="0" fontId="253" fillId="0" borderId="295"/>
    <xf numFmtId="0" fontId="254" fillId="65" borderId="296"/>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2" fillId="66" borderId="294"/>
    <xf numFmtId="0" fontId="254" fillId="65" borderId="296"/>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4" fillId="65" borderId="296"/>
    <xf numFmtId="0" fontId="251" fillId="65" borderId="294"/>
    <xf numFmtId="0" fontId="305" fillId="67" borderId="34"/>
    <xf numFmtId="0" fontId="254" fillId="65" borderId="296"/>
    <xf numFmtId="0" fontId="254" fillId="65" borderId="296"/>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254" fillId="65" borderId="296"/>
    <xf numFmtId="0" fontId="305" fillId="67" borderId="34"/>
    <xf numFmtId="0" fontId="252" fillId="66" borderId="294"/>
    <xf numFmtId="0" fontId="254" fillId="65" borderId="296"/>
    <xf numFmtId="0" fontId="251" fillId="65" borderId="294"/>
    <xf numFmtId="0" fontId="305" fillId="67" borderId="34"/>
    <xf numFmtId="0" fontId="254" fillId="65" borderId="296"/>
    <xf numFmtId="0" fontId="252" fillId="66" borderId="294"/>
    <xf numFmtId="0" fontId="251" fillId="65" borderId="294"/>
    <xf numFmtId="0" fontId="305" fillId="67" borderId="34"/>
    <xf numFmtId="0" fontId="252" fillId="66" borderId="294"/>
    <xf numFmtId="0" fontId="254" fillId="65" borderId="296"/>
    <xf numFmtId="0" fontId="252" fillId="66" borderId="294"/>
    <xf numFmtId="0" fontId="251" fillId="65" borderId="294"/>
    <xf numFmtId="0" fontId="253" fillId="0" borderId="295"/>
    <xf numFmtId="0" fontId="251" fillId="65" borderId="294"/>
    <xf numFmtId="0" fontId="253" fillId="0" borderId="295"/>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4" fillId="65" borderId="296"/>
    <xf numFmtId="0" fontId="252" fillId="66" borderId="294"/>
    <xf numFmtId="0" fontId="251" fillId="65" borderId="294"/>
    <xf numFmtId="0" fontId="252" fillId="66" borderId="294"/>
    <xf numFmtId="0" fontId="254" fillId="65" borderId="296"/>
    <xf numFmtId="0" fontId="252" fillId="66" borderId="294"/>
    <xf numFmtId="0" fontId="251" fillId="65" borderId="294"/>
    <xf numFmtId="0" fontId="305" fillId="67" borderId="3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2" fillId="66" borderId="294"/>
    <xf numFmtId="0" fontId="253" fillId="0" borderId="295"/>
    <xf numFmtId="0" fontId="251" fillId="65" borderId="294"/>
    <xf numFmtId="0" fontId="305" fillId="67" borderId="34"/>
    <xf numFmtId="0" fontId="254" fillId="65" borderId="296"/>
    <xf numFmtId="0" fontId="254" fillId="65" borderId="296"/>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4" fillId="65" borderId="296"/>
    <xf numFmtId="0" fontId="251" fillId="65" borderId="294"/>
    <xf numFmtId="0" fontId="305" fillId="67" borderId="34"/>
    <xf numFmtId="0" fontId="254" fillId="65" borderId="296"/>
    <xf numFmtId="0" fontId="254" fillId="65" borderId="296"/>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1" fillId="65" borderId="294"/>
    <xf numFmtId="0" fontId="251" fillId="65" borderId="294"/>
    <xf numFmtId="0" fontId="305" fillId="67" borderId="34"/>
    <xf numFmtId="0" fontId="254" fillId="65" borderId="296"/>
    <xf numFmtId="0" fontId="254" fillId="65" borderId="296"/>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251" fillId="65" borderId="294"/>
    <xf numFmtId="0" fontId="254" fillId="65" borderId="296"/>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2" fillId="66" borderId="294"/>
    <xf numFmtId="0" fontId="253" fillId="0" borderId="295"/>
    <xf numFmtId="0" fontId="251" fillId="65" borderId="294"/>
    <xf numFmtId="0" fontId="305" fillId="67" borderId="34"/>
    <xf numFmtId="0" fontId="253" fillId="0" borderId="295"/>
    <xf numFmtId="0" fontId="305" fillId="67" borderId="34"/>
    <xf numFmtId="0" fontId="251" fillId="65" borderId="294"/>
    <xf numFmtId="0" fontId="251" fillId="65" borderId="294"/>
    <xf numFmtId="0" fontId="252" fillId="66" borderId="294"/>
    <xf numFmtId="0" fontId="253" fillId="0" borderId="295"/>
    <xf numFmtId="0" fontId="305" fillId="67" borderId="34"/>
    <xf numFmtId="0" fontId="253" fillId="0" borderId="295"/>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251" fillId="65" borderId="294"/>
    <xf numFmtId="0" fontId="252" fillId="66" borderId="294"/>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1" fillId="65" borderId="294"/>
    <xf numFmtId="0" fontId="251" fillId="65" borderId="294"/>
    <xf numFmtId="0" fontId="254" fillId="65" borderId="296"/>
    <xf numFmtId="0" fontId="251" fillId="65" borderId="294"/>
    <xf numFmtId="0" fontId="251" fillId="65" borderId="294"/>
    <xf numFmtId="0" fontId="254" fillId="65" borderId="296"/>
    <xf numFmtId="0" fontId="251" fillId="65" borderId="294"/>
    <xf numFmtId="0" fontId="254" fillId="65" borderId="296"/>
    <xf numFmtId="0" fontId="254" fillId="65" borderId="296"/>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2" fillId="66" borderId="294"/>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305" fillId="67" borderId="34"/>
    <xf numFmtId="0" fontId="305" fillId="67" borderId="34"/>
    <xf numFmtId="0" fontId="253" fillId="0" borderId="295"/>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254" fillId="65" borderId="296"/>
    <xf numFmtId="0" fontId="305" fillId="67" borderId="3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254" fillId="65" borderId="296"/>
    <xf numFmtId="0" fontId="251" fillId="65" borderId="294"/>
    <xf numFmtId="0" fontId="254" fillId="65" borderId="296"/>
    <xf numFmtId="0" fontId="251" fillId="65" borderId="294"/>
    <xf numFmtId="0" fontId="305" fillId="67" borderId="34"/>
    <xf numFmtId="0" fontId="253" fillId="0" borderId="295"/>
    <xf numFmtId="0" fontId="252" fillId="66" borderId="294"/>
    <xf numFmtId="0" fontId="251" fillId="65" borderId="294"/>
    <xf numFmtId="0" fontId="254" fillId="65" borderId="296"/>
    <xf numFmtId="0" fontId="251" fillId="65" borderId="294"/>
    <xf numFmtId="0" fontId="251" fillId="65" borderId="294"/>
    <xf numFmtId="0" fontId="305" fillId="67" borderId="34"/>
    <xf numFmtId="0" fontId="251" fillId="65" borderId="294"/>
    <xf numFmtId="0" fontId="305" fillId="67" borderId="34"/>
    <xf numFmtId="0" fontId="253" fillId="0" borderId="295"/>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253" fillId="0" borderId="295"/>
    <xf numFmtId="0" fontId="252" fillId="66" borderId="294"/>
    <xf numFmtId="0" fontId="305" fillId="67" borderId="34"/>
    <xf numFmtId="0" fontId="251" fillId="65" borderId="294"/>
    <xf numFmtId="0" fontId="251" fillId="65" borderId="29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254" fillId="65" borderId="296"/>
    <xf numFmtId="0" fontId="254" fillId="65" borderId="296"/>
    <xf numFmtId="0" fontId="305" fillId="67" borderId="34"/>
    <xf numFmtId="0" fontId="251" fillId="65" borderId="294"/>
    <xf numFmtId="0" fontId="251" fillId="65" borderId="294"/>
    <xf numFmtId="0" fontId="252" fillId="66"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253" fillId="0" borderId="295"/>
    <xf numFmtId="0" fontId="251" fillId="65" borderId="294"/>
    <xf numFmtId="0" fontId="252" fillId="66" borderId="294"/>
    <xf numFmtId="0" fontId="254" fillId="65" borderId="296"/>
    <xf numFmtId="0" fontId="251" fillId="65" borderId="294"/>
    <xf numFmtId="0" fontId="252" fillId="66" borderId="294"/>
    <xf numFmtId="0" fontId="251" fillId="65" borderId="294"/>
    <xf numFmtId="0" fontId="253" fillId="0" borderId="295"/>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1" fillId="65" borderId="294"/>
    <xf numFmtId="0" fontId="253" fillId="0" borderId="295"/>
    <xf numFmtId="0" fontId="251" fillId="65" borderId="294"/>
    <xf numFmtId="0" fontId="253" fillId="0" borderId="295"/>
    <xf numFmtId="0" fontId="253" fillId="0" borderId="295"/>
    <xf numFmtId="0" fontId="251" fillId="65" borderId="294"/>
    <xf numFmtId="0" fontId="251" fillId="65" borderId="294"/>
    <xf numFmtId="0" fontId="252" fillId="66" borderId="294"/>
    <xf numFmtId="0" fontId="251" fillId="65" borderId="294"/>
    <xf numFmtId="0" fontId="252" fillId="66" borderId="294"/>
    <xf numFmtId="0" fontId="253" fillId="0" borderId="295"/>
    <xf numFmtId="0" fontId="253" fillId="0" borderId="295"/>
    <xf numFmtId="0" fontId="253" fillId="0" borderId="295"/>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3" fillId="0" borderId="295"/>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251" fillId="65" borderId="294"/>
    <xf numFmtId="0" fontId="253" fillId="0" borderId="295"/>
    <xf numFmtId="0" fontId="251" fillId="65" borderId="294"/>
    <xf numFmtId="0" fontId="252" fillId="66" borderId="294"/>
    <xf numFmtId="0" fontId="251" fillId="65" borderId="294"/>
    <xf numFmtId="0" fontId="253" fillId="0" borderId="295"/>
    <xf numFmtId="0" fontId="253" fillId="0" borderId="295"/>
    <xf numFmtId="0" fontId="251" fillId="65" borderId="294"/>
    <xf numFmtId="0" fontId="251" fillId="65" borderId="294"/>
    <xf numFmtId="0" fontId="305" fillId="67" borderId="34"/>
    <xf numFmtId="0" fontId="253" fillId="0" borderId="295"/>
    <xf numFmtId="0" fontId="254" fillId="65" borderId="296"/>
    <xf numFmtId="0" fontId="305" fillId="67" borderId="34"/>
    <xf numFmtId="0" fontId="251" fillId="65" borderId="294"/>
    <xf numFmtId="0" fontId="251" fillId="65" borderId="294"/>
    <xf numFmtId="0" fontId="254" fillId="65" borderId="296"/>
    <xf numFmtId="0" fontId="252" fillId="66" borderId="294"/>
    <xf numFmtId="0" fontId="251" fillId="65" borderId="294"/>
    <xf numFmtId="0" fontId="253" fillId="0" borderId="295"/>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4" fillId="65" borderId="296"/>
    <xf numFmtId="0" fontId="252" fillId="66" borderId="294"/>
    <xf numFmtId="0" fontId="305" fillId="67" borderId="34"/>
    <xf numFmtId="0" fontId="251" fillId="65" borderId="294"/>
    <xf numFmtId="0" fontId="252" fillId="66" borderId="294"/>
    <xf numFmtId="0" fontId="253" fillId="0" borderId="295"/>
    <xf numFmtId="0" fontId="251" fillId="65" borderId="294"/>
    <xf numFmtId="0" fontId="254" fillId="65" borderId="296"/>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4" fillId="65" borderId="296"/>
    <xf numFmtId="0" fontId="305" fillId="67" borderId="34"/>
    <xf numFmtId="0" fontId="251" fillId="65" borderId="294"/>
    <xf numFmtId="0" fontId="251" fillId="65" borderId="294"/>
    <xf numFmtId="0" fontId="252" fillId="66" borderId="294"/>
    <xf numFmtId="0" fontId="254" fillId="65" borderId="296"/>
    <xf numFmtId="0" fontId="254" fillId="65" borderId="296"/>
    <xf numFmtId="0" fontId="305" fillId="67" borderId="34"/>
    <xf numFmtId="0" fontId="251" fillId="65" borderId="294"/>
    <xf numFmtId="0" fontId="253" fillId="0" borderId="295"/>
    <xf numFmtId="0" fontId="252" fillId="66" borderId="294"/>
    <xf numFmtId="0" fontId="253" fillId="0" borderId="295"/>
    <xf numFmtId="0" fontId="254" fillId="65" borderId="296"/>
    <xf numFmtId="0" fontId="251" fillId="65" borderId="29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253" fillId="0" borderId="295"/>
    <xf numFmtId="0" fontId="254" fillId="65" borderId="296"/>
    <xf numFmtId="0" fontId="254" fillId="65" borderId="296"/>
    <xf numFmtId="0" fontId="252" fillId="66" borderId="294"/>
    <xf numFmtId="0" fontId="253" fillId="0" borderId="295"/>
    <xf numFmtId="0" fontId="251" fillId="65" borderId="294"/>
    <xf numFmtId="0" fontId="252" fillId="66" borderId="294"/>
    <xf numFmtId="0" fontId="251" fillId="65" borderId="294"/>
    <xf numFmtId="0" fontId="254" fillId="65" borderId="296"/>
    <xf numFmtId="0" fontId="254" fillId="65" borderId="296"/>
    <xf numFmtId="0" fontId="252" fillId="66" borderId="294"/>
    <xf numFmtId="0" fontId="253" fillId="0" borderId="295"/>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3" fillId="0" borderId="295"/>
    <xf numFmtId="0" fontId="252" fillId="66" borderId="294"/>
    <xf numFmtId="0" fontId="253" fillId="0" borderId="295"/>
    <xf numFmtId="0" fontId="251" fillId="65" borderId="294"/>
    <xf numFmtId="0" fontId="252" fillId="66" borderId="294"/>
    <xf numFmtId="0" fontId="251" fillId="65" borderId="294"/>
    <xf numFmtId="0" fontId="254" fillId="65" borderId="296"/>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253" fillId="0" borderId="295"/>
    <xf numFmtId="0" fontId="254" fillId="65" borderId="296"/>
    <xf numFmtId="0" fontId="251" fillId="65" borderId="294"/>
    <xf numFmtId="0" fontId="305" fillId="67" borderId="34"/>
    <xf numFmtId="0" fontId="253" fillId="0" borderId="295"/>
    <xf numFmtId="0" fontId="251" fillId="65" borderId="294"/>
    <xf numFmtId="0" fontId="251" fillId="65" borderId="294"/>
    <xf numFmtId="0" fontId="254" fillId="65" borderId="296"/>
    <xf numFmtId="0" fontId="252" fillId="66" borderId="294"/>
    <xf numFmtId="0" fontId="253" fillId="0" borderId="295"/>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2" fillId="66" borderId="294"/>
    <xf numFmtId="0" fontId="254" fillId="65" borderId="296"/>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251" fillId="65" borderId="294"/>
    <xf numFmtId="0" fontId="251" fillId="65" borderId="294"/>
    <xf numFmtId="0" fontId="254" fillId="65" borderId="296"/>
    <xf numFmtId="0" fontId="305" fillId="67" borderId="34"/>
    <xf numFmtId="0" fontId="251" fillId="65" borderId="294"/>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305" fillId="67" borderId="34"/>
    <xf numFmtId="0" fontId="305" fillId="67" borderId="3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4" fillId="65" borderId="296"/>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252" fillId="66" borderId="294"/>
    <xf numFmtId="0" fontId="251" fillId="65" borderId="294"/>
    <xf numFmtId="0" fontId="253" fillId="0" borderId="295"/>
    <xf numFmtId="0" fontId="252" fillId="66" borderId="294"/>
    <xf numFmtId="0" fontId="254" fillId="65" borderId="296"/>
    <xf numFmtId="0" fontId="251" fillId="65" borderId="294"/>
    <xf numFmtId="0" fontId="253" fillId="0" borderId="295"/>
    <xf numFmtId="0" fontId="252" fillId="66" borderId="294"/>
    <xf numFmtId="0" fontId="254" fillId="65" borderId="296"/>
    <xf numFmtId="0" fontId="251" fillId="65" borderId="294"/>
    <xf numFmtId="0" fontId="254" fillId="65" borderId="296"/>
    <xf numFmtId="0" fontId="251" fillId="65" borderId="294"/>
    <xf numFmtId="0" fontId="254" fillId="65" borderId="296"/>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4" fillId="65" borderId="296"/>
    <xf numFmtId="0" fontId="305" fillId="67" borderId="34"/>
    <xf numFmtId="0" fontId="251" fillId="65" borderId="294"/>
    <xf numFmtId="0" fontId="252" fillId="66" borderId="294"/>
    <xf numFmtId="0" fontId="251" fillId="65" borderId="294"/>
    <xf numFmtId="0" fontId="254" fillId="65" borderId="296"/>
    <xf numFmtId="0" fontId="305" fillId="67" borderId="34"/>
    <xf numFmtId="0" fontId="251" fillId="65" borderId="294"/>
    <xf numFmtId="0" fontId="252" fillId="66" borderId="294"/>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4" fillId="65" borderId="296"/>
    <xf numFmtId="0" fontId="305" fillId="67" borderId="34"/>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4" fillId="65" borderId="296"/>
    <xf numFmtId="0" fontId="305" fillId="67" borderId="34"/>
    <xf numFmtId="0" fontId="252" fillId="66" borderId="294"/>
    <xf numFmtId="0" fontId="251" fillId="65" borderId="294"/>
    <xf numFmtId="0" fontId="254" fillId="65" borderId="296"/>
    <xf numFmtId="0" fontId="305" fillId="67" borderId="34"/>
    <xf numFmtId="0" fontId="251" fillId="65" borderId="294"/>
    <xf numFmtId="0" fontId="251" fillId="65" borderId="294"/>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4" fillId="65" borderId="296"/>
    <xf numFmtId="0" fontId="251" fillId="65" borderId="294"/>
    <xf numFmtId="0" fontId="251" fillId="65" borderId="294"/>
    <xf numFmtId="0" fontId="254" fillId="65" borderId="296"/>
    <xf numFmtId="0" fontId="251" fillId="65" borderId="29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4" fillId="65" borderId="296"/>
    <xf numFmtId="0" fontId="254" fillId="65" borderId="296"/>
    <xf numFmtId="0" fontId="305" fillId="67" borderId="34"/>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305" fillId="67" borderId="3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251" fillId="65" borderId="294"/>
    <xf numFmtId="0" fontId="305" fillId="67" borderId="34"/>
    <xf numFmtId="0" fontId="254" fillId="65" borderId="296"/>
    <xf numFmtId="0" fontId="305" fillId="67" borderId="34"/>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4" fillId="65" borderId="296"/>
    <xf numFmtId="0" fontId="305" fillId="67" borderId="34"/>
    <xf numFmtId="0" fontId="305" fillId="67" borderId="34"/>
    <xf numFmtId="0" fontId="254" fillId="65" borderId="296"/>
    <xf numFmtId="0" fontId="251" fillId="65" borderId="294"/>
    <xf numFmtId="0" fontId="251" fillId="65" borderId="294"/>
    <xf numFmtId="0" fontId="254" fillId="65" borderId="296"/>
    <xf numFmtId="0" fontId="305" fillId="67" borderId="34"/>
    <xf numFmtId="0" fontId="305" fillId="67" borderId="34"/>
    <xf numFmtId="0" fontId="254" fillId="65" borderId="296"/>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4" fillId="65" borderId="296"/>
    <xf numFmtId="0" fontId="251" fillId="65" borderId="294"/>
    <xf numFmtId="0" fontId="252" fillId="66" borderId="294"/>
    <xf numFmtId="0" fontId="252" fillId="66" borderId="294"/>
    <xf numFmtId="0" fontId="253" fillId="0" borderId="295"/>
    <xf numFmtId="0" fontId="251" fillId="65" borderId="294"/>
    <xf numFmtId="0" fontId="251" fillId="65" borderId="294"/>
    <xf numFmtId="0" fontId="305" fillId="67" borderId="34"/>
    <xf numFmtId="0" fontId="253" fillId="0" borderId="295"/>
    <xf numFmtId="0" fontId="254" fillId="65" borderId="296"/>
    <xf numFmtId="0" fontId="305" fillId="67" borderId="34"/>
    <xf numFmtId="0" fontId="251" fillId="65" borderId="294"/>
    <xf numFmtId="0" fontId="252" fillId="66" borderId="294"/>
    <xf numFmtId="0" fontId="252" fillId="66"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1" fillId="65" borderId="294"/>
    <xf numFmtId="0" fontId="251" fillId="65" borderId="294"/>
    <xf numFmtId="0" fontId="254" fillId="65" borderId="296"/>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4" fillId="65" borderId="296"/>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1" fillId="65" borderId="294"/>
    <xf numFmtId="0" fontId="252" fillId="66"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251" fillId="65" borderId="29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2" fillId="66" borderId="294"/>
    <xf numFmtId="0" fontId="253" fillId="0" borderId="295"/>
    <xf numFmtId="0" fontId="251" fillId="65" borderId="29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3" fillId="0" borderId="295"/>
    <xf numFmtId="0" fontId="251" fillId="65" borderId="294"/>
    <xf numFmtId="0" fontId="251" fillId="65" borderId="294"/>
    <xf numFmtId="0" fontId="305" fillId="67" borderId="34"/>
    <xf numFmtId="0" fontId="253" fillId="0" borderId="295"/>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3" fillId="0" borderId="295"/>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251" fillId="65" borderId="294"/>
    <xf numFmtId="0" fontId="253" fillId="0" borderId="295"/>
    <xf numFmtId="0" fontId="251" fillId="65" borderId="294"/>
    <xf numFmtId="0" fontId="251" fillId="65" borderId="294"/>
    <xf numFmtId="0" fontId="254" fillId="65" borderId="296"/>
    <xf numFmtId="0" fontId="305" fillId="67" borderId="34"/>
    <xf numFmtId="0" fontId="305" fillId="67" borderId="34"/>
    <xf numFmtId="0" fontId="253" fillId="0" borderId="295"/>
    <xf numFmtId="0" fontId="253" fillId="0" borderId="295"/>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1" fillId="65" borderId="294"/>
    <xf numFmtId="0" fontId="305" fillId="67" borderId="34"/>
    <xf numFmtId="0" fontId="252" fillId="66" borderId="294"/>
    <xf numFmtId="0" fontId="305" fillId="67" borderId="34"/>
    <xf numFmtId="0" fontId="305" fillId="67" borderId="34"/>
    <xf numFmtId="0" fontId="251" fillId="65" borderId="294"/>
    <xf numFmtId="0" fontId="251" fillId="65" borderId="294"/>
    <xf numFmtId="0" fontId="254" fillId="65" borderId="296"/>
    <xf numFmtId="0" fontId="305" fillId="67" borderId="34"/>
    <xf numFmtId="0" fontId="254" fillId="65" borderId="296"/>
    <xf numFmtId="0" fontId="305" fillId="67" borderId="34"/>
    <xf numFmtId="0" fontId="251" fillId="65" borderId="294"/>
    <xf numFmtId="0" fontId="252" fillId="66" borderId="294"/>
    <xf numFmtId="0" fontId="254" fillId="65" borderId="296"/>
    <xf numFmtId="0" fontId="305" fillId="67" borderId="34"/>
    <xf numFmtId="0" fontId="252" fillId="66" borderId="294"/>
    <xf numFmtId="0" fontId="251" fillId="65" borderId="294"/>
    <xf numFmtId="0" fontId="252" fillId="66" borderId="294"/>
    <xf numFmtId="0" fontId="305" fillId="67" borderId="34"/>
    <xf numFmtId="0" fontId="251" fillId="65" borderId="294"/>
    <xf numFmtId="0" fontId="305" fillId="67" borderId="34"/>
    <xf numFmtId="0" fontId="254" fillId="65" borderId="296"/>
    <xf numFmtId="0" fontId="252" fillId="66" borderId="294"/>
    <xf numFmtId="0" fontId="252" fillId="66" borderId="29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254" fillId="65" borderId="296"/>
    <xf numFmtId="0" fontId="305" fillId="67" borderId="34"/>
    <xf numFmtId="0" fontId="251" fillId="65" borderId="294"/>
    <xf numFmtId="0" fontId="305" fillId="67" borderId="34"/>
    <xf numFmtId="0" fontId="254" fillId="65" borderId="296"/>
    <xf numFmtId="0" fontId="305" fillId="67" borderId="34"/>
    <xf numFmtId="0" fontId="254" fillId="65" borderId="296"/>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4" fillId="65" borderId="296"/>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1" fillId="65" borderId="294"/>
    <xf numFmtId="0" fontId="254" fillId="65" borderId="296"/>
    <xf numFmtId="0" fontId="305" fillId="67" borderId="34"/>
    <xf numFmtId="0" fontId="305" fillId="67" borderId="34"/>
    <xf numFmtId="0" fontId="254" fillId="65" borderId="296"/>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1" fillId="65" borderId="294"/>
    <xf numFmtId="0" fontId="252" fillId="66" borderId="294"/>
    <xf numFmtId="0" fontId="254" fillId="65" borderId="296"/>
    <xf numFmtId="0" fontId="305" fillId="67" borderId="34"/>
    <xf numFmtId="0" fontId="253" fillId="0" borderId="295"/>
    <xf numFmtId="0" fontId="251" fillId="65" borderId="294"/>
    <xf numFmtId="0" fontId="254" fillId="65" borderId="296"/>
    <xf numFmtId="0" fontId="254" fillId="65" borderId="296"/>
    <xf numFmtId="0" fontId="252" fillId="66" borderId="294"/>
    <xf numFmtId="0" fontId="305" fillId="67" borderId="34"/>
    <xf numFmtId="0" fontId="251" fillId="65" borderId="294"/>
    <xf numFmtId="0" fontId="252" fillId="66" borderId="294"/>
    <xf numFmtId="0" fontId="252" fillId="66" borderId="294"/>
    <xf numFmtId="0" fontId="254" fillId="65" borderId="296"/>
    <xf numFmtId="0" fontId="254" fillId="65" borderId="296"/>
    <xf numFmtId="0" fontId="305" fillId="67" borderId="34"/>
    <xf numFmtId="0" fontId="251" fillId="65" borderId="294"/>
    <xf numFmtId="0" fontId="254" fillId="65" borderId="296"/>
    <xf numFmtId="0" fontId="254" fillId="65" borderId="296"/>
    <xf numFmtId="0" fontId="252" fillId="66" borderId="294"/>
    <xf numFmtId="0" fontId="305" fillId="67" borderId="34"/>
    <xf numFmtId="0" fontId="251" fillId="65" borderId="294"/>
    <xf numFmtId="0" fontId="252" fillId="66" borderId="294"/>
    <xf numFmtId="0" fontId="254" fillId="65" borderId="296"/>
    <xf numFmtId="0" fontId="254" fillId="65" borderId="296"/>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254" fillId="65" borderId="296"/>
    <xf numFmtId="0" fontId="251" fillId="65" borderId="294"/>
    <xf numFmtId="0" fontId="251" fillId="65" borderId="294"/>
    <xf numFmtId="0" fontId="305" fillId="67" borderId="34"/>
    <xf numFmtId="0" fontId="251" fillId="65" borderId="294"/>
    <xf numFmtId="0" fontId="254" fillId="65" borderId="296"/>
    <xf numFmtId="0" fontId="305" fillId="67" borderId="34"/>
    <xf numFmtId="0" fontId="251" fillId="65" borderId="294"/>
    <xf numFmtId="0" fontId="253" fillId="0" borderId="295"/>
    <xf numFmtId="0" fontId="254" fillId="65" borderId="296"/>
    <xf numFmtId="0" fontId="252" fillId="66" borderId="294"/>
    <xf numFmtId="0" fontId="305" fillId="67" borderId="34"/>
    <xf numFmtId="0" fontId="251" fillId="65" borderId="294"/>
    <xf numFmtId="0" fontId="252" fillId="66" borderId="294"/>
    <xf numFmtId="0" fontId="253" fillId="0" borderId="295"/>
    <xf numFmtId="0" fontId="254" fillId="65" borderId="296"/>
    <xf numFmtId="0" fontId="254" fillId="65" borderId="296"/>
    <xf numFmtId="0" fontId="252" fillId="66" borderId="294"/>
    <xf numFmtId="0" fontId="305" fillId="67" borderId="34"/>
    <xf numFmtId="0" fontId="253" fillId="0" borderId="295"/>
    <xf numFmtId="0" fontId="251" fillId="65" borderId="294"/>
    <xf numFmtId="0" fontId="254" fillId="65" borderId="296"/>
    <xf numFmtId="0" fontId="254" fillId="65" borderId="296"/>
    <xf numFmtId="0" fontId="305" fillId="67" borderId="3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305" fillId="67" borderId="34"/>
    <xf numFmtId="0" fontId="251" fillId="65" borderId="294"/>
    <xf numFmtId="0" fontId="253" fillId="0" borderId="295"/>
    <xf numFmtId="0" fontId="254" fillId="65" borderId="296"/>
    <xf numFmtId="0" fontId="252" fillId="66" borderId="294"/>
    <xf numFmtId="0" fontId="305" fillId="67" borderId="34"/>
    <xf numFmtId="0" fontId="252" fillId="66" borderId="294"/>
    <xf numFmtId="0" fontId="251" fillId="65" borderId="294"/>
    <xf numFmtId="0" fontId="254" fillId="65" borderId="296"/>
    <xf numFmtId="0" fontId="305" fillId="67" borderId="34"/>
    <xf numFmtId="0" fontId="252" fillId="66" borderId="294"/>
    <xf numFmtId="0" fontId="251" fillId="65" borderId="294"/>
    <xf numFmtId="0" fontId="251" fillId="65" borderId="294"/>
    <xf numFmtId="0" fontId="251" fillId="65" borderId="294"/>
    <xf numFmtId="0" fontId="252" fillId="66" borderId="294"/>
    <xf numFmtId="0" fontId="305" fillId="67" borderId="34"/>
    <xf numFmtId="0" fontId="253" fillId="0" borderId="295"/>
    <xf numFmtId="0" fontId="253" fillId="0" borderId="295"/>
    <xf numFmtId="0" fontId="251" fillId="65" borderId="294"/>
    <xf numFmtId="0" fontId="252" fillId="66" borderId="294"/>
    <xf numFmtId="0" fontId="253" fillId="0" borderId="295"/>
    <xf numFmtId="0" fontId="251" fillId="65" borderId="294"/>
    <xf numFmtId="0" fontId="253" fillId="0" borderId="295"/>
    <xf numFmtId="0" fontId="251" fillId="65" borderId="294"/>
    <xf numFmtId="0" fontId="254" fillId="65" borderId="296"/>
    <xf numFmtId="0" fontId="252" fillId="66" borderId="294"/>
    <xf numFmtId="0" fontId="253" fillId="0" borderId="295"/>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4" fillId="65" borderId="296"/>
    <xf numFmtId="0" fontId="252" fillId="66" borderId="294"/>
    <xf numFmtId="0" fontId="253" fillId="0" borderId="295"/>
    <xf numFmtId="0" fontId="305" fillId="67" borderId="34"/>
    <xf numFmtId="0" fontId="253" fillId="0" borderId="295"/>
    <xf numFmtId="0" fontId="251" fillId="65" borderId="294"/>
    <xf numFmtId="0" fontId="252" fillId="66" borderId="294"/>
    <xf numFmtId="0" fontId="305" fillId="67" borderId="34"/>
    <xf numFmtId="0" fontId="251" fillId="65" borderId="294"/>
    <xf numFmtId="0" fontId="251" fillId="65" borderId="294"/>
    <xf numFmtId="0" fontId="254" fillId="65" borderId="296"/>
    <xf numFmtId="0" fontId="305" fillId="67" borderId="34"/>
    <xf numFmtId="0" fontId="252" fillId="66" borderId="294"/>
    <xf numFmtId="0" fontId="305" fillId="67" borderId="34"/>
    <xf numFmtId="0" fontId="252" fillId="66" borderId="294"/>
    <xf numFmtId="0" fontId="251" fillId="65" borderId="294"/>
    <xf numFmtId="0" fontId="252" fillId="66" borderId="294"/>
    <xf numFmtId="0" fontId="254" fillId="65" borderId="296"/>
    <xf numFmtId="0" fontId="305" fillId="67" borderId="34"/>
    <xf numFmtId="0" fontId="254" fillId="65" borderId="296"/>
    <xf numFmtId="0" fontId="305" fillId="67" borderId="34"/>
    <xf numFmtId="0" fontId="305" fillId="67" borderId="34"/>
    <xf numFmtId="0" fontId="251" fillId="65" borderId="294"/>
    <xf numFmtId="0" fontId="254" fillId="65" borderId="296"/>
    <xf numFmtId="0" fontId="305" fillId="67" borderId="34"/>
    <xf numFmtId="0" fontId="254" fillId="65" borderId="296"/>
    <xf numFmtId="0" fontId="305" fillId="67" borderId="34"/>
    <xf numFmtId="0" fontId="251" fillId="65" borderId="294"/>
    <xf numFmtId="0" fontId="254" fillId="65" borderId="296"/>
    <xf numFmtId="0" fontId="305" fillId="67" borderId="34"/>
    <xf numFmtId="0" fontId="254" fillId="65" borderId="296"/>
    <xf numFmtId="0" fontId="251" fillId="65" borderId="294"/>
    <xf numFmtId="0" fontId="254" fillId="65" borderId="296"/>
    <xf numFmtId="0" fontId="254" fillId="65" borderId="296"/>
    <xf numFmtId="0" fontId="305" fillId="67" borderId="34"/>
    <xf numFmtId="0" fontId="252" fillId="66" borderId="294"/>
    <xf numFmtId="0" fontId="305" fillId="67" borderId="34"/>
    <xf numFmtId="0" fontId="254" fillId="65" borderId="296"/>
    <xf numFmtId="0" fontId="251" fillId="65" borderId="294"/>
    <xf numFmtId="0" fontId="254" fillId="65" borderId="296"/>
    <xf numFmtId="0" fontId="251" fillId="65" borderId="294"/>
    <xf numFmtId="0" fontId="252" fillId="66" borderId="294"/>
    <xf numFmtId="0" fontId="252" fillId="66" borderId="294"/>
    <xf numFmtId="0" fontId="305" fillId="67" borderId="34"/>
    <xf numFmtId="0" fontId="254" fillId="65" borderId="296"/>
    <xf numFmtId="0" fontId="251" fillId="65" borderId="294"/>
    <xf numFmtId="0" fontId="305" fillId="67" borderId="34"/>
    <xf numFmtId="0" fontId="251" fillId="65" borderId="294"/>
    <xf numFmtId="0" fontId="305" fillId="67" borderId="34"/>
    <xf numFmtId="0" fontId="253" fillId="0" borderId="295"/>
    <xf numFmtId="0" fontId="254" fillId="65" borderId="296"/>
    <xf numFmtId="0" fontId="305" fillId="67" borderId="34"/>
    <xf numFmtId="0" fontId="252" fillId="66" borderId="294"/>
    <xf numFmtId="0" fontId="305" fillId="67" borderId="34"/>
    <xf numFmtId="0" fontId="305" fillId="67" borderId="34"/>
    <xf numFmtId="0" fontId="251" fillId="65" borderId="294"/>
    <xf numFmtId="0" fontId="251" fillId="65" borderId="294"/>
    <xf numFmtId="0" fontId="252" fillId="66" borderId="294"/>
    <xf numFmtId="0" fontId="305" fillId="67" borderId="34"/>
    <xf numFmtId="0" fontId="305" fillId="67" borderId="34"/>
    <xf numFmtId="0" fontId="305" fillId="67" borderId="34"/>
    <xf numFmtId="0" fontId="252" fillId="66" borderId="294"/>
    <xf numFmtId="0" fontId="251" fillId="65" borderId="294"/>
    <xf numFmtId="0" fontId="305" fillId="67" borderId="3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305" fillId="67" borderId="34"/>
    <xf numFmtId="0" fontId="251" fillId="65" borderId="294"/>
    <xf numFmtId="0" fontId="251" fillId="65" borderId="294"/>
    <xf numFmtId="0" fontId="254" fillId="65" borderId="296"/>
    <xf numFmtId="0" fontId="252" fillId="66" borderId="294"/>
    <xf numFmtId="0" fontId="305" fillId="67" borderId="34"/>
    <xf numFmtId="0" fontId="251" fillId="65" borderId="294"/>
    <xf numFmtId="0" fontId="305" fillId="67" borderId="3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2" fillId="66"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2" fillId="66" borderId="294"/>
    <xf numFmtId="0" fontId="252" fillId="66" borderId="294"/>
    <xf numFmtId="0" fontId="305" fillId="67" borderId="34"/>
    <xf numFmtId="0" fontId="251" fillId="65" borderId="294"/>
    <xf numFmtId="0" fontId="251" fillId="65" borderId="294"/>
    <xf numFmtId="0" fontId="252" fillId="66" borderId="294"/>
    <xf numFmtId="0" fontId="251" fillId="65" borderId="294"/>
    <xf numFmtId="0" fontId="254" fillId="65" borderId="296"/>
    <xf numFmtId="0" fontId="251" fillId="65" borderId="294"/>
    <xf numFmtId="0" fontId="252" fillId="66" borderId="294"/>
    <xf numFmtId="0" fontId="252" fillId="66" borderId="294"/>
    <xf numFmtId="0" fontId="254" fillId="65" borderId="296"/>
    <xf numFmtId="0" fontId="251" fillId="65" borderId="294"/>
    <xf numFmtId="0" fontId="305" fillId="67" borderId="34"/>
    <xf numFmtId="0" fontId="305" fillId="67" borderId="34"/>
    <xf numFmtId="0" fontId="252" fillId="66" borderId="294"/>
    <xf numFmtId="0" fontId="254" fillId="65" borderId="296"/>
    <xf numFmtId="0" fontId="254" fillId="65" borderId="296"/>
    <xf numFmtId="0" fontId="251" fillId="65" borderId="294"/>
    <xf numFmtId="0" fontId="254" fillId="65" borderId="296"/>
    <xf numFmtId="0" fontId="251" fillId="65" borderId="294"/>
    <xf numFmtId="0" fontId="305" fillId="67" borderId="34"/>
    <xf numFmtId="0" fontId="305" fillId="67" borderId="34"/>
    <xf numFmtId="0" fontId="251" fillId="65" borderId="294"/>
    <xf numFmtId="0" fontId="251" fillId="65" borderId="294"/>
    <xf numFmtId="0" fontId="254" fillId="65" borderId="296"/>
    <xf numFmtId="0" fontId="251" fillId="65" borderId="294"/>
    <xf numFmtId="0" fontId="254" fillId="65" borderId="296"/>
    <xf numFmtId="0" fontId="251" fillId="65" borderId="294"/>
    <xf numFmtId="0" fontId="305" fillId="67" borderId="34"/>
    <xf numFmtId="0" fontId="251" fillId="65" borderId="294"/>
    <xf numFmtId="0" fontId="251" fillId="65" borderId="294"/>
    <xf numFmtId="0" fontId="251" fillId="65" borderId="294"/>
    <xf numFmtId="0" fontId="252" fillId="66" borderId="294"/>
    <xf numFmtId="0" fontId="254" fillId="65" borderId="296"/>
    <xf numFmtId="0" fontId="254" fillId="65" borderId="296"/>
    <xf numFmtId="0" fontId="305" fillId="67" borderId="34"/>
    <xf numFmtId="0" fontId="254" fillId="65" borderId="296"/>
    <xf numFmtId="0" fontId="251" fillId="65" borderId="294"/>
    <xf numFmtId="0" fontId="305" fillId="67" borderId="34"/>
    <xf numFmtId="0" fontId="251" fillId="65" borderId="294"/>
    <xf numFmtId="0" fontId="254" fillId="65" borderId="296"/>
    <xf numFmtId="0" fontId="252" fillId="66" borderId="294"/>
    <xf numFmtId="0" fontId="254" fillId="65" borderId="296"/>
    <xf numFmtId="0" fontId="305" fillId="67" borderId="3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254" fillId="65" borderId="296"/>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305" fillId="67" borderId="3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253" fillId="0" borderId="295"/>
    <xf numFmtId="0" fontId="254" fillId="65" borderId="296"/>
    <xf numFmtId="0" fontId="305" fillId="67" borderId="34"/>
    <xf numFmtId="0" fontId="251" fillId="65" borderId="294"/>
    <xf numFmtId="0" fontId="251" fillId="65" borderId="294"/>
    <xf numFmtId="0" fontId="252" fillId="66" borderId="294"/>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252" fillId="66" borderId="294"/>
    <xf numFmtId="0" fontId="251" fillId="65" borderId="294"/>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305" fillId="67" borderId="34"/>
    <xf numFmtId="0" fontId="252" fillId="66" borderId="294"/>
    <xf numFmtId="0" fontId="305" fillId="67" borderId="34"/>
    <xf numFmtId="0" fontId="251" fillId="65" borderId="294"/>
    <xf numFmtId="0" fontId="305" fillId="67" borderId="34"/>
    <xf numFmtId="0" fontId="254" fillId="65" borderId="296"/>
    <xf numFmtId="0" fontId="251" fillId="65" borderId="294"/>
    <xf numFmtId="0" fontId="305" fillId="67" borderId="34"/>
    <xf numFmtId="0" fontId="252" fillId="66" borderId="294"/>
    <xf numFmtId="0" fontId="305" fillId="67" borderId="34"/>
    <xf numFmtId="0" fontId="251" fillId="65" borderId="294"/>
    <xf numFmtId="0" fontId="251" fillId="65" borderId="294"/>
    <xf numFmtId="0" fontId="305" fillId="67" borderId="34"/>
    <xf numFmtId="0" fontId="254" fillId="65" borderId="296"/>
    <xf numFmtId="0" fontId="252" fillId="66" borderId="294"/>
    <xf numFmtId="0" fontId="305" fillId="67" borderId="34"/>
    <xf numFmtId="0" fontId="305" fillId="67" borderId="3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251" fillId="65" borderId="294"/>
    <xf numFmtId="0" fontId="251" fillId="65" borderId="294"/>
    <xf numFmtId="0" fontId="252" fillId="66" borderId="294"/>
    <xf numFmtId="0" fontId="305" fillId="67" borderId="3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253" fillId="0" borderId="295"/>
    <xf numFmtId="0" fontId="254" fillId="65" borderId="296"/>
    <xf numFmtId="0" fontId="251" fillId="65" borderId="294"/>
    <xf numFmtId="0" fontId="253" fillId="0" borderId="295"/>
    <xf numFmtId="0" fontId="252" fillId="66" borderId="294"/>
    <xf numFmtId="0" fontId="305" fillId="67" borderId="34"/>
    <xf numFmtId="0" fontId="305" fillId="67" borderId="34"/>
    <xf numFmtId="0" fontId="252" fillId="66" borderId="294"/>
    <xf numFmtId="0" fontId="254" fillId="65" borderId="296"/>
    <xf numFmtId="0" fontId="254" fillId="65" borderId="296"/>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2" fillId="66" borderId="294"/>
    <xf numFmtId="0" fontId="252" fillId="66" borderId="294"/>
    <xf numFmtId="0" fontId="252" fillId="66" borderId="294"/>
    <xf numFmtId="0" fontId="251" fillId="65" borderId="294"/>
    <xf numFmtId="0" fontId="260" fillId="0" borderId="299"/>
    <xf numFmtId="0" fontId="305" fillId="67" borderId="34"/>
    <xf numFmtId="0" fontId="251" fillId="65" borderId="294"/>
    <xf numFmtId="0" fontId="251" fillId="65" borderId="294"/>
    <xf numFmtId="0" fontId="251" fillId="65" borderId="29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305" fillId="67" borderId="34"/>
    <xf numFmtId="0" fontId="251" fillId="65" borderId="294"/>
    <xf numFmtId="0" fontId="252" fillId="66" borderId="294"/>
    <xf numFmtId="0" fontId="251" fillId="65" borderId="294"/>
    <xf numFmtId="0" fontId="251" fillId="65" borderId="294"/>
    <xf numFmtId="0" fontId="253" fillId="0" borderId="295"/>
    <xf numFmtId="0" fontId="253" fillId="0" borderId="295"/>
    <xf numFmtId="0" fontId="254" fillId="65" borderId="296"/>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253" fillId="0" borderId="295"/>
    <xf numFmtId="0" fontId="252" fillId="66" borderId="294"/>
    <xf numFmtId="0" fontId="251" fillId="65" borderId="294"/>
    <xf numFmtId="0" fontId="305" fillId="67" borderId="34"/>
    <xf numFmtId="0" fontId="253" fillId="0" borderId="295"/>
    <xf numFmtId="0" fontId="251" fillId="65" borderId="294"/>
    <xf numFmtId="0" fontId="252" fillId="66" borderId="294"/>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305" fillId="67" borderId="3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2" fillId="66" borderId="294"/>
    <xf numFmtId="0" fontId="252" fillId="66" borderId="294"/>
    <xf numFmtId="0" fontId="254" fillId="65" borderId="296"/>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2" fillId="66" borderId="29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2" fillId="66" borderId="294"/>
    <xf numFmtId="0" fontId="253" fillId="0" borderId="295"/>
    <xf numFmtId="0" fontId="254" fillId="65" borderId="296"/>
    <xf numFmtId="0" fontId="305" fillId="67" borderId="34"/>
    <xf numFmtId="0" fontId="251" fillId="65" borderId="294"/>
    <xf numFmtId="0" fontId="253" fillId="0" borderId="295"/>
    <xf numFmtId="0" fontId="251" fillId="65" borderId="294"/>
    <xf numFmtId="0" fontId="305" fillId="67" borderId="34"/>
    <xf numFmtId="0" fontId="253" fillId="0" borderId="295"/>
    <xf numFmtId="0" fontId="305" fillId="67" borderId="34"/>
    <xf numFmtId="0" fontId="251" fillId="65" borderId="294"/>
    <xf numFmtId="0" fontId="253" fillId="0" borderId="295"/>
    <xf numFmtId="0" fontId="251" fillId="65" borderId="294"/>
    <xf numFmtId="0" fontId="305" fillId="67" borderId="34"/>
    <xf numFmtId="0" fontId="254" fillId="65" borderId="296"/>
    <xf numFmtId="0" fontId="251" fillId="65" borderId="294"/>
    <xf numFmtId="0" fontId="305" fillId="67" borderId="34"/>
    <xf numFmtId="0" fontId="305" fillId="67" borderId="34"/>
    <xf numFmtId="0" fontId="254" fillId="65" borderId="296"/>
    <xf numFmtId="0" fontId="305" fillId="67" borderId="34"/>
    <xf numFmtId="0" fontId="305" fillId="67" borderId="34"/>
    <xf numFmtId="0" fontId="251" fillId="65" borderId="294"/>
    <xf numFmtId="0" fontId="251" fillId="65" borderId="294"/>
    <xf numFmtId="0" fontId="305" fillId="67" borderId="34"/>
    <xf numFmtId="0" fontId="252" fillId="66" borderId="294"/>
    <xf numFmtId="0" fontId="254" fillId="65" borderId="296"/>
    <xf numFmtId="0" fontId="252" fillId="66" borderId="294"/>
    <xf numFmtId="0" fontId="251" fillId="65" borderId="294"/>
    <xf numFmtId="0" fontId="252" fillId="66" borderId="294"/>
    <xf numFmtId="0" fontId="251" fillId="65" borderId="294"/>
    <xf numFmtId="0" fontId="251" fillId="65" borderId="294"/>
    <xf numFmtId="0" fontId="254" fillId="65" borderId="296"/>
    <xf numFmtId="0" fontId="305" fillId="67" borderId="34"/>
    <xf numFmtId="0" fontId="252" fillId="66" borderId="294"/>
    <xf numFmtId="0" fontId="251" fillId="65" borderId="294"/>
    <xf numFmtId="0" fontId="254" fillId="65" borderId="296"/>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7" fillId="0" borderId="298"/>
    <xf numFmtId="0" fontId="305" fillId="67" borderId="34"/>
    <xf numFmtId="0" fontId="251" fillId="65" borderId="294"/>
    <xf numFmtId="0" fontId="251" fillId="65" borderId="294"/>
    <xf numFmtId="0" fontId="254" fillId="65" borderId="296"/>
    <xf numFmtId="0" fontId="252" fillId="66" borderId="294"/>
    <xf numFmtId="0" fontId="305" fillId="67" borderId="34"/>
    <xf numFmtId="0" fontId="254" fillId="65" borderId="296"/>
    <xf numFmtId="0" fontId="251" fillId="65" borderId="294"/>
    <xf numFmtId="0" fontId="253" fillId="0" borderId="295"/>
    <xf numFmtId="0" fontId="251" fillId="65" borderId="294"/>
    <xf numFmtId="0" fontId="253" fillId="0" borderId="295"/>
    <xf numFmtId="0" fontId="251" fillId="65" borderId="294"/>
    <xf numFmtId="0" fontId="305" fillId="67" borderId="34"/>
    <xf numFmtId="0" fontId="254" fillId="65" borderId="296"/>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3" fillId="0" borderId="295"/>
    <xf numFmtId="0" fontId="251" fillId="65" borderId="294"/>
    <xf numFmtId="0" fontId="305" fillId="67" borderId="3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2" fillId="66" borderId="294"/>
    <xf numFmtId="0" fontId="254" fillId="65" borderId="296"/>
    <xf numFmtId="0" fontId="305" fillId="67" borderId="34"/>
    <xf numFmtId="0" fontId="251" fillId="65" borderId="294"/>
    <xf numFmtId="0" fontId="254" fillId="65" borderId="296"/>
    <xf numFmtId="0" fontId="254" fillId="65" borderId="296"/>
    <xf numFmtId="0" fontId="254" fillId="65" borderId="296"/>
    <xf numFmtId="0" fontId="305" fillId="67" borderId="34"/>
    <xf numFmtId="0" fontId="254" fillId="65" borderId="296"/>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1" fillId="65" borderId="294"/>
    <xf numFmtId="0" fontId="305" fillId="67" borderId="34"/>
    <xf numFmtId="0" fontId="254" fillId="65" borderId="296"/>
    <xf numFmtId="0" fontId="254" fillId="65" borderId="296"/>
    <xf numFmtId="0" fontId="251" fillId="65" borderId="294"/>
    <xf numFmtId="0" fontId="253" fillId="0" borderId="295"/>
    <xf numFmtId="0" fontId="254" fillId="65" borderId="296"/>
    <xf numFmtId="0" fontId="254" fillId="65" borderId="296"/>
    <xf numFmtId="0" fontId="251" fillId="65" borderId="294"/>
    <xf numFmtId="0" fontId="253" fillId="0" borderId="295"/>
    <xf numFmtId="0" fontId="254" fillId="65" borderId="296"/>
    <xf numFmtId="0" fontId="254" fillId="65" borderId="296"/>
    <xf numFmtId="0" fontId="251" fillId="65" borderId="294"/>
    <xf numFmtId="0" fontId="252" fillId="66" borderId="294"/>
    <xf numFmtId="0" fontId="251" fillId="65" borderId="294"/>
    <xf numFmtId="0" fontId="305" fillId="67" borderId="34"/>
    <xf numFmtId="0" fontId="252" fillId="66" borderId="294"/>
    <xf numFmtId="0" fontId="253" fillId="0" borderId="295"/>
    <xf numFmtId="0" fontId="254" fillId="65" borderId="296"/>
    <xf numFmtId="0" fontId="254" fillId="65" borderId="296"/>
    <xf numFmtId="0" fontId="305" fillId="67" borderId="34"/>
    <xf numFmtId="0" fontId="305" fillId="67" borderId="34"/>
    <xf numFmtId="0" fontId="253" fillId="0" borderId="295"/>
    <xf numFmtId="0" fontId="254" fillId="65" borderId="296"/>
    <xf numFmtId="0" fontId="251" fillId="65" borderId="294"/>
    <xf numFmtId="0" fontId="254" fillId="65" borderId="296"/>
    <xf numFmtId="0" fontId="252" fillId="66" borderId="294"/>
    <xf numFmtId="0" fontId="251" fillId="65" borderId="294"/>
    <xf numFmtId="0" fontId="251" fillId="65" borderId="294"/>
    <xf numFmtId="0" fontId="251" fillId="65" borderId="294"/>
    <xf numFmtId="0" fontId="252" fillId="66" borderId="294"/>
    <xf numFmtId="0" fontId="253" fillId="0" borderId="295"/>
    <xf numFmtId="0" fontId="254" fillId="65" borderId="296"/>
    <xf numFmtId="0" fontId="251" fillId="65" borderId="294"/>
    <xf numFmtId="0" fontId="252" fillId="66" borderId="294"/>
    <xf numFmtId="0" fontId="253" fillId="0" borderId="295"/>
    <xf numFmtId="0" fontId="251" fillId="65" borderId="294"/>
    <xf numFmtId="0" fontId="253" fillId="0" borderId="295"/>
    <xf numFmtId="0" fontId="251" fillId="65" borderId="294"/>
    <xf numFmtId="0" fontId="253" fillId="0" borderId="295"/>
    <xf numFmtId="0" fontId="252" fillId="66" borderId="294"/>
    <xf numFmtId="0" fontId="305" fillId="67" borderId="34"/>
    <xf numFmtId="0" fontId="305" fillId="67" borderId="34"/>
    <xf numFmtId="0" fontId="252" fillId="66" borderId="294"/>
    <xf numFmtId="0" fontId="254" fillId="65" borderId="296"/>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305" fillId="67" borderId="34"/>
    <xf numFmtId="0" fontId="252" fillId="66" borderId="294"/>
    <xf numFmtId="0" fontId="252" fillId="66"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252" fillId="66" borderId="294"/>
    <xf numFmtId="0" fontId="251" fillId="65" borderId="294"/>
    <xf numFmtId="0" fontId="251" fillId="65" borderId="294"/>
    <xf numFmtId="0" fontId="305" fillId="67" borderId="34"/>
    <xf numFmtId="0" fontId="251" fillId="65" borderId="294"/>
    <xf numFmtId="0" fontId="254" fillId="65" borderId="296"/>
    <xf numFmtId="0" fontId="252" fillId="66" borderId="294"/>
    <xf numFmtId="0" fontId="251" fillId="65" borderId="294"/>
    <xf numFmtId="0" fontId="252" fillId="66" borderId="294"/>
    <xf numFmtId="0" fontId="251" fillId="65" borderId="294"/>
    <xf numFmtId="0" fontId="305" fillId="67" borderId="34"/>
    <xf numFmtId="0" fontId="254" fillId="65" borderId="296"/>
    <xf numFmtId="0" fontId="252" fillId="66" borderId="294"/>
    <xf numFmtId="0" fontId="251" fillId="65" borderId="294"/>
    <xf numFmtId="0" fontId="254" fillId="65" borderId="296"/>
    <xf numFmtId="0" fontId="251" fillId="65" borderId="294"/>
    <xf numFmtId="0" fontId="305" fillId="67" borderId="34"/>
    <xf numFmtId="0" fontId="254" fillId="65" borderId="296"/>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305" fillId="67" borderId="34"/>
    <xf numFmtId="0" fontId="253" fillId="0" borderId="295"/>
    <xf numFmtId="0" fontId="252" fillId="66" borderId="294"/>
    <xf numFmtId="0" fontId="251" fillId="65" borderId="294"/>
    <xf numFmtId="0" fontId="253" fillId="0" borderId="295"/>
    <xf numFmtId="0" fontId="251" fillId="65" borderId="294"/>
    <xf numFmtId="0" fontId="253" fillId="0" borderId="295"/>
    <xf numFmtId="0" fontId="252" fillId="66" borderId="294"/>
    <xf numFmtId="0" fontId="251" fillId="65" borderId="294"/>
    <xf numFmtId="0" fontId="253" fillId="0" borderId="295"/>
    <xf numFmtId="0" fontId="254" fillId="65" borderId="296"/>
    <xf numFmtId="0" fontId="252" fillId="66" borderId="294"/>
    <xf numFmtId="0" fontId="251" fillId="65" borderId="294"/>
    <xf numFmtId="0" fontId="253" fillId="0" borderId="295"/>
    <xf numFmtId="0" fontId="254" fillId="65" borderId="296"/>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1" fillId="65" borderId="294"/>
    <xf numFmtId="0" fontId="305" fillId="67" borderId="34"/>
    <xf numFmtId="0" fontId="254" fillId="65" borderId="296"/>
    <xf numFmtId="0" fontId="254" fillId="65" borderId="296"/>
    <xf numFmtId="0" fontId="252" fillId="66" borderId="294"/>
    <xf numFmtId="0" fontId="251" fillId="65" borderId="294"/>
    <xf numFmtId="0" fontId="305" fillId="67" borderId="34"/>
    <xf numFmtId="0" fontId="251" fillId="65" borderId="294"/>
    <xf numFmtId="0" fontId="252" fillId="66" borderId="294"/>
    <xf numFmtId="0" fontId="253" fillId="0" borderId="295"/>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1" fillId="65" borderId="294"/>
    <xf numFmtId="0" fontId="254" fillId="65" borderId="296"/>
    <xf numFmtId="0" fontId="305" fillId="67" borderId="34"/>
    <xf numFmtId="0" fontId="252" fillId="66" borderId="294"/>
    <xf numFmtId="0" fontId="252" fillId="66" borderId="294"/>
    <xf numFmtId="0" fontId="253" fillId="0" borderId="295"/>
    <xf numFmtId="0" fontId="251" fillId="65" borderId="294"/>
    <xf numFmtId="0" fontId="253" fillId="0" borderId="295"/>
    <xf numFmtId="0" fontId="251" fillId="65" borderId="294"/>
    <xf numFmtId="0" fontId="251" fillId="65" borderId="294"/>
    <xf numFmtId="0" fontId="253" fillId="0" borderId="295"/>
    <xf numFmtId="0" fontId="251" fillId="65" borderId="294"/>
    <xf numFmtId="0" fontId="253" fillId="0" borderId="295"/>
    <xf numFmtId="0" fontId="305" fillId="67" borderId="34"/>
    <xf numFmtId="0" fontId="252" fillId="66" borderId="294"/>
    <xf numFmtId="0" fontId="305" fillId="67" borderId="34"/>
    <xf numFmtId="0" fontId="305" fillId="67" borderId="34"/>
    <xf numFmtId="0" fontId="252" fillId="66" borderId="294"/>
    <xf numFmtId="0" fontId="254" fillId="65" borderId="296"/>
    <xf numFmtId="0" fontId="251" fillId="65" borderId="294"/>
    <xf numFmtId="0" fontId="252" fillId="66" borderId="294"/>
    <xf numFmtId="0" fontId="251" fillId="65" borderId="294"/>
    <xf numFmtId="0" fontId="251" fillId="65" borderId="294"/>
    <xf numFmtId="0" fontId="305" fillId="67" borderId="34"/>
    <xf numFmtId="0" fontId="251" fillId="65"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1" fillId="65" borderId="294"/>
    <xf numFmtId="0" fontId="252" fillId="66" borderId="294"/>
    <xf numFmtId="0" fontId="251" fillId="65" borderId="294"/>
    <xf numFmtId="0" fontId="253" fillId="0" borderId="295"/>
    <xf numFmtId="0" fontId="251" fillId="65" borderId="294"/>
    <xf numFmtId="0" fontId="251" fillId="65" borderId="294"/>
    <xf numFmtId="0" fontId="305" fillId="67" borderId="34"/>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305" fillId="67" borderId="34"/>
    <xf numFmtId="0" fontId="253" fillId="0" borderId="295"/>
    <xf numFmtId="0" fontId="305" fillId="67" borderId="34"/>
    <xf numFmtId="0" fontId="252" fillId="66" borderId="294"/>
    <xf numFmtId="0" fontId="305" fillId="67" borderId="34"/>
    <xf numFmtId="0" fontId="251" fillId="65" borderId="294"/>
    <xf numFmtId="0" fontId="252" fillId="66" borderId="294"/>
    <xf numFmtId="0" fontId="251" fillId="65"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305" fillId="67" borderId="34"/>
    <xf numFmtId="0" fontId="251" fillId="65" borderId="294"/>
    <xf numFmtId="0" fontId="251" fillId="65" borderId="294"/>
    <xf numFmtId="0" fontId="251" fillId="65" borderId="294"/>
    <xf numFmtId="0" fontId="253" fillId="0" borderId="295"/>
    <xf numFmtId="0" fontId="251" fillId="65" borderId="294"/>
    <xf numFmtId="0" fontId="251" fillId="65" borderId="294"/>
    <xf numFmtId="0" fontId="251" fillId="65" borderId="294"/>
    <xf numFmtId="0" fontId="253" fillId="0" borderId="295"/>
    <xf numFmtId="0" fontId="251" fillId="65" borderId="294"/>
    <xf numFmtId="0" fontId="253" fillId="0" borderId="295"/>
    <xf numFmtId="0" fontId="251" fillId="65" borderId="294"/>
    <xf numFmtId="0" fontId="253" fillId="0" borderId="295"/>
    <xf numFmtId="0" fontId="251" fillId="65" borderId="294"/>
    <xf numFmtId="0" fontId="251" fillId="65" borderId="294"/>
    <xf numFmtId="0" fontId="251" fillId="65" borderId="29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2" fillId="66" borderId="294"/>
    <xf numFmtId="0" fontId="305" fillId="67" borderId="34"/>
    <xf numFmtId="0" fontId="251" fillId="65" borderId="294"/>
    <xf numFmtId="0" fontId="305" fillId="67" borderId="34"/>
    <xf numFmtId="0" fontId="251" fillId="65" borderId="294"/>
    <xf numFmtId="0" fontId="251" fillId="65" borderId="294"/>
    <xf numFmtId="0" fontId="251" fillId="65" borderId="294"/>
    <xf numFmtId="0" fontId="305" fillId="67" borderId="34"/>
    <xf numFmtId="0" fontId="252" fillId="66" borderId="294"/>
    <xf numFmtId="0" fontId="254" fillId="65" borderId="296"/>
    <xf numFmtId="0" fontId="251" fillId="65" borderId="294"/>
    <xf numFmtId="0" fontId="305" fillId="67" borderId="34"/>
    <xf numFmtId="0" fontId="254" fillId="65" borderId="296"/>
    <xf numFmtId="0" fontId="305" fillId="67" borderId="34"/>
    <xf numFmtId="0" fontId="251" fillId="65" borderId="294"/>
    <xf numFmtId="0" fontId="251" fillId="65" borderId="294"/>
    <xf numFmtId="0" fontId="252" fillId="66" borderId="294"/>
    <xf numFmtId="0" fontId="252" fillId="66" borderId="294"/>
    <xf numFmtId="0" fontId="305" fillId="67" borderId="34"/>
    <xf numFmtId="0" fontId="305" fillId="67" borderId="34"/>
    <xf numFmtId="0" fontId="251" fillId="65" borderId="294"/>
    <xf numFmtId="0" fontId="305" fillId="67" borderId="34"/>
    <xf numFmtId="0" fontId="305" fillId="67" borderId="34"/>
    <xf numFmtId="0" fontId="252" fillId="66" borderId="29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305" fillId="67" borderId="34"/>
    <xf numFmtId="0" fontId="253" fillId="0" borderId="295"/>
    <xf numFmtId="0" fontId="305" fillId="67" borderId="34"/>
    <xf numFmtId="0" fontId="251" fillId="65" borderId="294"/>
    <xf numFmtId="0" fontId="305" fillId="67" borderId="34"/>
    <xf numFmtId="0" fontId="253" fillId="0" borderId="295"/>
    <xf numFmtId="0" fontId="305" fillId="67" borderId="34"/>
    <xf numFmtId="0" fontId="251" fillId="65" borderId="294"/>
    <xf numFmtId="0" fontId="253" fillId="0" borderId="295"/>
    <xf numFmtId="0" fontId="254" fillId="65" borderId="296"/>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253" fillId="0" borderId="295"/>
    <xf numFmtId="0" fontId="254" fillId="65" borderId="296"/>
    <xf numFmtId="0" fontId="305" fillId="67" borderId="34"/>
    <xf numFmtId="0" fontId="251" fillId="65" borderId="29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305" fillId="67" borderId="34"/>
    <xf numFmtId="0" fontId="251" fillId="65" borderId="294"/>
    <xf numFmtId="0" fontId="266" fillId="0" borderId="301"/>
    <xf numFmtId="0" fontId="251" fillId="65" borderId="294"/>
    <xf numFmtId="0" fontId="305" fillId="67" borderId="34"/>
    <xf numFmtId="0" fontId="305" fillId="67" borderId="3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1" fillId="65" borderId="294"/>
    <xf numFmtId="0" fontId="254" fillId="65" borderId="296"/>
    <xf numFmtId="0" fontId="305" fillId="67" borderId="34"/>
    <xf numFmtId="0" fontId="251" fillId="65" borderId="294"/>
    <xf numFmtId="0" fontId="305" fillId="67" borderId="34"/>
    <xf numFmtId="0" fontId="305" fillId="67" borderId="34"/>
    <xf numFmtId="0" fontId="305" fillId="67" borderId="34"/>
    <xf numFmtId="0" fontId="252" fillId="66" borderId="294"/>
    <xf numFmtId="0" fontId="253" fillId="0" borderId="295"/>
    <xf numFmtId="0" fontId="305" fillId="67" borderId="3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1" fillId="65" borderId="294"/>
    <xf numFmtId="0" fontId="305" fillId="67" borderId="34"/>
    <xf numFmtId="0" fontId="305" fillId="67" borderId="34"/>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305" fillId="67" borderId="3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251" fillId="65" borderId="294"/>
    <xf numFmtId="0" fontId="305" fillId="67" borderId="34"/>
    <xf numFmtId="0" fontId="252" fillId="66" borderId="294"/>
    <xf numFmtId="0" fontId="305" fillId="67" borderId="34"/>
    <xf numFmtId="0" fontId="251" fillId="65" borderId="294"/>
    <xf numFmtId="0" fontId="305" fillId="67" borderId="34"/>
    <xf numFmtId="0" fontId="305" fillId="67" borderId="34"/>
    <xf numFmtId="0" fontId="251" fillId="65" borderId="294"/>
    <xf numFmtId="0" fontId="305" fillId="67" borderId="34"/>
    <xf numFmtId="0" fontId="305" fillId="67" borderId="34"/>
    <xf numFmtId="0" fontId="251" fillId="65" borderId="294"/>
    <xf numFmtId="0" fontId="253" fillId="0" borderId="295"/>
    <xf numFmtId="0" fontId="252" fillId="66" borderId="294"/>
    <xf numFmtId="0" fontId="305" fillId="67" borderId="34"/>
    <xf numFmtId="0" fontId="251" fillId="65" borderId="294"/>
    <xf numFmtId="0" fontId="253" fillId="0" borderId="295"/>
    <xf numFmtId="0" fontId="305" fillId="67" borderId="34"/>
    <xf numFmtId="0" fontId="305" fillId="67" borderId="34"/>
    <xf numFmtId="0" fontId="253" fillId="0" borderId="295"/>
    <xf numFmtId="0" fontId="305" fillId="67" borderId="34"/>
    <xf numFmtId="0" fontId="251" fillId="65" borderId="294"/>
    <xf numFmtId="0" fontId="305" fillId="67" borderId="34"/>
    <xf numFmtId="0" fontId="305" fillId="67" borderId="34"/>
    <xf numFmtId="0" fontId="253" fillId="0" borderId="295"/>
    <xf numFmtId="0" fontId="252" fillId="66" borderId="294"/>
    <xf numFmtId="0" fontId="305" fillId="67" borderId="34"/>
    <xf numFmtId="0" fontId="251" fillId="65" borderId="294"/>
    <xf numFmtId="0" fontId="254" fillId="65" borderId="296"/>
    <xf numFmtId="0" fontId="252" fillId="66" borderId="294"/>
    <xf numFmtId="0" fontId="251" fillId="65" borderId="294"/>
    <xf numFmtId="0" fontId="254" fillId="65" borderId="296"/>
    <xf numFmtId="0" fontId="252" fillId="66" borderId="294"/>
    <xf numFmtId="0" fontId="251" fillId="65" borderId="294"/>
    <xf numFmtId="0" fontId="251" fillId="65" borderId="294"/>
    <xf numFmtId="0" fontId="253" fillId="0" borderId="295"/>
    <xf numFmtId="0" fontId="252" fillId="66" borderId="294"/>
    <xf numFmtId="0" fontId="305" fillId="67" borderId="34"/>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3" fillId="0" borderId="295"/>
    <xf numFmtId="0" fontId="252" fillId="66" borderId="294"/>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1" fillId="65" borderId="294"/>
    <xf numFmtId="0" fontId="253" fillId="0" borderId="295"/>
    <xf numFmtId="0" fontId="305" fillId="67" borderId="34"/>
    <xf numFmtId="0" fontId="305" fillId="67" borderId="34"/>
    <xf numFmtId="0" fontId="251" fillId="65" borderId="294"/>
    <xf numFmtId="0" fontId="305" fillId="67" borderId="34"/>
    <xf numFmtId="0" fontId="253" fillId="0" borderId="295"/>
    <xf numFmtId="0" fontId="252" fillId="66" borderId="294"/>
    <xf numFmtId="0" fontId="305" fillId="67" borderId="34"/>
    <xf numFmtId="0" fontId="251" fillId="65" borderId="294"/>
    <xf numFmtId="0" fontId="253" fillId="0" borderId="295"/>
    <xf numFmtId="0" fontId="253" fillId="0" borderId="295"/>
    <xf numFmtId="0" fontId="252" fillId="66" borderId="294"/>
    <xf numFmtId="0" fontId="305" fillId="67" borderId="34"/>
    <xf numFmtId="0" fontId="251" fillId="65" borderId="294"/>
    <xf numFmtId="0" fontId="251" fillId="65" borderId="294"/>
    <xf numFmtId="0" fontId="252" fillId="66" borderId="294"/>
    <xf numFmtId="0" fontId="305" fillId="67" borderId="34"/>
    <xf numFmtId="0" fontId="251" fillId="65" borderId="294"/>
    <xf numFmtId="0" fontId="251" fillId="65" borderId="294"/>
    <xf numFmtId="0" fontId="305" fillId="67" borderId="34"/>
    <xf numFmtId="0" fontId="254" fillId="65" borderId="296"/>
    <xf numFmtId="0" fontId="252" fillId="66" borderId="294"/>
    <xf numFmtId="0" fontId="251" fillId="65" borderId="294"/>
    <xf numFmtId="0" fontId="305" fillId="67" borderId="34"/>
    <xf numFmtId="0" fontId="254" fillId="65" borderId="296"/>
    <xf numFmtId="0" fontId="252" fillId="66" borderId="294"/>
    <xf numFmtId="0" fontId="254" fillId="65" borderId="296"/>
    <xf numFmtId="0" fontId="251" fillId="65" borderId="294"/>
    <xf numFmtId="0" fontId="305" fillId="67" borderId="34"/>
    <xf numFmtId="0" fontId="251" fillId="65" borderId="294"/>
    <xf numFmtId="0" fontId="251" fillId="65" borderId="294"/>
    <xf numFmtId="0" fontId="252" fillId="66" borderId="294"/>
    <xf numFmtId="0" fontId="252" fillId="66" borderId="294"/>
    <xf numFmtId="0" fontId="251" fillId="65" borderId="294"/>
    <xf numFmtId="0" fontId="305" fillId="67" borderId="34"/>
    <xf numFmtId="0" fontId="305" fillId="67" borderId="34"/>
    <xf numFmtId="0" fontId="253" fillId="0" borderId="295"/>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3" fillId="0" borderId="295"/>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305" fillId="67" borderId="3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3" fillId="0" borderId="295"/>
    <xf numFmtId="0" fontId="252" fillId="66" borderId="294"/>
    <xf numFmtId="0" fontId="305" fillId="67" borderId="34"/>
    <xf numFmtId="0" fontId="251" fillId="65" borderId="294"/>
    <xf numFmtId="0" fontId="252" fillId="66" borderId="294"/>
    <xf numFmtId="0" fontId="253" fillId="0" borderId="295"/>
    <xf numFmtId="0" fontId="253" fillId="0" borderId="295"/>
    <xf numFmtId="0" fontId="305" fillId="67" borderId="34"/>
    <xf numFmtId="0" fontId="251" fillId="65" borderId="294"/>
    <xf numFmtId="0" fontId="252" fillId="66" borderId="294"/>
    <xf numFmtId="0" fontId="253" fillId="0" borderId="295"/>
    <xf numFmtId="0" fontId="305" fillId="67" borderId="34"/>
    <xf numFmtId="0" fontId="251" fillId="65" borderId="294"/>
    <xf numFmtId="0" fontId="252" fillId="66" borderId="294"/>
    <xf numFmtId="0" fontId="251" fillId="65" borderId="294"/>
    <xf numFmtId="0" fontId="252" fillId="66" borderId="294"/>
    <xf numFmtId="0" fontId="305" fillId="67" borderId="34"/>
    <xf numFmtId="0" fontId="305" fillId="67" borderId="34"/>
    <xf numFmtId="0" fontId="252" fillId="66" borderId="294"/>
    <xf numFmtId="0" fontId="305" fillId="67" borderId="34"/>
    <xf numFmtId="0" fontId="253" fillId="0" borderId="295"/>
    <xf numFmtId="0" fontId="305" fillId="67" borderId="34"/>
    <xf numFmtId="0" fontId="251" fillId="65" borderId="294"/>
    <xf numFmtId="0" fontId="252" fillId="66" borderId="294"/>
    <xf numFmtId="0" fontId="254" fillId="65" borderId="296"/>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254" fillId="65" borderId="296"/>
    <xf numFmtId="0" fontId="252" fillId="66" borderId="294"/>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305" fillId="67" borderId="34"/>
    <xf numFmtId="0" fontId="251" fillId="65" borderId="294"/>
    <xf numFmtId="0" fontId="252" fillId="66" borderId="294"/>
    <xf numFmtId="0" fontId="253" fillId="0" borderId="295"/>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4" fillId="65" borderId="296"/>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4" fillId="65" borderId="296"/>
    <xf numFmtId="0" fontId="251" fillId="65" borderId="294"/>
    <xf numFmtId="0" fontId="252" fillId="66" borderId="294"/>
    <xf numFmtId="0" fontId="254" fillId="65" borderId="296"/>
    <xf numFmtId="0" fontId="252" fillId="66" borderId="294"/>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254" fillId="65" borderId="296"/>
    <xf numFmtId="0" fontId="251" fillId="65" borderId="294"/>
    <xf numFmtId="0" fontId="252" fillId="66" borderId="294"/>
    <xf numFmtId="0" fontId="305" fillId="67" borderId="34"/>
    <xf numFmtId="0" fontId="254" fillId="65" borderId="296"/>
    <xf numFmtId="0" fontId="252" fillId="66" borderId="294"/>
    <xf numFmtId="0" fontId="305" fillId="67" borderId="34"/>
    <xf numFmtId="0" fontId="251" fillId="65" borderId="294"/>
    <xf numFmtId="0" fontId="252" fillId="66" borderId="294"/>
    <xf numFmtId="0" fontId="254" fillId="65" borderId="296"/>
    <xf numFmtId="0" fontId="305" fillId="67" borderId="34"/>
    <xf numFmtId="0" fontId="252" fillId="66" borderId="294"/>
    <xf numFmtId="0" fontId="251" fillId="65" borderId="294"/>
    <xf numFmtId="0" fontId="252" fillId="66" borderId="294"/>
    <xf numFmtId="0" fontId="254" fillId="65" borderId="296"/>
    <xf numFmtId="0" fontId="252" fillId="66" borderId="294"/>
    <xf numFmtId="0" fontId="305" fillId="67" borderId="34"/>
    <xf numFmtId="0" fontId="254" fillId="65" borderId="296"/>
    <xf numFmtId="0" fontId="305" fillId="67" borderId="34"/>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251" fillId="65" borderId="294"/>
    <xf numFmtId="0" fontId="252" fillId="66" borderId="29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254" fillId="65" borderId="296"/>
    <xf numFmtId="0" fontId="252" fillId="66" borderId="294"/>
    <xf numFmtId="0" fontId="305" fillId="67" borderId="34"/>
    <xf numFmtId="0" fontId="251" fillId="65" borderId="294"/>
    <xf numFmtId="0" fontId="252" fillId="66" borderId="294"/>
    <xf numFmtId="0" fontId="253" fillId="0" borderId="295"/>
    <xf numFmtId="0" fontId="254" fillId="65" borderId="296"/>
    <xf numFmtId="0" fontId="305" fillId="67" borderId="34"/>
    <xf numFmtId="0" fontId="305" fillId="67" borderId="34"/>
    <xf numFmtId="0" fontId="253" fillId="0" borderId="295"/>
    <xf numFmtId="0" fontId="252" fillId="66" borderId="294"/>
    <xf numFmtId="0" fontId="251" fillId="65" borderId="294"/>
    <xf numFmtId="0" fontId="252" fillId="66" borderId="294"/>
    <xf numFmtId="0" fontId="305" fillId="67" borderId="34"/>
    <xf numFmtId="0" fontId="305" fillId="67" borderId="34"/>
    <xf numFmtId="0" fontId="305" fillId="67" borderId="34"/>
    <xf numFmtId="0" fontId="251" fillId="65" borderId="294"/>
    <xf numFmtId="0" fontId="252" fillId="66" borderId="294"/>
    <xf numFmtId="0" fontId="253" fillId="0" borderId="295"/>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4" fillId="65" borderId="296"/>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4" fillId="65" borderId="296"/>
    <xf numFmtId="0" fontId="252" fillId="66" borderId="294"/>
    <xf numFmtId="0" fontId="254" fillId="65" borderId="296"/>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1" fillId="65" borderId="294"/>
    <xf numFmtId="0" fontId="252" fillId="66" borderId="294"/>
    <xf numFmtId="0" fontId="252" fillId="66" borderId="294"/>
    <xf numFmtId="0" fontId="254" fillId="65" borderId="296"/>
    <xf numFmtId="0" fontId="305" fillId="67" borderId="34"/>
    <xf numFmtId="0" fontId="251" fillId="65" borderId="294"/>
    <xf numFmtId="0" fontId="252" fillId="66" borderId="294"/>
    <xf numFmtId="0" fontId="305" fillId="67" borderId="34"/>
    <xf numFmtId="0" fontId="251" fillId="65" borderId="294"/>
    <xf numFmtId="0" fontId="252" fillId="66" borderId="294"/>
    <xf numFmtId="0" fontId="254" fillId="65" borderId="296"/>
    <xf numFmtId="0" fontId="252" fillId="66" borderId="294"/>
    <xf numFmtId="0" fontId="254" fillId="65" borderId="296"/>
    <xf numFmtId="0" fontId="305" fillId="67" borderId="34"/>
    <xf numFmtId="0" fontId="252" fillId="66" borderId="294"/>
    <xf numFmtId="0" fontId="251" fillId="65" borderId="294"/>
    <xf numFmtId="0" fontId="252" fillId="66" borderId="294"/>
    <xf numFmtId="0" fontId="254" fillId="65" borderId="296"/>
    <xf numFmtId="0" fontId="305" fillId="67" borderId="34"/>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3" fillId="0" borderId="295"/>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305" fillId="67" borderId="34"/>
    <xf numFmtId="0" fontId="251" fillId="65" borderId="294"/>
    <xf numFmtId="0" fontId="252" fillId="66" borderId="294"/>
    <xf numFmtId="0" fontId="254" fillId="65" borderId="296"/>
    <xf numFmtId="0" fontId="251" fillId="65" borderId="294"/>
    <xf numFmtId="0" fontId="252" fillId="66" borderId="294"/>
    <xf numFmtId="0" fontId="254" fillId="65" borderId="296"/>
    <xf numFmtId="0" fontId="254" fillId="65" borderId="296"/>
    <xf numFmtId="0" fontId="252" fillId="66" borderId="294"/>
    <xf numFmtId="0" fontId="254" fillId="65" borderId="296"/>
    <xf numFmtId="0" fontId="251" fillId="65" borderId="294"/>
    <xf numFmtId="0" fontId="252" fillId="66" borderId="294"/>
    <xf numFmtId="0" fontId="305" fillId="67" borderId="34"/>
    <xf numFmtId="0" fontId="254" fillId="65" borderId="296"/>
    <xf numFmtId="0" fontId="254" fillId="65" borderId="296"/>
    <xf numFmtId="0" fontId="254" fillId="65" borderId="296"/>
    <xf numFmtId="0" fontId="252" fillId="66" borderId="294"/>
    <xf numFmtId="0" fontId="254" fillId="65" borderId="296"/>
    <xf numFmtId="0" fontId="254" fillId="65" borderId="296"/>
    <xf numFmtId="0" fontId="305" fillId="67" borderId="34"/>
    <xf numFmtId="0" fontId="305" fillId="67" borderId="34"/>
    <xf numFmtId="0" fontId="253" fillId="0" borderId="295"/>
    <xf numFmtId="0" fontId="254" fillId="65" borderId="296"/>
    <xf numFmtId="0" fontId="251" fillId="65" borderId="294"/>
    <xf numFmtId="0" fontId="252" fillId="66" borderId="294"/>
    <xf numFmtId="0" fontId="254" fillId="65" borderId="296"/>
    <xf numFmtId="0" fontId="254" fillId="65" borderId="296"/>
    <xf numFmtId="0" fontId="305" fillId="67" borderId="34"/>
    <xf numFmtId="0" fontId="305" fillId="67" borderId="34"/>
    <xf numFmtId="0" fontId="253" fillId="0" borderId="295"/>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305" fillId="67" borderId="34"/>
    <xf numFmtId="0" fontId="254" fillId="65" borderId="296"/>
    <xf numFmtId="0" fontId="254" fillId="65" borderId="296"/>
    <xf numFmtId="0" fontId="254" fillId="65" borderId="296"/>
    <xf numFmtId="0" fontId="252" fillId="66" borderId="294"/>
    <xf numFmtId="0" fontId="251" fillId="65" borderId="294"/>
    <xf numFmtId="0" fontId="252" fillId="66" borderId="294"/>
    <xf numFmtId="0" fontId="305" fillId="67" borderId="34"/>
    <xf numFmtId="0" fontId="251" fillId="65" borderId="294"/>
    <xf numFmtId="0" fontId="252" fillId="66" borderId="294"/>
    <xf numFmtId="0" fontId="251" fillId="65" borderId="294"/>
    <xf numFmtId="0" fontId="252" fillId="66" borderId="294"/>
    <xf numFmtId="0" fontId="252" fillId="66" borderId="294"/>
    <xf numFmtId="0" fontId="253" fillId="0" borderId="295"/>
    <xf numFmtId="0" fontId="254" fillId="65" borderId="296"/>
    <xf numFmtId="0" fontId="251" fillId="65" borderId="294"/>
    <xf numFmtId="0" fontId="252" fillId="66" borderId="294"/>
    <xf numFmtId="0" fontId="252" fillId="66" borderId="294"/>
    <xf numFmtId="0" fontId="252" fillId="66" borderId="294"/>
    <xf numFmtId="0" fontId="305" fillId="67" borderId="34"/>
    <xf numFmtId="0" fontId="253" fillId="0" borderId="295"/>
    <xf numFmtId="0" fontId="251" fillId="65" borderId="294"/>
    <xf numFmtId="0" fontId="252" fillId="66" borderId="294"/>
    <xf numFmtId="0" fontId="305" fillId="67" borderId="34"/>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4" fillId="65" borderId="296"/>
    <xf numFmtId="0" fontId="254" fillId="65" borderId="296"/>
    <xf numFmtId="0" fontId="252" fillId="66" borderId="294"/>
    <xf numFmtId="0" fontId="251" fillId="65" borderId="294"/>
    <xf numFmtId="0" fontId="252" fillId="66" borderId="294"/>
    <xf numFmtId="0" fontId="251" fillId="65" borderId="294"/>
    <xf numFmtId="0" fontId="252" fillId="66" borderId="294"/>
    <xf numFmtId="0" fontId="253" fillId="0" borderId="295"/>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305" fillId="67" borderId="34"/>
    <xf numFmtId="0" fontId="251" fillId="65" borderId="294"/>
    <xf numFmtId="0" fontId="252" fillId="66"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252" fillId="66" borderId="294"/>
    <xf numFmtId="0" fontId="252" fillId="66" borderId="294"/>
    <xf numFmtId="0" fontId="305" fillId="67" borderId="34"/>
    <xf numFmtId="0" fontId="254" fillId="65" borderId="296"/>
    <xf numFmtId="0" fontId="251" fillId="65" borderId="294"/>
    <xf numFmtId="0" fontId="252" fillId="66" borderId="294"/>
    <xf numFmtId="0" fontId="252" fillId="66" borderId="294"/>
    <xf numFmtId="0" fontId="252" fillId="66" borderId="294"/>
    <xf numFmtId="0" fontId="305" fillId="67" borderId="34"/>
    <xf numFmtId="0" fontId="254" fillId="65" borderId="296"/>
    <xf numFmtId="0" fontId="251" fillId="65" borderId="294"/>
    <xf numFmtId="0" fontId="252" fillId="66" borderId="294"/>
    <xf numFmtId="0" fontId="305" fillId="67" borderId="34"/>
    <xf numFmtId="0" fontId="254" fillId="65" borderId="296"/>
    <xf numFmtId="0" fontId="251" fillId="65" borderId="294"/>
    <xf numFmtId="0" fontId="252" fillId="66" borderId="294"/>
    <xf numFmtId="0" fontId="252" fillId="66" borderId="294"/>
    <xf numFmtId="0" fontId="252" fillId="66" borderId="294"/>
    <xf numFmtId="0" fontId="305" fillId="67" borderId="34"/>
    <xf numFmtId="0" fontId="251" fillId="65" borderId="294"/>
    <xf numFmtId="0" fontId="252" fillId="66" borderId="294"/>
    <xf numFmtId="0" fontId="254" fillId="65" borderId="296"/>
    <xf numFmtId="0" fontId="252" fillId="66" borderId="294"/>
    <xf numFmtId="0" fontId="251" fillId="65" borderId="294"/>
    <xf numFmtId="0" fontId="252" fillId="66" borderId="294"/>
    <xf numFmtId="0" fontId="254" fillId="65" borderId="296"/>
    <xf numFmtId="0" fontId="252" fillId="66" borderId="294"/>
    <xf numFmtId="0" fontId="252" fillId="66" borderId="294"/>
    <xf numFmtId="0" fontId="305" fillId="67" borderId="34"/>
    <xf numFmtId="0" fontId="251" fillId="65" borderId="294"/>
    <xf numFmtId="0" fontId="252" fillId="66" borderId="294"/>
    <xf numFmtId="0" fontId="254" fillId="65" borderId="296"/>
    <xf numFmtId="0" fontId="305" fillId="67" borderId="34"/>
    <xf numFmtId="0" fontId="254" fillId="65" borderId="296"/>
    <xf numFmtId="0" fontId="254" fillId="65" borderId="296"/>
    <xf numFmtId="0" fontId="254" fillId="65" borderId="296"/>
    <xf numFmtId="0" fontId="254" fillId="65" borderId="296"/>
    <xf numFmtId="0" fontId="251" fillId="65" borderId="294"/>
    <xf numFmtId="0" fontId="252" fillId="66" borderId="294"/>
    <xf numFmtId="0" fontId="254" fillId="65" borderId="296"/>
    <xf numFmtId="0" fontId="252" fillId="66" borderId="294"/>
    <xf numFmtId="0" fontId="252" fillId="66" borderId="294"/>
    <xf numFmtId="0" fontId="305" fillId="67" borderId="34"/>
    <xf numFmtId="0" fontId="251" fillId="65" borderId="294"/>
    <xf numFmtId="0" fontId="252" fillId="66" borderId="294"/>
    <xf numFmtId="0" fontId="305" fillId="67" borderId="34"/>
    <xf numFmtId="0" fontId="254" fillId="65" borderId="296"/>
    <xf numFmtId="0" fontId="252" fillId="66" borderId="294"/>
    <xf numFmtId="0" fontId="251" fillId="65" borderId="294"/>
    <xf numFmtId="0" fontId="252" fillId="66" borderId="294"/>
    <xf numFmtId="0" fontId="254" fillId="65" borderId="296"/>
    <xf numFmtId="0" fontId="252" fillId="66" borderId="294"/>
    <xf numFmtId="0" fontId="305" fillId="67" borderId="34"/>
    <xf numFmtId="0" fontId="251" fillId="65" borderId="294"/>
    <xf numFmtId="0" fontId="252" fillId="66" borderId="294"/>
    <xf numFmtId="0" fontId="252" fillId="66" borderId="294"/>
    <xf numFmtId="0" fontId="254" fillId="65" borderId="296"/>
    <xf numFmtId="0" fontId="252" fillId="66" borderId="294"/>
    <xf numFmtId="0" fontId="305" fillId="67" borderId="34"/>
    <xf numFmtId="0" fontId="251" fillId="65" borderId="294"/>
    <xf numFmtId="0" fontId="252" fillId="66" borderId="294"/>
    <xf numFmtId="0" fontId="305" fillId="67" borderId="3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305" fillId="67" borderId="34"/>
    <xf numFmtId="0" fontId="252" fillId="66" borderId="294"/>
    <xf numFmtId="0" fontId="305" fillId="67" borderId="34"/>
    <xf numFmtId="0" fontId="251" fillId="65" borderId="294"/>
    <xf numFmtId="0" fontId="252" fillId="66" borderId="294"/>
    <xf numFmtId="0" fontId="252" fillId="66" borderId="294"/>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254" fillId="65" borderId="296"/>
    <xf numFmtId="0" fontId="305" fillId="67" borderId="34"/>
    <xf numFmtId="0" fontId="254" fillId="65" borderId="296"/>
    <xf numFmtId="0" fontId="251" fillId="65" borderId="294"/>
    <xf numFmtId="0" fontId="252" fillId="66" borderId="294"/>
    <xf numFmtId="0" fontId="305" fillId="67" borderId="34"/>
    <xf numFmtId="0" fontId="252" fillId="66" borderId="294"/>
    <xf numFmtId="0" fontId="254" fillId="65" borderId="296"/>
    <xf numFmtId="0" fontId="254" fillId="65" borderId="296"/>
    <xf numFmtId="0" fontId="305" fillId="67" borderId="34"/>
    <xf numFmtId="0" fontId="254" fillId="65" borderId="296"/>
    <xf numFmtId="0" fontId="251" fillId="65" borderId="294"/>
    <xf numFmtId="0" fontId="252" fillId="66" borderId="294"/>
    <xf numFmtId="0" fontId="305" fillId="67" borderId="34"/>
    <xf numFmtId="0" fontId="252" fillId="66" borderId="294"/>
    <xf numFmtId="0" fontId="254" fillId="65" borderId="296"/>
    <xf numFmtId="0" fontId="251" fillId="65" borderId="294"/>
    <xf numFmtId="0" fontId="252" fillId="66" borderId="294"/>
    <xf numFmtId="0" fontId="251" fillId="65" borderId="294"/>
    <xf numFmtId="0" fontId="251" fillId="65" borderId="294"/>
    <xf numFmtId="0" fontId="251" fillId="65" borderId="294"/>
    <xf numFmtId="0" fontId="251" fillId="65" borderId="294"/>
    <xf numFmtId="0" fontId="251" fillId="65" borderId="294"/>
    <xf numFmtId="0" fontId="251" fillId="65" borderId="294"/>
    <xf numFmtId="0" fontId="254" fillId="65" borderId="296"/>
    <xf numFmtId="0" fontId="254" fillId="65" borderId="296"/>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305" fillId="67" borderId="34"/>
    <xf numFmtId="0" fontId="251" fillId="65" borderId="294"/>
    <xf numFmtId="0" fontId="251" fillId="65" borderId="294"/>
    <xf numFmtId="0" fontId="253" fillId="0" borderId="295"/>
    <xf numFmtId="0" fontId="252" fillId="66" borderId="294"/>
    <xf numFmtId="0" fontId="251" fillId="65" borderId="294"/>
    <xf numFmtId="0" fontId="253" fillId="0" borderId="295"/>
    <xf numFmtId="0" fontId="251" fillId="65" borderId="294"/>
    <xf numFmtId="0" fontId="253" fillId="0" borderId="295"/>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1" fillId="65" borderId="294"/>
    <xf numFmtId="0" fontId="254" fillId="65" borderId="296"/>
    <xf numFmtId="0" fontId="305" fillId="67" borderId="34"/>
    <xf numFmtId="0" fontId="305" fillId="67" borderId="34"/>
    <xf numFmtId="0" fontId="251" fillId="65" borderId="294"/>
    <xf numFmtId="0" fontId="254" fillId="65" borderId="296"/>
    <xf numFmtId="0" fontId="305" fillId="67" borderId="34"/>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305" fillId="67" borderId="34"/>
    <xf numFmtId="0" fontId="251" fillId="65" borderId="294"/>
    <xf numFmtId="0" fontId="305" fillId="67" borderId="34"/>
    <xf numFmtId="0" fontId="254" fillId="65" borderId="296"/>
    <xf numFmtId="0" fontId="305" fillId="67" borderId="34"/>
    <xf numFmtId="0" fontId="305" fillId="67" borderId="34"/>
    <xf numFmtId="0" fontId="252" fillId="66" borderId="294"/>
    <xf numFmtId="0" fontId="251" fillId="65" borderId="294"/>
    <xf numFmtId="0" fontId="305" fillId="67" borderId="34"/>
    <xf numFmtId="0" fontId="254" fillId="65" borderId="296"/>
    <xf numFmtId="0" fontId="254" fillId="65" borderId="296"/>
    <xf numFmtId="0" fontId="305" fillId="67" borderId="34"/>
    <xf numFmtId="0" fontId="305" fillId="67" borderId="34"/>
    <xf numFmtId="0" fontId="252" fillId="66" borderId="294"/>
    <xf numFmtId="0" fontId="305" fillId="67" borderId="34"/>
    <xf numFmtId="0" fontId="251" fillId="65" borderId="294"/>
    <xf numFmtId="0" fontId="252" fillId="66" borderId="294"/>
    <xf numFmtId="0" fontId="253" fillId="0" borderId="295"/>
    <xf numFmtId="0" fontId="305" fillId="67" borderId="34"/>
    <xf numFmtId="0" fontId="251" fillId="65" borderId="294"/>
    <xf numFmtId="0" fontId="252" fillId="66" borderId="294"/>
    <xf numFmtId="0" fontId="251" fillId="65" borderId="294"/>
    <xf numFmtId="0" fontId="252" fillId="66" borderId="294"/>
    <xf numFmtId="0" fontId="251" fillId="65" borderId="294"/>
    <xf numFmtId="0" fontId="251" fillId="65" borderId="294"/>
    <xf numFmtId="0" fontId="251" fillId="65" borderId="294"/>
    <xf numFmtId="0" fontId="305" fillId="67" borderId="34"/>
    <xf numFmtId="0" fontId="252" fillId="66" borderId="294"/>
    <xf numFmtId="0" fontId="251" fillId="65" borderId="294"/>
    <xf numFmtId="0" fontId="305" fillId="67" borderId="34"/>
    <xf numFmtId="0" fontId="252" fillId="66" borderId="294"/>
    <xf numFmtId="0" fontId="251" fillId="65" borderId="294"/>
    <xf numFmtId="0" fontId="305" fillId="67" borderId="34"/>
    <xf numFmtId="0" fontId="254" fillId="65" borderId="296"/>
    <xf numFmtId="0" fontId="251" fillId="65" borderId="294"/>
    <xf numFmtId="0" fontId="251" fillId="65" borderId="294"/>
    <xf numFmtId="0" fontId="251" fillId="65" borderId="294"/>
    <xf numFmtId="0" fontId="305" fillId="67" borderId="34"/>
    <xf numFmtId="0" fontId="254" fillId="65" borderId="296"/>
    <xf numFmtId="0" fontId="305" fillId="67" borderId="34"/>
    <xf numFmtId="0" fontId="305" fillId="67" borderId="34"/>
    <xf numFmtId="0" fontId="252" fillId="66" borderId="294"/>
    <xf numFmtId="0" fontId="251" fillId="65" borderId="294"/>
    <xf numFmtId="0" fontId="251" fillId="65" borderId="294"/>
    <xf numFmtId="0" fontId="251" fillId="65" borderId="294"/>
    <xf numFmtId="0" fontId="305" fillId="67" borderId="34"/>
    <xf numFmtId="0" fontId="251" fillId="65" borderId="294"/>
    <xf numFmtId="0" fontId="254" fillId="65" borderId="296"/>
    <xf numFmtId="0" fontId="251" fillId="65" borderId="294"/>
    <xf numFmtId="0" fontId="254" fillId="65" borderId="296"/>
    <xf numFmtId="0" fontId="251" fillId="65" borderId="294"/>
    <xf numFmtId="0" fontId="305" fillId="67" borderId="34"/>
    <xf numFmtId="0" fontId="252" fillId="66" borderId="294"/>
    <xf numFmtId="0" fontId="254" fillId="65" borderId="296"/>
    <xf numFmtId="0" fontId="251" fillId="65" borderId="294"/>
    <xf numFmtId="0" fontId="254" fillId="65" borderId="296"/>
    <xf numFmtId="0" fontId="251" fillId="65" borderId="294"/>
    <xf numFmtId="0" fontId="305" fillId="67" borderId="34"/>
    <xf numFmtId="0" fontId="254" fillId="65" borderId="296"/>
    <xf numFmtId="0" fontId="251" fillId="65" borderId="294"/>
    <xf numFmtId="0" fontId="305" fillId="67" borderId="34"/>
    <xf numFmtId="0" fontId="254" fillId="65" borderId="296"/>
    <xf numFmtId="0" fontId="251" fillId="65" borderId="294"/>
    <xf numFmtId="0" fontId="305" fillId="67" borderId="34"/>
    <xf numFmtId="0" fontId="251" fillId="65" borderId="294"/>
    <xf numFmtId="0" fontId="305" fillId="67" borderId="34"/>
    <xf numFmtId="0" fontId="252" fillId="66" borderId="294"/>
    <xf numFmtId="0" fontId="305" fillId="67" borderId="34"/>
    <xf numFmtId="0" fontId="254" fillId="65" borderId="296"/>
    <xf numFmtId="0" fontId="251" fillId="65" borderId="294"/>
    <xf numFmtId="0" fontId="305" fillId="67" borderId="34"/>
    <xf numFmtId="0" fontId="305" fillId="67" borderId="34"/>
    <xf numFmtId="0" fontId="252" fillId="66" borderId="294"/>
    <xf numFmtId="0" fontId="254" fillId="65" borderId="296"/>
    <xf numFmtId="0" fontId="305" fillId="67" borderId="34"/>
    <xf numFmtId="0" fontId="254" fillId="65" borderId="296"/>
    <xf numFmtId="0" fontId="251" fillId="65" borderId="294"/>
    <xf numFmtId="0" fontId="254" fillId="65" borderId="296"/>
    <xf numFmtId="0" fontId="251" fillId="65"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305" fillId="67" borderId="34"/>
    <xf numFmtId="0" fontId="252" fillId="66" borderId="294"/>
    <xf numFmtId="0" fontId="251" fillId="65" borderId="294"/>
    <xf numFmtId="0" fontId="252" fillId="66" borderId="294"/>
    <xf numFmtId="0" fontId="252" fillId="66" borderId="294"/>
    <xf numFmtId="0" fontId="251" fillId="65" borderId="294"/>
    <xf numFmtId="0" fontId="252" fillId="66" borderId="294"/>
    <xf numFmtId="0" fontId="305" fillId="67" borderId="34"/>
    <xf numFmtId="0" fontId="253" fillId="0" borderId="295"/>
    <xf numFmtId="0" fontId="305" fillId="67" borderId="34"/>
    <xf numFmtId="0" fontId="252" fillId="66" borderId="294"/>
    <xf numFmtId="0" fontId="251" fillId="65" borderId="294"/>
    <xf numFmtId="0" fontId="252" fillId="66" borderId="294"/>
    <xf numFmtId="0" fontId="305" fillId="67" borderId="34"/>
    <xf numFmtId="0" fontId="253" fillId="0" borderId="295"/>
    <xf numFmtId="0" fontId="305" fillId="67" borderId="34"/>
    <xf numFmtId="0" fontId="252" fillId="66" borderId="294"/>
    <xf numFmtId="0" fontId="252" fillId="66" borderId="294"/>
    <xf numFmtId="0" fontId="251" fillId="65" borderId="294"/>
    <xf numFmtId="0" fontId="252" fillId="66" borderId="294"/>
    <xf numFmtId="0" fontId="305" fillId="67" borderId="34"/>
    <xf numFmtId="0" fontId="253" fillId="0" borderId="295"/>
    <xf numFmtId="0" fontId="305" fillId="67" borderId="34"/>
    <xf numFmtId="0" fontId="252" fillId="66" borderId="294"/>
    <xf numFmtId="0" fontId="252" fillId="66" borderId="294"/>
    <xf numFmtId="0" fontId="251" fillId="65" borderId="294"/>
    <xf numFmtId="0" fontId="252" fillId="66" borderId="294"/>
    <xf numFmtId="0" fontId="254" fillId="65" borderId="296"/>
    <xf numFmtId="0" fontId="254" fillId="65" borderId="296"/>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4" fillId="65" borderId="296"/>
    <xf numFmtId="0" fontId="254" fillId="65" borderId="296"/>
    <xf numFmtId="0" fontId="305" fillId="67" borderId="34"/>
    <xf numFmtId="0" fontId="252" fillId="66" borderId="294"/>
    <xf numFmtId="0" fontId="251" fillId="65" borderId="294"/>
    <xf numFmtId="0" fontId="252" fillId="66" borderId="294"/>
    <xf numFmtId="0" fontId="305" fillId="67" borderId="34"/>
    <xf numFmtId="0" fontId="254" fillId="65" borderId="296"/>
    <xf numFmtId="0" fontId="254" fillId="65" borderId="296"/>
    <xf numFmtId="0" fontId="305" fillId="67" borderId="3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3" fillId="0" borderId="295"/>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305" fillId="67" borderId="34"/>
    <xf numFmtId="0" fontId="253" fillId="0" borderId="295"/>
    <xf numFmtId="0" fontId="305" fillId="67" borderId="34"/>
    <xf numFmtId="0" fontId="305" fillId="67" borderId="34"/>
    <xf numFmtId="0" fontId="252" fillId="66" borderId="294"/>
    <xf numFmtId="0" fontId="305" fillId="67" borderId="34"/>
    <xf numFmtId="0" fontId="251" fillId="65" borderId="294"/>
    <xf numFmtId="0" fontId="252" fillId="66" borderId="294"/>
    <xf numFmtId="0" fontId="254" fillId="65" borderId="296"/>
    <xf numFmtId="0" fontId="254" fillId="65" borderId="296"/>
    <xf numFmtId="0" fontId="251" fillId="65" borderId="294"/>
    <xf numFmtId="0" fontId="252" fillId="66" borderId="294"/>
    <xf numFmtId="0" fontId="254" fillId="65" borderId="296"/>
    <xf numFmtId="0" fontId="251" fillId="65" borderId="294"/>
    <xf numFmtId="0" fontId="252" fillId="66" borderId="294"/>
    <xf numFmtId="0" fontId="305" fillId="67" borderId="34"/>
    <xf numFmtId="0" fontId="251" fillId="65" borderId="294"/>
    <xf numFmtId="0" fontId="252" fillId="66" borderId="294"/>
    <xf numFmtId="0" fontId="252" fillId="66" borderId="294"/>
    <xf numFmtId="0" fontId="305" fillId="67" borderId="3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2" fillId="66" borderId="294"/>
    <xf numFmtId="0" fontId="253" fillId="0" borderId="295"/>
    <xf numFmtId="0" fontId="251" fillId="65"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253" fillId="0" borderId="295"/>
    <xf numFmtId="0" fontId="251" fillId="65" borderId="294"/>
    <xf numFmtId="0" fontId="252" fillId="66" borderId="294"/>
    <xf numFmtId="0" fontId="305" fillId="67" borderId="34"/>
    <xf numFmtId="0" fontId="252" fillId="66" borderId="294"/>
    <xf numFmtId="0" fontId="251" fillId="65" borderId="294"/>
    <xf numFmtId="0" fontId="252" fillId="66" borderId="294"/>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52" fillId="66" borderId="294"/>
    <xf numFmtId="0" fontId="251" fillId="65" borderId="294"/>
    <xf numFmtId="0" fontId="252" fillId="66" borderId="294"/>
    <xf numFmtId="0" fontId="252" fillId="66" borderId="294"/>
    <xf numFmtId="0" fontId="271" fillId="95" borderId="302"/>
    <xf numFmtId="0" fontId="271" fillId="95" borderId="302"/>
    <xf numFmtId="0" fontId="252" fillId="66" borderId="294"/>
    <xf numFmtId="164" fontId="305" fillId="0" borderId="0" applyFont="0" applyFill="0" applyBorder="0" applyAlignment="0" applyProtection="0"/>
    <xf numFmtId="166" fontId="305" fillId="0" borderId="0"/>
    <xf numFmtId="167" fontId="33" fillId="0" borderId="0"/>
    <xf numFmtId="165" fontId="305" fillId="0" borderId="0"/>
    <xf numFmtId="0" fontId="252" fillId="66" borderId="294"/>
    <xf numFmtId="0" fontId="265" fillId="0" borderId="0"/>
    <xf numFmtId="0" fontId="254" fillId="65" borderId="296"/>
    <xf numFmtId="0" fontId="252" fillId="66" borderId="294"/>
    <xf numFmtId="0" fontId="265" fillId="0" borderId="0"/>
    <xf numFmtId="0" fontId="305" fillId="67" borderId="34"/>
    <xf numFmtId="0" fontId="252" fillId="66" borderId="294"/>
    <xf numFmtId="0" fontId="254" fillId="65" borderId="296"/>
    <xf numFmtId="0" fontId="267" fillId="75" borderId="0"/>
    <xf numFmtId="0" fontId="252" fillId="66" borderId="294"/>
    <xf numFmtId="0" fontId="305" fillId="67" borderId="34"/>
    <xf numFmtId="0" fontId="253" fillId="0" borderId="295"/>
    <xf numFmtId="0" fontId="254" fillId="65" borderId="296"/>
    <xf numFmtId="0" fontId="267" fillId="75" borderId="0"/>
    <xf numFmtId="0" fontId="260" fillId="0" borderId="299"/>
    <xf numFmtId="0" fontId="272" fillId="0" borderId="304"/>
    <xf numFmtId="0" fontId="305" fillId="67" borderId="34"/>
    <xf numFmtId="0" fontId="272" fillId="0" borderId="304"/>
    <xf numFmtId="0" fontId="305" fillId="67" borderId="34"/>
    <xf numFmtId="0" fontId="260" fillId="0" borderId="299"/>
    <xf numFmtId="0" fontId="254" fillId="65" borderId="296"/>
    <xf numFmtId="0" fontId="260" fillId="0" borderId="299"/>
    <xf numFmtId="0" fontId="305" fillId="67" borderId="34"/>
    <xf numFmtId="0" fontId="254" fillId="65" borderId="296"/>
    <xf numFmtId="0" fontId="254" fillId="65" borderId="296"/>
    <xf numFmtId="0" fontId="252" fillId="66" borderId="294"/>
    <xf numFmtId="0" fontId="252" fillId="66" borderId="294"/>
    <xf numFmtId="0" fontId="260" fillId="0" borderId="299"/>
    <xf numFmtId="0" fontId="252" fillId="66" borderId="294"/>
    <xf numFmtId="0" fontId="260" fillId="0" borderId="299"/>
    <xf numFmtId="0" fontId="252" fillId="66" borderId="294"/>
    <xf numFmtId="0" fontId="260" fillId="0" borderId="299"/>
    <xf numFmtId="0" fontId="252" fillId="66" borderId="294"/>
    <xf numFmtId="0" fontId="305" fillId="67" borderId="34"/>
    <xf numFmtId="0" fontId="260" fillId="0" borderId="303"/>
    <xf numFmtId="0" fontId="252" fillId="66" borderId="294"/>
    <xf numFmtId="0" fontId="305" fillId="67" borderId="34"/>
    <xf numFmtId="0" fontId="260" fillId="0" borderId="303"/>
    <xf numFmtId="0" fontId="257" fillId="0" borderId="298"/>
    <xf numFmtId="0" fontId="261" fillId="0" borderId="300"/>
    <xf numFmtId="0" fontId="305" fillId="67" borderId="34"/>
    <xf numFmtId="0" fontId="254" fillId="65" borderId="296"/>
    <xf numFmtId="0" fontId="305" fillId="67" borderId="34"/>
    <xf numFmtId="0" fontId="261" fillId="0" borderId="300"/>
    <xf numFmtId="0" fontId="305" fillId="67" borderId="34"/>
    <xf numFmtId="0" fontId="254" fillId="65" borderId="296"/>
    <xf numFmtId="0" fontId="305" fillId="67" borderId="34"/>
    <xf numFmtId="0" fontId="257" fillId="0" borderId="298"/>
    <xf numFmtId="0" fontId="257" fillId="0" borderId="298"/>
    <xf numFmtId="0" fontId="305" fillId="67" borderId="34"/>
    <xf numFmtId="0" fontId="305" fillId="67" borderId="34"/>
    <xf numFmtId="0" fontId="252" fillId="66" borderId="294"/>
    <xf numFmtId="0" fontId="305" fillId="67" borderId="34"/>
    <xf numFmtId="0" fontId="257" fillId="0" borderId="298"/>
    <xf numFmtId="0" fontId="252" fillId="66" borderId="294"/>
    <xf numFmtId="0" fontId="257" fillId="0" borderId="298"/>
    <xf numFmtId="0" fontId="305" fillId="67" borderId="34"/>
    <xf numFmtId="0" fontId="252" fillId="66" borderId="294"/>
    <xf numFmtId="0" fontId="257" fillId="0" borderId="298"/>
    <xf numFmtId="0" fontId="257" fillId="0" borderId="298"/>
    <xf numFmtId="0" fontId="253" fillId="0" borderId="295"/>
    <xf numFmtId="0" fontId="266" fillId="0" borderId="301"/>
    <xf numFmtId="0" fontId="266" fillId="0" borderId="0"/>
    <xf numFmtId="0" fontId="254" fillId="65" borderId="296"/>
    <xf numFmtId="0" fontId="252" fillId="66" borderId="294"/>
    <xf numFmtId="0" fontId="253" fillId="0" borderId="295"/>
    <xf numFmtId="0" fontId="266" fillId="0" borderId="0"/>
    <xf numFmtId="0" fontId="254" fillId="65" borderId="296"/>
    <xf numFmtId="0" fontId="252" fillId="66" borderId="294"/>
    <xf numFmtId="0" fontId="252" fillId="66" borderId="294"/>
    <xf numFmtId="0" fontId="22" fillId="0" borderId="0">
      <alignment vertical="top"/>
      <protection locked="0"/>
    </xf>
    <xf numFmtId="0" fontId="254" fillId="65" borderId="296"/>
    <xf numFmtId="0" fontId="252" fillId="66" borderId="294"/>
    <xf numFmtId="0" fontId="264" fillId="0" borderId="0" applyNumberFormat="0" applyFill="0" applyBorder="0" applyAlignment="0" applyProtection="0"/>
    <xf numFmtId="0" fontId="305" fillId="67" borderId="34"/>
    <xf numFmtId="0" fontId="253" fillId="0" borderId="295"/>
    <xf numFmtId="0" fontId="254" fillId="65" borderId="296"/>
    <xf numFmtId="0" fontId="252" fillId="66" borderId="294"/>
    <xf numFmtId="0" fontId="22" fillId="0" borderId="0" applyNumberFormat="0" applyFill="0" applyBorder="0" applyAlignment="0" applyProtection="0">
      <alignment vertical="top"/>
      <protection locked="0"/>
    </xf>
    <xf numFmtId="0" fontId="254" fillId="65" borderId="296"/>
    <xf numFmtId="0" fontId="305" fillId="67" borderId="34"/>
    <xf numFmtId="0" fontId="253" fillId="0" borderId="295"/>
    <xf numFmtId="0" fontId="254" fillId="65" borderId="296"/>
    <xf numFmtId="0" fontId="252" fillId="66" borderId="294"/>
    <xf numFmtId="0" fontId="269" fillId="0" borderId="0">
      <alignment vertical="top"/>
    </xf>
    <xf numFmtId="0" fontId="305" fillId="67" borderId="3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305" fillId="67" borderId="34"/>
    <xf numFmtId="0" fontId="254" fillId="65" borderId="296"/>
    <xf numFmtId="0" fontId="252" fillId="66" borderId="294"/>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305" fillId="67" borderId="34"/>
    <xf numFmtId="0" fontId="305" fillId="67" borderId="34"/>
    <xf numFmtId="0" fontId="254" fillId="65" borderId="296"/>
    <xf numFmtId="0" fontId="252" fillId="66" borderId="294"/>
    <xf numFmtId="0" fontId="305" fillId="67" borderId="34"/>
    <xf numFmtId="0" fontId="305" fillId="67" borderId="3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4" fillId="65" borderId="296"/>
    <xf numFmtId="0" fontId="305" fillId="67" borderId="34"/>
    <xf numFmtId="0" fontId="252" fillId="66" borderId="294"/>
    <xf numFmtId="0" fontId="254" fillId="65" borderId="296"/>
    <xf numFmtId="0" fontId="254" fillId="65" borderId="296"/>
    <xf numFmtId="0" fontId="305" fillId="67" borderId="34"/>
    <xf numFmtId="0" fontId="252" fillId="66" borderId="294"/>
    <xf numFmtId="0" fontId="254" fillId="65" borderId="296"/>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4" fillId="65" borderId="296"/>
    <xf numFmtId="0" fontId="252" fillId="66" borderId="294"/>
    <xf numFmtId="0" fontId="252" fillId="66" borderId="294"/>
    <xf numFmtId="0" fontId="253" fillId="0" borderId="295"/>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3" fillId="0" borderId="295"/>
    <xf numFmtId="0" fontId="254" fillId="65" borderId="296"/>
    <xf numFmtId="0" fontId="252" fillId="66" borderId="29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4" fillId="65" borderId="296"/>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305" fillId="67" borderId="34"/>
    <xf numFmtId="0" fontId="254" fillId="65" borderId="296"/>
    <xf numFmtId="0" fontId="252" fillId="66" borderId="294"/>
    <xf numFmtId="0" fontId="305" fillId="67" borderId="34"/>
    <xf numFmtId="0" fontId="305" fillId="67" borderId="34"/>
    <xf numFmtId="0" fontId="254" fillId="65" borderId="296"/>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254" fillId="65" borderId="296"/>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0" borderId="0"/>
    <xf numFmtId="0" fontId="305" fillId="67" borderId="34"/>
    <xf numFmtId="0" fontId="305" fillId="67" borderId="34"/>
    <xf numFmtId="0" fontId="252" fillId="66" borderId="294"/>
    <xf numFmtId="0" fontId="253" fillId="0" borderId="295"/>
    <xf numFmtId="0" fontId="252" fillId="66" borderId="294"/>
    <xf numFmtId="0" fontId="252" fillId="66" borderId="294"/>
    <xf numFmtId="0" fontId="305" fillId="67" borderId="34"/>
    <xf numFmtId="0" fontId="253" fillId="0" borderId="295"/>
    <xf numFmtId="0" fontId="253" fillId="0" borderId="295"/>
    <xf numFmtId="0" fontId="252" fillId="66" borderId="294"/>
    <xf numFmtId="0" fontId="252" fillId="66" borderId="294"/>
    <xf numFmtId="0" fontId="305" fillId="67" borderId="34"/>
    <xf numFmtId="0" fontId="252" fillId="66" borderId="294"/>
    <xf numFmtId="0" fontId="253" fillId="0" borderId="295"/>
    <xf numFmtId="0" fontId="305" fillId="0" borderId="0"/>
    <xf numFmtId="0" fontId="305" fillId="67" borderId="34"/>
    <xf numFmtId="0" fontId="253" fillId="0" borderId="295"/>
    <xf numFmtId="0" fontId="254" fillId="65" borderId="296"/>
    <xf numFmtId="0" fontId="252" fillId="66" borderId="294"/>
    <xf numFmtId="0" fontId="305" fillId="67" borderId="34"/>
    <xf numFmtId="0" fontId="254" fillId="65" borderId="296"/>
    <xf numFmtId="0" fontId="305" fillId="67" borderId="34"/>
    <xf numFmtId="0" fontId="253" fillId="0" borderId="295"/>
    <xf numFmtId="0" fontId="253" fillId="0" borderId="295"/>
    <xf numFmtId="0" fontId="252" fillId="66" borderId="294"/>
    <xf numFmtId="0" fontId="254" fillId="65" borderId="296"/>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305" fillId="67" borderId="34"/>
    <xf numFmtId="0" fontId="253" fillId="0" borderId="295"/>
    <xf numFmtId="0" fontId="305" fillId="67" borderId="3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305" fillId="67" borderId="34"/>
    <xf numFmtId="0" fontId="254" fillId="65" borderId="296"/>
    <xf numFmtId="0" fontId="305" fillId="67" borderId="3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305" fillId="67" borderId="34"/>
    <xf numFmtId="0" fontId="254" fillId="65" borderId="296"/>
    <xf numFmtId="0" fontId="305" fillId="67" borderId="34"/>
    <xf numFmtId="0" fontId="254" fillId="65" borderId="296"/>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254" fillId="65" borderId="296"/>
    <xf numFmtId="0" fontId="252" fillId="66" borderId="294"/>
    <xf numFmtId="0" fontId="252" fillId="66" borderId="294"/>
    <xf numFmtId="0" fontId="254" fillId="65" borderId="296"/>
    <xf numFmtId="0" fontId="305" fillId="67" borderId="3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3" fillId="0" borderId="295"/>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4" fillId="65" borderId="296"/>
    <xf numFmtId="0" fontId="305" fillId="67" borderId="34"/>
    <xf numFmtId="0" fontId="305" fillId="67" borderId="34"/>
    <xf numFmtId="0" fontId="253" fillId="0" borderId="295"/>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253" fillId="0" borderId="295"/>
    <xf numFmtId="0" fontId="305" fillId="67" borderId="34"/>
    <xf numFmtId="0" fontId="254" fillId="65" borderId="296"/>
    <xf numFmtId="0" fontId="305" fillId="67" borderId="34"/>
    <xf numFmtId="0" fontId="252" fillId="66" borderId="294"/>
    <xf numFmtId="0" fontId="253" fillId="0" borderId="295"/>
    <xf numFmtId="0" fontId="305" fillId="67" borderId="34"/>
    <xf numFmtId="0" fontId="254" fillId="65" borderId="296"/>
    <xf numFmtId="0" fontId="305" fillId="67" borderId="34"/>
    <xf numFmtId="0" fontId="252" fillId="66" borderId="294"/>
    <xf numFmtId="0" fontId="305" fillId="67" borderId="34"/>
    <xf numFmtId="0" fontId="253" fillId="0" borderId="295"/>
    <xf numFmtId="0" fontId="305" fillId="67" borderId="34"/>
    <xf numFmtId="0" fontId="254" fillId="65" borderId="296"/>
    <xf numFmtId="0" fontId="252" fillId="66" borderId="294"/>
    <xf numFmtId="0" fontId="305" fillId="67" borderId="34"/>
    <xf numFmtId="0" fontId="305" fillId="67" borderId="3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305" fillId="67" borderId="34"/>
    <xf numFmtId="0" fontId="252" fillId="66" borderId="294"/>
    <xf numFmtId="0" fontId="253" fillId="0" borderId="295"/>
    <xf numFmtId="0" fontId="253" fillId="0" borderId="295"/>
    <xf numFmtId="0" fontId="252" fillId="66" borderId="294"/>
    <xf numFmtId="0" fontId="253" fillId="0" borderId="295"/>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3" fillId="0" borderId="295"/>
    <xf numFmtId="0" fontId="254" fillId="65" borderId="296"/>
    <xf numFmtId="0" fontId="305" fillId="67" borderId="34"/>
    <xf numFmtId="0" fontId="252" fillId="66" borderId="294"/>
    <xf numFmtId="0" fontId="254" fillId="65" borderId="296"/>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254" fillId="65" borderId="296"/>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3" fillId="0" borderId="295"/>
    <xf numFmtId="0" fontId="305" fillId="67" borderId="34"/>
    <xf numFmtId="0" fontId="252" fillId="66" borderId="294"/>
    <xf numFmtId="0" fontId="305" fillId="67" borderId="34"/>
    <xf numFmtId="0" fontId="253" fillId="0" borderId="295"/>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305" fillId="67" borderId="34"/>
    <xf numFmtId="0" fontId="252" fillId="66" borderId="294"/>
    <xf numFmtId="0" fontId="305" fillId="67" borderId="34"/>
    <xf numFmtId="0" fontId="253" fillId="0" borderId="295"/>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305" fillId="67" borderId="3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3" fillId="0" borderId="295"/>
    <xf numFmtId="0" fontId="252" fillId="66" borderId="294"/>
    <xf numFmtId="0" fontId="305" fillId="67" borderId="34"/>
    <xf numFmtId="0" fontId="305" fillId="67" borderId="34"/>
    <xf numFmtId="0" fontId="253" fillId="0" borderId="295"/>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254" fillId="65" borderId="296"/>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3" fillId="0" borderId="295"/>
    <xf numFmtId="0" fontId="253" fillId="0" borderId="295"/>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305" fillId="67" borderId="34"/>
    <xf numFmtId="0" fontId="254" fillId="65" borderId="296"/>
    <xf numFmtId="0" fontId="252" fillId="66" borderId="29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3" fillId="0" borderId="295"/>
    <xf numFmtId="0" fontId="252" fillId="66" borderId="294"/>
    <xf numFmtId="0" fontId="253" fillId="0" borderId="295"/>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4" fillId="65" borderId="296"/>
    <xf numFmtId="0" fontId="252" fillId="66" borderId="294"/>
    <xf numFmtId="0" fontId="252" fillId="66" borderId="294"/>
    <xf numFmtId="0" fontId="253" fillId="0" borderId="295"/>
    <xf numFmtId="0" fontId="253" fillId="0" borderId="295"/>
    <xf numFmtId="0" fontId="252" fillId="66" borderId="294"/>
    <xf numFmtId="0" fontId="305" fillId="67" borderId="34"/>
    <xf numFmtId="0" fontId="253" fillId="0" borderId="295"/>
    <xf numFmtId="0" fontId="253" fillId="0" borderId="295"/>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2" fillId="66" borderId="294"/>
    <xf numFmtId="0" fontId="253" fillId="0" borderId="295"/>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2" fillId="66" borderId="294"/>
    <xf numFmtId="0" fontId="305" fillId="67" borderId="34"/>
    <xf numFmtId="0" fontId="305" fillId="67" borderId="34"/>
    <xf numFmtId="0" fontId="253" fillId="0" borderId="295"/>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305" fillId="67" borderId="34"/>
    <xf numFmtId="0" fontId="253" fillId="0" borderId="295"/>
    <xf numFmtId="0" fontId="252" fillId="66" borderId="294"/>
    <xf numFmtId="0" fontId="253" fillId="0" borderId="295"/>
    <xf numFmtId="0" fontId="252" fillId="66" borderId="294"/>
    <xf numFmtId="0" fontId="253" fillId="0" borderId="295"/>
    <xf numFmtId="0" fontId="253" fillId="0" borderId="295"/>
    <xf numFmtId="0" fontId="254" fillId="65" borderId="296"/>
    <xf numFmtId="0" fontId="252" fillId="66" borderId="294"/>
    <xf numFmtId="0" fontId="252" fillId="66" borderId="294"/>
    <xf numFmtId="0" fontId="305" fillId="67" borderId="34"/>
    <xf numFmtId="0" fontId="305" fillId="67" borderId="34"/>
    <xf numFmtId="0" fontId="253" fillId="0" borderId="295"/>
    <xf numFmtId="0" fontId="305" fillId="67" borderId="34"/>
    <xf numFmtId="0" fontId="252" fillId="66" borderId="294"/>
    <xf numFmtId="0" fontId="253" fillId="0" borderId="295"/>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254" fillId="65" borderId="296"/>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3" fillId="0" borderId="295"/>
    <xf numFmtId="0" fontId="254" fillId="65" borderId="296"/>
    <xf numFmtId="0" fontId="252" fillId="66" borderId="294"/>
    <xf numFmtId="0" fontId="305" fillId="67" borderId="34"/>
    <xf numFmtId="0" fontId="305" fillId="67" borderId="34"/>
    <xf numFmtId="0" fontId="305" fillId="67" borderId="34"/>
    <xf numFmtId="0" fontId="252" fillId="66" borderId="294"/>
    <xf numFmtId="0" fontId="252" fillId="66" borderId="294"/>
    <xf numFmtId="0" fontId="252" fillId="66" borderId="294"/>
    <xf numFmtId="0" fontId="305" fillId="67" borderId="34"/>
    <xf numFmtId="0" fontId="253" fillId="0" borderId="295"/>
    <xf numFmtId="0" fontId="254" fillId="65" borderId="296"/>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253" fillId="0" borderId="295"/>
    <xf numFmtId="0" fontId="305" fillId="67" borderId="34"/>
    <xf numFmtId="0" fontId="254" fillId="65" borderId="296"/>
    <xf numFmtId="0" fontId="252" fillId="66" borderId="29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305" fillId="67" borderId="34"/>
    <xf numFmtId="0" fontId="254" fillId="65" borderId="296"/>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3" fillId="0" borderId="295"/>
    <xf numFmtId="0" fontId="254" fillId="65" borderId="296"/>
    <xf numFmtId="0" fontId="252" fillId="66" borderId="294"/>
    <xf numFmtId="0" fontId="254" fillId="65" borderId="296"/>
    <xf numFmtId="0" fontId="305" fillId="67" borderId="34"/>
    <xf numFmtId="0" fontId="252" fillId="66" borderId="294"/>
    <xf numFmtId="0" fontId="254" fillId="65" borderId="296"/>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253" fillId="0" borderId="295"/>
    <xf numFmtId="0" fontId="253" fillId="0" borderId="295"/>
    <xf numFmtId="0" fontId="252" fillId="66" borderId="294"/>
    <xf numFmtId="0" fontId="305" fillId="67" borderId="34"/>
    <xf numFmtId="0" fontId="305" fillId="67" borderId="34"/>
    <xf numFmtId="0" fontId="252" fillId="66" borderId="294"/>
    <xf numFmtId="0" fontId="253" fillId="0" borderId="295"/>
    <xf numFmtId="0" fontId="253" fillId="0" borderId="295"/>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4" fillId="65" borderId="296"/>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4" fillId="65" borderId="296"/>
    <xf numFmtId="0" fontId="254" fillId="65" borderId="296"/>
    <xf numFmtId="0" fontId="252" fillId="66" borderId="294"/>
    <xf numFmtId="0" fontId="305" fillId="67" borderId="34"/>
    <xf numFmtId="0" fontId="253" fillId="0" borderId="295"/>
    <xf numFmtId="0" fontId="254" fillId="65" borderId="296"/>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254" fillId="65" borderId="296"/>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305" fillId="67" borderId="3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3" fillId="0" borderId="295"/>
    <xf numFmtId="0" fontId="305" fillId="67" borderId="34"/>
    <xf numFmtId="0" fontId="252" fillId="66" borderId="294"/>
    <xf numFmtId="0" fontId="253" fillId="0" borderId="295"/>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305" fillId="67" borderId="34"/>
    <xf numFmtId="0" fontId="252" fillId="66" borderId="294"/>
    <xf numFmtId="0" fontId="253" fillId="0" borderId="295"/>
    <xf numFmtId="0" fontId="252" fillId="66" borderId="294"/>
    <xf numFmtId="0" fontId="305" fillId="67" borderId="3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305" fillId="67" borderId="3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305" fillId="67" borderId="34"/>
    <xf numFmtId="0" fontId="253" fillId="0" borderId="295"/>
    <xf numFmtId="0" fontId="253" fillId="0" borderId="295"/>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254" fillId="65" borderId="296"/>
    <xf numFmtId="0" fontId="252" fillId="66" borderId="294"/>
    <xf numFmtId="0" fontId="252" fillId="66" borderId="294"/>
    <xf numFmtId="0" fontId="253" fillId="0" borderId="295"/>
    <xf numFmtId="0" fontId="252" fillId="66" borderId="294"/>
    <xf numFmtId="0" fontId="305" fillId="67" borderId="34"/>
    <xf numFmtId="0" fontId="305" fillId="67" borderId="34"/>
    <xf numFmtId="0" fontId="253" fillId="0" borderId="295"/>
    <xf numFmtId="0" fontId="305" fillId="67" borderId="34"/>
    <xf numFmtId="0" fontId="252" fillId="66" borderId="294"/>
    <xf numFmtId="0" fontId="305" fillId="67" borderId="34"/>
    <xf numFmtId="0" fontId="253" fillId="0" borderId="295"/>
    <xf numFmtId="0" fontId="305" fillId="67" borderId="34"/>
    <xf numFmtId="0" fontId="252" fillId="66" borderId="294"/>
    <xf numFmtId="0" fontId="253" fillId="0" borderId="295"/>
    <xf numFmtId="0" fontId="305" fillId="67" borderId="34"/>
    <xf numFmtId="0" fontId="252" fillId="66" borderId="294"/>
    <xf numFmtId="0" fontId="253" fillId="0" borderId="295"/>
    <xf numFmtId="0" fontId="305" fillId="67" borderId="3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305" fillId="67" borderId="34"/>
    <xf numFmtId="0" fontId="252" fillId="66" borderId="294"/>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305" fillId="67" borderId="34"/>
    <xf numFmtId="0" fontId="253" fillId="0" borderId="295"/>
    <xf numFmtId="0" fontId="252" fillId="66" borderId="294"/>
    <xf numFmtId="0" fontId="254" fillId="65" borderId="296"/>
    <xf numFmtId="0" fontId="305" fillId="67" borderId="34"/>
    <xf numFmtId="0" fontId="305" fillId="67" borderId="34"/>
    <xf numFmtId="0" fontId="253" fillId="0" borderId="295"/>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4" fillId="65" borderId="296"/>
    <xf numFmtId="0" fontId="305" fillId="67" borderId="34"/>
    <xf numFmtId="0" fontId="253" fillId="0" borderId="295"/>
    <xf numFmtId="0" fontId="252" fillId="66" borderId="294"/>
    <xf numFmtId="0" fontId="305" fillId="67" borderId="34"/>
    <xf numFmtId="0" fontId="252" fillId="66" borderId="294"/>
    <xf numFmtId="0" fontId="305" fillId="67" borderId="34"/>
    <xf numFmtId="0" fontId="253" fillId="0" borderId="295"/>
    <xf numFmtId="0" fontId="254" fillId="65" borderId="296"/>
    <xf numFmtId="0" fontId="252" fillId="66" borderId="294"/>
    <xf numFmtId="0" fontId="254" fillId="65" borderId="296"/>
    <xf numFmtId="0" fontId="305" fillId="67" borderId="34"/>
    <xf numFmtId="0" fontId="253" fillId="0" borderId="295"/>
    <xf numFmtId="0" fontId="253" fillId="0" borderId="295"/>
    <xf numFmtId="0" fontId="254" fillId="65" borderId="296"/>
    <xf numFmtId="0" fontId="252" fillId="66" borderId="294"/>
    <xf numFmtId="0" fontId="254" fillId="65" borderId="296"/>
    <xf numFmtId="0" fontId="305" fillId="67" borderId="34"/>
    <xf numFmtId="0" fontId="253" fillId="0" borderId="295"/>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254" fillId="65" borderId="296"/>
    <xf numFmtId="0" fontId="305" fillId="67" borderId="34"/>
    <xf numFmtId="0" fontId="252" fillId="66" borderId="29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252" fillId="66" borderId="294"/>
    <xf numFmtId="0" fontId="254" fillId="65" borderId="296"/>
    <xf numFmtId="0" fontId="254" fillId="65" borderId="296"/>
    <xf numFmtId="0" fontId="305" fillId="67" borderId="34"/>
    <xf numFmtId="0" fontId="252" fillId="66" borderId="294"/>
    <xf numFmtId="0" fontId="252" fillId="66" borderId="294"/>
    <xf numFmtId="0" fontId="305" fillId="67" borderId="34"/>
    <xf numFmtId="0" fontId="254" fillId="65" borderId="296"/>
    <xf numFmtId="0" fontId="254" fillId="65" borderId="296"/>
    <xf numFmtId="0" fontId="305" fillId="67" borderId="3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4" fillId="65" borderId="296"/>
    <xf numFmtId="0" fontId="252" fillId="66" borderId="294"/>
    <xf numFmtId="0" fontId="252" fillId="66" borderId="294"/>
    <xf numFmtId="0" fontId="254" fillId="65" borderId="296"/>
    <xf numFmtId="0" fontId="252" fillId="66" borderId="294"/>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3" fillId="0" borderId="0"/>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3" fillId="0" borderId="295"/>
    <xf numFmtId="0" fontId="254" fillId="65" borderId="296"/>
    <xf numFmtId="0" fontId="252" fillId="66" borderId="294"/>
    <xf numFmtId="0" fontId="253" fillId="0" borderId="295"/>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305" fillId="67" borderId="3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3" fillId="0" borderId="295"/>
    <xf numFmtId="0" fontId="254" fillId="65" borderId="296"/>
    <xf numFmtId="0" fontId="252" fillId="66" borderId="294"/>
    <xf numFmtId="0" fontId="252" fillId="66" borderId="294"/>
    <xf numFmtId="0" fontId="253" fillId="0" borderId="295"/>
    <xf numFmtId="0" fontId="254" fillId="65" borderId="296"/>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305" fillId="0" borderId="0"/>
    <xf numFmtId="0" fontId="252" fillId="66" borderId="294"/>
    <xf numFmtId="0" fontId="305" fillId="0" borderId="0"/>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254" fillId="65" borderId="296"/>
    <xf numFmtId="0" fontId="252" fillId="66" borderId="294"/>
    <xf numFmtId="0" fontId="252" fillId="66" borderId="294"/>
    <xf numFmtId="0" fontId="252" fillId="66" borderId="294"/>
    <xf numFmtId="0" fontId="305" fillId="67" borderId="34"/>
    <xf numFmtId="0" fontId="254" fillId="65" borderId="296"/>
    <xf numFmtId="0" fontId="254" fillId="65" borderId="296"/>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7" fillId="0" borderId="0"/>
    <xf numFmtId="0" fontId="254" fillId="65" borderId="296"/>
    <xf numFmtId="0" fontId="252" fillId="66" borderId="294"/>
    <xf numFmtId="0" fontId="253" fillId="0" borderId="295"/>
    <xf numFmtId="0" fontId="252" fillId="66" borderId="294"/>
    <xf numFmtId="0" fontId="305" fillId="0" borderId="0"/>
    <xf numFmtId="0" fontId="253" fillId="0" borderId="295"/>
    <xf numFmtId="0" fontId="254" fillId="65" borderId="296"/>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305" fillId="0" borderId="0"/>
    <xf numFmtId="0" fontId="305" fillId="67" borderId="34"/>
    <xf numFmtId="0" fontId="252" fillId="66" borderId="294"/>
    <xf numFmtId="0" fontId="252" fillId="66" borderId="294"/>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3" fillId="0" borderId="295"/>
    <xf numFmtId="0" fontId="252" fillId="66" borderId="294"/>
    <xf numFmtId="0" fontId="253" fillId="0" borderId="295"/>
    <xf numFmtId="0" fontId="253" fillId="0" borderId="295"/>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3" fillId="0" borderId="295"/>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305" fillId="67" borderId="34"/>
    <xf numFmtId="0" fontId="253" fillId="0" borderId="295"/>
    <xf numFmtId="0" fontId="254" fillId="65" borderId="296"/>
    <xf numFmtId="0" fontId="252" fillId="66" borderId="294"/>
    <xf numFmtId="0" fontId="254" fillId="65" borderId="296"/>
    <xf numFmtId="0" fontId="252" fillId="66" borderId="294"/>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254" fillId="65" borderId="296"/>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3" fillId="0" borderId="295"/>
    <xf numFmtId="0" fontId="254" fillId="65" borderId="296"/>
    <xf numFmtId="0" fontId="252" fillId="66" borderId="294"/>
    <xf numFmtId="0" fontId="254" fillId="65" borderId="296"/>
    <xf numFmtId="0" fontId="305" fillId="67" borderId="34"/>
    <xf numFmtId="0" fontId="254" fillId="65" borderId="296"/>
    <xf numFmtId="0" fontId="252" fillId="66" borderId="294"/>
    <xf numFmtId="0" fontId="254" fillId="65" borderId="296"/>
    <xf numFmtId="0" fontId="305" fillId="67" borderId="34"/>
    <xf numFmtId="9" fontId="305" fillId="0" borderId="0"/>
    <xf numFmtId="0" fontId="254" fillId="65" borderId="296"/>
    <xf numFmtId="0" fontId="252" fillId="66" borderId="29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305" fillId="67" borderId="34"/>
    <xf numFmtId="0" fontId="254" fillId="65" borderId="296"/>
    <xf numFmtId="0" fontId="252" fillId="66" borderId="29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2" fillId="66" borderId="294"/>
    <xf numFmtId="0" fontId="305" fillId="67" borderId="34"/>
    <xf numFmtId="0" fontId="254" fillId="65" borderId="296"/>
    <xf numFmtId="0" fontId="252" fillId="66" borderId="294"/>
    <xf numFmtId="0" fontId="254" fillId="65" borderId="296"/>
    <xf numFmtId="0" fontId="305" fillId="67" borderId="34"/>
    <xf numFmtId="0" fontId="254" fillId="65" borderId="296"/>
    <xf numFmtId="0" fontId="254" fillId="65" borderId="296"/>
    <xf numFmtId="0" fontId="254" fillId="65" borderId="296"/>
    <xf numFmtId="0" fontId="252" fillId="66" borderId="294"/>
    <xf numFmtId="0" fontId="254" fillId="65" borderId="296"/>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252" fillId="66" borderId="294"/>
    <xf numFmtId="0" fontId="305" fillId="67" borderId="34"/>
    <xf numFmtId="0" fontId="254" fillId="65" borderId="296"/>
    <xf numFmtId="0" fontId="305" fillId="67" borderId="34"/>
    <xf numFmtId="0" fontId="253" fillId="0" borderId="295"/>
    <xf numFmtId="0" fontId="254" fillId="65" borderId="296"/>
    <xf numFmtId="0" fontId="252" fillId="66" borderId="294"/>
    <xf numFmtId="0" fontId="305" fillId="67" borderId="34"/>
    <xf numFmtId="0" fontId="254" fillId="65" borderId="296"/>
    <xf numFmtId="0" fontId="305" fillId="67" borderId="34"/>
    <xf numFmtId="0" fontId="254" fillId="65" borderId="296"/>
    <xf numFmtId="0" fontId="305" fillId="67" borderId="34"/>
    <xf numFmtId="0" fontId="252" fillId="66" borderId="294"/>
    <xf numFmtId="0" fontId="254" fillId="65" borderId="296"/>
    <xf numFmtId="0" fontId="305" fillId="67" borderId="34"/>
    <xf numFmtId="0" fontId="254" fillId="65" borderId="296"/>
    <xf numFmtId="0" fontId="252" fillId="66" borderId="294"/>
    <xf numFmtId="0" fontId="254" fillId="65" borderId="296"/>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253" fillId="0" borderId="295"/>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252" fillId="66" borderId="294"/>
    <xf numFmtId="0" fontId="305" fillId="67" borderId="34"/>
    <xf numFmtId="0" fontId="254" fillId="65" borderId="296"/>
    <xf numFmtId="0" fontId="252" fillId="66" borderId="294"/>
    <xf numFmtId="0" fontId="254" fillId="65" borderId="296"/>
    <xf numFmtId="0" fontId="305" fillId="67" borderId="34"/>
    <xf numFmtId="0" fontId="252" fillId="66" borderId="294"/>
    <xf numFmtId="0" fontId="252" fillId="66" borderId="294"/>
    <xf numFmtId="0" fontId="305" fillId="67" borderId="34"/>
    <xf numFmtId="0" fontId="254" fillId="65" borderId="296"/>
    <xf numFmtId="0" fontId="254" fillId="65" borderId="296"/>
    <xf numFmtId="0" fontId="252" fillId="66" borderId="294"/>
    <xf numFmtId="0" fontId="254" fillId="65" borderId="296"/>
    <xf numFmtId="0" fontId="305" fillId="67" borderId="3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4" fillId="65" borderId="296"/>
    <xf numFmtId="0" fontId="252" fillId="66" borderId="294"/>
    <xf numFmtId="0" fontId="305" fillId="67" borderId="34"/>
    <xf numFmtId="0" fontId="305" fillId="67" borderId="34"/>
    <xf numFmtId="0" fontId="254" fillId="65" borderId="296"/>
    <xf numFmtId="0" fontId="252" fillId="66" borderId="294"/>
    <xf numFmtId="0" fontId="252" fillId="66" borderId="294"/>
    <xf numFmtId="0" fontId="252" fillId="66" borderId="294"/>
    <xf numFmtId="0" fontId="305" fillId="67" borderId="34"/>
    <xf numFmtId="0" fontId="305" fillId="67" borderId="34"/>
    <xf numFmtId="0" fontId="253" fillId="0" borderId="295"/>
    <xf numFmtId="0" fontId="254" fillId="65" borderId="296"/>
    <xf numFmtId="0" fontId="252" fillId="66" borderId="294"/>
    <xf numFmtId="0" fontId="305" fillId="67" borderId="34"/>
    <xf numFmtId="0" fontId="252" fillId="66" borderId="294"/>
    <xf numFmtId="0" fontId="252" fillId="66" borderId="294"/>
    <xf numFmtId="0" fontId="254" fillId="65" borderId="296"/>
    <xf numFmtId="0" fontId="254" fillId="65" borderId="296"/>
    <xf numFmtId="0" fontId="254" fillId="65" borderId="296"/>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4" fillId="65" borderId="296"/>
    <xf numFmtId="0" fontId="254" fillId="65" borderId="296"/>
    <xf numFmtId="0" fontId="305" fillId="67" borderId="3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305" fillId="67" borderId="34"/>
    <xf numFmtId="0" fontId="253" fillId="0" borderId="295"/>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4" fillId="65" borderId="296"/>
    <xf numFmtId="0" fontId="252" fillId="66" borderId="294"/>
    <xf numFmtId="0" fontId="254" fillId="65" borderId="296"/>
    <xf numFmtId="0" fontId="252" fillId="66" borderId="294"/>
    <xf numFmtId="0" fontId="305" fillId="67" borderId="34"/>
    <xf numFmtId="0" fontId="254" fillId="65" borderId="296"/>
    <xf numFmtId="0" fontId="252" fillId="66" borderId="294"/>
    <xf numFmtId="0" fontId="254" fillId="65" borderId="296"/>
    <xf numFmtId="0" fontId="252" fillId="66" borderId="294"/>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3" fillId="0" borderId="295"/>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178" fillId="0" borderId="0"/>
    <xf numFmtId="0" fontId="253" fillId="0" borderId="295"/>
    <xf numFmtId="0" fontId="252" fillId="66" borderId="294"/>
    <xf numFmtId="0" fontId="305" fillId="0" borderId="0"/>
    <xf numFmtId="0" fontId="253" fillId="0" borderId="295"/>
    <xf numFmtId="0" fontId="252" fillId="66" borderId="294"/>
    <xf numFmtId="0" fontId="92" fillId="0" borderId="0"/>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3" fillId="0" borderId="295"/>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4" fillId="65" borderId="296"/>
    <xf numFmtId="0" fontId="252" fillId="66" borderId="294"/>
    <xf numFmtId="0" fontId="305" fillId="67" borderId="34"/>
    <xf numFmtId="0" fontId="254" fillId="65" borderId="296"/>
    <xf numFmtId="0" fontId="252" fillId="66" borderId="294"/>
    <xf numFmtId="0" fontId="254" fillId="65" borderId="296"/>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305" fillId="67" borderId="34"/>
    <xf numFmtId="0" fontId="254" fillId="65" borderId="296"/>
    <xf numFmtId="0" fontId="254" fillId="65" borderId="296"/>
    <xf numFmtId="0" fontId="305" fillId="67" borderId="34"/>
    <xf numFmtId="0" fontId="252" fillId="66" borderId="294"/>
    <xf numFmtId="0" fontId="254" fillId="65" borderId="296"/>
    <xf numFmtId="0" fontId="252" fillId="66" borderId="294"/>
    <xf numFmtId="0" fontId="253" fillId="0" borderId="295"/>
    <xf numFmtId="0" fontId="305" fillId="67" borderId="34"/>
    <xf numFmtId="0" fontId="305" fillId="67" borderId="3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254" fillId="65" borderId="296"/>
    <xf numFmtId="0" fontId="252" fillId="66" borderId="294"/>
    <xf numFmtId="0" fontId="252" fillId="66" borderId="294"/>
    <xf numFmtId="0" fontId="252" fillId="66" borderId="294"/>
    <xf numFmtId="0" fontId="254" fillId="65" borderId="296"/>
    <xf numFmtId="0" fontId="252" fillId="66" borderId="294"/>
    <xf numFmtId="0" fontId="253" fillId="0" borderId="295"/>
    <xf numFmtId="0" fontId="305" fillId="67" borderId="34"/>
    <xf numFmtId="0" fontId="254" fillId="65" borderId="296"/>
    <xf numFmtId="0" fontId="305" fillId="67" borderId="34"/>
    <xf numFmtId="0" fontId="252" fillId="66" borderId="294"/>
    <xf numFmtId="0" fontId="253" fillId="0" borderId="295"/>
    <xf numFmtId="0" fontId="305" fillId="67" borderId="34"/>
    <xf numFmtId="0" fontId="305" fillId="67" borderId="34"/>
    <xf numFmtId="0" fontId="252" fillId="66" borderId="294"/>
    <xf numFmtId="0" fontId="252" fillId="66" borderId="294"/>
    <xf numFmtId="0" fontId="252" fillId="66" borderId="294"/>
    <xf numFmtId="0" fontId="252" fillId="66" borderId="294"/>
    <xf numFmtId="0" fontId="254" fillId="65" borderId="296"/>
    <xf numFmtId="0" fontId="254" fillId="65" borderId="296"/>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3" fillId="0" borderId="295"/>
    <xf numFmtId="0" fontId="254" fillId="65" borderId="296"/>
    <xf numFmtId="0" fontId="252" fillId="66" borderId="294"/>
    <xf numFmtId="0" fontId="252" fillId="66" borderId="294"/>
    <xf numFmtId="0" fontId="253" fillId="0" borderId="295"/>
    <xf numFmtId="0" fontId="305" fillId="67" borderId="34"/>
    <xf numFmtId="0" fontId="253" fillId="0" borderId="295"/>
    <xf numFmtId="0" fontId="252" fillId="66" borderId="294"/>
    <xf numFmtId="0" fontId="305" fillId="67" borderId="34"/>
    <xf numFmtId="0" fontId="253" fillId="0" borderId="295"/>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305" fillId="67" borderId="3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0" borderId="0"/>
    <xf numFmtId="0" fontId="305" fillId="67" borderId="34"/>
    <xf numFmtId="0" fontId="305" fillId="67" borderId="3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2" fillId="66" borderId="294"/>
    <xf numFmtId="0" fontId="252" fillId="66" borderId="294"/>
    <xf numFmtId="0" fontId="254" fillId="65" borderId="296"/>
    <xf numFmtId="0" fontId="252" fillId="66" borderId="294"/>
    <xf numFmtId="0" fontId="305" fillId="67" borderId="3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254" fillId="65" borderId="296"/>
    <xf numFmtId="0" fontId="305" fillId="67" borderId="34"/>
    <xf numFmtId="0" fontId="252" fillId="66" borderId="294"/>
    <xf numFmtId="0" fontId="305" fillId="67" borderId="34"/>
    <xf numFmtId="0" fontId="254" fillId="65" borderId="296"/>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252" fillId="66" borderId="294"/>
    <xf numFmtId="0" fontId="252" fillId="66" borderId="294"/>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254" fillId="65" borderId="296"/>
    <xf numFmtId="0" fontId="252" fillId="66" borderId="294"/>
    <xf numFmtId="0" fontId="305" fillId="67" borderId="34"/>
    <xf numFmtId="0" fontId="254" fillId="65" borderId="296"/>
    <xf numFmtId="0" fontId="252" fillId="66" borderId="294"/>
    <xf numFmtId="0" fontId="254" fillId="65" borderId="296"/>
    <xf numFmtId="0" fontId="254" fillId="65" borderId="296"/>
    <xf numFmtId="0" fontId="252" fillId="66" borderId="294"/>
    <xf numFmtId="0" fontId="305" fillId="67" borderId="34"/>
    <xf numFmtId="0" fontId="253" fillId="0" borderId="295"/>
    <xf numFmtId="0" fontId="254" fillId="65" borderId="296"/>
    <xf numFmtId="0" fontId="254" fillId="65" borderId="296"/>
    <xf numFmtId="0" fontId="252" fillId="66" borderId="294"/>
    <xf numFmtId="0" fontId="305" fillId="67" borderId="34"/>
    <xf numFmtId="0" fontId="253" fillId="0" borderId="295"/>
    <xf numFmtId="0" fontId="254" fillId="65" borderId="296"/>
    <xf numFmtId="0" fontId="254" fillId="65" borderId="296"/>
    <xf numFmtId="0" fontId="252" fillId="66" borderId="294"/>
    <xf numFmtId="0" fontId="305" fillId="67" borderId="34"/>
    <xf numFmtId="0" fontId="253" fillId="0" borderId="295"/>
    <xf numFmtId="0" fontId="254" fillId="65" borderId="296"/>
    <xf numFmtId="0" fontId="254" fillId="65" borderId="296"/>
    <xf numFmtId="0" fontId="252" fillId="66" borderId="294"/>
    <xf numFmtId="0" fontId="305" fillId="67" borderId="34"/>
    <xf numFmtId="0" fontId="253" fillId="0" borderId="295"/>
    <xf numFmtId="0" fontId="252" fillId="66" borderId="294"/>
    <xf numFmtId="0" fontId="252" fillId="66" borderId="294"/>
    <xf numFmtId="0" fontId="305" fillId="67" borderId="3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305" fillId="67" borderId="34"/>
    <xf numFmtId="0" fontId="305" fillId="67" borderId="34"/>
    <xf numFmtId="0" fontId="253" fillId="0" borderId="295"/>
    <xf numFmtId="0" fontId="252" fillId="66" borderId="294"/>
    <xf numFmtId="0" fontId="305" fillId="67" borderId="3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252" fillId="66" borderId="294"/>
    <xf numFmtId="0" fontId="253" fillId="0" borderId="295"/>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4" fillId="65" borderId="296"/>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252" fillId="66" borderId="294"/>
    <xf numFmtId="0" fontId="254" fillId="65" borderId="296"/>
    <xf numFmtId="0" fontId="252" fillId="66" borderId="294"/>
    <xf numFmtId="0" fontId="305" fillId="67" borderId="3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3" fillId="0" borderId="295"/>
    <xf numFmtId="0" fontId="305" fillId="67" borderId="34"/>
    <xf numFmtId="0" fontId="252" fillId="66" borderId="294"/>
    <xf numFmtId="0" fontId="254" fillId="65" borderId="296"/>
    <xf numFmtId="0" fontId="252" fillId="66" borderId="294"/>
    <xf numFmtId="0" fontId="252" fillId="66" borderId="294"/>
    <xf numFmtId="0" fontId="252" fillId="66" borderId="294"/>
    <xf numFmtId="0" fontId="252" fillId="66" borderId="294"/>
    <xf numFmtId="0" fontId="253" fillId="0" borderId="295"/>
    <xf numFmtId="0" fontId="305" fillId="67" borderId="3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252" fillId="66" borderId="294"/>
    <xf numFmtId="0" fontId="253" fillId="0" borderId="295"/>
    <xf numFmtId="0" fontId="252" fillId="66" borderId="294"/>
    <xf numFmtId="0" fontId="253" fillId="0" borderId="295"/>
    <xf numFmtId="0" fontId="305" fillId="0" borderId="0"/>
    <xf numFmtId="0" fontId="253" fillId="0" borderId="295"/>
    <xf numFmtId="0" fontId="254" fillId="65" borderId="296"/>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4" fillId="65" borderId="296"/>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305" fillId="67" borderId="34"/>
    <xf numFmtId="0" fontId="253" fillId="0" borderId="295"/>
    <xf numFmtId="0" fontId="305" fillId="67" borderId="34"/>
    <xf numFmtId="0" fontId="254" fillId="65" borderId="296"/>
    <xf numFmtId="0" fontId="305" fillId="67" borderId="3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4" fillId="65" borderId="296"/>
    <xf numFmtId="0" fontId="305" fillId="67" borderId="34"/>
    <xf numFmtId="0" fontId="252" fillId="66" borderId="294"/>
    <xf numFmtId="0" fontId="254" fillId="65" borderId="296"/>
    <xf numFmtId="0" fontId="305" fillId="67" borderId="34"/>
    <xf numFmtId="0" fontId="305" fillId="67" borderId="34"/>
    <xf numFmtId="0" fontId="252" fillId="66" borderId="294"/>
    <xf numFmtId="0" fontId="305" fillId="67" borderId="34"/>
    <xf numFmtId="0" fontId="254" fillId="65" borderId="296"/>
    <xf numFmtId="0" fontId="305" fillId="67" borderId="34"/>
    <xf numFmtId="0" fontId="305" fillId="67" borderId="34"/>
    <xf numFmtId="0" fontId="252" fillId="66" borderId="294"/>
    <xf numFmtId="0" fontId="305" fillId="67" borderId="3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305" fillId="67" borderId="34"/>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4" fillId="65" borderId="296"/>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3" fillId="0" borderId="295"/>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305" fillId="67" borderId="34"/>
    <xf numFmtId="0" fontId="252" fillId="66" borderId="294"/>
    <xf numFmtId="0" fontId="305" fillId="0" borderId="0"/>
    <xf numFmtId="0" fontId="305" fillId="67" borderId="34"/>
    <xf numFmtId="0" fontId="252" fillId="66" borderId="294"/>
    <xf numFmtId="0" fontId="305" fillId="67" borderId="34"/>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305" fillId="67" borderId="34"/>
    <xf numFmtId="0" fontId="252" fillId="66" borderId="294"/>
    <xf numFmtId="0" fontId="252" fillId="66" borderId="294"/>
    <xf numFmtId="0" fontId="253" fillId="0" borderId="295"/>
    <xf numFmtId="0" fontId="252" fillId="66" borderId="294"/>
    <xf numFmtId="0" fontId="253" fillId="0" borderId="295"/>
    <xf numFmtId="0" fontId="252" fillId="66" borderId="294"/>
    <xf numFmtId="0" fontId="305" fillId="67" borderId="3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2" fillId="66" borderId="294"/>
    <xf numFmtId="0" fontId="254" fillId="65" borderId="296"/>
    <xf numFmtId="0" fontId="305" fillId="67" borderId="34"/>
    <xf numFmtId="0" fontId="252" fillId="66" borderId="294"/>
    <xf numFmtId="0" fontId="305" fillId="67" borderId="34"/>
    <xf numFmtId="0" fontId="254" fillId="65" borderId="296"/>
    <xf numFmtId="0" fontId="254" fillId="65" borderId="296"/>
    <xf numFmtId="0" fontId="273" fillId="0" borderId="305"/>
    <xf numFmtId="0" fontId="254" fillId="65" borderId="296"/>
    <xf numFmtId="0" fontId="305" fillId="67" borderId="34"/>
    <xf numFmtId="0" fontId="254" fillId="65" borderId="296"/>
    <xf numFmtId="0" fontId="254" fillId="65" borderId="296"/>
    <xf numFmtId="0" fontId="273" fillId="0" borderId="305"/>
    <xf numFmtId="0" fontId="305" fillId="67" borderId="34"/>
    <xf numFmtId="0" fontId="254" fillId="65" borderId="296"/>
    <xf numFmtId="0" fontId="270" fillId="18" borderId="0"/>
    <xf numFmtId="0" fontId="253" fillId="0" borderId="295"/>
    <xf numFmtId="0" fontId="254" fillId="65" borderId="296"/>
    <xf numFmtId="0" fontId="270" fillId="18" borderId="0"/>
    <xf numFmtId="0" fontId="305" fillId="0" borderId="0"/>
    <xf numFmtId="0" fontId="253" fillId="0" borderId="295"/>
    <xf numFmtId="0" fontId="178" fillId="0" borderId="0"/>
    <xf numFmtId="0" fontId="253" fillId="0" borderId="295"/>
    <xf numFmtId="0" fontId="305" fillId="0" borderId="0"/>
    <xf numFmtId="0" fontId="253" fillId="0" borderId="295"/>
    <xf numFmtId="0" fontId="305" fillId="0" borderId="0"/>
    <xf numFmtId="0" fontId="305" fillId="67" borderId="34"/>
    <xf numFmtId="0" fontId="253" fillId="0" borderId="295"/>
    <xf numFmtId="0" fontId="254" fillId="65" borderId="296"/>
    <xf numFmtId="0" fontId="305" fillId="67" borderId="34"/>
    <xf numFmtId="0" fontId="253" fillId="0" borderId="295"/>
    <xf numFmtId="0" fontId="23" fillId="0" borderId="0"/>
    <xf numFmtId="0" fontId="253" fillId="0" borderId="295"/>
    <xf numFmtId="0" fontId="7" fillId="0" borderId="0"/>
    <xf numFmtId="0" fontId="305" fillId="0" borderId="0"/>
    <xf numFmtId="0" fontId="253" fillId="0" borderId="295"/>
    <xf numFmtId="0" fontId="33" fillId="0" borderId="0"/>
    <xf numFmtId="0" fontId="305" fillId="0" borderId="0"/>
    <xf numFmtId="0" fontId="253" fillId="0" borderId="295"/>
    <xf numFmtId="0" fontId="305" fillId="0" borderId="0"/>
    <xf numFmtId="0" fontId="305" fillId="0" borderId="0"/>
    <xf numFmtId="0" fontId="253" fillId="0" borderId="295"/>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258" fillId="0" borderId="0"/>
    <xf numFmtId="0" fontId="305" fillId="0" borderId="0"/>
    <xf numFmtId="0" fontId="253" fillId="0" borderId="295"/>
    <xf numFmtId="0" fontId="259" fillId="0" borderId="0"/>
    <xf numFmtId="0" fontId="259"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54" fillId="65" borderId="296"/>
    <xf numFmtId="0" fontId="305" fillId="0" borderId="0"/>
    <xf numFmtId="0" fontId="305" fillId="0" borderId="0"/>
    <xf numFmtId="0" fontId="305" fillId="0" borderId="0"/>
    <xf numFmtId="0" fontId="305" fillId="67" borderId="34"/>
    <xf numFmtId="0" fontId="305" fillId="0" borderId="0"/>
    <xf numFmtId="0" fontId="305" fillId="67" borderId="34"/>
    <xf numFmtId="0" fontId="305" fillId="67" borderId="34"/>
    <xf numFmtId="0" fontId="305" fillId="0" borderId="0"/>
    <xf numFmtId="0" fontId="305" fillId="0" borderId="0"/>
    <xf numFmtId="0" fontId="305" fillId="67" borderId="34"/>
    <xf numFmtId="0" fontId="253" fillId="0" borderId="295"/>
    <xf numFmtId="0" fontId="305" fillId="67" borderId="34"/>
    <xf numFmtId="0" fontId="305" fillId="0" borderId="0"/>
    <xf numFmtId="0" fontId="305" fillId="67" borderId="34"/>
    <xf numFmtId="0" fontId="305" fillId="67" borderId="34"/>
    <xf numFmtId="0" fontId="305" fillId="0" borderId="0"/>
    <xf numFmtId="0" fontId="305" fillId="0" borderId="0"/>
    <xf numFmtId="0" fontId="305" fillId="0" borderId="0"/>
    <xf numFmtId="0" fontId="305" fillId="67" borderId="34"/>
    <xf numFmtId="0" fontId="305" fillId="0" borderId="0"/>
    <xf numFmtId="0" fontId="305" fillId="0" borderId="0"/>
    <xf numFmtId="0" fontId="253" fillId="0" borderId="295"/>
    <xf numFmtId="0" fontId="305" fillId="0" borderId="0"/>
    <xf numFmtId="0" fontId="33" fillId="0" borderId="0"/>
    <xf numFmtId="0" fontId="7" fillId="0" borderId="0"/>
    <xf numFmtId="0" fontId="305" fillId="67" borderId="34"/>
    <xf numFmtId="0" fontId="305" fillId="67" borderId="34"/>
    <xf numFmtId="0" fontId="23" fillId="0" borderId="0"/>
    <xf numFmtId="0" fontId="305" fillId="67" borderId="34"/>
    <xf numFmtId="0" fontId="305" fillId="67" borderId="34"/>
    <xf numFmtId="0" fontId="7" fillId="0" borderId="0"/>
    <xf numFmtId="0" fontId="23" fillId="0" borderId="0"/>
    <xf numFmtId="0" fontId="305" fillId="67" borderId="34"/>
    <xf numFmtId="0" fontId="305" fillId="67" borderId="34"/>
    <xf numFmtId="0" fontId="253" fillId="0" borderId="295"/>
    <xf numFmtId="0" fontId="305" fillId="0" borderId="0"/>
    <xf numFmtId="0" fontId="274" fillId="0" borderId="0"/>
    <xf numFmtId="0" fontId="7" fillId="0" borderId="0"/>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9" fontId="305" fillId="0" borderId="0"/>
    <xf numFmtId="0" fontId="305" fillId="67" borderId="34"/>
    <xf numFmtId="9" fontId="305" fillId="0" borderId="0"/>
    <xf numFmtId="0" fontId="305" fillId="67" borderId="34"/>
    <xf numFmtId="9" fontId="305" fillId="0" borderId="0"/>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9" fontId="33" fillId="0" borderId="0"/>
    <xf numFmtId="0" fontId="305" fillId="67" borderId="34"/>
    <xf numFmtId="9" fontId="33" fillId="0" borderId="0"/>
    <xf numFmtId="0" fontId="305" fillId="67" borderId="34"/>
    <xf numFmtId="0" fontId="253" fillId="0" borderId="295"/>
    <xf numFmtId="0" fontId="305" fillId="67" borderId="34"/>
    <xf numFmtId="0" fontId="305" fillId="67" borderId="34"/>
    <xf numFmtId="0" fontId="305" fillId="67" borderId="34"/>
    <xf numFmtId="9" fontId="305" fillId="0" borderId="0"/>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254" fillId="65" borderId="296"/>
    <xf numFmtId="0" fontId="305" fillId="67" borderId="34"/>
    <xf numFmtId="0" fontId="305" fillId="67" borderId="34"/>
    <xf numFmtId="0" fontId="253" fillId="0" borderId="295"/>
    <xf numFmtId="0" fontId="254" fillId="65" borderId="296"/>
    <xf numFmtId="0" fontId="254" fillId="65" borderId="296"/>
    <xf numFmtId="0" fontId="305" fillId="67" borderId="34"/>
    <xf numFmtId="0" fontId="253" fillId="0" borderId="295"/>
    <xf numFmtId="0" fontId="305" fillId="67" borderId="34"/>
    <xf numFmtId="0" fontId="253" fillId="0" borderId="295"/>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4" fillId="65" borderId="296"/>
    <xf numFmtId="0" fontId="254" fillId="65" borderId="296"/>
    <xf numFmtId="0" fontId="305" fillId="67" borderId="34"/>
    <xf numFmtId="0" fontId="253" fillId="0" borderId="295"/>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253" fillId="0" borderId="295"/>
    <xf numFmtId="0" fontId="305" fillId="67" borderId="34"/>
    <xf numFmtId="0" fontId="253" fillId="0" borderId="295"/>
    <xf numFmtId="0" fontId="253" fillId="0" borderId="295"/>
    <xf numFmtId="0" fontId="253" fillId="0" borderId="295"/>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4" fillId="65" borderId="296"/>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9" fontId="305" fillId="0" borderId="0"/>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4" fillId="65" borderId="296"/>
    <xf numFmtId="0" fontId="254" fillId="65" borderId="296"/>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3" fillId="0" borderId="295"/>
    <xf numFmtId="0" fontId="254" fillId="65" borderId="296"/>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63" fillId="0" borderId="0"/>
    <xf numFmtId="0" fontId="305" fillId="67" borderId="34"/>
    <xf numFmtId="0" fontId="263" fillId="0" borderId="0"/>
    <xf numFmtId="0" fontId="305" fillId="67" borderId="34"/>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254" fillId="65" borderId="296"/>
    <xf numFmtId="0" fontId="305" fillId="67" borderId="34"/>
    <xf numFmtId="0" fontId="253" fillId="0" borderId="295"/>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3" fillId="0" borderId="295"/>
    <xf numFmtId="0" fontId="254" fillId="65" borderId="296"/>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4" fillId="65" borderId="296"/>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253" fillId="0" borderId="295"/>
    <xf numFmtId="0" fontId="254" fillId="65" borderId="296"/>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253" fillId="0" borderId="295"/>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253" fillId="0" borderId="295"/>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3" fillId="0" borderId="295"/>
    <xf numFmtId="0" fontId="254" fillId="65" borderId="296"/>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3" fillId="0" borderId="295"/>
    <xf numFmtId="0" fontId="253" fillId="0" borderId="295"/>
    <xf numFmtId="0" fontId="253" fillId="0" borderId="295"/>
    <xf numFmtId="0" fontId="305" fillId="67" borderId="34"/>
    <xf numFmtId="0" fontId="305" fillId="67" borderId="34"/>
    <xf numFmtId="0" fontId="305" fillId="67" borderId="34"/>
    <xf numFmtId="0" fontId="253" fillId="0" borderId="295"/>
    <xf numFmtId="0" fontId="253" fillId="0" borderId="295"/>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4" fillId="65" borderId="296"/>
    <xf numFmtId="0" fontId="305" fillId="67" borderId="34"/>
    <xf numFmtId="0" fontId="253" fillId="0" borderId="295"/>
    <xf numFmtId="0" fontId="253" fillId="0" borderId="295"/>
    <xf numFmtId="0" fontId="305" fillId="67" borderId="34"/>
    <xf numFmtId="0" fontId="253" fillId="0" borderId="295"/>
    <xf numFmtId="0" fontId="253" fillId="0" borderId="295"/>
    <xf numFmtId="0" fontId="305" fillId="67" borderId="34"/>
    <xf numFmtId="0" fontId="253" fillId="0" borderId="295"/>
    <xf numFmtId="0" fontId="253" fillId="0" borderId="295"/>
    <xf numFmtId="0" fontId="253" fillId="0" borderId="295"/>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254" fillId="65" borderId="296"/>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3" fillId="0" borderId="295"/>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254" fillId="65" borderId="296"/>
    <xf numFmtId="0" fontId="305" fillId="67" borderId="34"/>
    <xf numFmtId="0" fontId="253" fillId="0" borderId="295"/>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305" fillId="67" borderId="34"/>
    <xf numFmtId="0" fontId="254" fillId="65" borderId="296"/>
    <xf numFmtId="0" fontId="254" fillId="65" borderId="296"/>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305" fillId="67" borderId="34"/>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9" fontId="305" fillId="0" borderId="0"/>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3" fillId="0" borderId="295"/>
    <xf numFmtId="0" fontId="253" fillId="0" borderId="295"/>
    <xf numFmtId="0" fontId="253" fillId="0" borderId="295"/>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9" fontId="305" fillId="0" borderId="0"/>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4" fillId="65" borderId="296"/>
    <xf numFmtId="0" fontId="253" fillId="0" borderId="295"/>
    <xf numFmtId="0" fontId="254" fillId="65" borderId="296"/>
    <xf numFmtId="0" fontId="254" fillId="65" borderId="296"/>
    <xf numFmtId="0" fontId="254" fillId="65" borderId="296"/>
    <xf numFmtId="0" fontId="253" fillId="0" borderId="295"/>
    <xf numFmtId="0" fontId="254" fillId="65" borderId="296"/>
    <xf numFmtId="0" fontId="253" fillId="0" borderId="295"/>
    <xf numFmtId="0" fontId="254" fillId="65" borderId="296"/>
    <xf numFmtId="0" fontId="254" fillId="65" borderId="296"/>
    <xf numFmtId="0" fontId="254" fillId="65" borderId="296"/>
    <xf numFmtId="9" fontId="25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305" fillId="0" borderId="0"/>
    <xf numFmtId="9" fontId="258" fillId="0" borderId="0"/>
    <xf numFmtId="9" fontId="255" fillId="0" borderId="0"/>
    <xf numFmtId="9" fontId="305" fillId="0" borderId="0"/>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53" fillId="0" borderId="295"/>
    <xf numFmtId="0" fontId="268" fillId="0" borderId="0"/>
    <xf numFmtId="0" fontId="268" fillId="0" borderId="0"/>
  </cellStyleXfs>
  <cellXfs count="4894">
    <xf numFmtId="0" fontId="0" fillId="0" borderId="0" xfId="0"/>
    <xf numFmtId="0" fontId="0" fillId="0" borderId="0" xfId="17399" applyFont="1"/>
    <xf numFmtId="0" fontId="1" fillId="0" borderId="0" xfId="17399" applyFont="1"/>
    <xf numFmtId="0" fontId="2" fillId="2" borderId="0" xfId="17399" applyFont="1" applyFill="1" applyProtection="1">
      <protection hidden="1"/>
    </xf>
    <xf numFmtId="0" fontId="3" fillId="2" borderId="0" xfId="17399" applyFont="1" applyFill="1" applyProtection="1">
      <protection hidden="1"/>
    </xf>
    <xf numFmtId="0" fontId="0" fillId="3" borderId="0" xfId="17399" applyFont="1" applyFill="1" applyProtection="1">
      <protection hidden="1"/>
    </xf>
    <xf numFmtId="0" fontId="0" fillId="0" borderId="0" xfId="17399" applyFont="1" applyProtection="1">
      <protection hidden="1"/>
    </xf>
    <xf numFmtId="0" fontId="3" fillId="2" borderId="0" xfId="17399" applyFont="1" applyFill="1" applyAlignment="1" applyProtection="1">
      <alignment horizontal="left"/>
      <protection hidden="1"/>
    </xf>
    <xf numFmtId="0" fontId="4" fillId="3" borderId="0" xfId="17399" applyFont="1" applyFill="1" applyAlignment="1" applyProtection="1">
      <alignment horizontal="center"/>
      <protection hidden="1"/>
    </xf>
    <xf numFmtId="0" fontId="7" fillId="3" borderId="0" xfId="17399" applyFont="1" applyFill="1" applyProtection="1">
      <protection hidden="1"/>
    </xf>
    <xf numFmtId="0" fontId="10" fillId="0" borderId="0" xfId="17399" applyFont="1" applyAlignment="1" applyProtection="1">
      <alignment horizontal="center"/>
      <protection hidden="1"/>
    </xf>
    <xf numFmtId="0" fontId="10" fillId="0" borderId="0" xfId="17399" applyFont="1" applyProtection="1">
      <protection hidden="1"/>
    </xf>
    <xf numFmtId="168" fontId="10" fillId="0" borderId="1" xfId="17399" applyNumberFormat="1" applyFont="1" applyBorder="1" applyAlignment="1" applyProtection="1">
      <alignment horizontal="center"/>
      <protection hidden="1"/>
    </xf>
    <xf numFmtId="168" fontId="10" fillId="0" borderId="2" xfId="17399" applyNumberFormat="1" applyFont="1" applyBorder="1" applyAlignment="1" applyProtection="1">
      <alignment horizontal="center"/>
      <protection hidden="1"/>
    </xf>
    <xf numFmtId="0" fontId="9" fillId="0" borderId="3" xfId="17399" applyFont="1" applyBorder="1" applyProtection="1">
      <protection hidden="1"/>
    </xf>
    <xf numFmtId="0" fontId="10" fillId="0" borderId="4" xfId="17399" applyFont="1" applyBorder="1" applyAlignment="1" applyProtection="1">
      <alignment horizontal="center"/>
      <protection hidden="1"/>
    </xf>
    <xf numFmtId="0" fontId="10" fillId="0" borderId="4" xfId="17399" applyFont="1" applyBorder="1" applyProtection="1">
      <protection hidden="1"/>
    </xf>
    <xf numFmtId="0" fontId="9" fillId="0" borderId="5" xfId="17399" applyFont="1" applyBorder="1" applyProtection="1">
      <protection hidden="1"/>
    </xf>
    <xf numFmtId="0" fontId="10" fillId="0" borderId="6" xfId="17399" applyFont="1" applyBorder="1" applyAlignment="1" applyProtection="1">
      <alignment horizontal="center"/>
      <protection hidden="1"/>
    </xf>
    <xf numFmtId="0" fontId="10" fillId="0" borderId="6" xfId="17399" applyFont="1" applyBorder="1" applyProtection="1">
      <protection hidden="1"/>
    </xf>
    <xf numFmtId="0" fontId="9" fillId="0" borderId="7" xfId="17399" applyFont="1" applyBorder="1" applyProtection="1">
      <protection hidden="1"/>
    </xf>
    <xf numFmtId="0" fontId="10" fillId="0" borderId="8" xfId="17399" applyFont="1" applyBorder="1" applyAlignment="1" applyProtection="1">
      <alignment horizontal="center"/>
      <protection hidden="1"/>
    </xf>
    <xf numFmtId="0" fontId="10" fillId="0" borderId="8" xfId="17399" applyFont="1" applyBorder="1" applyProtection="1">
      <protection hidden="1"/>
    </xf>
    <xf numFmtId="168" fontId="10" fillId="0" borderId="9" xfId="17399" applyNumberFormat="1" applyFont="1" applyBorder="1" applyAlignment="1" applyProtection="1">
      <alignment horizontal="center"/>
      <protection hidden="1"/>
    </xf>
    <xf numFmtId="168" fontId="10" fillId="0" borderId="10" xfId="17399" applyNumberFormat="1" applyFont="1" applyBorder="1" applyAlignment="1" applyProtection="1">
      <alignment horizontal="center"/>
      <protection hidden="1"/>
    </xf>
    <xf numFmtId="168" fontId="10" fillId="0" borderId="11" xfId="17399" applyNumberFormat="1" applyFont="1" applyBorder="1" applyAlignment="1" applyProtection="1">
      <alignment horizontal="center"/>
      <protection hidden="1"/>
    </xf>
    <xf numFmtId="168" fontId="10" fillId="0" borderId="12" xfId="17399" applyNumberFormat="1" applyFont="1" applyBorder="1" applyAlignment="1" applyProtection="1">
      <alignment horizontal="center"/>
      <protection hidden="1"/>
    </xf>
    <xf numFmtId="168" fontId="10" fillId="0" borderId="13" xfId="17399" applyNumberFormat="1" applyFont="1" applyBorder="1" applyAlignment="1" applyProtection="1">
      <alignment horizontal="center"/>
      <protection hidden="1"/>
    </xf>
    <xf numFmtId="168" fontId="10" fillId="0" borderId="14" xfId="17399" applyNumberFormat="1" applyFont="1" applyBorder="1" applyAlignment="1" applyProtection="1">
      <alignment horizontal="center"/>
      <protection hidden="1"/>
    </xf>
    <xf numFmtId="168" fontId="10" fillId="0" borderId="15" xfId="17399" applyNumberFormat="1" applyFont="1" applyBorder="1" applyAlignment="1" applyProtection="1">
      <alignment horizontal="center"/>
      <protection hidden="1"/>
    </xf>
    <xf numFmtId="168" fontId="10" fillId="0" borderId="16" xfId="17399" applyNumberFormat="1" applyFont="1" applyBorder="1" applyAlignment="1" applyProtection="1">
      <alignment horizontal="center"/>
      <protection hidden="1"/>
    </xf>
    <xf numFmtId="0" fontId="4" fillId="3" borderId="0" xfId="17399" applyFont="1" applyFill="1" applyProtection="1">
      <protection hidden="1"/>
    </xf>
    <xf numFmtId="0" fontId="11" fillId="3" borderId="0" xfId="17399" applyFont="1" applyFill="1" applyAlignment="1" applyProtection="1">
      <alignment horizontal="center"/>
      <protection hidden="1"/>
    </xf>
    <xf numFmtId="0" fontId="6" fillId="3" borderId="0" xfId="17399" applyFont="1" applyFill="1" applyProtection="1">
      <protection hidden="1"/>
    </xf>
    <xf numFmtId="0" fontId="10" fillId="0" borderId="18" xfId="17399" applyFont="1" applyBorder="1" applyAlignment="1" applyProtection="1">
      <alignment horizontal="center"/>
      <protection hidden="1"/>
    </xf>
    <xf numFmtId="1" fontId="10" fillId="0" borderId="1" xfId="17399" applyNumberFormat="1" applyFont="1" applyBorder="1" applyAlignment="1" applyProtection="1">
      <alignment horizontal="center"/>
      <protection hidden="1"/>
    </xf>
    <xf numFmtId="0" fontId="10" fillId="0" borderId="2" xfId="17399" applyFont="1" applyBorder="1" applyAlignment="1" applyProtection="1">
      <alignment horizontal="center"/>
      <protection hidden="1"/>
    </xf>
    <xf numFmtId="168" fontId="10" fillId="0" borderId="19" xfId="17399" applyNumberFormat="1" applyFont="1" applyBorder="1" applyAlignment="1" applyProtection="1">
      <alignment horizontal="center"/>
      <protection hidden="1"/>
    </xf>
    <xf numFmtId="0" fontId="10" fillId="0" borderId="3" xfId="17399" applyFont="1" applyBorder="1" applyAlignment="1" applyProtection="1">
      <alignment horizontal="center"/>
      <protection hidden="1"/>
    </xf>
    <xf numFmtId="0" fontId="10" fillId="0" borderId="20" xfId="17399" applyFont="1" applyBorder="1" applyAlignment="1" applyProtection="1">
      <alignment horizontal="center"/>
      <protection hidden="1"/>
    </xf>
    <xf numFmtId="0" fontId="10" fillId="0" borderId="5" xfId="17399" applyFont="1" applyBorder="1" applyAlignment="1" applyProtection="1">
      <alignment horizontal="center"/>
      <protection hidden="1"/>
    </xf>
    <xf numFmtId="0" fontId="10" fillId="0" borderId="21" xfId="17399" applyFont="1" applyBorder="1" applyAlignment="1" applyProtection="1">
      <alignment horizontal="center"/>
      <protection hidden="1"/>
    </xf>
    <xf numFmtId="0" fontId="10" fillId="0" borderId="7" xfId="17399" applyFont="1" applyBorder="1" applyAlignment="1" applyProtection="1">
      <alignment horizontal="center"/>
      <protection hidden="1"/>
    </xf>
    <xf numFmtId="0" fontId="10" fillId="0" borderId="22" xfId="17399" applyFont="1" applyBorder="1" applyAlignment="1" applyProtection="1">
      <alignment horizontal="center"/>
      <protection hidden="1"/>
    </xf>
    <xf numFmtId="1" fontId="10" fillId="0" borderId="9" xfId="17399" applyNumberFormat="1" applyFont="1" applyBorder="1" applyAlignment="1" applyProtection="1">
      <alignment horizontal="center"/>
      <protection hidden="1"/>
    </xf>
    <xf numFmtId="0" fontId="10" fillId="0" borderId="10" xfId="17399" applyFont="1" applyBorder="1" applyAlignment="1" applyProtection="1">
      <alignment horizontal="center"/>
      <protection hidden="1"/>
    </xf>
    <xf numFmtId="168" fontId="10" fillId="0" borderId="23" xfId="17399" applyNumberFormat="1" applyFont="1" applyBorder="1" applyAlignment="1" applyProtection="1">
      <alignment horizontal="center"/>
      <protection hidden="1"/>
    </xf>
    <xf numFmtId="1" fontId="10" fillId="0" borderId="11" xfId="17399" applyNumberFormat="1" applyFont="1" applyBorder="1" applyAlignment="1" applyProtection="1">
      <alignment horizontal="center"/>
      <protection hidden="1"/>
    </xf>
    <xf numFmtId="0" fontId="10" fillId="0" borderId="12" xfId="17399" applyFont="1" applyBorder="1" applyAlignment="1" applyProtection="1">
      <alignment horizontal="center"/>
      <protection hidden="1"/>
    </xf>
    <xf numFmtId="168" fontId="10" fillId="0" borderId="24" xfId="17399" applyNumberFormat="1" applyFont="1" applyBorder="1" applyAlignment="1" applyProtection="1">
      <alignment horizontal="center"/>
      <protection hidden="1"/>
    </xf>
    <xf numFmtId="1" fontId="10" fillId="0" borderId="13" xfId="17399" applyNumberFormat="1" applyFont="1" applyBorder="1" applyAlignment="1" applyProtection="1">
      <alignment horizontal="center"/>
      <protection hidden="1"/>
    </xf>
    <xf numFmtId="0" fontId="10" fillId="0" borderId="14" xfId="17399" applyFont="1" applyBorder="1" applyAlignment="1" applyProtection="1">
      <alignment horizontal="center"/>
      <protection hidden="1"/>
    </xf>
    <xf numFmtId="168" fontId="10" fillId="0" borderId="25" xfId="17399" applyNumberFormat="1" applyFont="1" applyBorder="1" applyAlignment="1" applyProtection="1">
      <alignment horizontal="center"/>
      <protection hidden="1"/>
    </xf>
    <xf numFmtId="1" fontId="10" fillId="0" borderId="15" xfId="17399" applyNumberFormat="1" applyFont="1" applyBorder="1" applyAlignment="1" applyProtection="1">
      <alignment horizontal="center"/>
      <protection hidden="1"/>
    </xf>
    <xf numFmtId="0" fontId="10" fillId="0" borderId="16" xfId="17399" applyFont="1" applyBorder="1" applyAlignment="1" applyProtection="1">
      <alignment horizontal="center"/>
      <protection hidden="1"/>
    </xf>
    <xf numFmtId="168" fontId="10" fillId="0" borderId="26" xfId="17399" applyNumberFormat="1" applyFont="1" applyBorder="1" applyAlignment="1" applyProtection="1">
      <alignment horizontal="center"/>
      <protection hidden="1"/>
    </xf>
    <xf numFmtId="0" fontId="10" fillId="0" borderId="0" xfId="17399" applyFont="1" applyAlignment="1" applyProtection="1">
      <alignment horizontal="left"/>
      <protection hidden="1"/>
    </xf>
    <xf numFmtId="0" fontId="10" fillId="0" borderId="6" xfId="17399" applyFont="1" applyBorder="1" applyAlignment="1" applyProtection="1">
      <alignment horizontal="left"/>
      <protection hidden="1"/>
    </xf>
    <xf numFmtId="0" fontId="10" fillId="0" borderId="4" xfId="17399" applyFont="1" applyBorder="1" applyAlignment="1" applyProtection="1">
      <alignment horizontal="left"/>
      <protection hidden="1"/>
    </xf>
    <xf numFmtId="0" fontId="9" fillId="0" borderId="27" xfId="17399" applyFont="1" applyBorder="1" applyProtection="1">
      <protection hidden="1"/>
    </xf>
    <xf numFmtId="0" fontId="10" fillId="0" borderId="17" xfId="17399" applyFont="1" applyBorder="1" applyAlignment="1" applyProtection="1">
      <alignment horizontal="center"/>
      <protection hidden="1"/>
    </xf>
    <xf numFmtId="0" fontId="10" fillId="0" borderId="17" xfId="17399" applyFont="1" applyBorder="1" applyProtection="1">
      <protection hidden="1"/>
    </xf>
    <xf numFmtId="0" fontId="13" fillId="2" borderId="29" xfId="17399" applyFont="1" applyFill="1" applyBorder="1" applyAlignment="1" applyProtection="1">
      <alignment vertical="top"/>
      <protection hidden="1"/>
    </xf>
    <xf numFmtId="0" fontId="0" fillId="2" borderId="0" xfId="6465" applyFont="1" applyFill="1" applyProtection="1">
      <protection hidden="1"/>
    </xf>
    <xf numFmtId="0" fontId="16" fillId="2" borderId="0" xfId="6465" applyFont="1" applyFill="1" applyProtection="1">
      <protection hidden="1"/>
    </xf>
    <xf numFmtId="0" fontId="10" fillId="3" borderId="0" xfId="6465" applyFont="1" applyFill="1" applyProtection="1">
      <protection hidden="1"/>
    </xf>
    <xf numFmtId="0" fontId="1" fillId="2" borderId="0" xfId="17399" applyFont="1" applyFill="1" applyProtection="1">
      <protection hidden="1"/>
    </xf>
    <xf numFmtId="0" fontId="0" fillId="3" borderId="0" xfId="6465" applyFont="1" applyFill="1" applyProtection="1">
      <protection hidden="1"/>
    </xf>
    <xf numFmtId="0" fontId="18" fillId="2" borderId="0" xfId="6465" applyFont="1" applyFill="1" applyAlignment="1" applyProtection="1">
      <alignment horizontal="left"/>
      <protection hidden="1"/>
    </xf>
    <xf numFmtId="0" fontId="21" fillId="2" borderId="0" xfId="6465" applyFont="1" applyFill="1" applyProtection="1">
      <protection hidden="1"/>
    </xf>
    <xf numFmtId="0" fontId="0" fillId="0" borderId="0" xfId="6465" applyFont="1" applyProtection="1">
      <protection hidden="1"/>
    </xf>
    <xf numFmtId="0" fontId="0" fillId="2" borderId="0" xfId="6465" applyFont="1" applyFill="1" applyAlignment="1" applyProtection="1">
      <alignment horizontal="right"/>
      <protection hidden="1"/>
    </xf>
    <xf numFmtId="0" fontId="23" fillId="2" borderId="0" xfId="6465" applyFont="1" applyFill="1" applyProtection="1">
      <protection hidden="1"/>
    </xf>
    <xf numFmtId="0" fontId="7" fillId="2" borderId="0" xfId="6465" applyFill="1" applyProtection="1">
      <protection hidden="1"/>
    </xf>
    <xf numFmtId="0" fontId="7" fillId="2" borderId="0" xfId="17399" applyFont="1" applyFill="1" applyProtection="1">
      <protection hidden="1"/>
    </xf>
    <xf numFmtId="0" fontId="13" fillId="2" borderId="0" xfId="17399" applyFont="1" applyFill="1" applyAlignment="1" applyProtection="1">
      <alignment vertical="center"/>
      <protection hidden="1"/>
    </xf>
    <xf numFmtId="0" fontId="17" fillId="2" borderId="0" xfId="17399" applyFont="1" applyFill="1" applyProtection="1">
      <protection hidden="1"/>
    </xf>
    <xf numFmtId="0" fontId="13" fillId="2" borderId="0" xfId="17399" applyFont="1" applyFill="1" applyAlignment="1" applyProtection="1">
      <alignment vertical="top"/>
      <protection hidden="1"/>
    </xf>
    <xf numFmtId="0" fontId="7" fillId="0" borderId="0" xfId="6465"/>
    <xf numFmtId="0" fontId="0" fillId="0" borderId="0" xfId="16625" applyFont="1"/>
    <xf numFmtId="0" fontId="305" fillId="4" borderId="0" xfId="16065" applyFill="1" applyProtection="1">
      <protection hidden="1"/>
    </xf>
    <xf numFmtId="0" fontId="16" fillId="4" borderId="0" xfId="16065" applyFont="1" applyFill="1" applyAlignment="1" applyProtection="1">
      <alignment horizontal="center"/>
      <protection hidden="1"/>
    </xf>
    <xf numFmtId="0" fontId="0" fillId="4" borderId="0" xfId="16625" applyFont="1" applyFill="1" applyAlignment="1" applyProtection="1">
      <alignment horizontal="center"/>
      <protection hidden="1"/>
    </xf>
    <xf numFmtId="0" fontId="7" fillId="0" borderId="0" xfId="6465" applyProtection="1">
      <protection hidden="1"/>
    </xf>
    <xf numFmtId="0" fontId="305" fillId="4" borderId="0" xfId="16065" applyFill="1" applyAlignment="1" applyProtection="1">
      <alignment horizontal="center"/>
      <protection hidden="1"/>
    </xf>
    <xf numFmtId="0" fontId="29" fillId="4" borderId="0" xfId="16625" applyFont="1" applyFill="1" applyProtection="1">
      <protection hidden="1"/>
    </xf>
    <xf numFmtId="169" fontId="305" fillId="5" borderId="32" xfId="16065" applyNumberFormat="1" applyFill="1" applyBorder="1" applyAlignment="1" applyProtection="1">
      <alignment horizontal="center" wrapText="1"/>
      <protection hidden="1"/>
    </xf>
    <xf numFmtId="0" fontId="305" fillId="4" borderId="0" xfId="16065" applyFill="1" applyAlignment="1" applyProtection="1">
      <alignment horizontal="right"/>
      <protection hidden="1"/>
    </xf>
    <xf numFmtId="0" fontId="305" fillId="5" borderId="32" xfId="16065" applyFill="1" applyBorder="1" applyAlignment="1" applyProtection="1">
      <alignment horizontal="center"/>
      <protection locked="0"/>
    </xf>
    <xf numFmtId="0" fontId="30" fillId="4" borderId="0" xfId="16065" applyFont="1" applyFill="1" applyProtection="1">
      <protection hidden="1"/>
    </xf>
    <xf numFmtId="0" fontId="24" fillId="4" borderId="0" xfId="16065" applyFont="1" applyFill="1" applyProtection="1">
      <protection hidden="1"/>
    </xf>
    <xf numFmtId="0" fontId="23" fillId="0" borderId="32" xfId="16065" applyFont="1" applyBorder="1" applyAlignment="1" applyProtection="1">
      <alignment horizontal="center"/>
      <protection hidden="1"/>
    </xf>
    <xf numFmtId="49" fontId="23" fillId="0" borderId="32" xfId="16065" applyNumberFormat="1" applyFont="1" applyBorder="1" applyAlignment="1" applyProtection="1">
      <alignment horizontal="center"/>
      <protection hidden="1"/>
    </xf>
    <xf numFmtId="0" fontId="32" fillId="7" borderId="32" xfId="16065" applyFont="1" applyFill="1" applyBorder="1" applyAlignment="1" applyProtection="1">
      <alignment horizontal="center"/>
      <protection hidden="1"/>
    </xf>
    <xf numFmtId="0" fontId="33" fillId="0" borderId="32" xfId="16065" applyFont="1" applyBorder="1" applyAlignment="1" applyProtection="1">
      <alignment horizontal="center"/>
      <protection hidden="1"/>
    </xf>
    <xf numFmtId="0" fontId="33" fillId="7" borderId="32" xfId="16065" applyFont="1" applyFill="1" applyBorder="1" applyAlignment="1" applyProtection="1">
      <alignment horizontal="center"/>
      <protection hidden="1"/>
    </xf>
    <xf numFmtId="49" fontId="34" fillId="7" borderId="32" xfId="16065" applyNumberFormat="1" applyFont="1" applyFill="1" applyBorder="1" applyAlignment="1" applyProtection="1">
      <alignment horizontal="center"/>
      <protection hidden="1"/>
    </xf>
    <xf numFmtId="0" fontId="33" fillId="0" borderId="32" xfId="16065" applyFont="1" applyBorder="1" applyAlignment="1" applyProtection="1">
      <alignment wrapText="1"/>
      <protection hidden="1"/>
    </xf>
    <xf numFmtId="168" fontId="33" fillId="0" borderId="32" xfId="16065" applyNumberFormat="1" applyFont="1" applyBorder="1" applyAlignment="1" applyProtection="1">
      <alignment horizontal="center" vertical="center"/>
      <protection hidden="1"/>
    </xf>
    <xf numFmtId="0" fontId="31" fillId="0" borderId="32" xfId="16065" applyFont="1" applyBorder="1" applyProtection="1">
      <protection hidden="1"/>
    </xf>
    <xf numFmtId="0" fontId="33" fillId="7" borderId="32" xfId="16065" applyFont="1" applyFill="1" applyBorder="1" applyProtection="1">
      <protection hidden="1"/>
    </xf>
    <xf numFmtId="0" fontId="32" fillId="7" borderId="32" xfId="16065" applyFont="1" applyFill="1" applyBorder="1" applyProtection="1">
      <protection hidden="1"/>
    </xf>
    <xf numFmtId="1" fontId="31" fillId="0" borderId="32" xfId="6465" applyNumberFormat="1" applyFont="1" applyBorder="1" applyAlignment="1" applyProtection="1">
      <alignment horizontal="center" vertical="center"/>
      <protection hidden="1"/>
    </xf>
    <xf numFmtId="0" fontId="31" fillId="4" borderId="32" xfId="16065" applyFont="1" applyFill="1" applyBorder="1" applyProtection="1">
      <protection hidden="1"/>
    </xf>
    <xf numFmtId="0" fontId="1" fillId="4" borderId="0" xfId="16065" applyFont="1" applyFill="1" applyProtection="1">
      <protection hidden="1"/>
    </xf>
    <xf numFmtId="170" fontId="31" fillId="9" borderId="32" xfId="6465" applyNumberFormat="1" applyFont="1" applyFill="1" applyBorder="1" applyAlignment="1" applyProtection="1">
      <alignment horizontal="center" vertical="center"/>
      <protection hidden="1"/>
    </xf>
    <xf numFmtId="170" fontId="31" fillId="9" borderId="32" xfId="6465" applyNumberFormat="1" applyFont="1" applyFill="1" applyBorder="1" applyAlignment="1" applyProtection="1">
      <alignment horizontal="center"/>
      <protection hidden="1"/>
    </xf>
    <xf numFmtId="0" fontId="31" fillId="9" borderId="0" xfId="6465" applyFont="1" applyFill="1" applyAlignment="1" applyProtection="1">
      <alignment horizontal="left"/>
      <protection hidden="1"/>
    </xf>
    <xf numFmtId="170" fontId="31" fillId="9" borderId="0" xfId="6465" applyNumberFormat="1" applyFont="1" applyFill="1" applyAlignment="1" applyProtection="1">
      <alignment horizontal="center"/>
      <protection hidden="1"/>
    </xf>
    <xf numFmtId="0" fontId="33" fillId="4" borderId="0" xfId="16065" applyFont="1" applyFill="1" applyProtection="1">
      <protection hidden="1"/>
    </xf>
    <xf numFmtId="168" fontId="33" fillId="4" borderId="0" xfId="16065" applyNumberFormat="1" applyFont="1" applyFill="1" applyProtection="1">
      <protection hidden="1"/>
    </xf>
    <xf numFmtId="1" fontId="33" fillId="4" borderId="0" xfId="16065" applyNumberFormat="1" applyFont="1" applyFill="1" applyProtection="1">
      <protection hidden="1"/>
    </xf>
    <xf numFmtId="0" fontId="0" fillId="4" borderId="0" xfId="6465" applyFont="1" applyFill="1" applyProtection="1">
      <protection hidden="1"/>
    </xf>
    <xf numFmtId="0" fontId="7" fillId="4" borderId="0" xfId="6465" applyFill="1" applyAlignment="1" applyProtection="1">
      <alignment horizontal="right"/>
      <protection hidden="1"/>
    </xf>
    <xf numFmtId="0" fontId="7" fillId="4" borderId="0" xfId="6465" applyFill="1" applyProtection="1">
      <protection hidden="1"/>
    </xf>
    <xf numFmtId="0" fontId="38" fillId="4" borderId="0" xfId="6465" applyFont="1" applyFill="1" applyAlignment="1" applyProtection="1">
      <alignment wrapText="1"/>
      <protection hidden="1"/>
    </xf>
    <xf numFmtId="0" fontId="39" fillId="2" borderId="0" xfId="16065" applyFont="1" applyFill="1" applyAlignment="1" applyProtection="1">
      <alignment vertical="center" wrapText="1"/>
      <protection hidden="1"/>
    </xf>
    <xf numFmtId="0" fontId="39" fillId="4" borderId="0" xfId="16065" applyFont="1" applyFill="1" applyAlignment="1" applyProtection="1">
      <alignment vertical="center" wrapText="1"/>
      <protection hidden="1"/>
    </xf>
    <xf numFmtId="0" fontId="7" fillId="3" borderId="0" xfId="6465" applyFill="1" applyProtection="1">
      <protection hidden="1"/>
    </xf>
    <xf numFmtId="0" fontId="40" fillId="9" borderId="32" xfId="16065" applyFont="1" applyFill="1" applyBorder="1" applyAlignment="1" applyProtection="1">
      <alignment horizontal="center" wrapText="1"/>
      <protection hidden="1"/>
    </xf>
    <xf numFmtId="0" fontId="41" fillId="9" borderId="32" xfId="16065" applyFont="1" applyFill="1" applyBorder="1" applyAlignment="1" applyProtection="1">
      <alignment horizontal="center" wrapText="1"/>
      <protection hidden="1"/>
    </xf>
    <xf numFmtId="0" fontId="19" fillId="4" borderId="0" xfId="69" applyFont="1" applyFill="1" applyAlignment="1" applyProtection="1">
      <alignment horizontal="right"/>
      <protection hidden="1"/>
    </xf>
    <xf numFmtId="0" fontId="7" fillId="4" borderId="0" xfId="16065" applyFont="1" applyFill="1" applyAlignment="1" applyProtection="1">
      <alignment wrapText="1"/>
      <protection hidden="1"/>
    </xf>
    <xf numFmtId="0" fontId="12" fillId="4" borderId="0" xfId="16065" applyFont="1" applyFill="1" applyAlignment="1" applyProtection="1">
      <alignment vertical="center"/>
      <protection hidden="1"/>
    </xf>
    <xf numFmtId="0" fontId="0" fillId="4" borderId="0" xfId="16065" applyFont="1" applyFill="1" applyAlignment="1" applyProtection="1">
      <alignment vertical="center"/>
      <protection hidden="1"/>
    </xf>
    <xf numFmtId="0" fontId="0" fillId="4" borderId="18" xfId="16065" applyFont="1" applyFill="1" applyBorder="1" applyAlignment="1" applyProtection="1">
      <alignment vertical="center"/>
      <protection hidden="1"/>
    </xf>
    <xf numFmtId="0" fontId="305" fillId="4" borderId="0" xfId="16065" applyFill="1" applyAlignment="1" applyProtection="1">
      <alignment vertical="top" wrapText="1"/>
      <protection hidden="1"/>
    </xf>
    <xf numFmtId="0" fontId="305" fillId="4" borderId="18" xfId="16065" applyFill="1" applyBorder="1" applyAlignment="1" applyProtection="1">
      <alignment vertical="top" wrapText="1"/>
      <protection hidden="1"/>
    </xf>
    <xf numFmtId="0" fontId="305" fillId="4" borderId="17" xfId="16065" applyFill="1" applyBorder="1" applyAlignment="1" applyProtection="1">
      <alignment vertical="top" wrapText="1"/>
      <protection hidden="1"/>
    </xf>
    <xf numFmtId="0" fontId="305" fillId="4" borderId="28" xfId="16065" applyFill="1" applyBorder="1" applyAlignment="1" applyProtection="1">
      <alignment vertical="top" wrapText="1"/>
      <protection hidden="1"/>
    </xf>
    <xf numFmtId="0" fontId="46" fillId="4" borderId="0" xfId="16065" applyFont="1" applyFill="1" applyProtection="1">
      <protection hidden="1"/>
    </xf>
    <xf numFmtId="0" fontId="19" fillId="4" borderId="0" xfId="69" applyFont="1" applyFill="1" applyAlignment="1" applyProtection="1">
      <protection hidden="1"/>
    </xf>
    <xf numFmtId="0" fontId="0" fillId="0" borderId="0" xfId="4660" applyFont="1"/>
    <xf numFmtId="0" fontId="7" fillId="0" borderId="0" xfId="17475"/>
    <xf numFmtId="0" fontId="0" fillId="0" borderId="0" xfId="4660" applyFont="1" applyProtection="1">
      <protection hidden="1"/>
    </xf>
    <xf numFmtId="14" fontId="35" fillId="3" borderId="0" xfId="17475" applyNumberFormat="1" applyFont="1" applyFill="1" applyProtection="1">
      <protection hidden="1"/>
    </xf>
    <xf numFmtId="0" fontId="13" fillId="3" borderId="0" xfId="17468" applyFont="1" applyFill="1" applyAlignment="1" applyProtection="1">
      <alignment horizontal="center" wrapText="1"/>
      <protection hidden="1"/>
    </xf>
    <xf numFmtId="169" fontId="10" fillId="3" borderId="0" xfId="17468" applyNumberFormat="1" applyFont="1" applyFill="1" applyAlignment="1" applyProtection="1">
      <alignment horizontal="center"/>
      <protection hidden="1"/>
    </xf>
    <xf numFmtId="0" fontId="10" fillId="3" borderId="0" xfId="17468" applyFont="1" applyFill="1" applyAlignment="1" applyProtection="1">
      <alignment horizontal="center"/>
      <protection hidden="1"/>
    </xf>
    <xf numFmtId="0" fontId="19" fillId="3" borderId="0" xfId="531" applyFont="1" applyFill="1" applyAlignment="1" applyProtection="1">
      <alignment horizontal="left"/>
      <protection hidden="1"/>
    </xf>
    <xf numFmtId="0" fontId="0" fillId="3" borderId="0" xfId="4660" applyFont="1" applyFill="1" applyProtection="1">
      <protection hidden="1"/>
    </xf>
    <xf numFmtId="0" fontId="1" fillId="2" borderId="0" xfId="17468" applyFont="1" applyFill="1" applyProtection="1">
      <protection hidden="1"/>
    </xf>
    <xf numFmtId="0" fontId="305" fillId="2" borderId="0" xfId="17468" applyFill="1" applyAlignment="1" applyProtection="1">
      <alignment horizontal="center"/>
      <protection hidden="1"/>
    </xf>
    <xf numFmtId="0" fontId="0" fillId="4" borderId="0" xfId="8678" applyFont="1" applyFill="1" applyProtection="1">
      <protection hidden="1"/>
    </xf>
    <xf numFmtId="0" fontId="33" fillId="4" borderId="0" xfId="8678" applyFont="1" applyFill="1" applyProtection="1">
      <protection hidden="1"/>
    </xf>
    <xf numFmtId="171" fontId="31" fillId="4" borderId="30" xfId="17468" applyNumberFormat="1" applyFont="1" applyFill="1" applyBorder="1" applyAlignment="1" applyProtection="1">
      <alignment horizontal="center" wrapText="1"/>
      <protection hidden="1"/>
    </xf>
    <xf numFmtId="2" fontId="49" fillId="4" borderId="30" xfId="17468" applyNumberFormat="1" applyFont="1" applyFill="1" applyBorder="1" applyAlignment="1" applyProtection="1">
      <alignment horizontal="center" vertical="center"/>
      <protection hidden="1"/>
    </xf>
    <xf numFmtId="0" fontId="33" fillId="3" borderId="0" xfId="4660" applyFont="1" applyFill="1" applyProtection="1">
      <protection hidden="1"/>
    </xf>
    <xf numFmtId="0" fontId="33" fillId="4" borderId="0" xfId="17468" applyFont="1" applyFill="1" applyProtection="1">
      <protection hidden="1"/>
    </xf>
    <xf numFmtId="2" fontId="33" fillId="4" borderId="0" xfId="17468" applyNumberFormat="1" applyFont="1" applyFill="1" applyProtection="1">
      <protection hidden="1"/>
    </xf>
    <xf numFmtId="0" fontId="33" fillId="2" borderId="0" xfId="8678" applyFont="1" applyFill="1" applyProtection="1">
      <protection hidden="1"/>
    </xf>
    <xf numFmtId="2" fontId="49" fillId="4" borderId="30" xfId="17468" applyNumberFormat="1" applyFont="1" applyFill="1" applyBorder="1" applyAlignment="1" applyProtection="1">
      <alignment horizontal="center"/>
      <protection hidden="1"/>
    </xf>
    <xf numFmtId="169" fontId="33" fillId="4" borderId="0" xfId="17468" applyNumberFormat="1" applyFont="1" applyFill="1" applyProtection="1">
      <protection hidden="1"/>
    </xf>
    <xf numFmtId="0" fontId="31" fillId="3" borderId="18" xfId="4660" applyFont="1" applyFill="1" applyBorder="1" applyAlignment="1" applyProtection="1">
      <alignment horizontal="left"/>
      <protection hidden="1"/>
    </xf>
    <xf numFmtId="0" fontId="0" fillId="4" borderId="0" xfId="17475" applyFont="1" applyFill="1" applyProtection="1">
      <protection hidden="1"/>
    </xf>
    <xf numFmtId="0" fontId="0" fillId="4" borderId="0" xfId="8678" applyFont="1" applyFill="1" applyAlignment="1" applyProtection="1">
      <alignment horizontal="left"/>
      <protection hidden="1"/>
    </xf>
    <xf numFmtId="168" fontId="51" fillId="4" borderId="0" xfId="8678" applyNumberFormat="1" applyFont="1" applyFill="1" applyAlignment="1" applyProtection="1">
      <alignment horizontal="right"/>
      <protection hidden="1"/>
    </xf>
    <xf numFmtId="168" fontId="0" fillId="4" borderId="0" xfId="8678" applyNumberFormat="1" applyFont="1" applyFill="1" applyAlignment="1" applyProtection="1">
      <alignment horizontal="center"/>
      <protection hidden="1"/>
    </xf>
    <xf numFmtId="0" fontId="305" fillId="4" borderId="0" xfId="17468" applyFill="1" applyProtection="1">
      <protection hidden="1"/>
    </xf>
    <xf numFmtId="0" fontId="0" fillId="2" borderId="0" xfId="8678" applyFont="1" applyFill="1" applyProtection="1">
      <protection hidden="1"/>
    </xf>
    <xf numFmtId="0" fontId="1" fillId="2" borderId="0" xfId="4660" applyFont="1" applyFill="1" applyProtection="1">
      <protection hidden="1"/>
    </xf>
    <xf numFmtId="169" fontId="0" fillId="5" borderId="0" xfId="8678" applyNumberFormat="1" applyFont="1" applyFill="1" applyAlignment="1" applyProtection="1">
      <alignment horizontal="right"/>
      <protection locked="0"/>
    </xf>
    <xf numFmtId="0" fontId="0" fillId="4" borderId="0" xfId="17475" applyFont="1" applyFill="1" applyAlignment="1" applyProtection="1">
      <alignment horizontal="left" vertical="top" wrapText="1"/>
      <protection hidden="1"/>
    </xf>
    <xf numFmtId="0" fontId="0" fillId="3" borderId="0" xfId="17475" applyFont="1" applyFill="1" applyAlignment="1" applyProtection="1">
      <alignment horizontal="right"/>
      <protection hidden="1"/>
    </xf>
    <xf numFmtId="0" fontId="0" fillId="5" borderId="0" xfId="17475" applyFont="1" applyFill="1" applyAlignment="1" applyProtection="1">
      <alignment horizontal="right"/>
      <protection locked="0"/>
    </xf>
    <xf numFmtId="0" fontId="7" fillId="3" borderId="0" xfId="4660" applyFont="1" applyFill="1" applyAlignment="1" applyProtection="1">
      <alignment horizontal="left" vertical="top" wrapText="1"/>
      <protection hidden="1"/>
    </xf>
    <xf numFmtId="0" fontId="24" fillId="2" borderId="0" xfId="8678" applyFont="1" applyFill="1" applyProtection="1">
      <protection hidden="1"/>
    </xf>
    <xf numFmtId="0" fontId="7" fillId="3" borderId="0" xfId="17475" applyFill="1" applyProtection="1">
      <protection hidden="1"/>
    </xf>
    <xf numFmtId="0" fontId="55" fillId="2" borderId="0" xfId="16067" applyFont="1" applyFill="1" applyAlignment="1" applyProtection="1">
      <alignment horizontal="center"/>
      <protection hidden="1"/>
    </xf>
    <xf numFmtId="0" fontId="56" fillId="14" borderId="0" xfId="17475" applyFont="1" applyFill="1" applyAlignment="1" applyProtection="1">
      <alignment vertical="center" wrapText="1"/>
      <protection hidden="1"/>
    </xf>
    <xf numFmtId="0" fontId="305" fillId="4" borderId="0" xfId="17468" applyFill="1" applyAlignment="1" applyProtection="1">
      <alignment horizontal="center"/>
      <protection hidden="1"/>
    </xf>
    <xf numFmtId="0" fontId="58" fillId="3" borderId="0" xfId="17475" applyFont="1" applyFill="1" applyProtection="1">
      <protection hidden="1"/>
    </xf>
    <xf numFmtId="0" fontId="59" fillId="3" borderId="0" xfId="4660" applyFont="1" applyFill="1" applyAlignment="1" applyProtection="1">
      <alignment horizontal="left"/>
      <protection hidden="1"/>
    </xf>
    <xf numFmtId="0" fontId="59" fillId="0" borderId="0" xfId="17475" applyFont="1" applyAlignment="1" applyProtection="1">
      <alignment horizontal="left"/>
      <protection hidden="1"/>
    </xf>
    <xf numFmtId="1" fontId="51" fillId="4" borderId="0" xfId="17468" applyNumberFormat="1" applyFont="1" applyFill="1" applyProtection="1">
      <protection hidden="1"/>
    </xf>
    <xf numFmtId="0" fontId="59" fillId="3" borderId="0" xfId="17475" applyFont="1" applyFill="1" applyAlignment="1" applyProtection="1">
      <alignment horizontal="left"/>
      <protection hidden="1"/>
    </xf>
    <xf numFmtId="0" fontId="23" fillId="3" borderId="0" xfId="17475" applyFont="1" applyFill="1" applyProtection="1">
      <protection hidden="1"/>
    </xf>
    <xf numFmtId="0" fontId="0" fillId="4" borderId="0" xfId="4660" applyFont="1" applyFill="1" applyProtection="1">
      <protection hidden="1"/>
    </xf>
    <xf numFmtId="0" fontId="0" fillId="2" borderId="0" xfId="4660" applyFont="1" applyFill="1" applyAlignment="1" applyProtection="1">
      <alignment vertical="top" wrapText="1" shrinkToFit="1"/>
      <protection hidden="1"/>
    </xf>
    <xf numFmtId="0" fontId="0" fillId="2" borderId="0" xfId="4660" applyFont="1" applyFill="1" applyProtection="1">
      <protection hidden="1"/>
    </xf>
    <xf numFmtId="0" fontId="60" fillId="3" borderId="0" xfId="17475" applyFont="1" applyFill="1" applyAlignment="1" applyProtection="1">
      <alignment wrapText="1"/>
      <protection hidden="1"/>
    </xf>
    <xf numFmtId="0" fontId="61" fillId="3" borderId="0" xfId="17475" applyFont="1" applyFill="1" applyProtection="1">
      <protection hidden="1"/>
    </xf>
    <xf numFmtId="0" fontId="1" fillId="2" borderId="0" xfId="16067" applyFont="1" applyFill="1" applyAlignment="1" applyProtection="1">
      <alignment wrapText="1"/>
      <protection hidden="1"/>
    </xf>
    <xf numFmtId="0" fontId="56" fillId="3" borderId="0" xfId="6465" applyFont="1" applyFill="1" applyAlignment="1" applyProtection="1">
      <alignment vertical="top" wrapText="1"/>
      <protection hidden="1"/>
    </xf>
    <xf numFmtId="0" fontId="0" fillId="14" borderId="0" xfId="4660" applyFont="1" applyFill="1" applyProtection="1">
      <protection hidden="1"/>
    </xf>
    <xf numFmtId="0" fontId="305" fillId="2" borderId="0" xfId="17468" applyFill="1" applyProtection="1">
      <protection hidden="1"/>
    </xf>
    <xf numFmtId="169" fontId="305" fillId="2" borderId="0" xfId="17468" applyNumberFormat="1" applyFill="1" applyProtection="1">
      <protection hidden="1"/>
    </xf>
    <xf numFmtId="0" fontId="7" fillId="3" borderId="0" xfId="17475" applyFill="1" applyAlignment="1" applyProtection="1">
      <alignment horizontal="left" vertical="top" wrapText="1"/>
      <protection hidden="1"/>
    </xf>
    <xf numFmtId="0" fontId="62" fillId="2" borderId="0" xfId="8678" applyFont="1" applyFill="1" applyAlignment="1" applyProtection="1">
      <alignment vertical="center"/>
      <protection hidden="1"/>
    </xf>
    <xf numFmtId="166" fontId="24" fillId="5" borderId="0" xfId="17468" applyNumberFormat="1" applyFont="1" applyFill="1" applyAlignment="1" applyProtection="1">
      <alignment horizontal="center" vertical="center" wrapText="1"/>
      <protection locked="0"/>
    </xf>
    <xf numFmtId="169" fontId="305" fillId="2" borderId="0" xfId="17468" applyNumberFormat="1" applyFill="1" applyAlignment="1" applyProtection="1">
      <alignment horizontal="left" vertical="center" wrapText="1"/>
      <protection hidden="1"/>
    </xf>
    <xf numFmtId="0" fontId="33" fillId="2" borderId="0" xfId="17475" applyFont="1" applyFill="1" applyAlignment="1" applyProtection="1">
      <alignment horizontal="right" vertical="top"/>
      <protection hidden="1"/>
    </xf>
    <xf numFmtId="166" fontId="33" fillId="2" borderId="0" xfId="17468" applyNumberFormat="1" applyFont="1" applyFill="1" applyAlignment="1" applyProtection="1">
      <alignment horizontal="center" vertical="center" wrapText="1"/>
      <protection hidden="1"/>
    </xf>
    <xf numFmtId="0" fontId="0" fillId="2" borderId="0" xfId="17475" applyFont="1" applyFill="1" applyProtection="1">
      <protection hidden="1"/>
    </xf>
    <xf numFmtId="0" fontId="7" fillId="3" borderId="0" xfId="17475" applyFill="1" applyAlignment="1" applyProtection="1">
      <alignment horizontal="left"/>
      <protection hidden="1"/>
    </xf>
    <xf numFmtId="166" fontId="24" fillId="5" borderId="0" xfId="17468" applyNumberFormat="1" applyFont="1" applyFill="1" applyAlignment="1" applyProtection="1">
      <alignment horizontal="center" vertical="top"/>
      <protection locked="0"/>
    </xf>
    <xf numFmtId="169" fontId="305" fillId="4" borderId="0" xfId="17468" applyNumberFormat="1" applyFill="1" applyAlignment="1" applyProtection="1">
      <alignment horizontal="left" vertical="top" wrapText="1"/>
      <protection hidden="1"/>
    </xf>
    <xf numFmtId="166" fontId="33" fillId="2" borderId="0" xfId="17468" applyNumberFormat="1" applyFont="1" applyFill="1" applyAlignment="1" applyProtection="1">
      <alignment horizontal="center" vertical="top"/>
      <protection hidden="1"/>
    </xf>
    <xf numFmtId="0" fontId="46" fillId="2" borderId="0" xfId="17475" applyFont="1" applyFill="1" applyProtection="1">
      <protection hidden="1"/>
    </xf>
    <xf numFmtId="0" fontId="0" fillId="3" borderId="0" xfId="4660" applyFont="1" applyFill="1" applyAlignment="1" applyProtection="1">
      <alignment vertical="top" wrapText="1"/>
      <protection hidden="1"/>
    </xf>
    <xf numFmtId="0" fontId="7" fillId="0" borderId="0" xfId="17475" applyProtection="1">
      <protection hidden="1"/>
    </xf>
    <xf numFmtId="0" fontId="0" fillId="0" borderId="0" xfId="17436" applyFont="1"/>
    <xf numFmtId="0" fontId="7" fillId="0" borderId="0" xfId="17488" applyProtection="1">
      <protection locked="0"/>
    </xf>
    <xf numFmtId="0" fontId="7" fillId="0" borderId="0" xfId="17488" applyAlignment="1" applyProtection="1">
      <alignment horizontal="center"/>
      <protection locked="0"/>
    </xf>
    <xf numFmtId="172" fontId="7" fillId="0" borderId="0" xfId="17488" applyNumberFormat="1" applyProtection="1">
      <protection locked="0"/>
    </xf>
    <xf numFmtId="1" fontId="7" fillId="0" borderId="0" xfId="17488" applyNumberFormat="1" applyProtection="1">
      <protection locked="0"/>
    </xf>
    <xf numFmtId="49" fontId="7" fillId="0" borderId="0" xfId="17488" applyNumberFormat="1" applyProtection="1">
      <protection locked="0"/>
    </xf>
    <xf numFmtId="0" fontId="0" fillId="0" borderId="0" xfId="6465" applyFont="1"/>
    <xf numFmtId="0" fontId="0" fillId="4" borderId="0" xfId="17436" applyFont="1" applyFill="1"/>
    <xf numFmtId="0" fontId="29" fillId="4" borderId="0" xfId="17436" applyFont="1" applyFill="1" applyProtection="1">
      <protection hidden="1"/>
    </xf>
    <xf numFmtId="0" fontId="28" fillId="4" borderId="0" xfId="17436" applyFont="1" applyFill="1" applyProtection="1">
      <protection hidden="1"/>
    </xf>
    <xf numFmtId="0" fontId="0" fillId="0" borderId="29" xfId="17436" applyFont="1" applyBorder="1"/>
    <xf numFmtId="0" fontId="0" fillId="0" borderId="31" xfId="17436" applyFont="1" applyBorder="1"/>
    <xf numFmtId="0" fontId="7" fillId="0" borderId="0" xfId="6465" applyAlignment="1" applyProtection="1">
      <alignment horizontal="center"/>
      <protection hidden="1"/>
    </xf>
    <xf numFmtId="0" fontId="7" fillId="3" borderId="0" xfId="6465" applyFill="1" applyAlignment="1" applyProtection="1">
      <alignment horizontal="right" wrapText="1"/>
      <protection hidden="1"/>
    </xf>
    <xf numFmtId="0" fontId="24" fillId="3" borderId="0" xfId="17436" applyFont="1" applyFill="1" applyAlignment="1">
      <alignment horizontal="center"/>
    </xf>
    <xf numFmtId="0" fontId="12" fillId="0" borderId="0" xfId="6465" applyFont="1" applyProtection="1">
      <protection hidden="1"/>
    </xf>
    <xf numFmtId="0" fontId="12" fillId="0" borderId="18" xfId="6465" applyFont="1" applyBorder="1" applyProtection="1">
      <protection hidden="1"/>
    </xf>
    <xf numFmtId="0" fontId="7" fillId="5" borderId="0" xfId="6465" applyFill="1" applyProtection="1">
      <protection locked="0"/>
    </xf>
    <xf numFmtId="0" fontId="7" fillId="5" borderId="0" xfId="17436" applyFont="1" applyFill="1" applyProtection="1">
      <protection locked="0"/>
    </xf>
    <xf numFmtId="0" fontId="23" fillId="18" borderId="0" xfId="6465" applyFont="1" applyFill="1" applyAlignment="1" applyProtection="1">
      <alignment horizontal="left"/>
      <protection locked="0"/>
    </xf>
    <xf numFmtId="0" fontId="0" fillId="0" borderId="18" xfId="17436" applyFont="1" applyBorder="1"/>
    <xf numFmtId="0" fontId="0" fillId="0" borderId="35" xfId="17436" applyFont="1" applyBorder="1"/>
    <xf numFmtId="0" fontId="24" fillId="0" borderId="0" xfId="17436" applyFont="1" applyAlignment="1">
      <alignment horizontal="center"/>
    </xf>
    <xf numFmtId="0" fontId="24" fillId="0" borderId="0" xfId="17436" applyFont="1" applyAlignment="1" applyProtection="1">
      <alignment horizontal="center"/>
      <protection hidden="1"/>
    </xf>
    <xf numFmtId="0" fontId="0" fillId="0" borderId="18" xfId="17436" applyFont="1" applyBorder="1" applyProtection="1">
      <protection hidden="1"/>
    </xf>
    <xf numFmtId="0" fontId="7" fillId="2" borderId="37" xfId="17436" applyFont="1" applyFill="1" applyBorder="1"/>
    <xf numFmtId="168" fontId="7" fillId="2" borderId="42" xfId="17436" applyNumberFormat="1" applyFont="1" applyFill="1" applyBorder="1"/>
    <xf numFmtId="0" fontId="7" fillId="2" borderId="42" xfId="17436" applyFont="1" applyFill="1" applyBorder="1"/>
    <xf numFmtId="0" fontId="70" fillId="4" borderId="0" xfId="4660" applyFont="1" applyFill="1" applyAlignment="1" applyProtection="1">
      <alignment horizontal="center" vertical="center"/>
      <protection hidden="1"/>
    </xf>
    <xf numFmtId="0" fontId="26" fillId="4" borderId="0" xfId="6465" applyFont="1" applyFill="1" applyAlignment="1" applyProtection="1">
      <alignment horizontal="center"/>
      <protection hidden="1"/>
    </xf>
    <xf numFmtId="0" fontId="26" fillId="0" borderId="29" xfId="6465" applyFont="1" applyBorder="1" applyProtection="1">
      <protection hidden="1"/>
    </xf>
    <xf numFmtId="0" fontId="12" fillId="0" borderId="29" xfId="6465" applyFont="1" applyBorder="1" applyProtection="1">
      <protection hidden="1"/>
    </xf>
    <xf numFmtId="0" fontId="26" fillId="0" borderId="0" xfId="6465" applyFont="1" applyProtection="1">
      <protection hidden="1"/>
    </xf>
    <xf numFmtId="0" fontId="0" fillId="5" borderId="0" xfId="6465" applyFont="1" applyFill="1" applyProtection="1">
      <protection hidden="1"/>
    </xf>
    <xf numFmtId="0" fontId="72" fillId="0" borderId="0" xfId="6465" applyFont="1" applyAlignment="1" applyProtection="1">
      <alignment horizontal="left"/>
      <protection hidden="1"/>
    </xf>
    <xf numFmtId="0" fontId="35" fillId="0" borderId="0" xfId="6465" applyFont="1" applyAlignment="1" applyProtection="1">
      <alignment horizontal="right"/>
      <protection hidden="1"/>
    </xf>
    <xf numFmtId="0" fontId="0" fillId="0" borderId="0" xfId="17436" applyFont="1" applyProtection="1">
      <protection hidden="1"/>
    </xf>
    <xf numFmtId="0" fontId="24" fillId="3" borderId="0" xfId="6465" applyFont="1" applyFill="1" applyAlignment="1" applyProtection="1">
      <alignment horizontal="center"/>
      <protection hidden="1"/>
    </xf>
    <xf numFmtId="0" fontId="7" fillId="5" borderId="0" xfId="6465" applyFill="1" applyAlignment="1" applyProtection="1">
      <alignment horizontal="center"/>
      <protection locked="0"/>
    </xf>
    <xf numFmtId="164" fontId="7" fillId="5" borderId="0" xfId="6" applyFont="1" applyFill="1" applyBorder="1" applyProtection="1">
      <protection locked="0"/>
    </xf>
    <xf numFmtId="0" fontId="7" fillId="12" borderId="0" xfId="17436" applyFont="1" applyFill="1" applyProtection="1">
      <protection locked="0"/>
    </xf>
    <xf numFmtId="0" fontId="23" fillId="12" borderId="45" xfId="6465" applyFont="1" applyFill="1" applyBorder="1" applyAlignment="1" applyProtection="1">
      <alignment horizontal="center"/>
      <protection locked="0"/>
    </xf>
    <xf numFmtId="0" fontId="23" fillId="22" borderId="45" xfId="6465" applyFont="1" applyFill="1" applyBorder="1" applyAlignment="1" applyProtection="1">
      <alignment horizontal="center"/>
      <protection locked="0"/>
    </xf>
    <xf numFmtId="1" fontId="23" fillId="12" borderId="45" xfId="6465" applyNumberFormat="1" applyFont="1" applyFill="1" applyBorder="1" applyAlignment="1" applyProtection="1">
      <alignment horizontal="center"/>
      <protection locked="0"/>
    </xf>
    <xf numFmtId="0" fontId="7" fillId="0" borderId="0" xfId="17436" applyFont="1" applyProtection="1">
      <protection hidden="1"/>
    </xf>
    <xf numFmtId="168" fontId="7" fillId="0" borderId="0" xfId="17436" applyNumberFormat="1" applyFont="1" applyProtection="1">
      <protection hidden="1"/>
    </xf>
    <xf numFmtId="0" fontId="5" fillId="0" borderId="29" xfId="16065" applyFont="1" applyBorder="1" applyAlignment="1" applyProtection="1">
      <alignment horizontal="right" vertical="top"/>
      <protection hidden="1"/>
    </xf>
    <xf numFmtId="0" fontId="5" fillId="0" borderId="31" xfId="16065" applyFont="1" applyBorder="1" applyAlignment="1" applyProtection="1">
      <alignment horizontal="right" vertical="top"/>
      <protection hidden="1"/>
    </xf>
    <xf numFmtId="0" fontId="17" fillId="0" borderId="18" xfId="16065" applyFont="1" applyBorder="1" applyAlignment="1" applyProtection="1">
      <alignment horizontal="center"/>
      <protection hidden="1"/>
    </xf>
    <xf numFmtId="0" fontId="17" fillId="0" borderId="28" xfId="16065" applyFont="1" applyBorder="1" applyAlignment="1" applyProtection="1">
      <alignment horizontal="right"/>
      <protection hidden="1"/>
    </xf>
    <xf numFmtId="0" fontId="7" fillId="0" borderId="31" xfId="17468" applyFont="1" applyBorder="1" applyProtection="1">
      <protection hidden="1"/>
    </xf>
    <xf numFmtId="0" fontId="7" fillId="0" borderId="18" xfId="17468" applyFont="1" applyBorder="1" applyProtection="1">
      <protection hidden="1"/>
    </xf>
    <xf numFmtId="0" fontId="75" fillId="0" borderId="0" xfId="16065" applyFont="1" applyAlignment="1" applyProtection="1">
      <alignment horizontal="left"/>
      <protection hidden="1"/>
    </xf>
    <xf numFmtId="0" fontId="0" fillId="0" borderId="18" xfId="6465" applyFont="1" applyBorder="1" applyProtection="1">
      <protection hidden="1"/>
    </xf>
    <xf numFmtId="0" fontId="0" fillId="4" borderId="0" xfId="17436" applyFont="1" applyFill="1" applyProtection="1">
      <protection hidden="1"/>
    </xf>
    <xf numFmtId="0" fontId="0" fillId="0" borderId="0" xfId="17437" applyFont="1" applyProtection="1">
      <protection hidden="1"/>
    </xf>
    <xf numFmtId="0" fontId="7" fillId="4" borderId="46" xfId="6465" applyFill="1" applyBorder="1" applyAlignment="1" applyProtection="1">
      <alignment horizontal="center"/>
      <protection hidden="1"/>
    </xf>
    <xf numFmtId="0" fontId="7" fillId="0" borderId="47" xfId="4660" applyFont="1" applyBorder="1" applyAlignment="1" applyProtection="1">
      <alignment horizontal="center"/>
      <protection hidden="1"/>
    </xf>
    <xf numFmtId="1" fontId="7" fillId="0" borderId="47" xfId="4660" applyNumberFormat="1" applyFont="1" applyBorder="1" applyAlignment="1" applyProtection="1">
      <alignment horizontal="center"/>
      <protection hidden="1"/>
    </xf>
    <xf numFmtId="1" fontId="61" fillId="7" borderId="47" xfId="4660" applyNumberFormat="1" applyFont="1" applyFill="1" applyBorder="1" applyAlignment="1" applyProtection="1">
      <alignment horizontal="center"/>
      <protection hidden="1"/>
    </xf>
    <xf numFmtId="0" fontId="7" fillId="0" borderId="28" xfId="17468" applyFont="1" applyBorder="1" applyProtection="1">
      <protection hidden="1"/>
    </xf>
    <xf numFmtId="0" fontId="0" fillId="0" borderId="0" xfId="6465" applyFont="1" applyAlignment="1" applyProtection="1">
      <alignment vertical="top" wrapText="1"/>
      <protection hidden="1"/>
    </xf>
    <xf numFmtId="0" fontId="0" fillId="0" borderId="18" xfId="6465" applyFont="1" applyBorder="1" applyAlignment="1" applyProtection="1">
      <alignment vertical="top" wrapText="1"/>
      <protection hidden="1"/>
    </xf>
    <xf numFmtId="0" fontId="77" fillId="0" borderId="0" xfId="6465" applyFont="1" applyProtection="1">
      <protection hidden="1"/>
    </xf>
    <xf numFmtId="0" fontId="77" fillId="0" borderId="0" xfId="16065" applyFont="1" applyAlignment="1" applyProtection="1">
      <alignment horizontal="center"/>
      <protection hidden="1"/>
    </xf>
    <xf numFmtId="0" fontId="77" fillId="0" borderId="18" xfId="16065" applyFont="1" applyBorder="1" applyAlignment="1" applyProtection="1">
      <alignment horizontal="center"/>
      <protection hidden="1"/>
    </xf>
    <xf numFmtId="0" fontId="78" fillId="4" borderId="17" xfId="17488" applyFont="1" applyFill="1" applyBorder="1" applyAlignment="1">
      <alignment horizontal="center" vertical="center"/>
    </xf>
    <xf numFmtId="49" fontId="78" fillId="4" borderId="28" xfId="17488" applyNumberFormat="1" applyFont="1" applyFill="1" applyBorder="1" applyAlignment="1">
      <alignment horizontal="center" vertical="center"/>
    </xf>
    <xf numFmtId="172" fontId="79" fillId="4" borderId="17" xfId="6465" applyNumberFormat="1" applyFont="1" applyFill="1" applyBorder="1" applyAlignment="1">
      <alignment horizontal="center" vertical="center" wrapText="1"/>
    </xf>
    <xf numFmtId="172" fontId="79" fillId="4" borderId="27" xfId="6465" applyNumberFormat="1" applyFont="1" applyFill="1" applyBorder="1" applyAlignment="1">
      <alignment horizontal="center" vertical="center" wrapText="1"/>
    </xf>
    <xf numFmtId="0" fontId="7" fillId="2" borderId="37" xfId="6465" applyFill="1" applyBorder="1"/>
    <xf numFmtId="168" fontId="7" fillId="2" borderId="42" xfId="6465" applyNumberFormat="1" applyFill="1" applyBorder="1"/>
    <xf numFmtId="0" fontId="7" fillId="2" borderId="42" xfId="6465" applyFill="1" applyBorder="1"/>
    <xf numFmtId="0" fontId="7" fillId="2" borderId="42" xfId="16065" applyFont="1" applyFill="1" applyBorder="1"/>
    <xf numFmtId="0" fontId="7" fillId="2" borderId="0" xfId="16065" applyFont="1" applyFill="1" applyAlignment="1">
      <alignment horizontal="left"/>
    </xf>
    <xf numFmtId="1" fontId="7" fillId="2" borderId="37" xfId="17436" applyNumberFormat="1" applyFont="1" applyFill="1" applyBorder="1"/>
    <xf numFmtId="0" fontId="0" fillId="0" borderId="27" xfId="6465" applyFont="1" applyBorder="1"/>
    <xf numFmtId="0" fontId="7" fillId="3" borderId="17" xfId="6465" applyFill="1" applyBorder="1" applyAlignment="1" applyProtection="1">
      <alignment vertical="top"/>
      <protection hidden="1"/>
    </xf>
    <xf numFmtId="0" fontId="84" fillId="3" borderId="17" xfId="6465" applyFont="1" applyFill="1" applyBorder="1" applyAlignment="1" applyProtection="1">
      <alignment horizontal="center"/>
      <protection hidden="1"/>
    </xf>
    <xf numFmtId="0" fontId="85" fillId="3" borderId="17" xfId="6465" applyFont="1" applyFill="1" applyBorder="1" applyAlignment="1" applyProtection="1">
      <alignment horizontal="center"/>
      <protection hidden="1"/>
    </xf>
    <xf numFmtId="0" fontId="35" fillId="3" borderId="17" xfId="6465" applyFont="1" applyFill="1" applyBorder="1" applyAlignment="1" applyProtection="1">
      <alignment horizontal="right"/>
      <protection hidden="1"/>
    </xf>
    <xf numFmtId="0" fontId="35" fillId="3" borderId="28" xfId="6465" applyFont="1" applyFill="1" applyBorder="1" applyAlignment="1" applyProtection="1">
      <alignment horizontal="right"/>
      <protection hidden="1"/>
    </xf>
    <xf numFmtId="1" fontId="23" fillId="0" borderId="0" xfId="6465" applyNumberFormat="1" applyFont="1" applyAlignment="1" applyProtection="1">
      <alignment horizontal="left" vertical="top" wrapText="1"/>
      <protection hidden="1"/>
    </xf>
    <xf numFmtId="0" fontId="0" fillId="0" borderId="0" xfId="17436" applyFont="1" applyProtection="1">
      <protection locked="0"/>
    </xf>
    <xf numFmtId="0" fontId="7" fillId="0" borderId="0" xfId="17436" applyFont="1" applyProtection="1">
      <protection locked="0"/>
    </xf>
    <xf numFmtId="168" fontId="7" fillId="0" borderId="0" xfId="17436" applyNumberFormat="1" applyFont="1" applyProtection="1">
      <protection locked="0"/>
    </xf>
    <xf numFmtId="0" fontId="7" fillId="0" borderId="0" xfId="6465" applyProtection="1">
      <protection locked="0"/>
    </xf>
    <xf numFmtId="168" fontId="7" fillId="0" borderId="0" xfId="6465" applyNumberFormat="1" applyProtection="1">
      <protection locked="0"/>
    </xf>
    <xf numFmtId="1" fontId="7" fillId="5" borderId="0" xfId="17436" applyNumberFormat="1" applyFont="1" applyFill="1" applyProtection="1">
      <protection locked="0"/>
    </xf>
    <xf numFmtId="0" fontId="7" fillId="5" borderId="0" xfId="17436" applyFont="1" applyFill="1" applyAlignment="1" applyProtection="1">
      <alignment horizontal="right"/>
      <protection locked="0"/>
    </xf>
    <xf numFmtId="1" fontId="69" fillId="12" borderId="0" xfId="17436" applyNumberFormat="1" applyFont="1" applyFill="1" applyProtection="1">
      <protection locked="0"/>
    </xf>
    <xf numFmtId="0" fontId="77" fillId="0" borderId="0" xfId="16065" applyFont="1" applyAlignment="1" applyProtection="1">
      <alignment horizontal="left"/>
      <protection hidden="1"/>
    </xf>
    <xf numFmtId="0" fontId="7" fillId="5" borderId="0" xfId="17437" applyFont="1" applyFill="1" applyProtection="1">
      <protection locked="0"/>
    </xf>
    <xf numFmtId="1" fontId="7" fillId="5" borderId="0" xfId="17437" applyNumberFormat="1" applyFont="1" applyFill="1" applyProtection="1">
      <protection locked="0"/>
    </xf>
    <xf numFmtId="0" fontId="7" fillId="0" borderId="0" xfId="16065" applyFont="1" applyProtection="1">
      <protection locked="0"/>
    </xf>
    <xf numFmtId="0" fontId="7" fillId="5" borderId="0" xfId="17488" applyFill="1" applyProtection="1">
      <protection locked="0"/>
    </xf>
    <xf numFmtId="1" fontId="7" fillId="5" borderId="0" xfId="16065" applyNumberFormat="1" applyFont="1" applyFill="1" applyProtection="1">
      <protection locked="0"/>
    </xf>
    <xf numFmtId="0" fontId="7" fillId="5" borderId="0" xfId="16065" applyFont="1" applyFill="1" applyProtection="1">
      <protection locked="0"/>
    </xf>
    <xf numFmtId="0" fontId="7" fillId="13" borderId="0" xfId="16065" applyFont="1" applyFill="1" applyAlignment="1" applyProtection="1">
      <alignment horizontal="left"/>
      <protection locked="0"/>
    </xf>
    <xf numFmtId="1" fontId="7" fillId="5" borderId="0" xfId="6465" applyNumberFormat="1" applyFill="1" applyProtection="1">
      <protection locked="0"/>
    </xf>
    <xf numFmtId="1" fontId="69" fillId="12" borderId="0" xfId="6465" applyNumberFormat="1" applyFont="1" applyFill="1" applyProtection="1">
      <protection locked="0"/>
    </xf>
    <xf numFmtId="0" fontId="7" fillId="5" borderId="0" xfId="17436" applyFont="1" applyFill="1" applyAlignment="1" applyProtection="1">
      <alignment horizontal="left"/>
      <protection locked="0"/>
    </xf>
    <xf numFmtId="0" fontId="0" fillId="0" borderId="0" xfId="17436" applyFont="1" applyProtection="1">
      <protection locked="0" hidden="1"/>
    </xf>
    <xf numFmtId="0" fontId="36" fillId="0" borderId="0" xfId="6465" applyFont="1" applyProtection="1">
      <protection locked="0"/>
    </xf>
    <xf numFmtId="0" fontId="36" fillId="0" borderId="0" xfId="6465" applyFont="1" applyProtection="1">
      <protection locked="0" hidden="1"/>
    </xf>
    <xf numFmtId="0" fontId="87" fillId="5" borderId="0" xfId="6465" applyFont="1" applyFill="1" applyProtection="1">
      <protection locked="0"/>
    </xf>
    <xf numFmtId="1" fontId="87" fillId="0" borderId="0" xfId="6465" applyNumberFormat="1" applyFont="1" applyProtection="1">
      <protection locked="0" hidden="1"/>
    </xf>
    <xf numFmtId="0" fontId="88" fillId="0" borderId="0" xfId="6465" applyFont="1" applyProtection="1">
      <protection locked="0" hidden="1"/>
    </xf>
    <xf numFmtId="1" fontId="69" fillId="0" borderId="0" xfId="6465" applyNumberFormat="1" applyFont="1" applyProtection="1">
      <protection locked="0" hidden="1"/>
    </xf>
    <xf numFmtId="1" fontId="69" fillId="0" borderId="0" xfId="6465" applyNumberFormat="1" applyFont="1" applyProtection="1">
      <protection locked="0"/>
    </xf>
    <xf numFmtId="1" fontId="69" fillId="0" borderId="0" xfId="6465" applyNumberFormat="1" applyFont="1"/>
    <xf numFmtId="0" fontId="63" fillId="0" borderId="0" xfId="6465" applyFont="1" applyAlignment="1">
      <alignment horizontal="left"/>
    </xf>
    <xf numFmtId="0" fontId="63" fillId="0" borderId="0" xfId="16065" applyFont="1" applyAlignment="1" applyProtection="1">
      <alignment horizontal="left"/>
      <protection hidden="1"/>
    </xf>
    <xf numFmtId="0" fontId="63" fillId="0" borderId="18" xfId="16065" applyFont="1" applyBorder="1" applyAlignment="1" applyProtection="1">
      <alignment horizontal="left"/>
      <protection hidden="1"/>
    </xf>
    <xf numFmtId="0" fontId="0" fillId="0" borderId="27" xfId="17436" applyFont="1" applyBorder="1"/>
    <xf numFmtId="0" fontId="0" fillId="0" borderId="17" xfId="17436" applyFont="1" applyBorder="1"/>
    <xf numFmtId="0" fontId="0" fillId="0" borderId="17" xfId="17436" applyFont="1" applyBorder="1" applyProtection="1">
      <protection hidden="1"/>
    </xf>
    <xf numFmtId="0" fontId="7" fillId="0" borderId="18" xfId="6465" applyBorder="1" applyProtection="1">
      <protection hidden="1"/>
    </xf>
    <xf numFmtId="0" fontId="52" fillId="0" borderId="0" xfId="17436" applyFont="1" applyAlignment="1" applyProtection="1">
      <alignment horizontal="center" vertical="center" wrapText="1"/>
      <protection hidden="1"/>
    </xf>
    <xf numFmtId="0" fontId="52" fillId="0" borderId="18" xfId="17436" applyFont="1" applyBorder="1" applyAlignment="1" applyProtection="1">
      <alignment horizontal="center" vertical="center" wrapText="1"/>
      <protection hidden="1"/>
    </xf>
    <xf numFmtId="0" fontId="7" fillId="0" borderId="0" xfId="17437" applyFont="1" applyAlignment="1" applyProtection="1">
      <alignment horizontal="left"/>
      <protection hidden="1"/>
    </xf>
    <xf numFmtId="0" fontId="7" fillId="0" borderId="18" xfId="17437" applyFont="1" applyBorder="1" applyAlignment="1" applyProtection="1">
      <alignment horizontal="left"/>
      <protection hidden="1"/>
    </xf>
    <xf numFmtId="2" fontId="90" fillId="0" borderId="0" xfId="17437" applyNumberFormat="1" applyFont="1" applyAlignment="1" applyProtection="1">
      <alignment horizontal="center"/>
      <protection hidden="1"/>
    </xf>
    <xf numFmtId="0" fontId="92" fillId="3" borderId="0" xfId="17437" applyFont="1" applyFill="1" applyAlignment="1" applyProtection="1">
      <alignment horizontal="left" wrapText="1"/>
      <protection hidden="1"/>
    </xf>
    <xf numFmtId="2" fontId="92" fillId="3" borderId="0" xfId="17437" applyNumberFormat="1" applyFont="1" applyFill="1" applyAlignment="1" applyProtection="1">
      <alignment horizontal="left" wrapText="1"/>
      <protection hidden="1"/>
    </xf>
    <xf numFmtId="2" fontId="92" fillId="3" borderId="0" xfId="0" applyNumberFormat="1" applyFont="1" applyFill="1" applyAlignment="1" applyProtection="1">
      <alignment horizontal="left" wrapText="1"/>
      <protection hidden="1"/>
    </xf>
    <xf numFmtId="0" fontId="92" fillId="3" borderId="0" xfId="0" applyFont="1" applyFill="1" applyAlignment="1" applyProtection="1">
      <alignment horizontal="left" wrapText="1"/>
      <protection hidden="1"/>
    </xf>
    <xf numFmtId="0" fontId="0" fillId="3" borderId="0" xfId="0" applyFill="1" applyProtection="1">
      <protection hidden="1"/>
    </xf>
    <xf numFmtId="0" fontId="0" fillId="3" borderId="18" xfId="0" applyFill="1" applyBorder="1" applyProtection="1">
      <protection hidden="1"/>
    </xf>
    <xf numFmtId="0" fontId="7" fillId="3" borderId="17" xfId="17437" applyFont="1" applyFill="1" applyBorder="1" applyAlignment="1" applyProtection="1">
      <alignment horizontal="left"/>
      <protection hidden="1"/>
    </xf>
    <xf numFmtId="0" fontId="7" fillId="3" borderId="28" xfId="17437" applyFont="1" applyFill="1" applyBorder="1" applyAlignment="1" applyProtection="1">
      <alignment horizontal="left"/>
      <protection hidden="1"/>
    </xf>
    <xf numFmtId="0" fontId="57" fillId="3" borderId="0" xfId="0" applyFont="1" applyFill="1" applyAlignment="1" applyProtection="1">
      <alignment horizontal="left" wrapText="1"/>
      <protection hidden="1"/>
    </xf>
    <xf numFmtId="0" fontId="92" fillId="3" borderId="0" xfId="0" applyFont="1" applyFill="1" applyAlignment="1" applyProtection="1">
      <alignment wrapText="1"/>
      <protection hidden="1"/>
    </xf>
    <xf numFmtId="0" fontId="7" fillId="0" borderId="0" xfId="17437" applyFont="1" applyProtection="1">
      <protection hidden="1"/>
    </xf>
    <xf numFmtId="0" fontId="7" fillId="0" borderId="18" xfId="17437" applyFont="1" applyBorder="1" applyProtection="1">
      <protection hidden="1"/>
    </xf>
    <xf numFmtId="0" fontId="92" fillId="0" borderId="0" xfId="17437" applyFont="1" applyAlignment="1" applyProtection="1">
      <alignment horizontal="left" wrapText="1"/>
      <protection hidden="1"/>
    </xf>
    <xf numFmtId="168" fontId="92" fillId="0" borderId="0" xfId="17437" applyNumberFormat="1" applyFont="1" applyAlignment="1" applyProtection="1">
      <alignment horizontal="left" wrapText="1"/>
      <protection hidden="1"/>
    </xf>
    <xf numFmtId="0" fontId="92" fillId="0" borderId="0" xfId="17437" applyFont="1" applyAlignment="1" applyProtection="1">
      <alignment horizontal="left"/>
      <protection hidden="1"/>
    </xf>
    <xf numFmtId="0" fontId="7" fillId="0" borderId="17" xfId="17437" applyFont="1" applyBorder="1" applyProtection="1">
      <protection hidden="1"/>
    </xf>
    <xf numFmtId="0" fontId="7" fillId="0" borderId="28" xfId="17437" applyFont="1" applyBorder="1" applyProtection="1">
      <protection hidden="1"/>
    </xf>
    <xf numFmtId="0" fontId="92" fillId="0" borderId="0" xfId="17437" applyFont="1" applyProtection="1">
      <protection hidden="1"/>
    </xf>
    <xf numFmtId="0" fontId="0" fillId="3" borderId="0" xfId="17436" applyFont="1" applyFill="1" applyProtection="1">
      <protection hidden="1"/>
    </xf>
    <xf numFmtId="0" fontId="0" fillId="3" borderId="0" xfId="17436" applyFont="1" applyFill="1"/>
    <xf numFmtId="0" fontId="36" fillId="2" borderId="0" xfId="6465" applyFont="1" applyFill="1" applyAlignment="1" applyProtection="1">
      <alignment wrapText="1"/>
      <protection hidden="1"/>
    </xf>
    <xf numFmtId="0" fontId="0" fillId="2" borderId="0" xfId="17436" applyFont="1" applyFill="1" applyProtection="1">
      <protection hidden="1"/>
    </xf>
    <xf numFmtId="0" fontId="36" fillId="2" borderId="0" xfId="6465" applyFont="1" applyFill="1" applyAlignment="1" applyProtection="1">
      <alignment horizontal="center" vertical="top" wrapText="1"/>
      <protection hidden="1"/>
    </xf>
    <xf numFmtId="0" fontId="46" fillId="2" borderId="0" xfId="6465" applyFont="1" applyFill="1" applyProtection="1">
      <protection hidden="1"/>
    </xf>
    <xf numFmtId="0" fontId="7" fillId="3" borderId="0" xfId="17488" applyFill="1" applyProtection="1">
      <protection hidden="1"/>
    </xf>
    <xf numFmtId="0" fontId="7" fillId="3" borderId="0" xfId="17488" applyFill="1" applyAlignment="1" applyProtection="1">
      <alignment horizontal="center"/>
      <protection hidden="1"/>
    </xf>
    <xf numFmtId="172" fontId="7" fillId="3" borderId="0" xfId="17488" applyNumberFormat="1" applyFill="1" applyProtection="1">
      <protection hidden="1"/>
    </xf>
    <xf numFmtId="1" fontId="7" fillId="3" borderId="0" xfId="17488" applyNumberFormat="1" applyFill="1" applyProtection="1">
      <protection hidden="1"/>
    </xf>
    <xf numFmtId="0" fontId="7" fillId="0" borderId="0" xfId="17488" applyProtection="1">
      <protection hidden="1"/>
    </xf>
    <xf numFmtId="0" fontId="7" fillId="0" borderId="0" xfId="17488" applyAlignment="1" applyProtection="1">
      <alignment horizontal="center"/>
      <protection hidden="1"/>
    </xf>
    <xf numFmtId="172" fontId="7" fillId="0" borderId="0" xfId="17488" applyNumberFormat="1" applyProtection="1">
      <protection hidden="1"/>
    </xf>
    <xf numFmtId="1" fontId="7" fillId="0" borderId="0" xfId="17488" applyNumberFormat="1" applyProtection="1">
      <protection hidden="1"/>
    </xf>
    <xf numFmtId="49" fontId="7" fillId="0" borderId="0" xfId="17488" applyNumberFormat="1" applyProtection="1">
      <protection hidden="1"/>
    </xf>
    <xf numFmtId="0" fontId="0" fillId="2" borderId="0" xfId="17436" applyFont="1" applyFill="1"/>
    <xf numFmtId="0" fontId="0" fillId="0" borderId="0" xfId="17451" applyFont="1" applyProtection="1">
      <protection hidden="1"/>
    </xf>
    <xf numFmtId="0" fontId="0" fillId="0" borderId="0" xfId="17451" applyFont="1"/>
    <xf numFmtId="0" fontId="29" fillId="4" borderId="0" xfId="17451" applyFont="1" applyFill="1" applyProtection="1">
      <protection hidden="1"/>
    </xf>
    <xf numFmtId="0" fontId="0" fillId="9" borderId="0" xfId="17451" applyFont="1" applyFill="1" applyProtection="1">
      <protection hidden="1"/>
    </xf>
    <xf numFmtId="0" fontId="23" fillId="14" borderId="0" xfId="17451" applyFont="1" applyFill="1" applyProtection="1">
      <protection hidden="1"/>
    </xf>
    <xf numFmtId="0" fontId="305" fillId="14" borderId="0" xfId="17451" applyFill="1" applyAlignment="1" applyProtection="1">
      <alignment horizontal="center"/>
      <protection hidden="1"/>
    </xf>
    <xf numFmtId="0" fontId="0" fillId="14" borderId="0" xfId="17451" applyFont="1" applyFill="1" applyProtection="1">
      <protection hidden="1"/>
    </xf>
    <xf numFmtId="0" fontId="7" fillId="4" borderId="0" xfId="16065" applyFont="1" applyFill="1" applyAlignment="1" applyProtection="1">
      <alignment vertical="center"/>
      <protection hidden="1"/>
    </xf>
    <xf numFmtId="0" fontId="7" fillId="4" borderId="0" xfId="17451" applyFont="1" applyFill="1" applyAlignment="1" applyProtection="1">
      <alignment horizontal="right"/>
      <protection hidden="1"/>
    </xf>
    <xf numFmtId="0" fontId="96" fillId="18" borderId="0" xfId="17451" applyFont="1" applyFill="1" applyProtection="1">
      <protection locked="0"/>
    </xf>
    <xf numFmtId="0" fontId="0" fillId="3" borderId="0" xfId="17451" applyFont="1" applyFill="1" applyProtection="1">
      <protection hidden="1"/>
    </xf>
    <xf numFmtId="0" fontId="7" fillId="9" borderId="0" xfId="17451" applyFont="1" applyFill="1" applyAlignment="1" applyProtection="1">
      <alignment horizontal="right"/>
      <protection hidden="1"/>
    </xf>
    <xf numFmtId="0" fontId="96" fillId="5" borderId="0" xfId="6465" applyFont="1" applyFill="1" applyAlignment="1" applyProtection="1">
      <alignment horizontal="right"/>
      <protection locked="0"/>
    </xf>
    <xf numFmtId="0" fontId="1" fillId="4" borderId="0" xfId="16065" applyFont="1" applyFill="1" applyAlignment="1" applyProtection="1">
      <alignment horizontal="center"/>
      <protection hidden="1"/>
    </xf>
    <xf numFmtId="0" fontId="1" fillId="2" borderId="0" xfId="16065" applyFont="1" applyFill="1" applyAlignment="1" applyProtection="1">
      <alignment horizontal="center"/>
      <protection hidden="1"/>
    </xf>
    <xf numFmtId="168" fontId="99" fillId="4" borderId="48" xfId="16065" applyNumberFormat="1" applyFont="1" applyFill="1" applyBorder="1" applyAlignment="1" applyProtection="1">
      <alignment horizontal="right"/>
      <protection hidden="1"/>
    </xf>
    <xf numFmtId="168" fontId="43" fillId="23" borderId="29" xfId="6465" applyNumberFormat="1" applyFont="1" applyFill="1" applyBorder="1" applyAlignment="1" applyProtection="1">
      <alignment horizontal="right" vertical="center"/>
      <protection hidden="1"/>
    </xf>
    <xf numFmtId="168" fontId="99" fillId="4" borderId="50" xfId="16065" applyNumberFormat="1" applyFont="1" applyFill="1" applyBorder="1" applyAlignment="1" applyProtection="1">
      <alignment horizontal="right"/>
      <protection hidden="1"/>
    </xf>
    <xf numFmtId="168" fontId="43" fillId="23" borderId="0" xfId="6465" applyNumberFormat="1" applyFont="1" applyFill="1" applyAlignment="1" applyProtection="1">
      <alignment horizontal="right" vertical="center"/>
      <protection hidden="1"/>
    </xf>
    <xf numFmtId="168" fontId="99" fillId="14" borderId="50" xfId="17451" applyNumberFormat="1" applyFont="1" applyFill="1" applyBorder="1" applyProtection="1">
      <protection hidden="1"/>
    </xf>
    <xf numFmtId="168" fontId="43" fillId="23" borderId="0" xfId="16065" applyNumberFormat="1" applyFont="1" applyFill="1" applyAlignment="1" applyProtection="1">
      <alignment vertical="center"/>
      <protection hidden="1"/>
    </xf>
    <xf numFmtId="2" fontId="99" fillId="14" borderId="54" xfId="17451" applyNumberFormat="1" applyFont="1" applyFill="1" applyBorder="1" applyProtection="1">
      <protection hidden="1"/>
    </xf>
    <xf numFmtId="2" fontId="43" fillId="23" borderId="39" xfId="6465" applyNumberFormat="1" applyFont="1" applyFill="1" applyBorder="1" applyAlignment="1" applyProtection="1">
      <alignment vertical="center"/>
      <protection hidden="1"/>
    </xf>
    <xf numFmtId="0" fontId="98" fillId="18" borderId="60" xfId="17451" applyFont="1" applyFill="1" applyBorder="1" applyAlignment="1" applyProtection="1">
      <alignment horizontal="center"/>
      <protection locked="0"/>
    </xf>
    <xf numFmtId="0" fontId="102" fillId="0" borderId="0" xfId="69" applyFont="1" applyAlignment="1" applyProtection="1">
      <alignment horizontal="right" vertical="top"/>
      <protection hidden="1"/>
    </xf>
    <xf numFmtId="0" fontId="7" fillId="14" borderId="63" xfId="17451" applyFont="1" applyFill="1" applyBorder="1" applyAlignment="1" applyProtection="1">
      <alignment horizontal="right"/>
      <protection hidden="1"/>
    </xf>
    <xf numFmtId="0" fontId="105" fillId="4" borderId="67" xfId="17451" applyFont="1" applyFill="1" applyBorder="1" applyAlignment="1" applyProtection="1">
      <alignment horizontal="right" vertical="center"/>
      <protection hidden="1"/>
    </xf>
    <xf numFmtId="0" fontId="7" fillId="14" borderId="0" xfId="17451" applyFont="1" applyFill="1" applyProtection="1">
      <protection hidden="1"/>
    </xf>
    <xf numFmtId="0" fontId="7" fillId="14" borderId="0" xfId="17451" applyFont="1" applyFill="1" applyAlignment="1" applyProtection="1">
      <alignment horizontal="right"/>
      <protection hidden="1"/>
    </xf>
    <xf numFmtId="0" fontId="104" fillId="14" borderId="0" xfId="17451" applyFont="1" applyFill="1" applyAlignment="1" applyProtection="1">
      <alignment horizontal="left"/>
      <protection hidden="1"/>
    </xf>
    <xf numFmtId="0" fontId="105" fillId="4" borderId="0" xfId="17451" applyFont="1" applyFill="1" applyAlignment="1" applyProtection="1">
      <alignment horizontal="right"/>
      <protection hidden="1"/>
    </xf>
    <xf numFmtId="0" fontId="105" fillId="3" borderId="0" xfId="17451" applyFont="1" applyFill="1" applyAlignment="1" applyProtection="1">
      <alignment horizontal="center"/>
      <protection hidden="1"/>
    </xf>
    <xf numFmtId="0" fontId="61" fillId="0" borderId="0" xfId="16065" applyFont="1" applyProtection="1">
      <protection hidden="1"/>
    </xf>
    <xf numFmtId="0" fontId="7" fillId="18" borderId="69" xfId="17451" applyFont="1" applyFill="1" applyBorder="1" applyAlignment="1" applyProtection="1">
      <alignment horizontal="center"/>
      <protection locked="0"/>
    </xf>
    <xf numFmtId="168" fontId="106" fillId="0" borderId="0" xfId="6465" applyNumberFormat="1" applyFont="1" applyAlignment="1" applyProtection="1">
      <alignment horizontal="center"/>
      <protection hidden="1"/>
    </xf>
    <xf numFmtId="0" fontId="7" fillId="18" borderId="70" xfId="17451" applyFont="1" applyFill="1" applyBorder="1" applyAlignment="1" applyProtection="1">
      <alignment horizontal="center"/>
      <protection locked="0"/>
    </xf>
    <xf numFmtId="168" fontId="106" fillId="0" borderId="18" xfId="6465" applyNumberFormat="1" applyFont="1" applyBorder="1" applyAlignment="1" applyProtection="1">
      <alignment horizontal="center"/>
      <protection hidden="1"/>
    </xf>
    <xf numFmtId="0" fontId="17" fillId="0" borderId="71" xfId="17451" applyFont="1" applyBorder="1" applyAlignment="1" applyProtection="1">
      <alignment horizontal="center"/>
      <protection hidden="1"/>
    </xf>
    <xf numFmtId="0" fontId="7" fillId="5" borderId="70" xfId="16065" applyFont="1" applyFill="1" applyBorder="1" applyAlignment="1" applyProtection="1">
      <alignment horizontal="center"/>
      <protection locked="0"/>
    </xf>
    <xf numFmtId="0" fontId="7" fillId="12" borderId="2" xfId="16065" applyFont="1" applyFill="1" applyBorder="1" applyAlignment="1" applyProtection="1">
      <alignment horizontal="center"/>
      <protection locked="0"/>
    </xf>
    <xf numFmtId="0" fontId="0" fillId="0" borderId="73" xfId="17451" applyFont="1" applyBorder="1" applyAlignment="1" applyProtection="1">
      <alignment horizontal="center"/>
      <protection hidden="1"/>
    </xf>
    <xf numFmtId="0" fontId="107" fillId="0" borderId="0" xfId="17451" applyFont="1" applyAlignment="1" applyProtection="1">
      <alignment horizontal="center"/>
      <protection hidden="1"/>
    </xf>
    <xf numFmtId="0" fontId="107" fillId="0" borderId="18" xfId="17451" applyFont="1" applyBorder="1" applyAlignment="1" applyProtection="1">
      <alignment horizontal="center"/>
      <protection hidden="1"/>
    </xf>
    <xf numFmtId="0" fontId="108" fillId="0" borderId="0" xfId="16065" applyFont="1" applyProtection="1">
      <protection hidden="1"/>
    </xf>
    <xf numFmtId="0" fontId="7" fillId="5" borderId="69" xfId="16065" applyFont="1" applyFill="1" applyBorder="1" applyAlignment="1" applyProtection="1">
      <alignment horizontal="center"/>
      <protection locked="0"/>
    </xf>
    <xf numFmtId="0" fontId="7" fillId="13" borderId="74" xfId="16065" applyFont="1" applyFill="1" applyBorder="1" applyAlignment="1" applyProtection="1">
      <alignment horizontal="center"/>
      <protection locked="0"/>
    </xf>
    <xf numFmtId="0" fontId="104" fillId="0" borderId="75" xfId="6465" applyFont="1" applyBorder="1" applyProtection="1">
      <protection hidden="1"/>
    </xf>
    <xf numFmtId="1" fontId="106" fillId="0" borderId="76" xfId="6465" applyNumberFormat="1" applyFont="1" applyBorder="1" applyAlignment="1" applyProtection="1">
      <alignment horizontal="center"/>
      <protection hidden="1"/>
    </xf>
    <xf numFmtId="0" fontId="104" fillId="0" borderId="0" xfId="17451" applyFont="1" applyProtection="1">
      <protection hidden="1"/>
    </xf>
    <xf numFmtId="0" fontId="106" fillId="0" borderId="0" xfId="17451" applyFont="1" applyAlignment="1" applyProtection="1">
      <alignment horizontal="center"/>
      <protection hidden="1"/>
    </xf>
    <xf numFmtId="0" fontId="7" fillId="5" borderId="78" xfId="16065" applyFont="1" applyFill="1" applyBorder="1" applyAlignment="1" applyProtection="1">
      <alignment horizontal="center"/>
      <protection locked="0"/>
    </xf>
    <xf numFmtId="0" fontId="7" fillId="0" borderId="0" xfId="17451" applyFont="1" applyAlignment="1" applyProtection="1">
      <alignment horizontal="right"/>
      <protection hidden="1"/>
    </xf>
    <xf numFmtId="2" fontId="7" fillId="0" borderId="0" xfId="6465" applyNumberFormat="1" applyAlignment="1" applyProtection="1">
      <alignment horizontal="center"/>
      <protection hidden="1"/>
    </xf>
    <xf numFmtId="1" fontId="7" fillId="5" borderId="78" xfId="6465" applyNumberFormat="1" applyFill="1" applyBorder="1" applyAlignment="1" applyProtection="1">
      <alignment horizontal="center"/>
      <protection locked="0"/>
    </xf>
    <xf numFmtId="0" fontId="7" fillId="0" borderId="0" xfId="6465" applyAlignment="1" applyProtection="1">
      <alignment horizontal="right"/>
      <protection hidden="1"/>
    </xf>
    <xf numFmtId="0" fontId="111" fillId="0" borderId="0" xfId="6465" applyFont="1" applyProtection="1">
      <protection hidden="1"/>
    </xf>
    <xf numFmtId="2" fontId="111" fillId="0" borderId="0" xfId="16065" applyNumberFormat="1" applyFont="1" applyAlignment="1" applyProtection="1">
      <alignment horizontal="center"/>
      <protection hidden="1"/>
    </xf>
    <xf numFmtId="0" fontId="112" fillId="0" borderId="0" xfId="6465" applyFont="1" applyAlignment="1" applyProtection="1">
      <alignment horizontal="right"/>
      <protection hidden="1"/>
    </xf>
    <xf numFmtId="1" fontId="112" fillId="0" borderId="79" xfId="6465" applyNumberFormat="1" applyFont="1" applyBorder="1" applyAlignment="1" applyProtection="1">
      <alignment horizontal="center"/>
      <protection hidden="1"/>
    </xf>
    <xf numFmtId="1" fontId="112" fillId="0" borderId="18" xfId="16065" applyNumberFormat="1" applyFont="1" applyBorder="1" applyAlignment="1" applyProtection="1">
      <alignment horizontal="center"/>
      <protection hidden="1"/>
    </xf>
    <xf numFmtId="0" fontId="7" fillId="0" borderId="0" xfId="17451" applyFont="1" applyProtection="1">
      <protection hidden="1"/>
    </xf>
    <xf numFmtId="0" fontId="23" fillId="5" borderId="80" xfId="6465" applyFont="1" applyFill="1" applyBorder="1" applyAlignment="1" applyProtection="1">
      <alignment horizontal="right"/>
      <protection locked="0"/>
    </xf>
    <xf numFmtId="9" fontId="112" fillId="0" borderId="79" xfId="6465" applyNumberFormat="1" applyFont="1" applyBorder="1" applyAlignment="1" applyProtection="1">
      <alignment horizontal="center"/>
      <protection hidden="1"/>
    </xf>
    <xf numFmtId="9" fontId="112" fillId="0" borderId="18" xfId="6465" applyNumberFormat="1" applyFont="1" applyBorder="1" applyAlignment="1" applyProtection="1">
      <alignment horizontal="center"/>
      <protection hidden="1"/>
    </xf>
    <xf numFmtId="0" fontId="7" fillId="4" borderId="0" xfId="16065" applyFont="1" applyFill="1" applyProtection="1">
      <protection hidden="1"/>
    </xf>
    <xf numFmtId="0" fontId="43" fillId="4" borderId="0" xfId="6465" applyFont="1" applyFill="1" applyProtection="1">
      <protection hidden="1"/>
    </xf>
    <xf numFmtId="0" fontId="7" fillId="4" borderId="18" xfId="6465" applyFill="1" applyBorder="1" applyProtection="1">
      <protection hidden="1"/>
    </xf>
    <xf numFmtId="0" fontId="7" fillId="12" borderId="67" xfId="16065" applyFont="1" applyFill="1" applyBorder="1" applyAlignment="1" applyProtection="1">
      <alignment horizontal="center"/>
      <protection locked="0"/>
    </xf>
    <xf numFmtId="0" fontId="0" fillId="0" borderId="0" xfId="17451" applyFont="1" applyAlignment="1" applyProtection="1">
      <alignment horizontal="left"/>
      <protection hidden="1"/>
    </xf>
    <xf numFmtId="0" fontId="7" fillId="4" borderId="0" xfId="6465" applyFill="1" applyAlignment="1" applyProtection="1">
      <alignment vertical="top"/>
      <protection hidden="1"/>
    </xf>
    <xf numFmtId="0" fontId="7" fillId="4" borderId="18" xfId="6465" applyFill="1" applyBorder="1" applyAlignment="1" applyProtection="1">
      <alignment vertical="top"/>
      <protection hidden="1"/>
    </xf>
    <xf numFmtId="0" fontId="7" fillId="4" borderId="18" xfId="6465" applyFill="1" applyBorder="1" applyAlignment="1" applyProtection="1">
      <alignment vertical="top" wrapText="1"/>
      <protection hidden="1"/>
    </xf>
    <xf numFmtId="0" fontId="4" fillId="4" borderId="0" xfId="16065" applyFont="1" applyFill="1" applyProtection="1">
      <protection hidden="1"/>
    </xf>
    <xf numFmtId="0" fontId="16" fillId="2" borderId="0" xfId="16065" applyFont="1" applyFill="1" applyAlignment="1" applyProtection="1">
      <alignment horizontal="center"/>
      <protection hidden="1"/>
    </xf>
    <xf numFmtId="0" fontId="7" fillId="23" borderId="0" xfId="16065" applyFont="1" applyFill="1" applyAlignment="1" applyProtection="1">
      <alignment horizontal="center"/>
      <protection hidden="1"/>
    </xf>
    <xf numFmtId="169" fontId="7" fillId="4" borderId="0" xfId="16065" applyNumberFormat="1" applyFont="1" applyFill="1" applyProtection="1">
      <protection hidden="1"/>
    </xf>
    <xf numFmtId="0" fontId="7" fillId="4" borderId="83" xfId="6465" applyFill="1" applyBorder="1" applyProtection="1">
      <protection hidden="1"/>
    </xf>
    <xf numFmtId="1" fontId="7" fillId="4" borderId="86" xfId="17451" applyNumberFormat="1" applyFont="1" applyFill="1" applyBorder="1" applyProtection="1">
      <protection hidden="1"/>
    </xf>
    <xf numFmtId="1" fontId="7" fillId="4" borderId="87" xfId="6465" applyNumberFormat="1" applyFill="1" applyBorder="1" applyProtection="1">
      <protection hidden="1"/>
    </xf>
    <xf numFmtId="1" fontId="7" fillId="4" borderId="0" xfId="17451" applyNumberFormat="1" applyFont="1" applyFill="1" applyProtection="1">
      <protection hidden="1"/>
    </xf>
    <xf numFmtId="1" fontId="7" fillId="4" borderId="0" xfId="6465" applyNumberFormat="1" applyFill="1" applyProtection="1">
      <protection hidden="1"/>
    </xf>
    <xf numFmtId="1" fontId="17" fillId="4" borderId="88" xfId="17451" applyNumberFormat="1" applyFont="1" applyFill="1" applyBorder="1" applyProtection="1">
      <protection hidden="1"/>
    </xf>
    <xf numFmtId="1" fontId="17" fillId="4" borderId="89" xfId="6465" applyNumberFormat="1" applyFont="1" applyFill="1" applyBorder="1" applyProtection="1">
      <protection hidden="1"/>
    </xf>
    <xf numFmtId="1" fontId="17" fillId="4" borderId="58" xfId="17451" applyNumberFormat="1" applyFont="1" applyFill="1" applyBorder="1" applyProtection="1">
      <protection hidden="1"/>
    </xf>
    <xf numFmtId="1" fontId="17" fillId="4" borderId="58" xfId="6465" applyNumberFormat="1" applyFont="1" applyFill="1" applyBorder="1" applyProtection="1">
      <protection hidden="1"/>
    </xf>
    <xf numFmtId="168" fontId="7" fillId="4" borderId="86" xfId="17451" applyNumberFormat="1" applyFont="1" applyFill="1" applyBorder="1" applyProtection="1">
      <protection hidden="1"/>
    </xf>
    <xf numFmtId="168" fontId="7" fillId="4" borderId="87" xfId="8678" applyNumberFormat="1" applyFont="1" applyFill="1" applyBorder="1" applyAlignment="1" applyProtection="1">
      <alignment horizontal="left"/>
      <protection hidden="1"/>
    </xf>
    <xf numFmtId="168" fontId="7" fillId="4" borderId="0" xfId="17451" applyNumberFormat="1" applyFont="1" applyFill="1" applyProtection="1">
      <protection hidden="1"/>
    </xf>
    <xf numFmtId="168" fontId="7" fillId="4" borderId="0" xfId="8678" applyNumberFormat="1" applyFont="1" applyFill="1" applyAlignment="1" applyProtection="1">
      <alignment horizontal="left"/>
      <protection hidden="1"/>
    </xf>
    <xf numFmtId="168" fontId="7" fillId="4" borderId="84" xfId="6465" applyNumberFormat="1" applyFill="1" applyBorder="1" applyAlignment="1" applyProtection="1">
      <alignment horizontal="right"/>
      <protection hidden="1"/>
    </xf>
    <xf numFmtId="168" fontId="7" fillId="4" borderId="85" xfId="8678" applyNumberFormat="1" applyFont="1" applyFill="1" applyBorder="1" applyAlignment="1" applyProtection="1">
      <alignment horizontal="center"/>
      <protection hidden="1"/>
    </xf>
    <xf numFmtId="168" fontId="7" fillId="4" borderId="17" xfId="8678" applyNumberFormat="1" applyFont="1" applyFill="1" applyBorder="1" applyAlignment="1" applyProtection="1">
      <alignment horizontal="center"/>
      <protection hidden="1"/>
    </xf>
    <xf numFmtId="168" fontId="7" fillId="4" borderId="0" xfId="6465" applyNumberFormat="1" applyFill="1" applyAlignment="1" applyProtection="1">
      <alignment horizontal="right"/>
      <protection hidden="1"/>
    </xf>
    <xf numFmtId="168" fontId="7" fillId="4" borderId="0" xfId="8678" applyNumberFormat="1" applyFont="1" applyFill="1" applyAlignment="1" applyProtection="1">
      <alignment horizontal="center"/>
      <protection hidden="1"/>
    </xf>
    <xf numFmtId="0" fontId="7" fillId="14" borderId="90" xfId="17451" applyFont="1" applyFill="1" applyBorder="1" applyAlignment="1" applyProtection="1">
      <alignment horizontal="center"/>
      <protection hidden="1"/>
    </xf>
    <xf numFmtId="0" fontId="7" fillId="14" borderId="71" xfId="17451" applyFont="1" applyFill="1" applyBorder="1" applyAlignment="1" applyProtection="1">
      <alignment horizontal="center"/>
      <protection hidden="1"/>
    </xf>
    <xf numFmtId="0" fontId="7" fillId="13" borderId="37" xfId="16065" applyFont="1" applyFill="1" applyBorder="1" applyAlignment="1" applyProtection="1">
      <alignment horizontal="center"/>
      <protection locked="0"/>
    </xf>
    <xf numFmtId="0" fontId="7" fillId="13" borderId="42" xfId="16065" applyFont="1" applyFill="1" applyBorder="1" applyAlignment="1" applyProtection="1">
      <alignment horizontal="center"/>
      <protection locked="0"/>
    </xf>
    <xf numFmtId="0" fontId="94" fillId="28" borderId="72" xfId="16065" applyFont="1" applyFill="1" applyBorder="1" applyAlignment="1" applyProtection="1">
      <alignment horizontal="center"/>
      <protection locked="0"/>
    </xf>
    <xf numFmtId="0" fontId="7" fillId="28" borderId="78" xfId="16065" applyFont="1" applyFill="1" applyBorder="1" applyAlignment="1" applyProtection="1">
      <alignment horizontal="center"/>
      <protection locked="0"/>
    </xf>
    <xf numFmtId="0" fontId="7" fillId="28" borderId="2" xfId="16065" applyFont="1" applyFill="1" applyBorder="1" applyAlignment="1" applyProtection="1">
      <alignment horizontal="center"/>
      <protection locked="0"/>
    </xf>
    <xf numFmtId="0" fontId="76" fillId="13" borderId="72" xfId="16065" applyFont="1" applyFill="1" applyBorder="1" applyAlignment="1" applyProtection="1">
      <alignment horizontal="center"/>
      <protection locked="0"/>
    </xf>
    <xf numFmtId="0" fontId="7" fillId="13" borderId="78" xfId="16065" applyFont="1" applyFill="1" applyBorder="1" applyAlignment="1" applyProtection="1">
      <alignment horizontal="center"/>
      <protection locked="0"/>
    </xf>
    <xf numFmtId="0" fontId="7" fillId="13" borderId="2" xfId="16065" applyFont="1" applyFill="1" applyBorder="1" applyAlignment="1" applyProtection="1">
      <alignment horizontal="center"/>
      <protection locked="0"/>
    </xf>
    <xf numFmtId="0" fontId="91" fillId="29" borderId="72" xfId="16065" applyFont="1" applyFill="1" applyBorder="1" applyAlignment="1" applyProtection="1">
      <alignment horizontal="center"/>
      <protection locked="0"/>
    </xf>
    <xf numFmtId="0" fontId="7" fillId="29" borderId="78" xfId="16065" applyFont="1" applyFill="1" applyBorder="1" applyAlignment="1" applyProtection="1">
      <alignment horizontal="center"/>
      <protection locked="0"/>
    </xf>
    <xf numFmtId="0" fontId="111" fillId="13" borderId="78" xfId="16065" applyFont="1" applyFill="1" applyBorder="1" applyAlignment="1" applyProtection="1">
      <alignment horizontal="center"/>
      <protection locked="0"/>
    </xf>
    <xf numFmtId="0" fontId="7" fillId="28" borderId="90" xfId="16065" applyFont="1" applyFill="1" applyBorder="1" applyAlignment="1" applyProtection="1">
      <alignment horizontal="center"/>
      <protection locked="0"/>
    </xf>
    <xf numFmtId="0" fontId="7" fillId="28" borderId="71" xfId="16065" applyFont="1" applyFill="1" applyBorder="1" applyAlignment="1" applyProtection="1">
      <alignment horizontal="center"/>
      <protection locked="0"/>
    </xf>
    <xf numFmtId="0" fontId="7" fillId="13" borderId="90" xfId="16065" applyFont="1" applyFill="1" applyBorder="1" applyAlignment="1" applyProtection="1">
      <alignment horizontal="center"/>
      <protection locked="0"/>
    </xf>
    <xf numFmtId="0" fontId="7" fillId="13" borderId="71" xfId="16065" applyFont="1" applyFill="1" applyBorder="1" applyAlignment="1" applyProtection="1">
      <alignment horizontal="center"/>
      <protection locked="0"/>
    </xf>
    <xf numFmtId="0" fontId="7" fillId="29" borderId="90" xfId="16065" applyFont="1" applyFill="1" applyBorder="1" applyAlignment="1" applyProtection="1">
      <alignment horizontal="center"/>
      <protection locked="0"/>
    </xf>
    <xf numFmtId="0" fontId="123" fillId="30" borderId="29" xfId="17451" applyFont="1" applyFill="1" applyBorder="1" applyAlignment="1" applyProtection="1">
      <alignment horizontal="center"/>
      <protection locked="0"/>
    </xf>
    <xf numFmtId="1" fontId="7" fillId="0" borderId="60" xfId="17451" applyNumberFormat="1" applyFont="1" applyBorder="1" applyAlignment="1" applyProtection="1">
      <alignment horizontal="center"/>
      <protection hidden="1"/>
    </xf>
    <xf numFmtId="1" fontId="7" fillId="0" borderId="60" xfId="16065" applyNumberFormat="1" applyFont="1" applyBorder="1" applyAlignment="1" applyProtection="1">
      <alignment horizontal="center"/>
      <protection hidden="1"/>
    </xf>
    <xf numFmtId="1" fontId="7" fillId="0" borderId="52" xfId="16065" applyNumberFormat="1" applyFont="1" applyBorder="1" applyAlignment="1" applyProtection="1">
      <alignment horizontal="center"/>
      <protection hidden="1"/>
    </xf>
    <xf numFmtId="1" fontId="7" fillId="0" borderId="0" xfId="16065" applyNumberFormat="1" applyFont="1" applyAlignment="1" applyProtection="1">
      <alignment horizontal="center"/>
      <protection hidden="1"/>
    </xf>
    <xf numFmtId="1" fontId="7" fillId="0" borderId="18" xfId="16065" applyNumberFormat="1" applyFont="1" applyBorder="1" applyAlignment="1" applyProtection="1">
      <alignment horizontal="center"/>
      <protection hidden="1"/>
    </xf>
    <xf numFmtId="168" fontId="7" fillId="0" borderId="52" xfId="16065" applyNumberFormat="1" applyFont="1" applyBorder="1" applyAlignment="1" applyProtection="1">
      <alignment horizontal="center"/>
      <protection hidden="1"/>
    </xf>
    <xf numFmtId="168" fontId="7" fillId="0" borderId="0" xfId="16065" applyNumberFormat="1" applyFont="1" applyAlignment="1" applyProtection="1">
      <alignment horizontal="center"/>
      <protection hidden="1"/>
    </xf>
    <xf numFmtId="168" fontId="124" fillId="0" borderId="27" xfId="17451" applyNumberFormat="1" applyFont="1" applyBorder="1" applyAlignment="1" applyProtection="1">
      <alignment horizontal="center"/>
      <protection hidden="1"/>
    </xf>
    <xf numFmtId="168" fontId="23" fillId="4" borderId="30" xfId="16065" applyNumberFormat="1" applyFont="1" applyFill="1" applyBorder="1" applyAlignment="1" applyProtection="1">
      <alignment horizontal="center"/>
      <protection hidden="1"/>
    </xf>
    <xf numFmtId="168" fontId="23" fillId="4" borderId="29" xfId="16065" applyNumberFormat="1" applyFont="1" applyFill="1" applyBorder="1" applyAlignment="1" applyProtection="1">
      <alignment horizontal="center"/>
      <protection hidden="1"/>
    </xf>
    <xf numFmtId="168" fontId="23" fillId="4" borderId="31" xfId="16065" applyNumberFormat="1" applyFont="1" applyFill="1" applyBorder="1" applyAlignment="1" applyProtection="1">
      <alignment horizontal="center"/>
      <protection hidden="1"/>
    </xf>
    <xf numFmtId="0" fontId="3" fillId="4" borderId="0" xfId="6465" applyFont="1" applyFill="1" applyProtection="1">
      <protection hidden="1"/>
    </xf>
    <xf numFmtId="0" fontId="3" fillId="4" borderId="0" xfId="17451" applyFont="1" applyFill="1" applyProtection="1">
      <protection hidden="1"/>
    </xf>
    <xf numFmtId="0" fontId="7" fillId="0" borderId="0" xfId="16065" applyFont="1" applyAlignment="1" applyProtection="1">
      <alignment vertical="center"/>
      <protection hidden="1"/>
    </xf>
    <xf numFmtId="49" fontId="100" fillId="0" borderId="0" xfId="16065" applyNumberFormat="1" applyFont="1" applyAlignment="1" applyProtection="1">
      <alignment vertical="center"/>
      <protection hidden="1"/>
    </xf>
    <xf numFmtId="0" fontId="19" fillId="4" borderId="0" xfId="69" applyFont="1" applyFill="1" applyAlignment="1" applyProtection="1">
      <alignment horizontal="right" vertical="center"/>
      <protection hidden="1"/>
    </xf>
    <xf numFmtId="0" fontId="55" fillId="4" borderId="0" xfId="6465" applyFont="1" applyFill="1" applyAlignment="1" applyProtection="1">
      <alignment horizontal="left" wrapText="1"/>
      <protection hidden="1"/>
    </xf>
    <xf numFmtId="0" fontId="7" fillId="0" borderId="0" xfId="17451" applyFont="1" applyAlignment="1" applyProtection="1">
      <alignment horizontal="center"/>
      <protection hidden="1"/>
    </xf>
    <xf numFmtId="49" fontId="100" fillId="0" borderId="0" xfId="16065" applyNumberFormat="1" applyFont="1" applyProtection="1">
      <protection hidden="1"/>
    </xf>
    <xf numFmtId="0" fontId="63" fillId="4" borderId="0" xfId="16065" applyFont="1" applyFill="1" applyAlignment="1" applyProtection="1">
      <alignment wrapText="1"/>
      <protection hidden="1"/>
    </xf>
    <xf numFmtId="0" fontId="52" fillId="4" borderId="0" xfId="8678" applyFont="1" applyFill="1" applyProtection="1">
      <protection hidden="1"/>
    </xf>
    <xf numFmtId="1" fontId="7" fillId="4" borderId="18" xfId="6465" applyNumberFormat="1" applyFill="1" applyBorder="1" applyAlignment="1" applyProtection="1">
      <alignment horizontal="left"/>
      <protection hidden="1"/>
    </xf>
    <xf numFmtId="1" fontId="7" fillId="4" borderId="0" xfId="6465" applyNumberFormat="1" applyFill="1" applyAlignment="1" applyProtection="1">
      <alignment horizontal="left"/>
      <protection hidden="1"/>
    </xf>
    <xf numFmtId="166" fontId="7" fillId="0" borderId="0" xfId="17451" applyNumberFormat="1" applyFont="1" applyProtection="1">
      <protection hidden="1"/>
    </xf>
    <xf numFmtId="1" fontId="7" fillId="4" borderId="59" xfId="17451" applyNumberFormat="1" applyFont="1" applyFill="1" applyBorder="1" applyProtection="1">
      <protection hidden="1"/>
    </xf>
    <xf numFmtId="1" fontId="7" fillId="4" borderId="0" xfId="8678" applyNumberFormat="1" applyFont="1" applyFill="1" applyAlignment="1" applyProtection="1">
      <alignment horizontal="left"/>
      <protection hidden="1"/>
    </xf>
    <xf numFmtId="49" fontId="7" fillId="0" borderId="0" xfId="16065" applyNumberFormat="1" applyFont="1" applyProtection="1">
      <protection hidden="1"/>
    </xf>
    <xf numFmtId="1" fontId="7" fillId="4" borderId="18" xfId="8678" applyNumberFormat="1" applyFont="1" applyFill="1" applyBorder="1" applyAlignment="1" applyProtection="1">
      <alignment horizontal="left"/>
      <protection hidden="1"/>
    </xf>
    <xf numFmtId="0" fontId="7" fillId="4" borderId="28" xfId="17451" applyFont="1" applyFill="1" applyBorder="1" applyProtection="1">
      <protection hidden="1"/>
    </xf>
    <xf numFmtId="0" fontId="7" fillId="4" borderId="0" xfId="17451" applyFont="1" applyFill="1" applyProtection="1">
      <protection hidden="1"/>
    </xf>
    <xf numFmtId="0" fontId="132" fillId="4" borderId="0" xfId="16065" applyFont="1" applyFill="1" applyAlignment="1" applyProtection="1">
      <alignment horizontal="center"/>
      <protection hidden="1"/>
    </xf>
    <xf numFmtId="0" fontId="7" fillId="0" borderId="0" xfId="16065" applyFont="1" applyProtection="1">
      <protection hidden="1"/>
    </xf>
    <xf numFmtId="168" fontId="7" fillId="0" borderId="0" xfId="16065" applyNumberFormat="1" applyFont="1" applyProtection="1">
      <protection hidden="1"/>
    </xf>
    <xf numFmtId="0" fontId="122" fillId="4" borderId="0" xfId="6465" applyFont="1" applyFill="1" applyAlignment="1" applyProtection="1">
      <alignment horizontal="center" wrapText="1"/>
      <protection hidden="1"/>
    </xf>
    <xf numFmtId="0" fontId="7" fillId="0" borderId="0" xfId="16065" applyFont="1" applyAlignment="1" applyProtection="1">
      <alignment horizontal="center"/>
      <protection hidden="1"/>
    </xf>
    <xf numFmtId="0" fontId="10" fillId="0" borderId="0" xfId="16065" applyFont="1" applyProtection="1">
      <protection hidden="1"/>
    </xf>
    <xf numFmtId="1" fontId="7" fillId="0" borderId="0" xfId="16065" applyNumberFormat="1" applyFont="1" applyProtection="1">
      <protection hidden="1"/>
    </xf>
    <xf numFmtId="0" fontId="7" fillId="14" borderId="0" xfId="17451" applyFont="1" applyFill="1" applyAlignment="1" applyProtection="1">
      <alignment horizontal="center"/>
      <protection hidden="1"/>
    </xf>
    <xf numFmtId="166" fontId="63" fillId="0" borderId="0" xfId="6465" applyNumberFormat="1" applyFont="1" applyAlignment="1" applyProtection="1">
      <alignment horizontal="left"/>
      <protection hidden="1"/>
    </xf>
    <xf numFmtId="0" fontId="7" fillId="29" borderId="2" xfId="16065" applyFont="1" applyFill="1" applyBorder="1" applyAlignment="1" applyProtection="1">
      <alignment horizontal="center"/>
      <protection locked="0"/>
    </xf>
    <xf numFmtId="0" fontId="0" fillId="0" borderId="0" xfId="16065" applyFont="1" applyProtection="1">
      <protection hidden="1"/>
    </xf>
    <xf numFmtId="168" fontId="7" fillId="0" borderId="0" xfId="16065" applyNumberFormat="1" applyFont="1" applyAlignment="1" applyProtection="1">
      <alignment horizontal="right"/>
      <protection hidden="1"/>
    </xf>
    <xf numFmtId="2" fontId="7" fillId="0" borderId="0" xfId="16065" applyNumberFormat="1" applyFont="1" applyProtection="1">
      <protection hidden="1"/>
    </xf>
    <xf numFmtId="0" fontId="7" fillId="0" borderId="30" xfId="6465" applyBorder="1" applyAlignment="1" applyProtection="1">
      <alignment horizontal="right"/>
      <protection hidden="1"/>
    </xf>
    <xf numFmtId="169" fontId="12" fillId="0" borderId="31" xfId="16065" applyNumberFormat="1" applyFont="1" applyBorder="1" applyAlignment="1" applyProtection="1">
      <alignment horizontal="center" wrapText="1"/>
      <protection hidden="1"/>
    </xf>
    <xf numFmtId="168" fontId="7" fillId="0" borderId="17" xfId="16065" applyNumberFormat="1" applyFont="1" applyBorder="1" applyAlignment="1" applyProtection="1">
      <alignment horizontal="right"/>
      <protection hidden="1"/>
    </xf>
    <xf numFmtId="2" fontId="7" fillId="0" borderId="17" xfId="16065" applyNumberFormat="1" applyFont="1" applyBorder="1" applyProtection="1">
      <protection hidden="1"/>
    </xf>
    <xf numFmtId="0" fontId="17" fillId="0" borderId="30" xfId="16065" applyFont="1" applyBorder="1" applyAlignment="1" applyProtection="1">
      <alignment horizontal="center"/>
      <protection hidden="1"/>
    </xf>
    <xf numFmtId="169" fontId="17" fillId="0" borderId="31" xfId="16065" applyNumberFormat="1" applyFont="1" applyBorder="1" applyAlignment="1" applyProtection="1">
      <alignment horizontal="center" vertical="center" wrapText="1"/>
      <protection hidden="1"/>
    </xf>
    <xf numFmtId="49" fontId="63" fillId="0" borderId="0" xfId="16065" applyNumberFormat="1" applyFont="1" applyAlignment="1" applyProtection="1">
      <alignment vertical="center"/>
      <protection hidden="1"/>
    </xf>
    <xf numFmtId="168" fontId="7" fillId="0" borderId="0" xfId="6465" applyNumberFormat="1" applyAlignment="1" applyProtection="1">
      <alignment horizontal="right"/>
      <protection hidden="1"/>
    </xf>
    <xf numFmtId="2" fontId="7" fillId="0" borderId="0" xfId="6465" applyNumberFormat="1" applyProtection="1">
      <protection hidden="1"/>
    </xf>
    <xf numFmtId="0" fontId="7" fillId="0" borderId="0" xfId="16065" applyFont="1" applyAlignment="1" applyProtection="1">
      <alignment horizontal="right"/>
      <protection hidden="1"/>
    </xf>
    <xf numFmtId="0" fontId="63" fillId="0" borderId="0" xfId="6465" applyFont="1" applyProtection="1">
      <protection hidden="1"/>
    </xf>
    <xf numFmtId="0" fontId="7" fillId="29" borderId="71" xfId="16065" applyFont="1" applyFill="1" applyBorder="1" applyAlignment="1" applyProtection="1">
      <alignment horizontal="center"/>
      <protection locked="0"/>
    </xf>
    <xf numFmtId="168" fontId="0" fillId="0" borderId="0" xfId="16065" applyNumberFormat="1" applyFont="1" applyProtection="1">
      <protection hidden="1"/>
    </xf>
    <xf numFmtId="168" fontId="7" fillId="0" borderId="28" xfId="16065" applyNumberFormat="1" applyFont="1" applyBorder="1" applyAlignment="1" applyProtection="1">
      <alignment horizontal="center"/>
      <protection hidden="1"/>
    </xf>
    <xf numFmtId="168" fontId="133" fillId="4" borderId="0" xfId="16065" applyNumberFormat="1" applyFont="1" applyFill="1" applyProtection="1">
      <protection hidden="1"/>
    </xf>
    <xf numFmtId="168" fontId="7" fillId="4" borderId="0" xfId="6465" applyNumberFormat="1" applyFill="1" applyAlignment="1" applyProtection="1">
      <alignment horizontal="center"/>
      <protection hidden="1"/>
    </xf>
    <xf numFmtId="166" fontId="101" fillId="4" borderId="0" xfId="6465" applyNumberFormat="1" applyFont="1" applyFill="1" applyAlignment="1" applyProtection="1">
      <alignment horizontal="left"/>
      <protection hidden="1"/>
    </xf>
    <xf numFmtId="2" fontId="134" fillId="4" borderId="0" xfId="6465" applyNumberFormat="1" applyFont="1" applyFill="1" applyAlignment="1" applyProtection="1">
      <alignment horizontal="center" vertical="center" wrapText="1"/>
      <protection hidden="1"/>
    </xf>
    <xf numFmtId="2" fontId="72" fillId="4" borderId="0" xfId="6465" applyNumberFormat="1" applyFont="1" applyFill="1" applyAlignment="1" applyProtection="1">
      <alignment horizontal="center" vertical="center" wrapText="1"/>
      <protection hidden="1"/>
    </xf>
    <xf numFmtId="0" fontId="100" fillId="0" borderId="0" xfId="16065" applyFont="1" applyAlignment="1" applyProtection="1">
      <alignment vertical="center"/>
      <protection hidden="1"/>
    </xf>
    <xf numFmtId="0" fontId="100" fillId="0" borderId="0" xfId="16065" applyFont="1" applyProtection="1">
      <protection hidden="1"/>
    </xf>
    <xf numFmtId="0" fontId="24" fillId="0" borderId="0" xfId="6465" applyFont="1" applyProtection="1">
      <protection hidden="1"/>
    </xf>
    <xf numFmtId="1" fontId="24" fillId="0" borderId="0" xfId="6465" applyNumberFormat="1" applyFont="1" applyProtection="1">
      <protection hidden="1"/>
    </xf>
    <xf numFmtId="0" fontId="5" fillId="0" borderId="0" xfId="16065" applyFont="1" applyProtection="1">
      <protection hidden="1"/>
    </xf>
    <xf numFmtId="0" fontId="5" fillId="0" borderId="0" xfId="16065" applyFont="1" applyAlignment="1" applyProtection="1">
      <alignment horizontal="right"/>
      <protection hidden="1"/>
    </xf>
    <xf numFmtId="0" fontId="33" fillId="0" borderId="0" xfId="17451" applyFont="1" applyAlignment="1" applyProtection="1">
      <alignment horizontal="right"/>
      <protection hidden="1"/>
    </xf>
    <xf numFmtId="1" fontId="23" fillId="0" borderId="0" xfId="6465" applyNumberFormat="1" applyFont="1" applyAlignment="1" applyProtection="1">
      <alignment horizontal="right"/>
      <protection hidden="1"/>
    </xf>
    <xf numFmtId="0" fontId="23" fillId="0" borderId="0" xfId="6465" applyFont="1" applyAlignment="1" applyProtection="1">
      <alignment horizontal="right"/>
      <protection hidden="1"/>
    </xf>
    <xf numFmtId="168" fontId="135" fillId="0" borderId="0" xfId="6465" applyNumberFormat="1" applyFont="1" applyProtection="1">
      <protection hidden="1"/>
    </xf>
    <xf numFmtId="0" fontId="135" fillId="0" borderId="0" xfId="6465" applyFont="1" applyProtection="1">
      <protection hidden="1"/>
    </xf>
    <xf numFmtId="0" fontId="63" fillId="0" borderId="0" xfId="16065" applyFont="1" applyProtection="1">
      <protection hidden="1"/>
    </xf>
    <xf numFmtId="168" fontId="63" fillId="0" borderId="0" xfId="6465" applyNumberFormat="1" applyFont="1" applyProtection="1">
      <protection hidden="1"/>
    </xf>
    <xf numFmtId="0" fontId="0" fillId="3" borderId="0" xfId="17451" applyFont="1" applyFill="1" applyAlignment="1" applyProtection="1">
      <alignment horizontal="center"/>
      <protection hidden="1"/>
    </xf>
    <xf numFmtId="0" fontId="0" fillId="3" borderId="0" xfId="17451" applyFont="1" applyFill="1" applyAlignment="1" applyProtection="1">
      <alignment vertical="center"/>
      <protection hidden="1"/>
    </xf>
    <xf numFmtId="0" fontId="7" fillId="4" borderId="0" xfId="6465" applyFill="1" applyAlignment="1" applyProtection="1">
      <alignment vertical="top" wrapText="1"/>
      <protection hidden="1"/>
    </xf>
    <xf numFmtId="0" fontId="33" fillId="0" borderId="0" xfId="0" applyFont="1" applyProtection="1">
      <protection hidden="1"/>
    </xf>
    <xf numFmtId="0" fontId="17" fillId="3" borderId="27" xfId="6465" applyFont="1" applyFill="1" applyBorder="1" applyAlignment="1" applyProtection="1">
      <alignment horizontal="left" vertical="center"/>
      <protection hidden="1"/>
    </xf>
    <xf numFmtId="0" fontId="23" fillId="3" borderId="29" xfId="6465" applyFont="1" applyFill="1" applyBorder="1" applyProtection="1">
      <protection hidden="1"/>
    </xf>
    <xf numFmtId="0" fontId="17" fillId="3" borderId="0" xfId="6465" applyFont="1" applyFill="1" applyAlignment="1" applyProtection="1">
      <alignment horizontal="right"/>
      <protection hidden="1"/>
    </xf>
    <xf numFmtId="0" fontId="7" fillId="2" borderId="0" xfId="6465" applyFill="1" applyAlignment="1" applyProtection="1">
      <alignment horizontal="right" wrapText="1"/>
      <protection hidden="1"/>
    </xf>
    <xf numFmtId="0" fontId="137" fillId="3" borderId="0" xfId="17451" applyFont="1" applyFill="1" applyAlignment="1" applyProtection="1">
      <alignment horizontal="right"/>
      <protection hidden="1"/>
    </xf>
    <xf numFmtId="0" fontId="23" fillId="3" borderId="0" xfId="17451" applyFont="1" applyFill="1" applyAlignment="1" applyProtection="1">
      <alignment vertical="top" wrapText="1"/>
      <protection hidden="1"/>
    </xf>
    <xf numFmtId="0" fontId="0" fillId="4" borderId="0" xfId="17451" applyFont="1" applyFill="1" applyProtection="1">
      <protection hidden="1"/>
    </xf>
    <xf numFmtId="0" fontId="0" fillId="0" borderId="30" xfId="16065" applyFont="1" applyBorder="1" applyProtection="1">
      <protection hidden="1"/>
    </xf>
    <xf numFmtId="0" fontId="7" fillId="0" borderId="29" xfId="6465" applyBorder="1" applyProtection="1">
      <protection hidden="1"/>
    </xf>
    <xf numFmtId="0" fontId="7" fillId="0" borderId="31" xfId="6465" applyBorder="1" applyProtection="1">
      <protection hidden="1"/>
    </xf>
    <xf numFmtId="0" fontId="5" fillId="0" borderId="0" xfId="16065" applyFont="1" applyAlignment="1" applyProtection="1">
      <alignment horizontal="center"/>
      <protection hidden="1"/>
    </xf>
    <xf numFmtId="0" fontId="7" fillId="5" borderId="78" xfId="17451" applyFont="1" applyFill="1" applyBorder="1" applyAlignment="1" applyProtection="1">
      <alignment vertical="top" wrapText="1"/>
      <protection locked="0"/>
    </xf>
    <xf numFmtId="0" fontId="7" fillId="0" borderId="18" xfId="6465" applyBorder="1" applyAlignment="1" applyProtection="1">
      <alignment vertical="top" wrapText="1"/>
      <protection hidden="1"/>
    </xf>
    <xf numFmtId="0" fontId="7" fillId="5" borderId="78" xfId="17451" applyFont="1" applyFill="1" applyBorder="1" applyProtection="1">
      <protection locked="0"/>
    </xf>
    <xf numFmtId="0" fontId="138" fillId="5" borderId="78" xfId="17451" applyFont="1" applyFill="1" applyBorder="1" applyProtection="1">
      <protection locked="0"/>
    </xf>
    <xf numFmtId="0" fontId="7" fillId="5" borderId="78" xfId="17488" applyFill="1" applyBorder="1" applyProtection="1">
      <protection locked="0"/>
    </xf>
    <xf numFmtId="0" fontId="7" fillId="5" borderId="78" xfId="6465" applyFill="1" applyBorder="1" applyProtection="1">
      <protection locked="0"/>
    </xf>
    <xf numFmtId="1" fontId="7" fillId="5" borderId="78" xfId="16065" applyNumberFormat="1" applyFont="1" applyFill="1" applyBorder="1" applyAlignment="1" applyProtection="1">
      <alignment horizontal="center"/>
      <protection locked="0"/>
    </xf>
    <xf numFmtId="0" fontId="7" fillId="5" borderId="78" xfId="17488" applyFill="1" applyBorder="1" applyAlignment="1" applyProtection="1">
      <alignment horizontal="center"/>
      <protection locked="0"/>
    </xf>
    <xf numFmtId="0" fontId="7" fillId="0" borderId="18" xfId="16065" applyFont="1" applyBorder="1" applyProtection="1">
      <protection hidden="1"/>
    </xf>
    <xf numFmtId="0" fontId="63" fillId="0" borderId="0" xfId="16065" applyFont="1" applyAlignment="1" applyProtection="1">
      <alignment horizontal="center"/>
      <protection hidden="1"/>
    </xf>
    <xf numFmtId="0" fontId="63" fillId="0" borderId="18" xfId="17451" applyFont="1" applyBorder="1" applyAlignment="1" applyProtection="1">
      <alignment horizontal="left"/>
      <protection hidden="1"/>
    </xf>
    <xf numFmtId="0" fontId="7" fillId="5" borderId="78" xfId="16065" applyFont="1" applyFill="1" applyBorder="1" applyProtection="1">
      <protection locked="0"/>
    </xf>
    <xf numFmtId="0" fontId="63" fillId="0" borderId="0" xfId="6465" applyFont="1" applyAlignment="1" applyProtection="1">
      <alignment horizontal="center"/>
      <protection hidden="1"/>
    </xf>
    <xf numFmtId="0" fontId="0" fillId="0" borderId="0" xfId="17451" applyFont="1" applyAlignment="1" applyProtection="1">
      <alignment horizontal="center"/>
      <protection hidden="1"/>
    </xf>
    <xf numFmtId="0" fontId="0" fillId="0" borderId="18" xfId="17451" applyFont="1" applyBorder="1" applyProtection="1">
      <protection hidden="1"/>
    </xf>
    <xf numFmtId="0" fontId="7" fillId="5" borderId="78" xfId="6465" applyFill="1" applyBorder="1" applyAlignment="1" applyProtection="1">
      <alignment horizontal="center"/>
      <protection locked="0"/>
    </xf>
    <xf numFmtId="0" fontId="7" fillId="2" borderId="78" xfId="16065" applyFont="1" applyFill="1" applyBorder="1" applyAlignment="1" applyProtection="1">
      <alignment horizontal="left"/>
      <protection hidden="1"/>
    </xf>
    <xf numFmtId="1" fontId="7" fillId="2" borderId="78" xfId="16065" applyNumberFormat="1" applyFont="1" applyFill="1" applyBorder="1" applyAlignment="1" applyProtection="1">
      <alignment horizontal="center"/>
      <protection hidden="1"/>
    </xf>
    <xf numFmtId="0" fontId="7" fillId="2" borderId="78" xfId="16065" applyFont="1" applyFill="1" applyBorder="1" applyAlignment="1" applyProtection="1">
      <alignment horizontal="center"/>
      <protection hidden="1"/>
    </xf>
    <xf numFmtId="0" fontId="7" fillId="0" borderId="27" xfId="17488" applyBorder="1" applyProtection="1">
      <protection hidden="1"/>
    </xf>
    <xf numFmtId="1" fontId="7" fillId="0" borderId="17" xfId="16065" applyNumberFormat="1" applyFont="1" applyBorder="1" applyProtection="1">
      <protection hidden="1"/>
    </xf>
    <xf numFmtId="0" fontId="7" fillId="0" borderId="17" xfId="16065" applyFont="1" applyBorder="1" applyProtection="1">
      <protection hidden="1"/>
    </xf>
    <xf numFmtId="0" fontId="0" fillId="0" borderId="17" xfId="17451" applyFont="1" applyBorder="1" applyProtection="1">
      <protection hidden="1"/>
    </xf>
    <xf numFmtId="0" fontId="0" fillId="0" borderId="28" xfId="17451" applyFont="1" applyBorder="1" applyProtection="1">
      <protection hidden="1"/>
    </xf>
    <xf numFmtId="0" fontId="7" fillId="0" borderId="30" xfId="16065" applyFont="1" applyBorder="1" applyProtection="1">
      <protection hidden="1"/>
    </xf>
    <xf numFmtId="0" fontId="63" fillId="0" borderId="29" xfId="16065" applyFont="1" applyBorder="1" applyProtection="1">
      <protection hidden="1"/>
    </xf>
    <xf numFmtId="0" fontId="5" fillId="0" borderId="29" xfId="16065" applyFont="1" applyBorder="1" applyAlignment="1" applyProtection="1">
      <alignment horizontal="center"/>
      <protection hidden="1"/>
    </xf>
    <xf numFmtId="0" fontId="7" fillId="0" borderId="29" xfId="16065" applyFont="1" applyBorder="1" applyProtection="1">
      <protection hidden="1"/>
    </xf>
    <xf numFmtId="0" fontId="7" fillId="0" borderId="31" xfId="16065" applyFont="1" applyBorder="1" applyProtection="1">
      <protection hidden="1"/>
    </xf>
    <xf numFmtId="0" fontId="7" fillId="0" borderId="18" xfId="17451" applyFont="1" applyBorder="1" applyProtection="1">
      <protection hidden="1"/>
    </xf>
    <xf numFmtId="0" fontId="121" fillId="3" borderId="0" xfId="6465" applyFont="1" applyFill="1" applyAlignment="1" applyProtection="1">
      <alignment horizontal="center" vertical="center" wrapText="1"/>
      <protection hidden="1"/>
    </xf>
    <xf numFmtId="0" fontId="0" fillId="3" borderId="17" xfId="17414" applyFont="1" applyFill="1" applyBorder="1" applyAlignment="1" applyProtection="1">
      <alignment horizontal="left"/>
      <protection hidden="1"/>
    </xf>
    <xf numFmtId="0" fontId="0" fillId="3" borderId="92" xfId="17414" applyFont="1" applyFill="1" applyBorder="1" applyAlignment="1" applyProtection="1">
      <alignment horizontal="left"/>
      <protection hidden="1"/>
    </xf>
    <xf numFmtId="0" fontId="0" fillId="3" borderId="17" xfId="17414" applyFont="1" applyFill="1" applyBorder="1" applyAlignment="1" applyProtection="1">
      <alignment horizontal="right"/>
      <protection hidden="1"/>
    </xf>
    <xf numFmtId="0" fontId="0" fillId="3" borderId="93" xfId="17414" applyFont="1" applyFill="1" applyBorder="1" applyAlignment="1" applyProtection="1">
      <alignment horizontal="left"/>
      <protection hidden="1"/>
    </xf>
    <xf numFmtId="0" fontId="0" fillId="3" borderId="28" xfId="17414" applyFont="1" applyFill="1" applyBorder="1" applyAlignment="1" applyProtection="1">
      <alignment horizontal="left"/>
      <protection hidden="1"/>
    </xf>
    <xf numFmtId="0" fontId="7" fillId="30" borderId="30" xfId="6465" applyFill="1" applyBorder="1" applyProtection="1">
      <protection locked="0"/>
    </xf>
    <xf numFmtId="0" fontId="7" fillId="12" borderId="31" xfId="6465" applyFill="1" applyBorder="1" applyAlignment="1" applyProtection="1">
      <alignment horizontal="left"/>
      <protection locked="0"/>
    </xf>
    <xf numFmtId="0" fontId="7" fillId="14" borderId="1" xfId="6465" applyFill="1" applyBorder="1" applyProtection="1">
      <protection hidden="1"/>
    </xf>
    <xf numFmtId="0" fontId="7" fillId="14" borderId="94" xfId="6465" applyFill="1" applyBorder="1" applyAlignment="1" applyProtection="1">
      <alignment horizontal="left"/>
      <protection hidden="1"/>
    </xf>
    <xf numFmtId="0" fontId="7" fillId="14" borderId="95" xfId="6465" applyFill="1" applyBorder="1" applyProtection="1">
      <protection hidden="1"/>
    </xf>
    <xf numFmtId="0" fontId="7" fillId="14" borderId="96" xfId="6465" applyFill="1" applyBorder="1" applyAlignment="1" applyProtection="1">
      <alignment horizontal="left"/>
      <protection hidden="1"/>
    </xf>
    <xf numFmtId="0" fontId="7" fillId="14" borderId="97" xfId="6465" applyFill="1" applyBorder="1" applyAlignment="1" applyProtection="1">
      <alignment horizontal="left"/>
      <protection hidden="1"/>
    </xf>
    <xf numFmtId="0" fontId="7" fillId="14" borderId="18" xfId="6465" applyFill="1" applyBorder="1" applyAlignment="1" applyProtection="1">
      <alignment horizontal="left"/>
      <protection hidden="1"/>
    </xf>
    <xf numFmtId="0" fontId="7" fillId="14" borderId="91" xfId="6465" applyFill="1" applyBorder="1" applyProtection="1">
      <protection hidden="1"/>
    </xf>
    <xf numFmtId="0" fontId="7" fillId="14" borderId="99" xfId="6465" applyFill="1" applyBorder="1" applyAlignment="1" applyProtection="1">
      <alignment horizontal="left"/>
      <protection hidden="1"/>
    </xf>
    <xf numFmtId="0" fontId="7" fillId="14" borderId="99" xfId="6465" applyFill="1" applyBorder="1" applyProtection="1">
      <protection hidden="1"/>
    </xf>
    <xf numFmtId="0" fontId="7" fillId="14" borderId="98" xfId="6465" applyFill="1" applyBorder="1" applyProtection="1">
      <protection hidden="1"/>
    </xf>
    <xf numFmtId="0" fontId="43" fillId="3" borderId="29" xfId="6465" applyFont="1" applyFill="1" applyBorder="1" applyProtection="1">
      <protection hidden="1"/>
    </xf>
    <xf numFmtId="0" fontId="121" fillId="3" borderId="0" xfId="6465" applyFont="1" applyFill="1" applyAlignment="1" applyProtection="1">
      <alignment vertical="top" wrapText="1"/>
      <protection hidden="1"/>
    </xf>
    <xf numFmtId="0" fontId="7" fillId="3" borderId="0" xfId="16065" applyFont="1" applyFill="1" applyProtection="1">
      <protection hidden="1"/>
    </xf>
    <xf numFmtId="0" fontId="7" fillId="5" borderId="0" xfId="6465" applyFill="1" applyAlignment="1" applyProtection="1">
      <alignment horizontal="right"/>
      <protection locked="0"/>
    </xf>
    <xf numFmtId="2" fontId="7" fillId="4" borderId="0" xfId="16065" applyNumberFormat="1" applyFont="1" applyFill="1" applyProtection="1">
      <protection hidden="1"/>
    </xf>
    <xf numFmtId="0" fontId="23" fillId="3" borderId="0" xfId="4660" applyFont="1" applyFill="1" applyAlignment="1" applyProtection="1">
      <alignment horizontal="left"/>
      <protection hidden="1"/>
    </xf>
    <xf numFmtId="0" fontId="61" fillId="3" borderId="0" xfId="0" applyFont="1" applyFill="1" applyAlignment="1" applyProtection="1">
      <alignment horizontal="left" vertical="center"/>
      <protection hidden="1"/>
    </xf>
    <xf numFmtId="0" fontId="0" fillId="3" borderId="0" xfId="17451" applyFont="1" applyFill="1" applyAlignment="1" applyProtection="1">
      <alignment horizontal="left"/>
      <protection hidden="1"/>
    </xf>
    <xf numFmtId="2" fontId="72" fillId="2" borderId="0" xfId="6465" applyNumberFormat="1" applyFont="1" applyFill="1" applyAlignment="1" applyProtection="1">
      <alignment horizontal="center" vertical="center" wrapText="1"/>
      <protection hidden="1"/>
    </xf>
    <xf numFmtId="0" fontId="0" fillId="0" borderId="30" xfId="17452" applyFont="1" applyBorder="1" applyProtection="1">
      <protection hidden="1"/>
    </xf>
    <xf numFmtId="0" fontId="0" fillId="0" borderId="29" xfId="17452" applyFont="1" applyBorder="1" applyProtection="1">
      <protection hidden="1"/>
    </xf>
    <xf numFmtId="0" fontId="0" fillId="0" borderId="31" xfId="17452" applyFont="1" applyBorder="1" applyProtection="1">
      <protection hidden="1"/>
    </xf>
    <xf numFmtId="1" fontId="23" fillId="0" borderId="18" xfId="6465" applyNumberFormat="1" applyFont="1" applyBorder="1" applyAlignment="1" applyProtection="1">
      <alignment horizontal="right"/>
      <protection hidden="1"/>
    </xf>
    <xf numFmtId="0" fontId="7" fillId="2" borderId="0" xfId="6465" applyFill="1" applyAlignment="1" applyProtection="1">
      <alignment horizontal="center"/>
      <protection hidden="1"/>
    </xf>
    <xf numFmtId="0" fontId="7" fillId="3" borderId="0" xfId="17414" applyFont="1" applyFill="1" applyAlignment="1" applyProtection="1">
      <alignment vertical="top" wrapText="1"/>
      <protection hidden="1"/>
    </xf>
    <xf numFmtId="0" fontId="7" fillId="3" borderId="0" xfId="17414" applyFont="1" applyFill="1" applyAlignment="1" applyProtection="1">
      <alignment wrapText="1"/>
      <protection hidden="1"/>
    </xf>
    <xf numFmtId="0" fontId="142" fillId="0" borderId="0" xfId="6465" applyFont="1" applyProtection="1">
      <protection hidden="1"/>
    </xf>
    <xf numFmtId="0" fontId="7" fillId="0" borderId="0" xfId="17468" applyFont="1" applyProtection="1">
      <protection hidden="1"/>
    </xf>
    <xf numFmtId="169" fontId="7" fillId="0" borderId="0" xfId="17473" applyNumberFormat="1" applyFont="1" applyProtection="1">
      <protection hidden="1"/>
    </xf>
    <xf numFmtId="0" fontId="19" fillId="14" borderId="0" xfId="69" applyFont="1" applyFill="1" applyAlignment="1" applyProtection="1">
      <protection hidden="1"/>
    </xf>
    <xf numFmtId="1" fontId="103" fillId="3" borderId="0" xfId="6465" applyNumberFormat="1" applyFont="1" applyFill="1" applyAlignment="1" applyProtection="1">
      <alignment wrapText="1"/>
      <protection hidden="1"/>
    </xf>
    <xf numFmtId="0" fontId="0" fillId="0" borderId="78" xfId="17451" applyFont="1" applyBorder="1" applyProtection="1">
      <protection hidden="1"/>
    </xf>
    <xf numFmtId="0" fontId="7" fillId="5" borderId="78" xfId="17451" applyFont="1" applyFill="1" applyBorder="1" applyAlignment="1" applyProtection="1">
      <alignment horizontal="center"/>
      <protection locked="0"/>
    </xf>
    <xf numFmtId="0" fontId="7" fillId="0" borderId="78" xfId="6465" applyBorder="1" applyProtection="1">
      <protection hidden="1"/>
    </xf>
    <xf numFmtId="0" fontId="0" fillId="0" borderId="27" xfId="17451" applyFont="1" applyBorder="1" applyProtection="1">
      <protection hidden="1"/>
    </xf>
    <xf numFmtId="0" fontId="0" fillId="0" borderId="0" xfId="17414" applyFont="1"/>
    <xf numFmtId="0" fontId="3" fillId="4" borderId="0" xfId="17414" applyFont="1" applyFill="1" applyProtection="1">
      <protection hidden="1"/>
    </xf>
    <xf numFmtId="0" fontId="0" fillId="0" borderId="0" xfId="17414" applyFont="1" applyProtection="1">
      <protection hidden="1"/>
    </xf>
    <xf numFmtId="0" fontId="0" fillId="3" borderId="0" xfId="17414" applyFont="1" applyFill="1" applyProtection="1">
      <protection hidden="1"/>
    </xf>
    <xf numFmtId="0" fontId="143" fillId="4" borderId="0" xfId="6465" applyFont="1" applyFill="1" applyProtection="1">
      <protection hidden="1"/>
    </xf>
    <xf numFmtId="0" fontId="7" fillId="4" borderId="0" xfId="17414" applyFont="1" applyFill="1" applyAlignment="1" applyProtection="1">
      <alignment vertical="center"/>
      <protection hidden="1"/>
    </xf>
    <xf numFmtId="0" fontId="7" fillId="4" borderId="0" xfId="8678" applyFont="1" applyFill="1" applyProtection="1">
      <protection hidden="1"/>
    </xf>
    <xf numFmtId="0" fontId="7" fillId="4" borderId="0" xfId="8678" applyFont="1" applyFill="1" applyAlignment="1" applyProtection="1">
      <alignment horizontal="left"/>
      <protection hidden="1"/>
    </xf>
    <xf numFmtId="0" fontId="7" fillId="4" borderId="0" xfId="8678" applyFont="1" applyFill="1" applyAlignment="1" applyProtection="1">
      <alignment wrapText="1"/>
      <protection hidden="1"/>
    </xf>
    <xf numFmtId="0" fontId="7" fillId="2" borderId="0" xfId="8678" applyFont="1" applyFill="1" applyAlignment="1" applyProtection="1">
      <alignment horizontal="left" wrapText="1"/>
      <protection hidden="1"/>
    </xf>
    <xf numFmtId="0" fontId="144" fillId="4" borderId="0" xfId="6465" applyFont="1" applyFill="1" applyAlignment="1" applyProtection="1">
      <alignment horizontal="left"/>
      <protection hidden="1"/>
    </xf>
    <xf numFmtId="0" fontId="7" fillId="3" borderId="0" xfId="17414" applyFont="1" applyFill="1" applyProtection="1">
      <protection hidden="1"/>
    </xf>
    <xf numFmtId="0" fontId="17" fillId="4" borderId="0" xfId="17414" applyFont="1" applyFill="1" applyAlignment="1" applyProtection="1">
      <alignment vertical="top"/>
      <protection hidden="1"/>
    </xf>
    <xf numFmtId="0" fontId="0" fillId="2" borderId="0" xfId="17414" applyFont="1" applyFill="1" applyProtection="1">
      <protection hidden="1"/>
    </xf>
    <xf numFmtId="0" fontId="7" fillId="0" borderId="0" xfId="17414" applyFont="1" applyProtection="1">
      <protection hidden="1"/>
    </xf>
    <xf numFmtId="0" fontId="23" fillId="18" borderId="100" xfId="0" applyFont="1" applyFill="1" applyBorder="1" applyAlignment="1" applyProtection="1">
      <alignment horizontal="center"/>
      <protection locked="0"/>
    </xf>
    <xf numFmtId="0" fontId="61" fillId="31" borderId="91" xfId="16065" applyFont="1" applyFill="1" applyBorder="1" applyAlignment="1" applyProtection="1">
      <alignment horizontal="center"/>
      <protection locked="0"/>
    </xf>
    <xf numFmtId="0" fontId="77" fillId="0" borderId="60" xfId="17482" applyFont="1" applyBorder="1" applyAlignment="1" applyProtection="1">
      <alignment horizontal="center"/>
      <protection hidden="1"/>
    </xf>
    <xf numFmtId="0" fontId="77" fillId="0" borderId="101" xfId="17482" applyFont="1" applyBorder="1" applyAlignment="1" applyProtection="1">
      <alignment horizontal="center"/>
      <protection hidden="1"/>
    </xf>
    <xf numFmtId="0" fontId="0" fillId="4" borderId="0" xfId="17414" applyFont="1" applyFill="1" applyProtection="1">
      <protection hidden="1"/>
    </xf>
    <xf numFmtId="0" fontId="141" fillId="3" borderId="0" xfId="6465" applyFont="1" applyFill="1" applyAlignment="1" applyProtection="1">
      <alignment wrapText="1"/>
      <protection hidden="1"/>
    </xf>
    <xf numFmtId="0" fontId="7" fillId="2" borderId="0" xfId="17414" applyFont="1" applyFill="1" applyProtection="1">
      <protection hidden="1"/>
    </xf>
    <xf numFmtId="168" fontId="98" fillId="3" borderId="0" xfId="6465" applyNumberFormat="1" applyFont="1" applyFill="1" applyAlignment="1" applyProtection="1">
      <alignment horizontal="left"/>
      <protection hidden="1"/>
    </xf>
    <xf numFmtId="0" fontId="7" fillId="3" borderId="30" xfId="17414" applyFont="1" applyFill="1" applyBorder="1" applyProtection="1">
      <protection hidden="1"/>
    </xf>
    <xf numFmtId="168" fontId="43" fillId="3" borderId="30" xfId="17414" applyNumberFormat="1" applyFont="1" applyFill="1" applyBorder="1" applyAlignment="1" applyProtection="1">
      <alignment horizontal="center"/>
      <protection hidden="1"/>
    </xf>
    <xf numFmtId="168" fontId="43" fillId="3" borderId="31" xfId="17414" applyNumberFormat="1" applyFont="1" applyFill="1" applyBorder="1" applyAlignment="1" applyProtection="1">
      <alignment horizontal="center"/>
      <protection hidden="1"/>
    </xf>
    <xf numFmtId="168" fontId="43" fillId="3" borderId="18" xfId="17414" applyNumberFormat="1" applyFont="1" applyFill="1" applyBorder="1" applyAlignment="1" applyProtection="1">
      <alignment horizontal="center"/>
      <protection hidden="1"/>
    </xf>
    <xf numFmtId="0" fontId="7" fillId="0" borderId="15" xfId="17414" applyFont="1" applyBorder="1" applyProtection="1">
      <protection hidden="1"/>
    </xf>
    <xf numFmtId="168" fontId="43" fillId="3" borderId="15" xfId="17414" applyNumberFormat="1" applyFont="1" applyFill="1" applyBorder="1" applyAlignment="1" applyProtection="1">
      <alignment horizontal="center"/>
      <protection hidden="1"/>
    </xf>
    <xf numFmtId="168" fontId="43" fillId="3" borderId="41" xfId="17414" applyNumberFormat="1" applyFont="1" applyFill="1" applyBorder="1" applyAlignment="1" applyProtection="1">
      <alignment horizontal="center"/>
      <protection hidden="1"/>
    </xf>
    <xf numFmtId="168" fontId="99" fillId="3" borderId="18" xfId="17414" applyNumberFormat="1" applyFont="1" applyFill="1" applyBorder="1" applyAlignment="1" applyProtection="1">
      <alignment horizontal="center"/>
      <protection hidden="1"/>
    </xf>
    <xf numFmtId="168" fontId="121" fillId="3" borderId="1" xfId="17414" applyNumberFormat="1" applyFont="1" applyFill="1" applyBorder="1" applyAlignment="1" applyProtection="1">
      <alignment horizontal="center"/>
      <protection hidden="1"/>
    </xf>
    <xf numFmtId="168" fontId="121" fillId="0" borderId="1" xfId="17414" applyNumberFormat="1" applyFont="1" applyBorder="1" applyAlignment="1" applyProtection="1">
      <alignment horizontal="center"/>
      <protection hidden="1"/>
    </xf>
    <xf numFmtId="1" fontId="121" fillId="14" borderId="18" xfId="17414" applyNumberFormat="1" applyFont="1" applyFill="1" applyBorder="1" applyAlignment="1" applyProtection="1">
      <alignment horizontal="center"/>
      <protection hidden="1"/>
    </xf>
    <xf numFmtId="0" fontId="104" fillId="14" borderId="27" xfId="17414" applyFont="1" applyFill="1" applyBorder="1" applyAlignment="1" applyProtection="1">
      <alignment horizontal="right"/>
      <protection hidden="1"/>
    </xf>
    <xf numFmtId="1" fontId="104" fillId="15" borderId="27" xfId="17414" applyNumberFormat="1" applyFont="1" applyFill="1" applyBorder="1" applyAlignment="1" applyProtection="1">
      <alignment horizontal="center"/>
      <protection hidden="1"/>
    </xf>
    <xf numFmtId="1" fontId="104" fillId="14" borderId="28" xfId="17414" applyNumberFormat="1" applyFont="1" applyFill="1" applyBorder="1" applyAlignment="1" applyProtection="1">
      <alignment horizontal="center"/>
      <protection hidden="1"/>
    </xf>
    <xf numFmtId="0" fontId="17" fillId="5" borderId="61" xfId="17414" applyFont="1" applyFill="1" applyBorder="1" applyAlignment="1" applyProtection="1">
      <alignment horizontal="center"/>
      <protection locked="0"/>
    </xf>
    <xf numFmtId="1" fontId="17" fillId="29" borderId="61" xfId="17414" applyNumberFormat="1" applyFont="1" applyFill="1" applyBorder="1" applyAlignment="1" applyProtection="1">
      <alignment horizontal="center"/>
      <protection locked="0"/>
    </xf>
    <xf numFmtId="1" fontId="17" fillId="5" borderId="41" xfId="17414" applyNumberFormat="1" applyFont="1" applyFill="1" applyBorder="1" applyAlignment="1" applyProtection="1">
      <alignment horizontal="center"/>
      <protection locked="0"/>
    </xf>
    <xf numFmtId="0" fontId="7" fillId="0" borderId="102" xfId="17414" applyFont="1" applyBorder="1" applyProtection="1">
      <protection hidden="1"/>
    </xf>
    <xf numFmtId="0" fontId="7" fillId="29" borderId="100" xfId="17414" applyFont="1" applyFill="1" applyBorder="1" applyAlignment="1" applyProtection="1">
      <alignment horizontal="center"/>
      <protection locked="0"/>
    </xf>
    <xf numFmtId="0" fontId="7" fillId="5" borderId="96" xfId="17414" applyFont="1" applyFill="1" applyBorder="1" applyAlignment="1" applyProtection="1">
      <alignment horizontal="center"/>
      <protection locked="0"/>
    </xf>
    <xf numFmtId="0" fontId="7" fillId="5" borderId="103" xfId="16817" applyFont="1" applyFill="1" applyBorder="1" applyAlignment="1" applyProtection="1">
      <alignment horizontal="center"/>
      <protection locked="0"/>
    </xf>
    <xf numFmtId="0" fontId="152" fillId="0" borderId="96" xfId="17414" applyFont="1" applyBorder="1" applyProtection="1">
      <protection hidden="1"/>
    </xf>
    <xf numFmtId="0" fontId="153" fillId="0" borderId="96" xfId="17414" applyFont="1" applyBorder="1" applyProtection="1">
      <protection hidden="1"/>
    </xf>
    <xf numFmtId="0" fontId="69" fillId="0" borderId="96" xfId="17414" applyFont="1" applyBorder="1" applyProtection="1">
      <protection hidden="1"/>
    </xf>
    <xf numFmtId="0" fontId="81" fillId="0" borderId="96" xfId="17414" applyFont="1" applyBorder="1" applyProtection="1">
      <protection hidden="1"/>
    </xf>
    <xf numFmtId="0" fontId="81" fillId="0" borderId="106" xfId="17414" applyFont="1" applyBorder="1" applyProtection="1">
      <protection hidden="1"/>
    </xf>
    <xf numFmtId="0" fontId="81" fillId="3" borderId="106" xfId="17414" applyFont="1" applyFill="1" applyBorder="1" applyProtection="1">
      <protection hidden="1"/>
    </xf>
    <xf numFmtId="0" fontId="104" fillId="0" borderId="107" xfId="6465" applyFont="1" applyBorder="1" applyAlignment="1" applyProtection="1">
      <alignment horizontal="left"/>
      <protection hidden="1"/>
    </xf>
    <xf numFmtId="1" fontId="104" fillId="4" borderId="108" xfId="17414" applyNumberFormat="1" applyFont="1" applyFill="1" applyBorder="1" applyAlignment="1" applyProtection="1">
      <alignment horizontal="center"/>
      <protection hidden="1"/>
    </xf>
    <xf numFmtId="0" fontId="104" fillId="0" borderId="77" xfId="17414" applyFont="1" applyBorder="1" applyProtection="1">
      <protection hidden="1"/>
    </xf>
    <xf numFmtId="0" fontId="102" fillId="0" borderId="109" xfId="69" applyFont="1" applyBorder="1" applyAlignment="1" applyProtection="1">
      <alignment horizontal="left"/>
      <protection hidden="1"/>
    </xf>
    <xf numFmtId="0" fontId="23" fillId="5" borderId="110" xfId="17414" applyFont="1" applyFill="1" applyBorder="1" applyAlignment="1" applyProtection="1">
      <alignment horizontal="center"/>
      <protection locked="0"/>
    </xf>
    <xf numFmtId="0" fontId="23" fillId="29" borderId="61" xfId="17414" applyFont="1" applyFill="1" applyBorder="1" applyAlignment="1" applyProtection="1">
      <alignment horizontal="center"/>
      <protection locked="0"/>
    </xf>
    <xf numFmtId="0" fontId="23" fillId="5" borderId="41" xfId="17414" applyFont="1" applyFill="1" applyBorder="1" applyAlignment="1" applyProtection="1">
      <alignment horizontal="center"/>
      <protection locked="0"/>
    </xf>
    <xf numFmtId="0" fontId="23" fillId="0" borderId="110" xfId="69" applyFont="1" applyBorder="1" applyAlignment="1" applyProtection="1">
      <protection hidden="1"/>
    </xf>
    <xf numFmtId="0" fontId="4" fillId="4" borderId="0" xfId="17414" applyFont="1" applyFill="1" applyProtection="1">
      <protection hidden="1"/>
    </xf>
    <xf numFmtId="0" fontId="52" fillId="2" borderId="0" xfId="17414" applyFont="1" applyFill="1" applyProtection="1">
      <protection hidden="1"/>
    </xf>
    <xf numFmtId="0" fontId="76" fillId="4" borderId="0" xfId="6465" applyFont="1" applyFill="1" applyAlignment="1" applyProtection="1">
      <alignment horizontal="left"/>
      <protection hidden="1"/>
    </xf>
    <xf numFmtId="1" fontId="7" fillId="23" borderId="0" xfId="17471" applyNumberFormat="1" applyFont="1" applyFill="1" applyAlignment="1" applyProtection="1">
      <alignment horizontal="left"/>
      <protection hidden="1"/>
    </xf>
    <xf numFmtId="168" fontId="98" fillId="3" borderId="0" xfId="6465" applyNumberFormat="1" applyFont="1" applyFill="1" applyAlignment="1" applyProtection="1">
      <alignment horizontal="center"/>
      <protection hidden="1"/>
    </xf>
    <xf numFmtId="168" fontId="7" fillId="3" borderId="0" xfId="6465" applyNumberFormat="1" applyFill="1" applyAlignment="1" applyProtection="1">
      <alignment horizontal="center"/>
      <protection hidden="1"/>
    </xf>
    <xf numFmtId="0" fontId="75" fillId="14" borderId="0" xfId="17474" applyFont="1" applyFill="1" applyProtection="1">
      <protection hidden="1"/>
    </xf>
    <xf numFmtId="0" fontId="7" fillId="20" borderId="100" xfId="17414" applyFont="1" applyFill="1" applyBorder="1" applyAlignment="1" applyProtection="1">
      <alignment horizontal="center"/>
      <protection locked="0"/>
    </xf>
    <xf numFmtId="0" fontId="7" fillId="5" borderId="1" xfId="17414" applyFont="1" applyFill="1" applyBorder="1" applyAlignment="1" applyProtection="1">
      <alignment horizontal="center"/>
      <protection locked="0"/>
    </xf>
    <xf numFmtId="0" fontId="7" fillId="29" borderId="111" xfId="17414" applyFont="1" applyFill="1" applyBorder="1" applyAlignment="1" applyProtection="1">
      <alignment horizontal="center"/>
      <protection locked="0"/>
    </xf>
    <xf numFmtId="0" fontId="7" fillId="2" borderId="0" xfId="17414" applyFont="1" applyFill="1" applyAlignment="1" applyProtection="1">
      <alignment horizontal="left" vertical="center"/>
      <protection hidden="1"/>
    </xf>
    <xf numFmtId="0" fontId="155" fillId="2" borderId="0" xfId="17414" applyFont="1" applyFill="1" applyAlignment="1" applyProtection="1">
      <alignment horizontal="right" vertical="top"/>
      <protection hidden="1"/>
    </xf>
    <xf numFmtId="0" fontId="7" fillId="2" borderId="0" xfId="8678" applyFont="1" applyFill="1" applyAlignment="1" applyProtection="1">
      <alignment horizontal="right" wrapText="1"/>
      <protection hidden="1"/>
    </xf>
    <xf numFmtId="0" fontId="17" fillId="3" borderId="0" xfId="17414" applyFont="1" applyFill="1" applyProtection="1">
      <protection hidden="1"/>
    </xf>
    <xf numFmtId="0" fontId="5" fillId="4" borderId="0" xfId="6465" applyFont="1" applyFill="1" applyAlignment="1" applyProtection="1">
      <alignment horizontal="center" vertical="center"/>
      <protection hidden="1"/>
    </xf>
    <xf numFmtId="0" fontId="5" fillId="4" borderId="0" xfId="6465" applyFont="1" applyFill="1" applyProtection="1">
      <protection hidden="1"/>
    </xf>
    <xf numFmtId="1" fontId="7" fillId="3" borderId="30" xfId="17414" applyNumberFormat="1" applyFont="1" applyFill="1" applyBorder="1" applyAlignment="1" applyProtection="1">
      <alignment horizontal="center" vertical="center"/>
      <protection hidden="1"/>
    </xf>
    <xf numFmtId="1" fontId="7" fillId="3" borderId="15" xfId="17414" applyNumberFormat="1" applyFont="1" applyFill="1" applyBorder="1" applyAlignment="1" applyProtection="1">
      <alignment horizontal="center" vertical="center"/>
      <protection hidden="1"/>
    </xf>
    <xf numFmtId="1" fontId="7" fillId="3" borderId="61" xfId="17414" applyNumberFormat="1" applyFont="1" applyFill="1" applyBorder="1" applyAlignment="1" applyProtection="1">
      <alignment horizontal="center" vertical="center"/>
      <protection hidden="1"/>
    </xf>
    <xf numFmtId="1" fontId="17" fillId="3" borderId="9" xfId="17414" applyNumberFormat="1" applyFont="1" applyFill="1" applyBorder="1" applyAlignment="1" applyProtection="1">
      <alignment horizontal="center" vertical="center"/>
      <protection hidden="1"/>
    </xf>
    <xf numFmtId="1" fontId="17" fillId="3" borderId="60" xfId="17414" applyNumberFormat="1" applyFont="1" applyFill="1" applyBorder="1" applyAlignment="1" applyProtection="1">
      <alignment horizontal="center" vertical="center"/>
      <protection hidden="1"/>
    </xf>
    <xf numFmtId="168" fontId="7" fillId="3" borderId="27" xfId="17414" applyNumberFormat="1" applyFont="1" applyFill="1" applyBorder="1" applyAlignment="1" applyProtection="1">
      <alignment horizontal="center" vertical="center"/>
      <protection hidden="1"/>
    </xf>
    <xf numFmtId="0" fontId="3" fillId="0" borderId="0" xfId="6465" applyFont="1" applyProtection="1">
      <protection hidden="1"/>
    </xf>
    <xf numFmtId="0" fontId="19" fillId="0" borderId="0" xfId="69" applyFont="1" applyProtection="1">
      <alignment vertical="top"/>
      <protection hidden="1"/>
    </xf>
    <xf numFmtId="0" fontId="76" fillId="0" borderId="0" xfId="6465" applyFont="1" applyAlignment="1" applyProtection="1">
      <alignment horizontal="left"/>
      <protection hidden="1"/>
    </xf>
    <xf numFmtId="0" fontId="7" fillId="4" borderId="0" xfId="17414" applyFont="1" applyFill="1" applyProtection="1">
      <protection hidden="1"/>
    </xf>
    <xf numFmtId="169" fontId="7" fillId="9" borderId="0" xfId="6465" applyNumberFormat="1" applyFill="1" applyAlignment="1" applyProtection="1">
      <alignment horizontal="left"/>
      <protection hidden="1"/>
    </xf>
    <xf numFmtId="0" fontId="7" fillId="0" borderId="0" xfId="6465" applyAlignment="1" applyProtection="1">
      <alignment horizontal="left"/>
      <protection hidden="1"/>
    </xf>
    <xf numFmtId="169" fontId="7" fillId="0" borderId="0" xfId="6465" applyNumberFormat="1" applyAlignment="1" applyProtection="1">
      <alignment horizontal="left"/>
      <protection hidden="1"/>
    </xf>
    <xf numFmtId="0" fontId="7" fillId="0" borderId="0" xfId="17414" applyFont="1" applyAlignment="1" applyProtection="1">
      <alignment horizontal="center"/>
      <protection hidden="1"/>
    </xf>
    <xf numFmtId="0" fontId="5" fillId="0" borderId="0" xfId="17414" applyFont="1" applyAlignment="1" applyProtection="1">
      <alignment horizontal="center"/>
      <protection hidden="1"/>
    </xf>
    <xf numFmtId="0" fontId="156" fillId="0" borderId="0" xfId="17414" applyFont="1" applyProtection="1">
      <protection hidden="1"/>
    </xf>
    <xf numFmtId="0" fontId="157" fillId="0" borderId="0" xfId="17414" applyFont="1" applyAlignment="1" applyProtection="1">
      <alignment horizontal="center"/>
      <protection hidden="1"/>
    </xf>
    <xf numFmtId="0" fontId="158" fillId="0" borderId="0" xfId="17414" applyFont="1" applyAlignment="1" applyProtection="1">
      <alignment horizontal="center"/>
      <protection hidden="1"/>
    </xf>
    <xf numFmtId="168" fontId="156" fillId="3" borderId="0" xfId="17414" applyNumberFormat="1" applyFont="1" applyFill="1" applyAlignment="1" applyProtection="1">
      <alignment horizontal="center"/>
      <protection hidden="1"/>
    </xf>
    <xf numFmtId="168" fontId="157" fillId="3" borderId="0" xfId="17414" applyNumberFormat="1" applyFont="1" applyFill="1" applyAlignment="1" applyProtection="1">
      <alignment horizontal="center"/>
      <protection hidden="1"/>
    </xf>
    <xf numFmtId="0" fontId="7" fillId="0" borderId="18" xfId="17414" applyFont="1" applyBorder="1" applyAlignment="1" applyProtection="1">
      <alignment horizontal="center"/>
      <protection hidden="1"/>
    </xf>
    <xf numFmtId="0" fontId="159" fillId="0" borderId="0" xfId="17414" applyFont="1" applyProtection="1">
      <protection hidden="1"/>
    </xf>
    <xf numFmtId="1" fontId="7" fillId="0" borderId="0" xfId="17414" applyNumberFormat="1" applyFont="1" applyAlignment="1" applyProtection="1">
      <alignment horizontal="center"/>
      <protection hidden="1"/>
    </xf>
    <xf numFmtId="1" fontId="7" fillId="0" borderId="0" xfId="17414" applyNumberFormat="1" applyFont="1" applyProtection="1">
      <protection hidden="1"/>
    </xf>
    <xf numFmtId="0" fontId="161" fillId="0" borderId="0" xfId="17414" applyFont="1" applyProtection="1">
      <protection hidden="1"/>
    </xf>
    <xf numFmtId="1" fontId="63" fillId="0" borderId="0" xfId="17414" applyNumberFormat="1" applyFont="1" applyProtection="1">
      <protection hidden="1"/>
    </xf>
    <xf numFmtId="2" fontId="7" fillId="0" borderId="0" xfId="17414" applyNumberFormat="1" applyFont="1" applyProtection="1">
      <protection hidden="1"/>
    </xf>
    <xf numFmtId="0" fontId="162" fillId="0" borderId="0" xfId="17414" applyFont="1" applyProtection="1">
      <protection hidden="1"/>
    </xf>
    <xf numFmtId="0" fontId="19" fillId="0" borderId="0" xfId="69" applyFont="1" applyAlignment="1" applyProtection="1">
      <alignment horizontal="right"/>
      <protection hidden="1"/>
    </xf>
    <xf numFmtId="0" fontId="23" fillId="0" borderId="0" xfId="17414" applyFont="1" applyProtection="1">
      <protection hidden="1"/>
    </xf>
    <xf numFmtId="0" fontId="63" fillId="0" borderId="0" xfId="17414" applyFont="1" applyProtection="1">
      <protection hidden="1"/>
    </xf>
    <xf numFmtId="0" fontId="23" fillId="0" borderId="112" xfId="17414" applyFont="1" applyBorder="1" applyAlignment="1" applyProtection="1">
      <alignment horizontal="left"/>
      <protection hidden="1"/>
    </xf>
    <xf numFmtId="0" fontId="23" fillId="0" borderId="41" xfId="17414" applyFont="1" applyBorder="1" applyAlignment="1" applyProtection="1">
      <alignment wrapText="1"/>
      <protection hidden="1"/>
    </xf>
    <xf numFmtId="0" fontId="102" fillId="0" borderId="46" xfId="69" applyFont="1" applyBorder="1" applyAlignment="1" applyProtection="1">
      <alignment horizontal="left"/>
      <protection hidden="1"/>
    </xf>
    <xf numFmtId="0" fontId="7" fillId="5" borderId="68" xfId="69" applyFont="1" applyFill="1" applyBorder="1" applyAlignment="1">
      <protection locked="0"/>
    </xf>
    <xf numFmtId="0" fontId="63" fillId="4" borderId="0" xfId="17414" applyFont="1" applyFill="1" applyProtection="1">
      <protection hidden="1"/>
    </xf>
    <xf numFmtId="0" fontId="23" fillId="27" borderId="115" xfId="17436" applyFont="1" applyFill="1" applyBorder="1" applyAlignment="1" applyProtection="1">
      <alignment horizontal="center"/>
      <protection hidden="1"/>
    </xf>
    <xf numFmtId="0" fontId="165" fillId="14" borderId="0" xfId="17474" applyFont="1" applyFill="1" applyProtection="1">
      <protection hidden="1"/>
    </xf>
    <xf numFmtId="0" fontId="0" fillId="4" borderId="0" xfId="17414" applyFont="1" applyFill="1" applyAlignment="1" applyProtection="1">
      <alignment vertical="center"/>
      <protection hidden="1"/>
    </xf>
    <xf numFmtId="0" fontId="75" fillId="3" borderId="27" xfId="17414" applyFont="1" applyFill="1" applyBorder="1" applyAlignment="1" applyProtection="1">
      <alignment horizontal="right"/>
      <protection hidden="1"/>
    </xf>
    <xf numFmtId="1" fontId="36" fillId="4" borderId="0" xfId="17414" applyNumberFormat="1" applyFont="1" applyFill="1" applyAlignment="1" applyProtection="1">
      <alignment vertical="center"/>
      <protection hidden="1"/>
    </xf>
    <xf numFmtId="0" fontId="52" fillId="3" borderId="48" xfId="17414" applyFont="1" applyFill="1" applyBorder="1" applyProtection="1">
      <protection hidden="1"/>
    </xf>
    <xf numFmtId="0" fontId="5" fillId="4" borderId="0" xfId="17414" applyFont="1" applyFill="1" applyAlignment="1" applyProtection="1">
      <alignment horizontal="right" vertical="center"/>
      <protection hidden="1"/>
    </xf>
    <xf numFmtId="0" fontId="7" fillId="0" borderId="116" xfId="17414" applyFont="1" applyBorder="1" applyProtection="1">
      <protection hidden="1"/>
    </xf>
    <xf numFmtId="0" fontId="52" fillId="3" borderId="117" xfId="17414" applyFont="1" applyFill="1" applyBorder="1" applyProtection="1">
      <protection hidden="1"/>
    </xf>
    <xf numFmtId="0" fontId="17" fillId="0" borderId="118" xfId="17414" applyFont="1" applyBorder="1" applyAlignment="1" applyProtection="1">
      <alignment horizontal="center"/>
      <protection hidden="1"/>
    </xf>
    <xf numFmtId="1" fontId="23" fillId="5" borderId="121" xfId="0" applyNumberFormat="1" applyFont="1" applyFill="1" applyBorder="1" applyAlignment="1" applyProtection="1">
      <alignment horizontal="center"/>
      <protection locked="0"/>
    </xf>
    <xf numFmtId="0" fontId="151" fillId="0" borderId="100" xfId="17414" applyFont="1" applyBorder="1" applyProtection="1">
      <protection hidden="1"/>
    </xf>
    <xf numFmtId="0" fontId="151" fillId="0" borderId="96" xfId="17414" applyFont="1" applyBorder="1" applyProtection="1">
      <protection hidden="1"/>
    </xf>
    <xf numFmtId="1" fontId="23" fillId="5" borderId="9" xfId="0" applyNumberFormat="1" applyFont="1" applyFill="1" applyBorder="1" applyAlignment="1" applyProtection="1">
      <alignment horizontal="center"/>
      <protection locked="0"/>
    </xf>
    <xf numFmtId="0" fontId="151" fillId="0" borderId="60" xfId="17414" applyFont="1" applyBorder="1" applyProtection="1">
      <protection hidden="1"/>
    </xf>
    <xf numFmtId="0" fontId="151" fillId="0" borderId="59" xfId="17414" applyFont="1" applyBorder="1" applyProtection="1">
      <protection hidden="1"/>
    </xf>
    <xf numFmtId="1" fontId="23" fillId="5" borderId="123" xfId="0" applyNumberFormat="1" applyFont="1" applyFill="1" applyBorder="1" applyAlignment="1" applyProtection="1">
      <alignment horizontal="center"/>
      <protection locked="0"/>
    </xf>
    <xf numFmtId="0" fontId="153" fillId="0" borderId="124" xfId="17414" applyFont="1" applyBorder="1" applyProtection="1">
      <protection hidden="1"/>
    </xf>
    <xf numFmtId="0" fontId="153" fillId="0" borderId="125" xfId="17414" applyFont="1" applyBorder="1" applyProtection="1">
      <protection hidden="1"/>
    </xf>
    <xf numFmtId="0" fontId="153" fillId="0" borderId="100" xfId="17414" applyFont="1" applyBorder="1" applyProtection="1">
      <protection hidden="1"/>
    </xf>
    <xf numFmtId="0" fontId="169" fillId="0" borderId="126" xfId="17414" applyFont="1" applyBorder="1" applyProtection="1">
      <protection hidden="1"/>
    </xf>
    <xf numFmtId="0" fontId="81" fillId="0" borderId="41" xfId="17414" applyFont="1" applyBorder="1" applyProtection="1">
      <protection hidden="1"/>
    </xf>
    <xf numFmtId="1" fontId="23" fillId="5" borderId="62" xfId="0" applyNumberFormat="1" applyFont="1" applyFill="1" applyBorder="1" applyAlignment="1" applyProtection="1">
      <alignment horizontal="center"/>
      <protection locked="0"/>
    </xf>
    <xf numFmtId="0" fontId="81" fillId="0" borderId="128" xfId="17414" applyFont="1" applyBorder="1" applyProtection="1">
      <protection hidden="1"/>
    </xf>
    <xf numFmtId="9" fontId="170" fillId="4" borderId="0" xfId="17414" applyNumberFormat="1" applyFont="1" applyFill="1" applyAlignment="1" applyProtection="1">
      <alignment vertical="center"/>
      <protection hidden="1"/>
    </xf>
    <xf numFmtId="0" fontId="104" fillId="0" borderId="18" xfId="17414" applyFont="1" applyBorder="1" applyProtection="1">
      <protection hidden="1"/>
    </xf>
    <xf numFmtId="0" fontId="25" fillId="0" borderId="109" xfId="69" applyFont="1" applyBorder="1" applyAlignment="1" applyProtection="1">
      <alignment horizontal="left"/>
      <protection hidden="1"/>
    </xf>
    <xf numFmtId="0" fontId="23" fillId="5" borderId="1" xfId="17414" applyFont="1" applyFill="1" applyBorder="1" applyAlignment="1" applyProtection="1">
      <alignment horizontal="center"/>
      <protection locked="0"/>
    </xf>
    <xf numFmtId="0" fontId="23" fillId="0" borderId="100" xfId="69" applyFont="1" applyBorder="1" applyAlignment="1" applyProtection="1">
      <protection hidden="1"/>
    </xf>
    <xf numFmtId="0" fontId="23" fillId="0" borderId="96" xfId="69" applyFont="1" applyBorder="1" applyAlignment="1" applyProtection="1">
      <protection hidden="1"/>
    </xf>
    <xf numFmtId="9" fontId="156" fillId="4" borderId="0" xfId="17414" applyNumberFormat="1" applyFont="1" applyFill="1" applyAlignment="1" applyProtection="1">
      <alignment vertical="center"/>
      <protection hidden="1"/>
    </xf>
    <xf numFmtId="2" fontId="23" fillId="0" borderId="15" xfId="17414" applyNumberFormat="1" applyFont="1" applyBorder="1" applyAlignment="1" applyProtection="1">
      <alignment horizontal="center"/>
      <protection hidden="1"/>
    </xf>
    <xf numFmtId="0" fontId="23" fillId="0" borderId="61" xfId="17414" applyFont="1" applyBorder="1" applyAlignment="1" applyProtection="1">
      <alignment wrapText="1"/>
      <protection hidden="1"/>
    </xf>
    <xf numFmtId="2" fontId="23" fillId="27" borderId="129" xfId="17414" applyNumberFormat="1" applyFont="1" applyFill="1" applyBorder="1" applyAlignment="1" applyProtection="1">
      <alignment horizontal="center"/>
      <protection hidden="1"/>
    </xf>
    <xf numFmtId="0" fontId="23" fillId="0" borderId="96" xfId="17414" applyFont="1" applyBorder="1" applyAlignment="1" applyProtection="1">
      <alignment wrapText="1"/>
      <protection hidden="1"/>
    </xf>
    <xf numFmtId="0" fontId="25" fillId="0" borderId="46" xfId="69" applyFont="1" applyBorder="1" applyAlignment="1" applyProtection="1">
      <alignment horizontal="left"/>
      <protection hidden="1"/>
    </xf>
    <xf numFmtId="0" fontId="23" fillId="0" borderId="131" xfId="69" applyFont="1" applyBorder="1" applyAlignment="1" applyProtection="1">
      <protection hidden="1"/>
    </xf>
    <xf numFmtId="0" fontId="23" fillId="3" borderId="0" xfId="17399" applyFont="1" applyFill="1" applyAlignment="1" applyProtection="1">
      <alignment horizontal="left"/>
      <protection hidden="1"/>
    </xf>
    <xf numFmtId="0" fontId="23" fillId="27" borderId="0" xfId="17436" applyFont="1" applyFill="1" applyProtection="1">
      <protection hidden="1"/>
    </xf>
    <xf numFmtId="0" fontId="23" fillId="27" borderId="0" xfId="17436" applyFont="1" applyFill="1" applyAlignment="1" applyProtection="1">
      <alignment horizontal="center"/>
      <protection hidden="1"/>
    </xf>
    <xf numFmtId="168" fontId="43" fillId="3" borderId="133" xfId="17414" applyNumberFormat="1" applyFont="1" applyFill="1" applyBorder="1" applyAlignment="1" applyProtection="1">
      <alignment horizontal="center" vertical="center"/>
      <protection hidden="1"/>
    </xf>
    <xf numFmtId="0" fontId="7" fillId="0" borderId="15" xfId="17414" applyFont="1" applyBorder="1" applyAlignment="1" applyProtection="1">
      <alignment horizontal="left"/>
      <protection hidden="1"/>
    </xf>
    <xf numFmtId="168" fontId="43" fillId="3" borderId="15" xfId="17414" applyNumberFormat="1" applyFont="1" applyFill="1" applyBorder="1" applyAlignment="1" applyProtection="1">
      <alignment horizontal="center" vertical="center"/>
      <protection hidden="1"/>
    </xf>
    <xf numFmtId="0" fontId="7" fillId="13" borderId="1" xfId="17414" applyFont="1" applyFill="1" applyBorder="1" applyAlignment="1" applyProtection="1">
      <alignment horizontal="center"/>
      <protection locked="0"/>
    </xf>
    <xf numFmtId="0" fontId="7" fillId="13" borderId="96" xfId="17414" applyFont="1" applyFill="1" applyBorder="1" applyAlignment="1" applyProtection="1">
      <alignment horizontal="center"/>
      <protection locked="0"/>
    </xf>
    <xf numFmtId="0" fontId="165" fillId="4" borderId="0" xfId="17414" applyFont="1" applyFill="1" applyAlignment="1" applyProtection="1">
      <alignment horizontal="left" vertical="top" wrapText="1"/>
      <protection hidden="1"/>
    </xf>
    <xf numFmtId="1" fontId="137" fillId="3" borderId="60" xfId="17414" applyNumberFormat="1" applyFont="1" applyFill="1" applyBorder="1" applyAlignment="1" applyProtection="1">
      <alignment horizontal="center"/>
      <protection hidden="1"/>
    </xf>
    <xf numFmtId="168" fontId="23" fillId="0" borderId="27" xfId="15827" applyNumberFormat="1" applyFont="1" applyBorder="1" applyAlignment="1" applyProtection="1">
      <alignment horizontal="center"/>
      <protection hidden="1"/>
    </xf>
    <xf numFmtId="0" fontId="63" fillId="3" borderId="0" xfId="17414" applyFont="1" applyFill="1" applyProtection="1">
      <protection hidden="1"/>
    </xf>
    <xf numFmtId="0" fontId="0" fillId="3" borderId="0" xfId="17414" applyFont="1" applyFill="1" applyAlignment="1" applyProtection="1">
      <alignment vertical="top" wrapText="1"/>
      <protection hidden="1"/>
    </xf>
    <xf numFmtId="0" fontId="167" fillId="3" borderId="27" xfId="17414" applyFont="1" applyFill="1" applyBorder="1" applyAlignment="1" applyProtection="1">
      <alignment horizontal="center"/>
      <protection hidden="1"/>
    </xf>
    <xf numFmtId="0" fontId="167" fillId="20" borderId="31" xfId="17414" applyFont="1" applyFill="1" applyBorder="1" applyAlignment="1" applyProtection="1">
      <alignment horizontal="center"/>
      <protection locked="0"/>
    </xf>
    <xf numFmtId="0" fontId="167" fillId="5" borderId="100" xfId="17414" applyFont="1" applyFill="1" applyBorder="1" applyAlignment="1" applyProtection="1">
      <alignment horizontal="center"/>
      <protection locked="0"/>
    </xf>
    <xf numFmtId="0" fontId="167" fillId="20" borderId="136" xfId="17414" applyFont="1" applyFill="1" applyBorder="1" applyAlignment="1" applyProtection="1">
      <alignment horizontal="center"/>
      <protection locked="0"/>
    </xf>
    <xf numFmtId="0" fontId="167" fillId="5" borderId="136" xfId="17414" applyFont="1" applyFill="1" applyBorder="1" applyAlignment="1" applyProtection="1">
      <alignment horizontal="center"/>
      <protection locked="0"/>
    </xf>
    <xf numFmtId="0" fontId="167" fillId="20" borderId="137" xfId="17414" applyFont="1" applyFill="1" applyBorder="1" applyAlignment="1" applyProtection="1">
      <alignment horizontal="center"/>
      <protection locked="0"/>
    </xf>
    <xf numFmtId="168" fontId="23" fillId="27" borderId="29" xfId="17436" applyNumberFormat="1" applyFont="1" applyFill="1" applyBorder="1" applyAlignment="1" applyProtection="1">
      <alignment wrapText="1"/>
      <protection hidden="1"/>
    </xf>
    <xf numFmtId="0" fontId="121" fillId="3" borderId="0" xfId="69" applyFont="1" applyFill="1" applyAlignment="1" applyProtection="1">
      <protection hidden="1"/>
    </xf>
    <xf numFmtId="0" fontId="0" fillId="3" borderId="0" xfId="17414" applyFont="1" applyFill="1" applyAlignment="1" applyProtection="1">
      <alignment horizontal="left" vertical="top" wrapText="1"/>
      <protection hidden="1"/>
    </xf>
    <xf numFmtId="0" fontId="52" fillId="3" borderId="0" xfId="17414" applyFont="1" applyFill="1" applyProtection="1">
      <protection hidden="1"/>
    </xf>
    <xf numFmtId="0" fontId="63" fillId="3" borderId="0" xfId="17414" applyFont="1" applyFill="1" applyAlignment="1" applyProtection="1">
      <alignment horizontal="left"/>
      <protection hidden="1"/>
    </xf>
    <xf numFmtId="0" fontId="7" fillId="29" borderId="46" xfId="6465" applyFill="1" applyBorder="1" applyAlignment="1" applyProtection="1">
      <alignment horizontal="center"/>
      <protection locked="0"/>
    </xf>
    <xf numFmtId="1" fontId="7" fillId="3" borderId="112" xfId="17414" applyNumberFormat="1" applyFont="1" applyFill="1" applyBorder="1" applyAlignment="1" applyProtection="1">
      <alignment horizontal="center"/>
      <protection hidden="1"/>
    </xf>
    <xf numFmtId="168" fontId="7" fillId="3" borderId="112" xfId="17414" applyNumberFormat="1" applyFont="1" applyFill="1" applyBorder="1" applyAlignment="1" applyProtection="1">
      <alignment horizontal="center"/>
      <protection hidden="1"/>
    </xf>
    <xf numFmtId="168" fontId="7" fillId="0" borderId="0" xfId="17414" applyNumberFormat="1" applyFont="1" applyProtection="1">
      <protection hidden="1"/>
    </xf>
    <xf numFmtId="169" fontId="7" fillId="0" borderId="0" xfId="17414" applyNumberFormat="1" applyFont="1" applyAlignment="1" applyProtection="1">
      <alignment horizontal="center"/>
      <protection hidden="1"/>
    </xf>
    <xf numFmtId="0" fontId="174" fillId="0" borderId="0" xfId="17414" applyFont="1" applyAlignment="1" applyProtection="1">
      <alignment horizontal="center"/>
      <protection hidden="1"/>
    </xf>
    <xf numFmtId="169" fontId="7" fillId="0" borderId="0" xfId="17414" applyNumberFormat="1" applyFont="1" applyProtection="1">
      <protection hidden="1"/>
    </xf>
    <xf numFmtId="166" fontId="7" fillId="0" borderId="0" xfId="17414" applyNumberFormat="1" applyFont="1" applyProtection="1">
      <protection hidden="1"/>
    </xf>
    <xf numFmtId="169" fontId="7" fillId="0" borderId="0" xfId="6465" applyNumberFormat="1" applyAlignment="1" applyProtection="1">
      <alignment horizontal="center"/>
      <protection hidden="1"/>
    </xf>
    <xf numFmtId="168" fontId="7" fillId="12" borderId="0" xfId="17414" applyNumberFormat="1" applyFont="1" applyFill="1" applyProtection="1">
      <protection hidden="1"/>
    </xf>
    <xf numFmtId="0" fontId="7" fillId="22" borderId="0" xfId="17414" applyFont="1" applyFill="1" applyProtection="1">
      <protection hidden="1"/>
    </xf>
    <xf numFmtId="168" fontId="7" fillId="30" borderId="0" xfId="17414" applyNumberFormat="1" applyFont="1" applyFill="1" applyProtection="1">
      <protection hidden="1"/>
    </xf>
    <xf numFmtId="0" fontId="7" fillId="30" borderId="0" xfId="17414" applyFont="1" applyFill="1" applyProtection="1">
      <protection hidden="1"/>
    </xf>
    <xf numFmtId="0" fontId="5" fillId="3" borderId="0" xfId="17414" applyFont="1" applyFill="1" applyAlignment="1" applyProtection="1">
      <alignment vertical="top" wrapText="1"/>
      <protection hidden="1"/>
    </xf>
    <xf numFmtId="0" fontId="5" fillId="0" borderId="0" xfId="17414" applyFont="1" applyAlignment="1" applyProtection="1">
      <alignment wrapText="1"/>
      <protection hidden="1"/>
    </xf>
    <xf numFmtId="0" fontId="63" fillId="0" borderId="0" xfId="6465" applyFont="1" applyAlignment="1" applyProtection="1">
      <alignment horizontal="right"/>
      <protection hidden="1"/>
    </xf>
    <xf numFmtId="0" fontId="7" fillId="0" borderId="0" xfId="17414" applyFont="1" applyAlignment="1" applyProtection="1">
      <alignment horizontal="right"/>
      <protection hidden="1"/>
    </xf>
    <xf numFmtId="0" fontId="25" fillId="0" borderId="0" xfId="69" applyFont="1" applyProtection="1">
      <alignment vertical="top"/>
      <protection hidden="1"/>
    </xf>
    <xf numFmtId="2" fontId="7" fillId="0" borderId="0" xfId="16067" applyNumberFormat="1" applyFont="1" applyProtection="1">
      <protection hidden="1"/>
    </xf>
    <xf numFmtId="0" fontId="7" fillId="0" borderId="0" xfId="16067" applyFont="1" applyProtection="1">
      <protection hidden="1"/>
    </xf>
    <xf numFmtId="169" fontId="63" fillId="0" borderId="0" xfId="17414" applyNumberFormat="1" applyFont="1" applyProtection="1">
      <protection hidden="1"/>
    </xf>
    <xf numFmtId="0" fontId="7" fillId="0" borderId="18" xfId="17414" applyFont="1" applyBorder="1" applyProtection="1">
      <protection hidden="1"/>
    </xf>
    <xf numFmtId="166" fontId="7" fillId="0" borderId="0" xfId="6465" applyNumberFormat="1" applyProtection="1">
      <protection hidden="1"/>
    </xf>
    <xf numFmtId="166" fontId="0" fillId="0" borderId="0" xfId="17414" applyNumberFormat="1" applyFont="1" applyProtection="1">
      <protection hidden="1"/>
    </xf>
    <xf numFmtId="0" fontId="0" fillId="0" borderId="18" xfId="17414" applyFont="1" applyBorder="1" applyProtection="1">
      <protection hidden="1"/>
    </xf>
    <xf numFmtId="2" fontId="7" fillId="3" borderId="0" xfId="16067" applyNumberFormat="1" applyFont="1" applyFill="1" applyProtection="1">
      <protection hidden="1"/>
    </xf>
    <xf numFmtId="0" fontId="7" fillId="0" borderId="18" xfId="16067" applyFont="1" applyBorder="1" applyProtection="1">
      <protection hidden="1"/>
    </xf>
    <xf numFmtId="2" fontId="61" fillId="3" borderId="0" xfId="16067" applyNumberFormat="1" applyFont="1" applyFill="1" applyProtection="1">
      <protection hidden="1"/>
    </xf>
    <xf numFmtId="0" fontId="61" fillId="0" borderId="18" xfId="16067" applyFont="1" applyBorder="1" applyProtection="1">
      <protection hidden="1"/>
    </xf>
    <xf numFmtId="2" fontId="61" fillId="3" borderId="0" xfId="17414" applyNumberFormat="1" applyFont="1" applyFill="1" applyProtection="1">
      <protection hidden="1"/>
    </xf>
    <xf numFmtId="0" fontId="145" fillId="3" borderId="27" xfId="69" applyFont="1" applyFill="1" applyBorder="1" applyAlignment="1" applyProtection="1">
      <protection hidden="1"/>
    </xf>
    <xf numFmtId="0" fontId="145" fillId="0" borderId="28" xfId="69" applyFont="1" applyBorder="1" applyAlignment="1" applyProtection="1">
      <protection hidden="1"/>
    </xf>
    <xf numFmtId="169" fontId="121" fillId="3" borderId="1" xfId="17414" applyNumberFormat="1" applyFont="1" applyFill="1" applyBorder="1" applyAlignment="1" applyProtection="1">
      <alignment horizontal="center"/>
      <protection hidden="1"/>
    </xf>
    <xf numFmtId="1" fontId="121" fillId="14" borderId="9" xfId="17414" applyNumberFormat="1" applyFont="1" applyFill="1" applyBorder="1" applyAlignment="1" applyProtection="1">
      <alignment horizontal="center"/>
      <protection hidden="1"/>
    </xf>
    <xf numFmtId="1" fontId="104" fillId="14" borderId="27" xfId="17414" applyNumberFormat="1" applyFont="1" applyFill="1" applyBorder="1" applyAlignment="1" applyProtection="1">
      <alignment horizontal="center"/>
      <protection hidden="1"/>
    </xf>
    <xf numFmtId="0" fontId="17" fillId="0" borderId="71" xfId="17414" applyFont="1" applyBorder="1" applyAlignment="1" applyProtection="1">
      <alignment horizontal="center"/>
      <protection hidden="1"/>
    </xf>
    <xf numFmtId="0" fontId="23" fillId="5" borderId="1" xfId="200" applyFont="1" applyFill="1" applyBorder="1" applyAlignment="1" applyProtection="1">
      <alignment horizontal="center"/>
      <protection locked="0"/>
    </xf>
    <xf numFmtId="0" fontId="167" fillId="26" borderId="141" xfId="17414" applyFont="1" applyFill="1" applyBorder="1" applyAlignment="1" applyProtection="1">
      <alignment horizontal="center"/>
      <protection locked="0"/>
    </xf>
    <xf numFmtId="1" fontId="153" fillId="3" borderId="96" xfId="17414" applyNumberFormat="1" applyFont="1" applyFill="1" applyBorder="1" applyAlignment="1" applyProtection="1">
      <alignment horizontal="center"/>
      <protection hidden="1"/>
    </xf>
    <xf numFmtId="1" fontId="81" fillId="3" borderId="96" xfId="17414" applyNumberFormat="1" applyFont="1" applyFill="1" applyBorder="1" applyAlignment="1" applyProtection="1">
      <alignment horizontal="center"/>
      <protection hidden="1"/>
    </xf>
    <xf numFmtId="0" fontId="24" fillId="4" borderId="0" xfId="17414" applyFont="1" applyFill="1" applyAlignment="1" applyProtection="1">
      <alignment vertical="center"/>
      <protection hidden="1"/>
    </xf>
    <xf numFmtId="1" fontId="92" fillId="4" borderId="145" xfId="17414" applyNumberFormat="1" applyFont="1" applyFill="1" applyBorder="1" applyAlignment="1" applyProtection="1">
      <alignment horizontal="center"/>
      <protection hidden="1"/>
    </xf>
    <xf numFmtId="1" fontId="92" fillId="3" borderId="146" xfId="6465" applyNumberFormat="1" applyFont="1" applyFill="1" applyBorder="1" applyAlignment="1" applyProtection="1">
      <alignment horizontal="center"/>
      <protection hidden="1"/>
    </xf>
    <xf numFmtId="1" fontId="92" fillId="3" borderId="147" xfId="6465" applyNumberFormat="1" applyFont="1" applyFill="1" applyBorder="1" applyAlignment="1" applyProtection="1">
      <alignment horizontal="center"/>
      <protection hidden="1"/>
    </xf>
    <xf numFmtId="1" fontId="92" fillId="3" borderId="125" xfId="6465" applyNumberFormat="1" applyFont="1" applyFill="1" applyBorder="1" applyAlignment="1" applyProtection="1">
      <alignment horizontal="center"/>
      <protection hidden="1"/>
    </xf>
    <xf numFmtId="0" fontId="23" fillId="3" borderId="149" xfId="69" applyFont="1" applyFill="1" applyBorder="1" applyAlignment="1" applyProtection="1">
      <alignment horizontal="left"/>
      <protection hidden="1"/>
    </xf>
    <xf numFmtId="0" fontId="23" fillId="28" borderId="141" xfId="17414" applyFont="1" applyFill="1" applyBorder="1" applyAlignment="1" applyProtection="1">
      <alignment horizontal="center"/>
      <protection locked="0"/>
    </xf>
    <xf numFmtId="0" fontId="23" fillId="3" borderId="96" xfId="69" applyFont="1" applyFill="1" applyBorder="1" applyAlignment="1" applyProtection="1">
      <alignment horizontal="left"/>
      <protection hidden="1"/>
    </xf>
    <xf numFmtId="0" fontId="23" fillId="3" borderId="41" xfId="17414" applyFont="1" applyFill="1" applyBorder="1" applyAlignment="1" applyProtection="1">
      <alignment horizontal="left" wrapText="1"/>
      <protection hidden="1"/>
    </xf>
    <xf numFmtId="2" fontId="23" fillId="3" borderId="151" xfId="16067" applyNumberFormat="1" applyFont="1" applyFill="1" applyBorder="1" applyAlignment="1" applyProtection="1">
      <alignment horizontal="center"/>
      <protection hidden="1"/>
    </xf>
    <xf numFmtId="0" fontId="23" fillId="39" borderId="153" xfId="17414" applyFont="1" applyFill="1" applyBorder="1" applyAlignment="1" applyProtection="1">
      <alignment horizontal="center"/>
      <protection locked="0"/>
    </xf>
    <xf numFmtId="0" fontId="24" fillId="4" borderId="0" xfId="17414" applyFont="1" applyFill="1" applyAlignment="1" applyProtection="1">
      <alignment horizontal="right" vertical="center"/>
      <protection hidden="1"/>
    </xf>
    <xf numFmtId="0" fontId="23" fillId="2" borderId="0" xfId="17414" applyFont="1" applyFill="1" applyProtection="1">
      <protection hidden="1"/>
    </xf>
    <xf numFmtId="0" fontId="63" fillId="4" borderId="0" xfId="6465" applyFont="1" applyFill="1" applyProtection="1">
      <protection hidden="1"/>
    </xf>
    <xf numFmtId="0" fontId="167" fillId="14" borderId="27" xfId="17414" applyFont="1" applyFill="1" applyBorder="1" applyAlignment="1" applyProtection="1">
      <alignment horizontal="center"/>
      <protection hidden="1"/>
    </xf>
    <xf numFmtId="0" fontId="167" fillId="20" borderId="29" xfId="17414" applyFont="1" applyFill="1" applyBorder="1" applyAlignment="1" applyProtection="1">
      <alignment horizontal="center"/>
      <protection locked="0"/>
    </xf>
    <xf numFmtId="168" fontId="61" fillId="0" borderId="155" xfId="17414" applyNumberFormat="1" applyFont="1" applyBorder="1" applyAlignment="1" applyProtection="1">
      <alignment horizontal="center"/>
      <protection hidden="1"/>
    </xf>
    <xf numFmtId="0" fontId="167" fillId="40" borderId="29" xfId="17414" applyFont="1" applyFill="1" applyBorder="1" applyAlignment="1" applyProtection="1">
      <alignment horizontal="center"/>
      <protection locked="0"/>
    </xf>
    <xf numFmtId="168" fontId="61" fillId="0" borderId="100" xfId="17414" applyNumberFormat="1" applyFont="1" applyBorder="1" applyAlignment="1" applyProtection="1">
      <alignment horizontal="center"/>
      <protection hidden="1"/>
    </xf>
    <xf numFmtId="168" fontId="61" fillId="0" borderId="96" xfId="17414" applyNumberFormat="1" applyFont="1" applyBorder="1" applyAlignment="1" applyProtection="1">
      <alignment horizontal="center"/>
      <protection hidden="1"/>
    </xf>
    <xf numFmtId="0" fontId="167" fillId="20" borderId="149" xfId="17414" applyFont="1" applyFill="1" applyBorder="1" applyAlignment="1" applyProtection="1">
      <alignment horizontal="center"/>
      <protection locked="0"/>
    </xf>
    <xf numFmtId="0" fontId="167" fillId="28" borderId="156" xfId="17414" applyFont="1" applyFill="1" applyBorder="1" applyAlignment="1" applyProtection="1">
      <alignment horizontal="center"/>
      <protection locked="0"/>
    </xf>
    <xf numFmtId="0" fontId="167" fillId="40" borderId="149" xfId="17414" applyFont="1" applyFill="1" applyBorder="1" applyAlignment="1" applyProtection="1">
      <alignment horizontal="center"/>
      <protection locked="0"/>
    </xf>
    <xf numFmtId="168" fontId="7" fillId="3" borderId="112" xfId="6465" applyNumberFormat="1" applyFill="1" applyBorder="1" applyAlignment="1" applyProtection="1">
      <alignment horizontal="center"/>
      <protection hidden="1"/>
    </xf>
    <xf numFmtId="168" fontId="7" fillId="3" borderId="157" xfId="17414" applyNumberFormat="1" applyFont="1" applyFill="1" applyBorder="1" applyAlignment="1" applyProtection="1">
      <alignment horizontal="center"/>
      <protection hidden="1"/>
    </xf>
    <xf numFmtId="0" fontId="5" fillId="4" borderId="0" xfId="17414" applyFont="1" applyFill="1" applyAlignment="1" applyProtection="1">
      <alignment wrapText="1"/>
      <protection hidden="1"/>
    </xf>
    <xf numFmtId="0" fontId="63" fillId="3" borderId="0" xfId="17414" applyFont="1" applyFill="1" applyAlignment="1" applyProtection="1">
      <alignment vertical="top"/>
      <protection hidden="1"/>
    </xf>
    <xf numFmtId="0" fontId="52" fillId="3" borderId="0" xfId="17414" applyFont="1" applyFill="1" applyAlignment="1" applyProtection="1">
      <alignment vertical="top"/>
      <protection hidden="1"/>
    </xf>
    <xf numFmtId="0" fontId="63" fillId="3" borderId="0" xfId="17414" applyFont="1" applyFill="1" applyAlignment="1" applyProtection="1">
      <alignment horizontal="left" vertical="top"/>
      <protection hidden="1"/>
    </xf>
    <xf numFmtId="0" fontId="63" fillId="4" borderId="0" xfId="17414" applyFont="1" applyFill="1" applyAlignment="1" applyProtection="1">
      <alignment horizontal="left"/>
      <protection hidden="1"/>
    </xf>
    <xf numFmtId="1" fontId="7" fillId="3" borderId="0" xfId="17414" applyNumberFormat="1" applyFont="1" applyFill="1" applyProtection="1">
      <protection hidden="1"/>
    </xf>
    <xf numFmtId="1" fontId="7" fillId="35" borderId="0" xfId="17414" applyNumberFormat="1" applyFont="1" applyFill="1" applyProtection="1">
      <protection hidden="1"/>
    </xf>
    <xf numFmtId="0" fontId="63" fillId="4" borderId="0" xfId="17414" applyFont="1" applyFill="1" applyAlignment="1" applyProtection="1">
      <alignment wrapText="1"/>
      <protection hidden="1"/>
    </xf>
    <xf numFmtId="0" fontId="178" fillId="0" borderId="0" xfId="17443"/>
    <xf numFmtId="0" fontId="6" fillId="3" borderId="0" xfId="6465" applyFont="1" applyFill="1" applyAlignment="1" applyProtection="1">
      <alignment vertical="top"/>
      <protection hidden="1"/>
    </xf>
    <xf numFmtId="0" fontId="23" fillId="4" borderId="0" xfId="17436" applyFont="1" applyFill="1" applyProtection="1">
      <protection hidden="1"/>
    </xf>
    <xf numFmtId="0" fontId="7" fillId="2" borderId="0" xfId="6465" applyFill="1" applyAlignment="1" applyProtection="1">
      <alignment horizontal="center" wrapText="1"/>
      <protection hidden="1"/>
    </xf>
    <xf numFmtId="0" fontId="4" fillId="2" borderId="0" xfId="6465" applyFont="1" applyFill="1" applyAlignment="1" applyProtection="1">
      <alignment wrapText="1"/>
      <protection hidden="1"/>
    </xf>
    <xf numFmtId="0" fontId="0" fillId="4" borderId="0" xfId="6465" applyFont="1" applyFill="1" applyAlignment="1" applyProtection="1">
      <alignment horizontal="center" wrapText="1"/>
      <protection hidden="1"/>
    </xf>
    <xf numFmtId="0" fontId="5" fillId="4" borderId="0" xfId="17436" applyFont="1" applyFill="1" applyProtection="1">
      <protection hidden="1"/>
    </xf>
    <xf numFmtId="0" fontId="52" fillId="4" borderId="0" xfId="6465" applyFont="1" applyFill="1" applyAlignment="1" applyProtection="1">
      <alignment horizontal="right"/>
      <protection hidden="1"/>
    </xf>
    <xf numFmtId="0" fontId="7" fillId="3" borderId="0" xfId="6465" applyFill="1" applyAlignment="1" applyProtection="1">
      <alignment horizontal="left"/>
      <protection hidden="1"/>
    </xf>
    <xf numFmtId="0" fontId="7" fillId="2" borderId="0" xfId="17414" applyFont="1" applyFill="1" applyAlignment="1" applyProtection="1">
      <alignment horizontal="right"/>
      <protection hidden="1"/>
    </xf>
    <xf numFmtId="0" fontId="7" fillId="4" borderId="0" xfId="8678" applyFont="1" applyFill="1" applyAlignment="1" applyProtection="1">
      <alignment horizontal="right"/>
      <protection hidden="1"/>
    </xf>
    <xf numFmtId="0" fontId="136" fillId="4" borderId="0" xfId="17436" applyFont="1" applyFill="1" applyProtection="1">
      <protection hidden="1"/>
    </xf>
    <xf numFmtId="0" fontId="121" fillId="13" borderId="0" xfId="16065" applyFont="1" applyFill="1" applyAlignment="1" applyProtection="1">
      <alignment horizontal="center" vertical="center"/>
      <protection locked="0"/>
    </xf>
    <xf numFmtId="0" fontId="7" fillId="2" borderId="62" xfId="6465" applyFill="1" applyBorder="1" applyAlignment="1" applyProtection="1">
      <alignment horizontal="left"/>
      <protection hidden="1"/>
    </xf>
    <xf numFmtId="168" fontId="7" fillId="2" borderId="63" xfId="6465" applyNumberFormat="1" applyFill="1" applyBorder="1" applyAlignment="1" applyProtection="1">
      <alignment horizontal="right"/>
      <protection hidden="1"/>
    </xf>
    <xf numFmtId="168" fontId="98" fillId="41" borderId="68" xfId="6465" applyNumberFormat="1" applyFont="1" applyFill="1" applyBorder="1" applyAlignment="1" applyProtection="1">
      <alignment horizontal="center"/>
      <protection locked="0"/>
    </xf>
    <xf numFmtId="0" fontId="52" fillId="3" borderId="30" xfId="16065" applyFont="1" applyFill="1" applyBorder="1" applyProtection="1">
      <protection hidden="1"/>
    </xf>
    <xf numFmtId="0" fontId="152" fillId="0" borderId="29" xfId="6465" applyFont="1" applyBorder="1" applyProtection="1">
      <protection hidden="1"/>
    </xf>
    <xf numFmtId="168" fontId="104" fillId="0" borderId="0" xfId="6465" applyNumberFormat="1" applyFont="1" applyAlignment="1" applyProtection="1">
      <alignment horizontal="center"/>
      <protection hidden="1"/>
    </xf>
    <xf numFmtId="168" fontId="104" fillId="0" borderId="31" xfId="6465" applyNumberFormat="1" applyFont="1" applyBorder="1" applyAlignment="1" applyProtection="1">
      <alignment horizontal="center"/>
      <protection hidden="1"/>
    </xf>
    <xf numFmtId="0" fontId="7" fillId="3" borderId="27" xfId="6465" applyFill="1" applyBorder="1" applyProtection="1">
      <protection hidden="1"/>
    </xf>
    <xf numFmtId="0" fontId="152" fillId="0" borderId="0" xfId="6465" applyFont="1" applyProtection="1">
      <protection hidden="1"/>
    </xf>
    <xf numFmtId="168" fontId="104" fillId="0" borderId="18" xfId="6465" applyNumberFormat="1" applyFont="1" applyBorder="1" applyAlignment="1" applyProtection="1">
      <alignment horizontal="center"/>
      <protection hidden="1"/>
    </xf>
    <xf numFmtId="0" fontId="7" fillId="5" borderId="163" xfId="16817" applyFont="1" applyFill="1" applyBorder="1" applyAlignment="1" applyProtection="1">
      <alignment horizontal="center"/>
      <protection locked="0"/>
    </xf>
    <xf numFmtId="0" fontId="7" fillId="5" borderId="165" xfId="16817" applyFont="1" applyFill="1" applyBorder="1" applyAlignment="1" applyProtection="1">
      <alignment horizontal="center"/>
      <protection locked="0"/>
    </xf>
    <xf numFmtId="0" fontId="153" fillId="0" borderId="76" xfId="6465" applyFont="1" applyBorder="1" applyProtection="1">
      <protection hidden="1"/>
    </xf>
    <xf numFmtId="168" fontId="104" fillId="0" borderId="76" xfId="6465" applyNumberFormat="1" applyFont="1" applyBorder="1" applyAlignment="1" applyProtection="1">
      <alignment horizontal="center"/>
      <protection hidden="1"/>
    </xf>
    <xf numFmtId="168" fontId="104" fillId="0" borderId="77" xfId="6465" applyNumberFormat="1" applyFont="1" applyBorder="1" applyAlignment="1" applyProtection="1">
      <alignment horizontal="center"/>
      <protection hidden="1"/>
    </xf>
    <xf numFmtId="0" fontId="153" fillId="0" borderId="0" xfId="6465" applyFont="1" applyProtection="1">
      <protection hidden="1"/>
    </xf>
    <xf numFmtId="0" fontId="153" fillId="0" borderId="8" xfId="6465" applyFont="1" applyBorder="1" applyProtection="1">
      <protection hidden="1"/>
    </xf>
    <xf numFmtId="168" fontId="104" fillId="0" borderId="8" xfId="6465" applyNumberFormat="1" applyFont="1" applyBorder="1" applyAlignment="1" applyProtection="1">
      <alignment horizontal="center"/>
      <protection hidden="1"/>
    </xf>
    <xf numFmtId="168" fontId="104" fillId="0" borderId="22" xfId="6465" applyNumberFormat="1" applyFont="1" applyBorder="1" applyAlignment="1" applyProtection="1">
      <alignment horizontal="center"/>
      <protection hidden="1"/>
    </xf>
    <xf numFmtId="0" fontId="69" fillId="0" borderId="76" xfId="6465" applyFont="1" applyBorder="1" applyProtection="1">
      <protection hidden="1"/>
    </xf>
    <xf numFmtId="0" fontId="7" fillId="5" borderId="56" xfId="16065" applyFont="1" applyFill="1" applyBorder="1" applyAlignment="1" applyProtection="1">
      <alignment horizontal="center"/>
      <protection locked="0"/>
    </xf>
    <xf numFmtId="0" fontId="69" fillId="0" borderId="0" xfId="6465" applyFont="1" applyProtection="1">
      <protection hidden="1"/>
    </xf>
    <xf numFmtId="0" fontId="69" fillId="0" borderId="8" xfId="6465" applyFont="1" applyBorder="1" applyProtection="1">
      <protection hidden="1"/>
    </xf>
    <xf numFmtId="0" fontId="81" fillId="0" borderId="0" xfId="6465" applyFont="1" applyProtection="1">
      <protection hidden="1"/>
    </xf>
    <xf numFmtId="0" fontId="7" fillId="5" borderId="166" xfId="16817" applyFont="1" applyFill="1" applyBorder="1" applyAlignment="1" applyProtection="1">
      <alignment horizontal="center"/>
      <protection locked="0"/>
    </xf>
    <xf numFmtId="0" fontId="81" fillId="0" borderId="17" xfId="6465" applyFont="1" applyBorder="1" applyProtection="1">
      <protection hidden="1"/>
    </xf>
    <xf numFmtId="168" fontId="104" fillId="0" borderId="17" xfId="6465" applyNumberFormat="1" applyFont="1" applyBorder="1" applyAlignment="1" applyProtection="1">
      <alignment horizontal="center"/>
      <protection hidden="1"/>
    </xf>
    <xf numFmtId="168" fontId="104" fillId="0" borderId="28" xfId="6465" applyNumberFormat="1" applyFont="1" applyBorder="1" applyAlignment="1" applyProtection="1">
      <alignment horizontal="center"/>
      <protection hidden="1"/>
    </xf>
    <xf numFmtId="0" fontId="5" fillId="4" borderId="0" xfId="6465" applyFont="1" applyFill="1" applyAlignment="1" applyProtection="1">
      <alignment horizontal="center" vertical="center" textRotation="90"/>
      <protection hidden="1"/>
    </xf>
    <xf numFmtId="0" fontId="5" fillId="4" borderId="18" xfId="6465" applyFont="1" applyFill="1" applyBorder="1" applyAlignment="1" applyProtection="1">
      <alignment horizontal="center" vertical="center" textRotation="90"/>
      <protection hidden="1"/>
    </xf>
    <xf numFmtId="0" fontId="23" fillId="5" borderId="167" xfId="6465" applyFont="1" applyFill="1" applyBorder="1" applyAlignment="1" applyProtection="1">
      <alignment horizontal="center"/>
      <protection locked="0"/>
    </xf>
    <xf numFmtId="0" fontId="22" fillId="0" borderId="0" xfId="69" applyAlignment="1" applyProtection="1">
      <protection hidden="1"/>
    </xf>
    <xf numFmtId="168" fontId="104" fillId="3" borderId="78" xfId="6465" applyNumberFormat="1" applyFont="1" applyFill="1" applyBorder="1" applyAlignment="1" applyProtection="1">
      <alignment horizontal="center"/>
      <protection hidden="1"/>
    </xf>
    <xf numFmtId="0" fontId="5" fillId="3" borderId="1" xfId="6465" applyFont="1" applyFill="1" applyBorder="1" applyAlignment="1" applyProtection="1">
      <alignment horizontal="right"/>
      <protection hidden="1"/>
    </xf>
    <xf numFmtId="169" fontId="7" fillId="3" borderId="168" xfId="6465" applyNumberFormat="1" applyFill="1" applyBorder="1" applyAlignment="1" applyProtection="1">
      <alignment horizontal="center"/>
      <protection hidden="1"/>
    </xf>
    <xf numFmtId="0" fontId="7" fillId="5" borderId="169" xfId="6465" applyFill="1" applyBorder="1" applyAlignment="1" applyProtection="1">
      <alignment horizontal="center"/>
      <protection locked="0"/>
    </xf>
    <xf numFmtId="1" fontId="181" fillId="0" borderId="0" xfId="6465" applyNumberFormat="1" applyFont="1" applyAlignment="1" applyProtection="1">
      <alignment horizontal="center"/>
      <protection hidden="1"/>
    </xf>
    <xf numFmtId="1" fontId="181" fillId="0" borderId="18" xfId="6465" applyNumberFormat="1" applyFont="1" applyBorder="1" applyAlignment="1" applyProtection="1">
      <alignment horizontal="center"/>
      <protection hidden="1"/>
    </xf>
    <xf numFmtId="9" fontId="181" fillId="0" borderId="0" xfId="6465" applyNumberFormat="1" applyFont="1" applyAlignment="1" applyProtection="1">
      <alignment horizontal="center"/>
      <protection hidden="1"/>
    </xf>
    <xf numFmtId="9" fontId="181" fillId="0" borderId="18" xfId="6465" applyNumberFormat="1" applyFont="1" applyBorder="1" applyAlignment="1" applyProtection="1">
      <alignment horizontal="center"/>
      <protection hidden="1"/>
    </xf>
    <xf numFmtId="0" fontId="23" fillId="5" borderId="172" xfId="6465" applyFont="1" applyFill="1" applyBorder="1" applyAlignment="1" applyProtection="1">
      <alignment horizontal="center"/>
      <protection locked="0"/>
    </xf>
    <xf numFmtId="0" fontId="61" fillId="13" borderId="91" xfId="16065" applyFont="1" applyFill="1" applyBorder="1" applyAlignment="1" applyProtection="1">
      <alignment horizontal="center"/>
      <protection locked="0"/>
    </xf>
    <xf numFmtId="0" fontId="4" fillId="2" borderId="0" xfId="6465" applyFont="1" applyFill="1" applyProtection="1">
      <protection hidden="1"/>
    </xf>
    <xf numFmtId="0" fontId="0" fillId="4" borderId="0" xfId="6465" applyFont="1" applyFill="1" applyAlignment="1" applyProtection="1">
      <alignment horizontal="center"/>
      <protection hidden="1"/>
    </xf>
    <xf numFmtId="1" fontId="23" fillId="4" borderId="0" xfId="6465" applyNumberFormat="1" applyFont="1" applyFill="1" applyProtection="1">
      <protection hidden="1"/>
    </xf>
    <xf numFmtId="0" fontId="23" fillId="4" borderId="0" xfId="6465" applyFont="1" applyFill="1" applyProtection="1">
      <protection hidden="1"/>
    </xf>
    <xf numFmtId="165" fontId="7" fillId="4" borderId="0" xfId="12913" applyNumberFormat="1" applyFont="1" applyFill="1" applyAlignment="1" applyProtection="1">
      <alignment vertical="center"/>
      <protection hidden="1"/>
    </xf>
    <xf numFmtId="0" fontId="7" fillId="4" borderId="0" xfId="6465" applyFill="1" applyAlignment="1" applyProtection="1">
      <alignment horizontal="center" vertical="center" wrapText="1"/>
      <protection hidden="1"/>
    </xf>
    <xf numFmtId="0" fontId="12" fillId="4" borderId="0" xfId="6465" applyFont="1" applyFill="1" applyAlignment="1" applyProtection="1">
      <alignment horizontal="center" vertical="center" wrapText="1"/>
      <protection hidden="1"/>
    </xf>
    <xf numFmtId="0" fontId="0" fillId="3" borderId="27" xfId="6465" applyFont="1" applyFill="1" applyBorder="1" applyProtection="1">
      <protection hidden="1"/>
    </xf>
    <xf numFmtId="0" fontId="0" fillId="3" borderId="17" xfId="6465" applyFont="1" applyFill="1" applyBorder="1" applyProtection="1">
      <protection hidden="1"/>
    </xf>
    <xf numFmtId="0" fontId="0" fillId="3" borderId="28" xfId="6465" applyFont="1" applyFill="1" applyBorder="1" applyProtection="1">
      <protection hidden="1"/>
    </xf>
    <xf numFmtId="1" fontId="7" fillId="4" borderId="18" xfId="6465" applyNumberFormat="1" applyFill="1" applyBorder="1" applyProtection="1">
      <protection hidden="1"/>
    </xf>
    <xf numFmtId="1" fontId="7" fillId="4" borderId="0" xfId="17436" applyNumberFormat="1" applyFont="1" applyFill="1" applyProtection="1">
      <protection hidden="1"/>
    </xf>
    <xf numFmtId="1" fontId="7" fillId="4" borderId="15" xfId="17436" applyNumberFormat="1" applyFont="1" applyFill="1" applyBorder="1" applyProtection="1">
      <protection hidden="1"/>
    </xf>
    <xf numFmtId="1" fontId="7" fillId="4" borderId="41" xfId="6465" applyNumberFormat="1" applyFill="1" applyBorder="1" applyProtection="1">
      <protection hidden="1"/>
    </xf>
    <xf numFmtId="1" fontId="7" fillId="4" borderId="39" xfId="17436" applyNumberFormat="1" applyFont="1" applyFill="1" applyBorder="1" applyProtection="1">
      <protection hidden="1"/>
    </xf>
    <xf numFmtId="1" fontId="7" fillId="4" borderId="39" xfId="6465" applyNumberFormat="1" applyFill="1" applyBorder="1" applyProtection="1">
      <protection hidden="1"/>
    </xf>
    <xf numFmtId="1" fontId="17" fillId="4" borderId="18" xfId="6465" applyNumberFormat="1" applyFont="1" applyFill="1" applyBorder="1" applyProtection="1">
      <protection hidden="1"/>
    </xf>
    <xf numFmtId="1" fontId="17" fillId="4" borderId="0" xfId="17436" applyNumberFormat="1" applyFont="1" applyFill="1" applyProtection="1">
      <protection hidden="1"/>
    </xf>
    <xf numFmtId="1" fontId="17" fillId="4" borderId="0" xfId="6465" applyNumberFormat="1" applyFont="1" applyFill="1" applyProtection="1">
      <protection hidden="1"/>
    </xf>
    <xf numFmtId="168" fontId="7" fillId="4" borderId="18" xfId="8678" applyNumberFormat="1" applyFont="1" applyFill="1" applyBorder="1" applyAlignment="1" applyProtection="1">
      <alignment horizontal="left"/>
      <protection hidden="1"/>
    </xf>
    <xf numFmtId="168" fontId="7" fillId="4" borderId="0" xfId="17436" applyNumberFormat="1" applyFont="1" applyFill="1" applyProtection="1">
      <protection hidden="1"/>
    </xf>
    <xf numFmtId="168" fontId="7" fillId="0" borderId="27" xfId="6465" applyNumberFormat="1" applyBorder="1" applyAlignment="1" applyProtection="1">
      <alignment horizontal="right"/>
      <protection hidden="1"/>
    </xf>
    <xf numFmtId="168" fontId="7" fillId="4" borderId="28" xfId="8678" applyNumberFormat="1" applyFont="1" applyFill="1" applyBorder="1" applyAlignment="1" applyProtection="1">
      <alignment horizontal="center"/>
      <protection hidden="1"/>
    </xf>
    <xf numFmtId="168" fontId="7" fillId="0" borderId="17" xfId="6465" applyNumberFormat="1" applyBorder="1" applyAlignment="1" applyProtection="1">
      <alignment horizontal="right"/>
      <protection hidden="1"/>
    </xf>
    <xf numFmtId="0" fontId="7" fillId="14" borderId="90" xfId="17436" applyFont="1" applyFill="1" applyBorder="1" applyAlignment="1" applyProtection="1">
      <alignment horizontal="center"/>
      <protection hidden="1"/>
    </xf>
    <xf numFmtId="0" fontId="7" fillId="14" borderId="71" xfId="17436" applyFont="1" applyFill="1" applyBorder="1" applyAlignment="1" applyProtection="1">
      <alignment horizontal="center"/>
      <protection hidden="1"/>
    </xf>
    <xf numFmtId="0" fontId="76" fillId="13" borderId="72" xfId="6465" applyFont="1" applyFill="1" applyBorder="1" applyAlignment="1" applyProtection="1">
      <alignment horizontal="center"/>
      <protection locked="0"/>
    </xf>
    <xf numFmtId="0" fontId="7" fillId="13" borderId="78" xfId="6465" applyFill="1" applyBorder="1" applyAlignment="1" applyProtection="1">
      <alignment horizontal="center"/>
      <protection locked="0"/>
    </xf>
    <xf numFmtId="0" fontId="94" fillId="28" borderId="72" xfId="6465" applyFont="1" applyFill="1" applyBorder="1" applyAlignment="1" applyProtection="1">
      <alignment horizontal="center"/>
      <protection locked="0"/>
    </xf>
    <xf numFmtId="0" fontId="7" fillId="28" borderId="78" xfId="6465" applyFill="1" applyBorder="1" applyAlignment="1" applyProtection="1">
      <alignment horizontal="center"/>
      <protection locked="0"/>
    </xf>
    <xf numFmtId="0" fontId="7" fillId="28" borderId="2" xfId="6465" applyFill="1" applyBorder="1" applyAlignment="1" applyProtection="1">
      <alignment horizontal="center"/>
      <protection locked="0"/>
    </xf>
    <xf numFmtId="0" fontId="76" fillId="13" borderId="82" xfId="6465" applyFont="1" applyFill="1" applyBorder="1" applyAlignment="1" applyProtection="1">
      <alignment horizontal="center"/>
      <protection locked="0"/>
    </xf>
    <xf numFmtId="0" fontId="7" fillId="13" borderId="173" xfId="6465" applyFill="1" applyBorder="1" applyAlignment="1" applyProtection="1">
      <alignment horizontal="center"/>
      <protection locked="0"/>
    </xf>
    <xf numFmtId="168" fontId="7" fillId="0" borderId="52" xfId="6465" applyNumberFormat="1" applyBorder="1" applyAlignment="1" applyProtection="1">
      <alignment horizontal="center"/>
      <protection hidden="1"/>
    </xf>
    <xf numFmtId="168" fontId="23" fillId="0" borderId="52" xfId="6465" applyNumberFormat="1" applyFont="1" applyBorder="1" applyAlignment="1" applyProtection="1">
      <alignment horizontal="center"/>
      <protection hidden="1"/>
    </xf>
    <xf numFmtId="168" fontId="123" fillId="0" borderId="27" xfId="6465" applyNumberFormat="1" applyFont="1" applyBorder="1" applyAlignment="1" applyProtection="1">
      <alignment horizontal="center"/>
      <protection hidden="1"/>
    </xf>
    <xf numFmtId="168" fontId="7" fillId="0" borderId="174" xfId="6465" applyNumberFormat="1" applyBorder="1" applyAlignment="1" applyProtection="1">
      <alignment horizontal="center"/>
      <protection hidden="1"/>
    </xf>
    <xf numFmtId="168" fontId="23" fillId="0" borderId="174" xfId="6465" applyNumberFormat="1" applyFont="1" applyBorder="1" applyAlignment="1" applyProtection="1">
      <alignment horizontal="center"/>
      <protection hidden="1"/>
    </xf>
    <xf numFmtId="168" fontId="7" fillId="0" borderId="28" xfId="6465" applyNumberFormat="1" applyBorder="1" applyAlignment="1" applyProtection="1">
      <alignment horizontal="center"/>
      <protection hidden="1"/>
    </xf>
    <xf numFmtId="168" fontId="124" fillId="0" borderId="27" xfId="6465" applyNumberFormat="1" applyFont="1" applyBorder="1" applyAlignment="1" applyProtection="1">
      <alignment horizontal="center"/>
      <protection hidden="1"/>
    </xf>
    <xf numFmtId="168" fontId="7" fillId="4" borderId="30" xfId="6465" applyNumberFormat="1" applyFill="1" applyBorder="1" applyAlignment="1" applyProtection="1">
      <alignment horizontal="center"/>
      <protection hidden="1"/>
    </xf>
    <xf numFmtId="2" fontId="16" fillId="2" borderId="0" xfId="16065" applyNumberFormat="1" applyFont="1" applyFill="1" applyAlignment="1" applyProtection="1">
      <alignment vertical="top"/>
      <protection hidden="1"/>
    </xf>
    <xf numFmtId="0" fontId="3" fillId="2" borderId="0" xfId="6465" applyFont="1" applyFill="1" applyProtection="1">
      <protection hidden="1"/>
    </xf>
    <xf numFmtId="0" fontId="3" fillId="3" borderId="0" xfId="6465" applyFont="1" applyFill="1" applyProtection="1">
      <protection hidden="1"/>
    </xf>
    <xf numFmtId="2" fontId="16" fillId="3" borderId="0" xfId="16065" applyNumberFormat="1" applyFont="1" applyFill="1" applyAlignment="1" applyProtection="1">
      <alignment vertical="top"/>
      <protection hidden="1"/>
    </xf>
    <xf numFmtId="0" fontId="1" fillId="2" borderId="0" xfId="6465" applyFont="1" applyFill="1" applyAlignment="1" applyProtection="1">
      <alignment horizontal="center"/>
      <protection hidden="1"/>
    </xf>
    <xf numFmtId="0" fontId="55" fillId="2" borderId="0" xfId="6465" applyFont="1" applyFill="1" applyAlignment="1" applyProtection="1">
      <alignment vertical="center"/>
      <protection hidden="1"/>
    </xf>
    <xf numFmtId="0" fontId="55" fillId="2" borderId="0" xfId="6465" applyFont="1" applyFill="1" applyProtection="1">
      <protection hidden="1"/>
    </xf>
    <xf numFmtId="0" fontId="19" fillId="3" borderId="0" xfId="69" applyFont="1" applyFill="1" applyProtection="1">
      <alignment vertical="top"/>
      <protection hidden="1"/>
    </xf>
    <xf numFmtId="2" fontId="16" fillId="3" borderId="0" xfId="16065" applyNumberFormat="1" applyFont="1" applyFill="1" applyAlignment="1" applyProtection="1">
      <alignment vertical="center"/>
      <protection hidden="1"/>
    </xf>
    <xf numFmtId="0" fontId="145" fillId="2" borderId="0" xfId="69" applyFont="1" applyFill="1" applyAlignment="1" applyProtection="1">
      <alignment horizontal="right"/>
      <protection hidden="1"/>
    </xf>
    <xf numFmtId="0" fontId="12" fillId="0" borderId="0" xfId="6465" applyFont="1" applyAlignment="1" applyProtection="1">
      <alignment vertical="center" wrapText="1"/>
      <protection hidden="1"/>
    </xf>
    <xf numFmtId="0" fontId="23" fillId="3" borderId="0" xfId="16065" applyFont="1" applyFill="1" applyProtection="1">
      <protection hidden="1"/>
    </xf>
    <xf numFmtId="0" fontId="7" fillId="2" borderId="0" xfId="12913" applyNumberFormat="1" applyFont="1" applyFill="1" applyAlignment="1" applyProtection="1">
      <alignment vertical="center"/>
      <protection hidden="1"/>
    </xf>
    <xf numFmtId="0" fontId="5" fillId="4" borderId="0" xfId="16065" applyFont="1" applyFill="1" applyAlignment="1" applyProtection="1">
      <alignment vertical="center" wrapText="1"/>
      <protection hidden="1"/>
    </xf>
    <xf numFmtId="0" fontId="7" fillId="0" borderId="0" xfId="17436" applyFont="1" applyAlignment="1" applyProtection="1">
      <alignment horizontal="right"/>
      <protection hidden="1"/>
    </xf>
    <xf numFmtId="169" fontId="7" fillId="0" borderId="0" xfId="17436" applyNumberFormat="1" applyFont="1" applyProtection="1">
      <protection hidden="1"/>
    </xf>
    <xf numFmtId="0" fontId="7" fillId="4" borderId="18" xfId="17436" applyFont="1" applyFill="1" applyBorder="1" applyProtection="1">
      <protection hidden="1"/>
    </xf>
    <xf numFmtId="0" fontId="145" fillId="4" borderId="0" xfId="69" applyFont="1" applyFill="1" applyAlignment="1" applyProtection="1">
      <alignment horizontal="right"/>
      <protection hidden="1"/>
    </xf>
    <xf numFmtId="0" fontId="38" fillId="4" borderId="0" xfId="6465" applyFont="1" applyFill="1" applyAlignment="1" applyProtection="1">
      <alignment horizontal="center" wrapText="1"/>
      <protection hidden="1"/>
    </xf>
    <xf numFmtId="0" fontId="7" fillId="4" borderId="28" xfId="17436" applyFont="1" applyFill="1" applyBorder="1" applyProtection="1">
      <protection hidden="1"/>
    </xf>
    <xf numFmtId="0" fontId="7" fillId="4" borderId="0" xfId="17436" applyFont="1" applyFill="1" applyProtection="1">
      <protection hidden="1"/>
    </xf>
    <xf numFmtId="0" fontId="7" fillId="4" borderId="0" xfId="6465" applyFill="1" applyAlignment="1" applyProtection="1">
      <alignment horizontal="center" wrapText="1"/>
      <protection hidden="1"/>
    </xf>
    <xf numFmtId="0" fontId="17" fillId="14" borderId="48" xfId="17436" applyFont="1" applyFill="1" applyBorder="1" applyAlignment="1" applyProtection="1">
      <alignment horizontal="center"/>
      <protection hidden="1"/>
    </xf>
    <xf numFmtId="0" fontId="17" fillId="14" borderId="31" xfId="0" applyFont="1" applyFill="1" applyBorder="1" applyAlignment="1" applyProtection="1">
      <alignment horizontal="center"/>
      <protection hidden="1"/>
    </xf>
    <xf numFmtId="0" fontId="5" fillId="0" borderId="0" xfId="6465" applyFont="1" applyProtection="1">
      <protection hidden="1"/>
    </xf>
    <xf numFmtId="0" fontId="5" fillId="0" borderId="0" xfId="6465" applyFont="1" applyAlignment="1" applyProtection="1">
      <alignment horizontal="right"/>
      <protection hidden="1"/>
    </xf>
    <xf numFmtId="0" fontId="7" fillId="13" borderId="2" xfId="6465" applyFill="1" applyBorder="1" applyAlignment="1" applyProtection="1">
      <alignment horizontal="center"/>
      <protection locked="0"/>
    </xf>
    <xf numFmtId="0" fontId="104" fillId="4" borderId="120" xfId="17436" applyFont="1" applyFill="1" applyBorder="1" applyProtection="1">
      <protection hidden="1"/>
    </xf>
    <xf numFmtId="0" fontId="104" fillId="4" borderId="120" xfId="17436" applyFont="1" applyFill="1" applyBorder="1" applyAlignment="1" applyProtection="1">
      <alignment horizontal="left" vertical="top" wrapText="1"/>
      <protection hidden="1"/>
    </xf>
    <xf numFmtId="0" fontId="7" fillId="13" borderId="67" xfId="6465" applyFill="1" applyBorder="1" applyAlignment="1" applyProtection="1">
      <alignment horizontal="center"/>
      <protection locked="0"/>
    </xf>
    <xf numFmtId="0" fontId="6" fillId="0" borderId="0" xfId="16065" applyFont="1" applyProtection="1">
      <protection hidden="1"/>
    </xf>
    <xf numFmtId="0" fontId="184" fillId="0" borderId="0" xfId="16065" applyFont="1" applyProtection="1">
      <protection hidden="1"/>
    </xf>
    <xf numFmtId="0" fontId="61" fillId="0" borderId="0" xfId="6465" applyFont="1" applyProtection="1">
      <protection hidden="1"/>
    </xf>
    <xf numFmtId="0" fontId="169" fillId="0" borderId="0" xfId="16065" applyFont="1" applyProtection="1">
      <protection hidden="1"/>
    </xf>
    <xf numFmtId="166" fontId="7" fillId="0" borderId="0" xfId="17436" applyNumberFormat="1" applyFont="1" applyProtection="1">
      <protection hidden="1"/>
    </xf>
    <xf numFmtId="0" fontId="5" fillId="0" borderId="37" xfId="6465" applyFont="1" applyBorder="1" applyProtection="1">
      <protection hidden="1"/>
    </xf>
    <xf numFmtId="0" fontId="7" fillId="0" borderId="37" xfId="6465" applyBorder="1" applyProtection="1">
      <protection hidden="1"/>
    </xf>
    <xf numFmtId="0" fontId="7" fillId="0" borderId="175" xfId="17436" applyFont="1" applyBorder="1" applyProtection="1">
      <protection hidden="1"/>
    </xf>
    <xf numFmtId="0" fontId="61" fillId="0" borderId="0" xfId="6465" applyFont="1" applyAlignment="1" applyProtection="1">
      <alignment horizontal="right"/>
      <protection hidden="1"/>
    </xf>
    <xf numFmtId="0" fontId="5" fillId="3" borderId="0" xfId="6465" applyFont="1" applyFill="1" applyAlignment="1" applyProtection="1">
      <alignment horizontal="right"/>
      <protection hidden="1"/>
    </xf>
    <xf numFmtId="0" fontId="5" fillId="0" borderId="42" xfId="6465" applyFont="1" applyBorder="1" applyProtection="1">
      <protection hidden="1"/>
    </xf>
    <xf numFmtId="1" fontId="7" fillId="0" borderId="0" xfId="6465" applyNumberFormat="1" applyProtection="1">
      <protection hidden="1"/>
    </xf>
    <xf numFmtId="0" fontId="7" fillId="0" borderId="42" xfId="6465" applyBorder="1" applyProtection="1">
      <protection hidden="1"/>
    </xf>
    <xf numFmtId="169" fontId="63" fillId="0" borderId="0" xfId="6465" applyNumberFormat="1" applyFont="1" applyProtection="1">
      <protection hidden="1"/>
    </xf>
    <xf numFmtId="168" fontId="7" fillId="0" borderId="0" xfId="6465" applyNumberFormat="1" applyProtection="1">
      <protection hidden="1"/>
    </xf>
    <xf numFmtId="2" fontId="63" fillId="0" borderId="0" xfId="6465" applyNumberFormat="1" applyFont="1" applyProtection="1">
      <protection hidden="1"/>
    </xf>
    <xf numFmtId="0" fontId="161" fillId="0" borderId="0" xfId="6465" applyFont="1" applyProtection="1">
      <protection hidden="1"/>
    </xf>
    <xf numFmtId="0" fontId="185" fillId="0" borderId="0" xfId="6465" applyFont="1" applyProtection="1">
      <protection hidden="1"/>
    </xf>
    <xf numFmtId="4" fontId="186" fillId="0" borderId="0" xfId="6465" applyNumberFormat="1" applyFont="1" applyProtection="1">
      <protection hidden="1"/>
    </xf>
    <xf numFmtId="4" fontId="67" fillId="0" borderId="0" xfId="6465" applyNumberFormat="1" applyFont="1" applyProtection="1">
      <protection hidden="1"/>
    </xf>
    <xf numFmtId="4" fontId="69" fillId="0" borderId="0" xfId="6465" applyNumberFormat="1" applyFont="1" applyProtection="1">
      <protection hidden="1"/>
    </xf>
    <xf numFmtId="0" fontId="88" fillId="0" borderId="0" xfId="6465" applyFont="1" applyProtection="1">
      <protection hidden="1"/>
    </xf>
    <xf numFmtId="4" fontId="7" fillId="0" borderId="0" xfId="17436" applyNumberFormat="1" applyFont="1" applyProtection="1">
      <protection hidden="1"/>
    </xf>
    <xf numFmtId="4" fontId="0" fillId="0" borderId="0" xfId="6465" applyNumberFormat="1" applyFont="1" applyProtection="1">
      <protection hidden="1"/>
    </xf>
    <xf numFmtId="4" fontId="187" fillId="0" borderId="0" xfId="6465" applyNumberFormat="1" applyFont="1" applyProtection="1">
      <protection hidden="1"/>
    </xf>
    <xf numFmtId="0" fontId="6" fillId="0" borderId="0" xfId="6465" applyFont="1" applyProtection="1">
      <protection hidden="1"/>
    </xf>
    <xf numFmtId="4" fontId="7" fillId="0" borderId="0" xfId="6465" applyNumberFormat="1" applyProtection="1">
      <protection hidden="1"/>
    </xf>
    <xf numFmtId="1" fontId="7" fillId="3" borderId="0" xfId="6465" applyNumberFormat="1" applyFill="1" applyProtection="1">
      <protection hidden="1"/>
    </xf>
    <xf numFmtId="0" fontId="3" fillId="2" borderId="0" xfId="17436" applyFont="1" applyFill="1" applyAlignment="1" applyProtection="1">
      <alignment vertical="top"/>
      <protection hidden="1"/>
    </xf>
    <xf numFmtId="0" fontId="5" fillId="2" borderId="0" xfId="6465" applyFont="1" applyFill="1" applyAlignment="1" applyProtection="1">
      <alignment horizontal="right"/>
      <protection hidden="1"/>
    </xf>
    <xf numFmtId="0" fontId="5" fillId="4" borderId="0" xfId="6465" applyFont="1" applyFill="1" applyAlignment="1" applyProtection="1">
      <alignment horizontal="right"/>
      <protection hidden="1"/>
    </xf>
    <xf numFmtId="0" fontId="0" fillId="3" borderId="0" xfId="17436" applyFont="1" applyFill="1" applyAlignment="1" applyProtection="1">
      <alignment horizontal="center"/>
      <protection hidden="1"/>
    </xf>
    <xf numFmtId="0" fontId="16" fillId="2" borderId="0" xfId="17436" applyFont="1" applyFill="1" applyAlignment="1" applyProtection="1">
      <alignment horizontal="center" vertical="center"/>
      <protection hidden="1"/>
    </xf>
    <xf numFmtId="0" fontId="52" fillId="3" borderId="0" xfId="17436" applyFont="1" applyFill="1" applyAlignment="1" applyProtection="1">
      <alignment horizontal="center"/>
      <protection hidden="1"/>
    </xf>
    <xf numFmtId="2" fontId="52" fillId="2" borderId="0" xfId="16065" applyNumberFormat="1" applyFont="1" applyFill="1" applyAlignment="1" applyProtection="1">
      <alignment horizontal="center" vertical="center"/>
      <protection hidden="1"/>
    </xf>
    <xf numFmtId="0" fontId="16" fillId="2" borderId="0" xfId="17436" applyFont="1" applyFill="1" applyAlignment="1" applyProtection="1">
      <alignment vertical="center"/>
      <protection hidden="1"/>
    </xf>
    <xf numFmtId="0" fontId="178" fillId="3" borderId="0" xfId="17443" applyFill="1" applyProtection="1">
      <protection hidden="1"/>
    </xf>
    <xf numFmtId="0" fontId="3" fillId="2" borderId="0" xfId="6465" applyFont="1" applyFill="1" applyAlignment="1" applyProtection="1">
      <alignment horizontal="right"/>
      <protection hidden="1"/>
    </xf>
    <xf numFmtId="169" fontId="7" fillId="9" borderId="0" xfId="6465" applyNumberFormat="1" applyFill="1" applyAlignment="1" applyProtection="1">
      <alignment horizontal="center" wrapText="1"/>
      <protection hidden="1"/>
    </xf>
    <xf numFmtId="169" fontId="7" fillId="9" borderId="0" xfId="6465" applyNumberFormat="1" applyFill="1" applyAlignment="1" applyProtection="1">
      <alignment horizontal="center"/>
      <protection hidden="1"/>
    </xf>
    <xf numFmtId="0" fontId="7" fillId="9" borderId="0" xfId="6465" applyFill="1" applyAlignment="1" applyProtection="1">
      <alignment horizontal="center"/>
      <protection hidden="1"/>
    </xf>
    <xf numFmtId="0" fontId="7" fillId="9" borderId="0" xfId="6465" applyFill="1" applyAlignment="1" applyProtection="1">
      <alignment horizontal="center" wrapText="1"/>
      <protection hidden="1"/>
    </xf>
    <xf numFmtId="0" fontId="121" fillId="3" borderId="0" xfId="17436" applyFont="1" applyFill="1" applyAlignment="1" applyProtection="1">
      <alignment horizontal="center" vertical="center"/>
      <protection hidden="1"/>
    </xf>
    <xf numFmtId="0" fontId="7" fillId="2" borderId="0" xfId="6465" applyFill="1" applyAlignment="1" applyProtection="1">
      <alignment vertical="top" wrapText="1"/>
      <protection hidden="1"/>
    </xf>
    <xf numFmtId="0" fontId="0" fillId="3" borderId="0" xfId="6465" applyFont="1" applyFill="1" applyAlignment="1" applyProtection="1">
      <alignment horizontal="left"/>
      <protection hidden="1"/>
    </xf>
    <xf numFmtId="0" fontId="7" fillId="2" borderId="0" xfId="6465" applyFill="1" applyAlignment="1" applyProtection="1">
      <alignment wrapText="1"/>
      <protection hidden="1"/>
    </xf>
    <xf numFmtId="0" fontId="0" fillId="2" borderId="0" xfId="6465" applyFont="1" applyFill="1" applyAlignment="1" applyProtection="1">
      <alignment wrapText="1"/>
      <protection hidden="1"/>
    </xf>
    <xf numFmtId="0" fontId="5" fillId="2" borderId="0" xfId="16065" applyFont="1" applyFill="1" applyAlignment="1" applyProtection="1">
      <alignment vertical="top" wrapText="1"/>
      <protection hidden="1"/>
    </xf>
    <xf numFmtId="0" fontId="305" fillId="2" borderId="0" xfId="16065" applyFill="1" applyAlignment="1" applyProtection="1">
      <alignment horizontal="center" wrapText="1"/>
      <protection hidden="1"/>
    </xf>
    <xf numFmtId="0" fontId="305" fillId="2" borderId="0" xfId="16065" applyFill="1" applyAlignment="1" applyProtection="1">
      <alignment vertical="top" wrapText="1"/>
      <protection hidden="1"/>
    </xf>
    <xf numFmtId="0" fontId="137" fillId="3" borderId="0" xfId="17436" applyFont="1" applyFill="1" applyProtection="1">
      <protection hidden="1"/>
    </xf>
    <xf numFmtId="0" fontId="0" fillId="4" borderId="0" xfId="6465" applyFont="1" applyFill="1" applyAlignment="1" applyProtection="1">
      <alignment horizontal="left"/>
      <protection hidden="1"/>
    </xf>
    <xf numFmtId="0" fontId="7" fillId="4" borderId="0" xfId="16065" applyFont="1" applyFill="1" applyAlignment="1" applyProtection="1">
      <alignment vertical="top"/>
      <protection hidden="1"/>
    </xf>
    <xf numFmtId="0" fontId="177" fillId="20" borderId="0" xfId="17436" applyFont="1" applyFill="1" applyAlignment="1" applyProtection="1">
      <alignment horizontal="center"/>
      <protection locked="0"/>
    </xf>
    <xf numFmtId="0" fontId="0" fillId="4" borderId="0" xfId="16065" applyFont="1" applyFill="1" applyAlignment="1" applyProtection="1">
      <alignment vertical="top"/>
      <protection hidden="1"/>
    </xf>
    <xf numFmtId="0" fontId="177" fillId="4" borderId="0" xfId="17436" applyFont="1" applyFill="1" applyAlignment="1" applyProtection="1">
      <alignment horizontal="center"/>
      <protection hidden="1"/>
    </xf>
    <xf numFmtId="0" fontId="33" fillId="4" borderId="0" xfId="17436" applyFont="1" applyFill="1" applyProtection="1">
      <protection hidden="1"/>
    </xf>
    <xf numFmtId="0" fontId="174" fillId="4" borderId="0" xfId="17436" applyFont="1" applyFill="1" applyAlignment="1" applyProtection="1">
      <alignment horizontal="right"/>
      <protection hidden="1"/>
    </xf>
    <xf numFmtId="0" fontId="7" fillId="4" borderId="0" xfId="6465" applyFill="1" applyAlignment="1" applyProtection="1">
      <alignment vertical="center" wrapText="1"/>
      <protection hidden="1"/>
    </xf>
    <xf numFmtId="0" fontId="7" fillId="4" borderId="0" xfId="6465" applyFill="1" applyAlignment="1" applyProtection="1">
      <alignment horizontal="right" vertical="top" wrapText="1"/>
      <protection hidden="1"/>
    </xf>
    <xf numFmtId="0" fontId="7" fillId="2" borderId="0" xfId="6465" applyFill="1" applyAlignment="1" applyProtection="1">
      <alignment vertical="center" wrapText="1"/>
      <protection hidden="1"/>
    </xf>
    <xf numFmtId="0" fontId="94" fillId="3" borderId="30" xfId="6465" applyFont="1" applyFill="1" applyBorder="1" applyAlignment="1" applyProtection="1">
      <alignment wrapText="1"/>
      <protection hidden="1"/>
    </xf>
    <xf numFmtId="0" fontId="94" fillId="3" borderId="29" xfId="6465" applyFont="1" applyFill="1" applyBorder="1" applyAlignment="1" applyProtection="1">
      <alignment wrapText="1"/>
      <protection hidden="1"/>
    </xf>
    <xf numFmtId="0" fontId="7" fillId="14" borderId="176" xfId="6465" applyFill="1" applyBorder="1" applyProtection="1">
      <protection hidden="1"/>
    </xf>
    <xf numFmtId="174" fontId="7" fillId="14" borderId="177" xfId="6465" applyNumberFormat="1" applyFill="1" applyBorder="1" applyAlignment="1" applyProtection="1">
      <alignment horizontal="left"/>
      <protection hidden="1"/>
    </xf>
    <xf numFmtId="174" fontId="7" fillId="14" borderId="178" xfId="6465" applyNumberFormat="1" applyFill="1" applyBorder="1" applyAlignment="1" applyProtection="1">
      <alignment horizontal="left"/>
      <protection hidden="1"/>
    </xf>
    <xf numFmtId="0" fontId="23" fillId="14" borderId="176" xfId="6465" applyFont="1" applyFill="1" applyBorder="1" applyProtection="1">
      <protection hidden="1"/>
    </xf>
    <xf numFmtId="174" fontId="23" fillId="14" borderId="177" xfId="6465" applyNumberFormat="1" applyFont="1" applyFill="1" applyBorder="1" applyAlignment="1" applyProtection="1">
      <alignment horizontal="left"/>
      <protection hidden="1"/>
    </xf>
    <xf numFmtId="0" fontId="23" fillId="14" borderId="1" xfId="6465" applyFont="1" applyFill="1" applyBorder="1" applyProtection="1">
      <protection hidden="1"/>
    </xf>
    <xf numFmtId="174" fontId="23" fillId="14" borderId="178" xfId="6465" applyNumberFormat="1" applyFont="1" applyFill="1" applyBorder="1" applyAlignment="1" applyProtection="1">
      <alignment horizontal="left"/>
      <protection hidden="1"/>
    </xf>
    <xf numFmtId="174" fontId="7" fillId="14" borderId="179" xfId="6465" applyNumberFormat="1" applyFill="1" applyBorder="1" applyAlignment="1" applyProtection="1">
      <alignment horizontal="left"/>
      <protection hidden="1"/>
    </xf>
    <xf numFmtId="0" fontId="7" fillId="14" borderId="180" xfId="6465" applyFill="1" applyBorder="1" applyProtection="1">
      <protection hidden="1"/>
    </xf>
    <xf numFmtId="174" fontId="7" fillId="14" borderId="181" xfId="6465" applyNumberFormat="1" applyFill="1" applyBorder="1" applyAlignment="1" applyProtection="1">
      <alignment horizontal="left"/>
      <protection hidden="1"/>
    </xf>
    <xf numFmtId="174" fontId="7" fillId="14" borderId="182" xfId="6465" applyNumberFormat="1" applyFill="1" applyBorder="1" applyAlignment="1" applyProtection="1">
      <alignment horizontal="left"/>
      <protection hidden="1"/>
    </xf>
    <xf numFmtId="0" fontId="7" fillId="14" borderId="62" xfId="6465" applyFill="1" applyBorder="1" applyProtection="1">
      <protection hidden="1"/>
    </xf>
    <xf numFmtId="0" fontId="7" fillId="14" borderId="63" xfId="6465" applyFill="1" applyBorder="1" applyProtection="1">
      <protection hidden="1"/>
    </xf>
    <xf numFmtId="0" fontId="7" fillId="14" borderId="128" xfId="6465" applyFill="1" applyBorder="1" applyProtection="1">
      <protection hidden="1"/>
    </xf>
    <xf numFmtId="0" fontId="192" fillId="3" borderId="0" xfId="69" applyFont="1" applyFill="1" applyProtection="1">
      <alignment vertical="top"/>
      <protection hidden="1"/>
    </xf>
    <xf numFmtId="0" fontId="59" fillId="3" borderId="0" xfId="6465" applyFont="1" applyFill="1" applyProtection="1">
      <protection hidden="1"/>
    </xf>
    <xf numFmtId="0" fontId="177" fillId="20" borderId="0" xfId="16065" applyFont="1" applyFill="1" applyAlignment="1" applyProtection="1">
      <alignment horizontal="center" vertical="top"/>
      <protection locked="0"/>
    </xf>
    <xf numFmtId="0" fontId="94" fillId="3" borderId="0" xfId="6465" applyFont="1" applyFill="1" applyAlignment="1" applyProtection="1">
      <alignment wrapText="1"/>
      <protection hidden="1"/>
    </xf>
    <xf numFmtId="0" fontId="127" fillId="3" borderId="0" xfId="6465" applyFont="1" applyFill="1" applyProtection="1">
      <protection hidden="1"/>
    </xf>
    <xf numFmtId="0" fontId="7" fillId="0" borderId="30" xfId="6465" applyBorder="1" applyProtection="1">
      <protection hidden="1"/>
    </xf>
    <xf numFmtId="0" fontId="0" fillId="0" borderId="31" xfId="6465" applyFont="1" applyBorder="1" applyProtection="1">
      <protection hidden="1"/>
    </xf>
    <xf numFmtId="0" fontId="94" fillId="3" borderId="0" xfId="6465" applyFont="1" applyFill="1" applyAlignment="1" applyProtection="1">
      <alignment vertical="top" wrapText="1"/>
      <protection hidden="1"/>
    </xf>
    <xf numFmtId="0" fontId="7" fillId="4" borderId="0" xfId="16065" applyFont="1" applyFill="1" applyAlignment="1" applyProtection="1">
      <alignment horizontal="right"/>
      <protection hidden="1"/>
    </xf>
    <xf numFmtId="1" fontId="23" fillId="0" borderId="30" xfId="6465" applyNumberFormat="1" applyFont="1" applyBorder="1" applyAlignment="1" applyProtection="1">
      <alignment horizontal="left"/>
      <protection hidden="1"/>
    </xf>
    <xf numFmtId="1" fontId="23" fillId="0" borderId="31" xfId="6465" applyNumberFormat="1" applyFont="1" applyBorder="1" applyAlignment="1" applyProtection="1">
      <alignment horizontal="left"/>
      <protection hidden="1"/>
    </xf>
    <xf numFmtId="0" fontId="7" fillId="4" borderId="0" xfId="16817" applyFont="1" applyFill="1" applyProtection="1">
      <protection hidden="1"/>
    </xf>
    <xf numFmtId="1" fontId="23" fillId="0" borderId="18" xfId="6465" applyNumberFormat="1" applyFont="1" applyBorder="1" applyAlignment="1" applyProtection="1">
      <alignment horizontal="left"/>
      <protection hidden="1"/>
    </xf>
    <xf numFmtId="0" fontId="7" fillId="2" borderId="0" xfId="16817" applyFont="1" applyFill="1" applyProtection="1">
      <protection hidden="1"/>
    </xf>
    <xf numFmtId="0" fontId="7" fillId="3" borderId="0" xfId="6465" applyFill="1" applyAlignment="1" applyProtection="1">
      <alignment vertical="top" wrapText="1"/>
      <protection hidden="1"/>
    </xf>
    <xf numFmtId="0" fontId="7" fillId="3" borderId="0" xfId="6465" applyFill="1" applyAlignment="1" applyProtection="1">
      <alignment wrapText="1"/>
      <protection hidden="1"/>
    </xf>
    <xf numFmtId="1" fontId="23" fillId="0" borderId="27" xfId="6465" applyNumberFormat="1" applyFont="1" applyBorder="1" applyAlignment="1" applyProtection="1">
      <alignment horizontal="left"/>
      <protection hidden="1"/>
    </xf>
    <xf numFmtId="1" fontId="23" fillId="0" borderId="28" xfId="6465" applyNumberFormat="1" applyFont="1" applyBorder="1" applyAlignment="1" applyProtection="1">
      <alignment horizontal="left"/>
      <protection hidden="1"/>
    </xf>
    <xf numFmtId="0" fontId="7" fillId="2" borderId="0" xfId="16817" applyFont="1" applyFill="1" applyAlignment="1" applyProtection="1">
      <alignment horizontal="left"/>
      <protection hidden="1"/>
    </xf>
    <xf numFmtId="0" fontId="94" fillId="2" borderId="0" xfId="6465" applyFont="1" applyFill="1" applyAlignment="1" applyProtection="1">
      <alignment vertical="top"/>
      <protection hidden="1"/>
    </xf>
    <xf numFmtId="0" fontId="72" fillId="2" borderId="0" xfId="6465" applyFont="1" applyFill="1" applyAlignment="1" applyProtection="1">
      <alignment horizontal="left"/>
      <protection hidden="1"/>
    </xf>
    <xf numFmtId="0" fontId="5" fillId="2" borderId="0" xfId="16065" applyFont="1" applyFill="1" applyAlignment="1" applyProtection="1">
      <alignment horizontal="right" vertical="top"/>
      <protection hidden="1"/>
    </xf>
    <xf numFmtId="0" fontId="63" fillId="2" borderId="0" xfId="6465" applyFont="1" applyFill="1" applyProtection="1">
      <protection hidden="1"/>
    </xf>
    <xf numFmtId="0" fontId="38" fillId="2" borderId="0" xfId="6465" applyFont="1" applyFill="1" applyAlignment="1" applyProtection="1">
      <alignment horizontal="center" vertical="top" wrapText="1"/>
      <protection hidden="1"/>
    </xf>
    <xf numFmtId="0" fontId="0" fillId="0" borderId="29" xfId="17436" applyFont="1" applyBorder="1" applyProtection="1">
      <protection hidden="1"/>
    </xf>
    <xf numFmtId="0" fontId="0" fillId="0" borderId="27" xfId="6465" applyFont="1" applyBorder="1" applyProtection="1">
      <protection hidden="1"/>
    </xf>
    <xf numFmtId="0" fontId="0" fillId="0" borderId="17" xfId="6465" applyFont="1" applyBorder="1" applyProtection="1">
      <protection hidden="1"/>
    </xf>
    <xf numFmtId="0" fontId="0" fillId="0" borderId="28" xfId="6465" applyFont="1" applyBorder="1" applyProtection="1">
      <protection hidden="1"/>
    </xf>
    <xf numFmtId="0" fontId="194" fillId="0" borderId="0" xfId="6465" applyFont="1" applyProtection="1">
      <protection hidden="1"/>
    </xf>
    <xf numFmtId="0" fontId="0" fillId="3" borderId="0" xfId="17436" applyFont="1" applyFill="1" applyAlignment="1" applyProtection="1">
      <alignment horizontal="left"/>
      <protection hidden="1"/>
    </xf>
    <xf numFmtId="0" fontId="10" fillId="2" borderId="0" xfId="16065" applyFont="1" applyFill="1" applyAlignment="1" applyProtection="1">
      <alignment vertical="top"/>
      <protection hidden="1"/>
    </xf>
    <xf numFmtId="0" fontId="46" fillId="4" borderId="0" xfId="6465" applyFont="1" applyFill="1" applyProtection="1">
      <protection hidden="1"/>
    </xf>
    <xf numFmtId="0" fontId="46" fillId="4" borderId="0" xfId="6465" applyFont="1" applyFill="1" applyAlignment="1" applyProtection="1">
      <alignment horizontal="left"/>
      <protection hidden="1"/>
    </xf>
    <xf numFmtId="0" fontId="19" fillId="4" borderId="0" xfId="69" applyFont="1" applyFill="1" applyAlignment="1" applyProtection="1">
      <alignment horizontal="left"/>
      <protection hidden="1"/>
    </xf>
    <xf numFmtId="0" fontId="0" fillId="0" borderId="0" xfId="0" applyProtection="1">
      <protection hidden="1"/>
    </xf>
    <xf numFmtId="0" fontId="195" fillId="2" borderId="0" xfId="16065" applyFont="1" applyFill="1" applyAlignment="1" applyProtection="1">
      <alignment horizontal="center"/>
      <protection hidden="1"/>
    </xf>
    <xf numFmtId="0" fontId="29" fillId="4" borderId="0" xfId="0" applyFont="1" applyFill="1" applyProtection="1">
      <protection hidden="1"/>
    </xf>
    <xf numFmtId="0" fontId="7" fillId="4" borderId="0" xfId="0" applyFont="1" applyFill="1" applyProtection="1">
      <protection hidden="1"/>
    </xf>
    <xf numFmtId="0" fontId="141" fillId="5" borderId="0" xfId="16065" applyFont="1" applyFill="1" applyAlignment="1" applyProtection="1">
      <alignment horizontal="center" vertical="center"/>
      <protection locked="0"/>
    </xf>
    <xf numFmtId="0" fontId="96" fillId="5" borderId="0" xfId="6465" applyFont="1" applyFill="1" applyAlignment="1" applyProtection="1">
      <alignment horizontal="center" vertical="center"/>
      <protection locked="0"/>
    </xf>
    <xf numFmtId="0" fontId="0" fillId="4" borderId="0" xfId="16065" applyFont="1" applyFill="1" applyProtection="1">
      <protection hidden="1"/>
    </xf>
    <xf numFmtId="168" fontId="121" fillId="4" borderId="29" xfId="6465" applyNumberFormat="1" applyFont="1" applyFill="1" applyBorder="1" applyAlignment="1" applyProtection="1">
      <alignment horizontal="right"/>
      <protection hidden="1"/>
    </xf>
    <xf numFmtId="168" fontId="121" fillId="4" borderId="0" xfId="6465" applyNumberFormat="1" applyFont="1" applyFill="1" applyAlignment="1" applyProtection="1">
      <alignment horizontal="right"/>
      <protection hidden="1"/>
    </xf>
    <xf numFmtId="168" fontId="121" fillId="4" borderId="18" xfId="16065" applyNumberFormat="1" applyFont="1" applyFill="1" applyBorder="1" applyAlignment="1" applyProtection="1">
      <alignment horizontal="right"/>
      <protection hidden="1"/>
    </xf>
    <xf numFmtId="2" fontId="43" fillId="4" borderId="188" xfId="6465" applyNumberFormat="1" applyFont="1" applyFill="1" applyBorder="1" applyAlignment="1" applyProtection="1">
      <alignment horizontal="right"/>
      <protection hidden="1"/>
    </xf>
    <xf numFmtId="0" fontId="105" fillId="4" borderId="196" xfId="0" applyFont="1" applyFill="1" applyBorder="1" applyAlignment="1" applyProtection="1">
      <alignment horizontal="right"/>
      <protection hidden="1"/>
    </xf>
    <xf numFmtId="2" fontId="7" fillId="4" borderId="0" xfId="6465" applyNumberFormat="1" applyFill="1" applyAlignment="1" applyProtection="1">
      <alignment horizontal="right"/>
      <protection hidden="1"/>
    </xf>
    <xf numFmtId="0" fontId="75" fillId="4" borderId="0" xfId="6465" applyFont="1" applyFill="1" applyAlignment="1" applyProtection="1">
      <alignment horizontal="left"/>
      <protection hidden="1"/>
    </xf>
    <xf numFmtId="0" fontId="105" fillId="4" borderId="0" xfId="0" applyFont="1" applyFill="1" applyAlignment="1" applyProtection="1">
      <alignment horizontal="right"/>
      <protection hidden="1"/>
    </xf>
    <xf numFmtId="0" fontId="5" fillId="4" borderId="30" xfId="6465" applyFont="1" applyFill="1" applyBorder="1" applyAlignment="1" applyProtection="1">
      <alignment wrapText="1"/>
      <protection hidden="1"/>
    </xf>
    <xf numFmtId="0" fontId="198" fillId="3" borderId="197" xfId="16065" applyFont="1" applyFill="1" applyBorder="1" applyProtection="1">
      <protection hidden="1"/>
    </xf>
    <xf numFmtId="0" fontId="61" fillId="7" borderId="198" xfId="16065" applyFont="1" applyFill="1" applyBorder="1" applyAlignment="1" applyProtection="1">
      <alignment horizontal="right" wrapText="1"/>
      <protection hidden="1"/>
    </xf>
    <xf numFmtId="0" fontId="199" fillId="0" borderId="51" xfId="16065" applyFont="1" applyBorder="1" applyProtection="1">
      <protection hidden="1"/>
    </xf>
    <xf numFmtId="0" fontId="77" fillId="7" borderId="52" xfId="16065" applyFont="1" applyFill="1" applyBorder="1" applyProtection="1">
      <protection hidden="1"/>
    </xf>
    <xf numFmtId="168" fontId="104" fillId="0" borderId="202" xfId="6465" applyNumberFormat="1" applyFont="1" applyBorder="1" applyAlignment="1" applyProtection="1">
      <alignment horizontal="center"/>
      <protection hidden="1"/>
    </xf>
    <xf numFmtId="168" fontId="104" fillId="0" borderId="184" xfId="6465" applyNumberFormat="1" applyFont="1" applyBorder="1" applyAlignment="1" applyProtection="1">
      <alignment horizontal="center"/>
      <protection hidden="1"/>
    </xf>
    <xf numFmtId="0" fontId="77" fillId="7" borderId="203" xfId="16065" applyFont="1" applyFill="1" applyBorder="1" applyProtection="1">
      <protection hidden="1"/>
    </xf>
    <xf numFmtId="0" fontId="7" fillId="12" borderId="204" xfId="0" applyFont="1" applyFill="1" applyBorder="1" applyProtection="1">
      <protection locked="0"/>
    </xf>
    <xf numFmtId="0" fontId="7" fillId="5" borderId="204" xfId="6465" applyFill="1" applyBorder="1" applyProtection="1">
      <protection locked="0"/>
    </xf>
    <xf numFmtId="0" fontId="199" fillId="0" borderId="206" xfId="16065" applyFont="1" applyBorder="1" applyProtection="1">
      <protection hidden="1"/>
    </xf>
    <xf numFmtId="0" fontId="199" fillId="0" borderId="207" xfId="16065" applyFont="1" applyBorder="1" applyProtection="1">
      <protection hidden="1"/>
    </xf>
    <xf numFmtId="168" fontId="104" fillId="0" borderId="190" xfId="6465" applyNumberFormat="1" applyFont="1" applyBorder="1" applyAlignment="1" applyProtection="1">
      <alignment horizontal="center"/>
      <protection hidden="1"/>
    </xf>
    <xf numFmtId="0" fontId="121" fillId="3" borderId="208" xfId="16065" applyFont="1" applyFill="1" applyBorder="1" applyProtection="1">
      <protection hidden="1"/>
    </xf>
    <xf numFmtId="0" fontId="7" fillId="3" borderId="209" xfId="16065" applyFont="1" applyFill="1" applyBorder="1" applyAlignment="1" applyProtection="1">
      <alignment horizontal="center"/>
      <protection hidden="1"/>
    </xf>
    <xf numFmtId="0" fontId="7" fillId="3" borderId="209" xfId="16065" applyFont="1" applyFill="1" applyBorder="1" applyAlignment="1" applyProtection="1">
      <alignment horizontal="left"/>
      <protection hidden="1"/>
    </xf>
    <xf numFmtId="0" fontId="61" fillId="7" borderId="209" xfId="16065" applyFont="1" applyFill="1" applyBorder="1" applyAlignment="1" applyProtection="1">
      <alignment horizontal="right" wrapText="1"/>
      <protection hidden="1"/>
    </xf>
    <xf numFmtId="0" fontId="104" fillId="3" borderId="210" xfId="6465" applyFont="1" applyFill="1" applyBorder="1" applyAlignment="1" applyProtection="1">
      <alignment horizontal="center"/>
      <protection hidden="1"/>
    </xf>
    <xf numFmtId="0" fontId="104" fillId="3" borderId="211" xfId="0" applyFont="1" applyFill="1" applyBorder="1" applyAlignment="1" applyProtection="1">
      <alignment horizontal="center" wrapText="1"/>
      <protection hidden="1"/>
    </xf>
    <xf numFmtId="0" fontId="7" fillId="5" borderId="204" xfId="0" applyFont="1" applyFill="1" applyBorder="1" applyProtection="1">
      <protection locked="0"/>
    </xf>
    <xf numFmtId="0" fontId="200" fillId="3" borderId="197" xfId="16065" applyFont="1" applyFill="1" applyBorder="1" applyProtection="1">
      <protection hidden="1"/>
    </xf>
    <xf numFmtId="0" fontId="17" fillId="3" borderId="198" xfId="16065" applyFont="1" applyFill="1" applyBorder="1" applyAlignment="1" applyProtection="1">
      <alignment horizontal="center"/>
      <protection hidden="1"/>
    </xf>
    <xf numFmtId="0" fontId="7" fillId="3" borderId="198" xfId="16065" applyFont="1" applyFill="1" applyBorder="1" applyAlignment="1" applyProtection="1">
      <alignment horizontal="left"/>
      <protection hidden="1"/>
    </xf>
    <xf numFmtId="0" fontId="104" fillId="3" borderId="199" xfId="6465" applyFont="1" applyFill="1" applyBorder="1" applyAlignment="1" applyProtection="1">
      <alignment horizontal="center"/>
      <protection hidden="1"/>
    </xf>
    <xf numFmtId="0" fontId="104" fillId="3" borderId="200" xfId="0" applyFont="1" applyFill="1" applyBorder="1" applyAlignment="1" applyProtection="1">
      <alignment horizontal="center" wrapText="1"/>
      <protection hidden="1"/>
    </xf>
    <xf numFmtId="0" fontId="61" fillId="0" borderId="51" xfId="16065" applyFont="1" applyBorder="1" applyProtection="1">
      <protection hidden="1"/>
    </xf>
    <xf numFmtId="0" fontId="61" fillId="0" borderId="212" xfId="16065" applyFont="1" applyBorder="1" applyProtection="1">
      <protection hidden="1"/>
    </xf>
    <xf numFmtId="0" fontId="77" fillId="7" borderId="201" xfId="16065" applyFont="1" applyFill="1" applyBorder="1" applyProtection="1">
      <protection hidden="1"/>
    </xf>
    <xf numFmtId="168" fontId="104" fillId="0" borderId="186" xfId="6465" applyNumberFormat="1" applyFont="1" applyBorder="1" applyAlignment="1" applyProtection="1">
      <alignment horizontal="center"/>
      <protection hidden="1"/>
    </xf>
    <xf numFmtId="0" fontId="124" fillId="3" borderId="208" xfId="16065" applyFont="1" applyFill="1" applyBorder="1" applyProtection="1">
      <protection hidden="1"/>
    </xf>
    <xf numFmtId="0" fontId="202" fillId="3" borderId="197" xfId="16065" applyFont="1" applyFill="1" applyBorder="1" applyProtection="1">
      <protection hidden="1"/>
    </xf>
    <xf numFmtId="0" fontId="76" fillId="0" borderId="51" xfId="16065" applyFont="1" applyBorder="1" applyProtection="1">
      <protection hidden="1"/>
    </xf>
    <xf numFmtId="0" fontId="76" fillId="0" borderId="216" xfId="16065" applyFont="1" applyBorder="1" applyProtection="1">
      <protection hidden="1"/>
    </xf>
    <xf numFmtId="0" fontId="77" fillId="7" borderId="205" xfId="16065" applyFont="1" applyFill="1" applyBorder="1" applyProtection="1">
      <protection hidden="1"/>
    </xf>
    <xf numFmtId="0" fontId="7" fillId="3" borderId="52" xfId="16065" applyFont="1" applyFill="1" applyBorder="1" applyAlignment="1" applyProtection="1">
      <alignment horizontal="center"/>
      <protection hidden="1"/>
    </xf>
    <xf numFmtId="0" fontId="202" fillId="3" borderId="7" xfId="16065" applyFont="1" applyFill="1" applyBorder="1" applyProtection="1">
      <protection hidden="1"/>
    </xf>
    <xf numFmtId="0" fontId="108" fillId="0" borderId="51" xfId="16065" applyFont="1" applyBorder="1" applyProtection="1">
      <protection hidden="1"/>
    </xf>
    <xf numFmtId="0" fontId="77" fillId="7" borderId="201" xfId="16065" applyFont="1" applyFill="1" applyBorder="1" applyAlignment="1" applyProtection="1">
      <alignment wrapText="1"/>
      <protection hidden="1"/>
    </xf>
    <xf numFmtId="0" fontId="7" fillId="5" borderId="218" xfId="16065" applyFont="1" applyFill="1" applyBorder="1" applyProtection="1">
      <protection locked="0"/>
    </xf>
    <xf numFmtId="0" fontId="7" fillId="5" borderId="193" xfId="16065" applyFont="1" applyFill="1" applyBorder="1" applyProtection="1">
      <protection locked="0"/>
    </xf>
    <xf numFmtId="0" fontId="108" fillId="0" borderId="220" xfId="16065" applyFont="1" applyBorder="1" applyProtection="1">
      <protection hidden="1"/>
    </xf>
    <xf numFmtId="0" fontId="7" fillId="7" borderId="174" xfId="16065" applyFont="1" applyFill="1" applyBorder="1" applyProtection="1">
      <protection hidden="1"/>
    </xf>
    <xf numFmtId="0" fontId="63" fillId="4" borderId="30" xfId="6465" applyFont="1" applyFill="1" applyBorder="1" applyAlignment="1" applyProtection="1">
      <alignment vertical="top" wrapText="1"/>
      <protection hidden="1"/>
    </xf>
    <xf numFmtId="0" fontId="95" fillId="14" borderId="0" xfId="17451" applyFont="1" applyFill="1" applyProtection="1">
      <protection hidden="1"/>
    </xf>
    <xf numFmtId="0" fontId="12" fillId="4" borderId="0" xfId="6465" applyFont="1" applyFill="1" applyProtection="1">
      <protection hidden="1"/>
    </xf>
    <xf numFmtId="1" fontId="7" fillId="4" borderId="86" xfId="0" applyNumberFormat="1" applyFont="1" applyFill="1" applyBorder="1" applyProtection="1">
      <protection hidden="1"/>
    </xf>
    <xf numFmtId="1" fontId="7" fillId="4" borderId="0" xfId="0" applyNumberFormat="1" applyFont="1" applyFill="1" applyProtection="1">
      <protection hidden="1"/>
    </xf>
    <xf numFmtId="168" fontId="98" fillId="29" borderId="221" xfId="6465" applyNumberFormat="1" applyFont="1" applyFill="1" applyBorder="1" applyAlignment="1" applyProtection="1">
      <alignment horizontal="center"/>
      <protection locked="0"/>
    </xf>
    <xf numFmtId="1" fontId="17" fillId="4" borderId="224" xfId="0" applyNumberFormat="1" applyFont="1" applyFill="1" applyBorder="1" applyProtection="1">
      <protection hidden="1"/>
    </xf>
    <xf numFmtId="1" fontId="17" fillId="4" borderId="223" xfId="6465" applyNumberFormat="1" applyFont="1" applyFill="1" applyBorder="1" applyProtection="1">
      <protection hidden="1"/>
    </xf>
    <xf numFmtId="1" fontId="17" fillId="4" borderId="190" xfId="0" applyNumberFormat="1" applyFont="1" applyFill="1" applyBorder="1" applyProtection="1">
      <protection hidden="1"/>
    </xf>
    <xf numFmtId="1" fontId="17" fillId="4" borderId="190" xfId="6465" applyNumberFormat="1" applyFont="1" applyFill="1" applyBorder="1" applyProtection="1">
      <protection hidden="1"/>
    </xf>
    <xf numFmtId="168" fontId="7" fillId="4" borderId="86" xfId="0" applyNumberFormat="1" applyFont="1" applyFill="1" applyBorder="1" applyProtection="1">
      <protection hidden="1"/>
    </xf>
    <xf numFmtId="168" fontId="7" fillId="4" borderId="0" xfId="0" applyNumberFormat="1" applyFont="1" applyFill="1" applyProtection="1">
      <protection hidden="1"/>
    </xf>
    <xf numFmtId="168" fontId="98" fillId="45" borderId="225" xfId="6465" applyNumberFormat="1" applyFont="1" applyFill="1" applyBorder="1" applyAlignment="1" applyProtection="1">
      <alignment horizontal="center"/>
      <protection locked="0"/>
    </xf>
    <xf numFmtId="168" fontId="7" fillId="4" borderId="17" xfId="6465" applyNumberFormat="1" applyFill="1" applyBorder="1" applyAlignment="1" applyProtection="1">
      <alignment horizontal="right"/>
      <protection hidden="1"/>
    </xf>
    <xf numFmtId="0" fontId="7" fillId="4" borderId="31" xfId="16065" applyFont="1" applyFill="1" applyBorder="1" applyAlignment="1" applyProtection="1">
      <alignment horizontal="center"/>
      <protection hidden="1"/>
    </xf>
    <xf numFmtId="0" fontId="0" fillId="4" borderId="18" xfId="16065" applyFont="1" applyFill="1" applyBorder="1" applyProtection="1">
      <protection hidden="1"/>
    </xf>
    <xf numFmtId="0" fontId="17" fillId="0" borderId="226" xfId="0" applyFont="1" applyBorder="1" applyAlignment="1" applyProtection="1">
      <alignment horizontal="center"/>
      <protection hidden="1"/>
    </xf>
    <xf numFmtId="0" fontId="7" fillId="14" borderId="227" xfId="0" applyFont="1" applyFill="1" applyBorder="1" applyAlignment="1" applyProtection="1">
      <alignment horizontal="center"/>
      <protection hidden="1"/>
    </xf>
    <xf numFmtId="0" fontId="7" fillId="14" borderId="228" xfId="0" applyFont="1" applyFill="1" applyBorder="1" applyAlignment="1" applyProtection="1">
      <alignment horizontal="center"/>
      <protection hidden="1"/>
    </xf>
    <xf numFmtId="0" fontId="7" fillId="28" borderId="229" xfId="16065" applyFont="1" applyFill="1" applyBorder="1" applyAlignment="1" applyProtection="1">
      <alignment horizontal="center"/>
      <protection locked="0"/>
    </xf>
    <xf numFmtId="0" fontId="7" fillId="28" borderId="230" xfId="16065" applyFont="1" applyFill="1" applyBorder="1" applyAlignment="1" applyProtection="1">
      <alignment horizontal="center"/>
      <protection locked="0"/>
    </xf>
    <xf numFmtId="0" fontId="76" fillId="13" borderId="204" xfId="16065" applyFont="1" applyFill="1" applyBorder="1" applyAlignment="1" applyProtection="1">
      <alignment horizontal="center"/>
      <protection locked="0"/>
    </xf>
    <xf numFmtId="0" fontId="7" fillId="5" borderId="230" xfId="6465" applyFill="1" applyBorder="1" applyAlignment="1" applyProtection="1">
      <alignment horizontal="center"/>
      <protection locked="0"/>
    </xf>
    <xf numFmtId="0" fontId="94" fillId="28" borderId="204" xfId="16065" applyFont="1" applyFill="1" applyBorder="1" applyAlignment="1" applyProtection="1">
      <alignment horizontal="center"/>
      <protection locked="0"/>
    </xf>
    <xf numFmtId="0" fontId="94" fillId="29" borderId="204" xfId="16065" applyFont="1" applyFill="1" applyBorder="1" applyAlignment="1" applyProtection="1">
      <alignment horizontal="center"/>
      <protection locked="0"/>
    </xf>
    <xf numFmtId="0" fontId="7" fillId="5" borderId="230" xfId="0" applyFont="1" applyFill="1" applyBorder="1" applyAlignment="1" applyProtection="1">
      <alignment horizontal="center"/>
      <protection locked="0"/>
    </xf>
    <xf numFmtId="0" fontId="76" fillId="13" borderId="204" xfId="6465" applyFont="1" applyFill="1" applyBorder="1" applyAlignment="1" applyProtection="1">
      <alignment horizontal="center"/>
      <protection locked="0"/>
    </xf>
    <xf numFmtId="168" fontId="23" fillId="0" borderId="52" xfId="16065" applyNumberFormat="1" applyFont="1" applyBorder="1" applyAlignment="1" applyProtection="1">
      <alignment horizontal="center"/>
      <protection hidden="1"/>
    </xf>
    <xf numFmtId="168" fontId="7" fillId="0" borderId="18" xfId="16065" applyNumberFormat="1" applyFont="1" applyBorder="1" applyAlignment="1" applyProtection="1">
      <alignment horizontal="center"/>
      <protection hidden="1"/>
    </xf>
    <xf numFmtId="168" fontId="124" fillId="0" borderId="27" xfId="0" applyNumberFormat="1" applyFont="1" applyBorder="1" applyAlignment="1" applyProtection="1">
      <alignment horizontal="center"/>
      <protection hidden="1"/>
    </xf>
    <xf numFmtId="168" fontId="92" fillId="4" borderId="30" xfId="16065" applyNumberFormat="1" applyFont="1" applyFill="1" applyBorder="1" applyAlignment="1" applyProtection="1">
      <alignment horizontal="center"/>
      <protection hidden="1"/>
    </xf>
    <xf numFmtId="168" fontId="92" fillId="4" borderId="31" xfId="16065" applyNumberFormat="1" applyFont="1" applyFill="1" applyBorder="1" applyAlignment="1" applyProtection="1">
      <alignment horizontal="center"/>
      <protection hidden="1"/>
    </xf>
    <xf numFmtId="168" fontId="58" fillId="3" borderId="0" xfId="6465" applyNumberFormat="1" applyFont="1" applyFill="1" applyAlignment="1" applyProtection="1">
      <alignment horizontal="right"/>
      <protection hidden="1"/>
    </xf>
    <xf numFmtId="0" fontId="63" fillId="2" borderId="31" xfId="6465" applyFont="1" applyFill="1" applyBorder="1" applyAlignment="1" applyProtection="1">
      <alignment wrapText="1"/>
      <protection hidden="1"/>
    </xf>
    <xf numFmtId="0" fontId="205" fillId="4" borderId="0" xfId="16065" applyFont="1" applyFill="1" applyAlignment="1" applyProtection="1">
      <alignment horizontal="center"/>
      <protection hidden="1"/>
    </xf>
    <xf numFmtId="0" fontId="206" fillId="4" borderId="0" xfId="16065" applyFont="1" applyFill="1" applyAlignment="1" applyProtection="1">
      <alignment horizontal="center"/>
      <protection hidden="1"/>
    </xf>
    <xf numFmtId="0" fontId="58" fillId="4" borderId="0" xfId="16065" applyFont="1" applyFill="1" applyAlignment="1" applyProtection="1">
      <alignment vertical="top"/>
      <protection hidden="1"/>
    </xf>
    <xf numFmtId="0" fontId="23" fillId="4" borderId="0" xfId="16065" applyFont="1" applyFill="1" applyAlignment="1" applyProtection="1">
      <alignment vertical="top"/>
      <protection hidden="1"/>
    </xf>
    <xf numFmtId="2" fontId="16" fillId="4" borderId="0" xfId="16065" applyNumberFormat="1" applyFont="1" applyFill="1" applyProtection="1">
      <protection hidden="1"/>
    </xf>
    <xf numFmtId="2" fontId="195" fillId="4" borderId="0" xfId="16065" applyNumberFormat="1" applyFont="1" applyFill="1" applyAlignment="1" applyProtection="1">
      <alignment horizontal="left"/>
      <protection hidden="1"/>
    </xf>
    <xf numFmtId="2" fontId="16" fillId="4" borderId="0" xfId="16065" applyNumberFormat="1" applyFont="1" applyFill="1" applyAlignment="1" applyProtection="1">
      <alignment textRotation="90"/>
      <protection hidden="1"/>
    </xf>
    <xf numFmtId="0" fontId="58" fillId="3" borderId="0" xfId="6465" applyFont="1" applyFill="1" applyAlignment="1" applyProtection="1">
      <alignment textRotation="90"/>
      <protection hidden="1"/>
    </xf>
    <xf numFmtId="0" fontId="23" fillId="3" borderId="0" xfId="6465" applyFont="1" applyFill="1" applyAlignment="1" applyProtection="1">
      <alignment textRotation="90"/>
      <protection hidden="1"/>
    </xf>
    <xf numFmtId="0" fontId="55" fillId="4" borderId="0" xfId="6465" applyFont="1" applyFill="1" applyAlignment="1" applyProtection="1">
      <alignment horizontal="center" wrapText="1"/>
      <protection hidden="1"/>
    </xf>
    <xf numFmtId="0" fontId="63" fillId="4" borderId="0" xfId="16065" applyFont="1" applyFill="1" applyAlignment="1" applyProtection="1">
      <alignment horizontal="center" wrapText="1"/>
      <protection hidden="1"/>
    </xf>
    <xf numFmtId="0" fontId="118" fillId="4" borderId="0" xfId="6465" applyFont="1" applyFill="1" applyAlignment="1" applyProtection="1">
      <alignment horizontal="center"/>
      <protection hidden="1"/>
    </xf>
    <xf numFmtId="1" fontId="7" fillId="4" borderId="192" xfId="0" applyNumberFormat="1" applyFont="1" applyFill="1" applyBorder="1" applyProtection="1">
      <protection hidden="1"/>
    </xf>
    <xf numFmtId="0" fontId="58" fillId="3" borderId="0" xfId="6465" applyFont="1" applyFill="1" applyProtection="1">
      <protection hidden="1"/>
    </xf>
    <xf numFmtId="0" fontId="23" fillId="3" borderId="0" xfId="6465" applyFont="1" applyFill="1" applyProtection="1">
      <protection hidden="1"/>
    </xf>
    <xf numFmtId="0" fontId="7" fillId="4" borderId="28" xfId="0" applyFont="1" applyFill="1" applyBorder="1" applyProtection="1">
      <protection hidden="1"/>
    </xf>
    <xf numFmtId="0" fontId="7" fillId="13" borderId="229" xfId="16065" applyFont="1" applyFill="1" applyBorder="1" applyAlignment="1" applyProtection="1">
      <alignment horizontal="center"/>
      <protection locked="0"/>
    </xf>
    <xf numFmtId="0" fontId="7" fillId="13" borderId="231" xfId="16065" applyFont="1" applyFill="1" applyBorder="1" applyAlignment="1" applyProtection="1">
      <alignment horizontal="center"/>
      <protection locked="0"/>
    </xf>
    <xf numFmtId="0" fontId="91" fillId="29" borderId="204" xfId="16065" applyFont="1" applyFill="1" applyBorder="1" applyAlignment="1" applyProtection="1">
      <alignment horizontal="center"/>
      <protection locked="0"/>
    </xf>
    <xf numFmtId="0" fontId="7" fillId="29" borderId="229" xfId="16065" applyFont="1" applyFill="1" applyBorder="1" applyAlignment="1" applyProtection="1">
      <alignment horizontal="center"/>
      <protection locked="0"/>
    </xf>
    <xf numFmtId="0" fontId="7" fillId="13" borderId="229" xfId="6465" applyFill="1" applyBorder="1" applyAlignment="1" applyProtection="1">
      <alignment horizontal="center"/>
      <protection locked="0"/>
    </xf>
    <xf numFmtId="0" fontId="7" fillId="13" borderId="231" xfId="6465" applyFill="1" applyBorder="1" applyAlignment="1" applyProtection="1">
      <alignment horizontal="center"/>
      <protection locked="0"/>
    </xf>
    <xf numFmtId="0" fontId="61" fillId="29" borderId="204" xfId="16065" applyFont="1" applyFill="1" applyBorder="1" applyAlignment="1" applyProtection="1">
      <alignment horizontal="center"/>
      <protection locked="0"/>
    </xf>
    <xf numFmtId="168" fontId="92" fillId="4" borderId="29" xfId="16065" applyNumberFormat="1" applyFont="1" applyFill="1" applyBorder="1" applyAlignment="1" applyProtection="1">
      <alignment horizontal="center"/>
      <protection hidden="1"/>
    </xf>
    <xf numFmtId="168" fontId="58" fillId="0" borderId="0" xfId="6465" applyNumberFormat="1" applyFont="1" applyAlignment="1" applyProtection="1">
      <alignment horizontal="right"/>
      <protection hidden="1"/>
    </xf>
    <xf numFmtId="0" fontId="206" fillId="2" borderId="0" xfId="16065" applyFont="1" applyFill="1" applyProtection="1">
      <protection hidden="1"/>
    </xf>
    <xf numFmtId="2" fontId="195" fillId="2" borderId="0" xfId="16065" applyNumberFormat="1" applyFont="1" applyFill="1" applyAlignment="1" applyProtection="1">
      <alignment horizontal="left"/>
      <protection hidden="1"/>
    </xf>
    <xf numFmtId="0" fontId="95" fillId="4" borderId="0" xfId="6465" applyFont="1" applyFill="1" applyProtection="1">
      <protection hidden="1"/>
    </xf>
    <xf numFmtId="0" fontId="23" fillId="3" borderId="0" xfId="0" applyFont="1" applyFill="1" applyAlignment="1" applyProtection="1">
      <alignment horizontal="right"/>
      <protection hidden="1"/>
    </xf>
    <xf numFmtId="49" fontId="23" fillId="3" borderId="0" xfId="16065" applyNumberFormat="1" applyFont="1" applyFill="1" applyProtection="1">
      <protection hidden="1"/>
    </xf>
    <xf numFmtId="0" fontId="23" fillId="3" borderId="0" xfId="0" applyFont="1" applyFill="1" applyProtection="1">
      <protection hidden="1"/>
    </xf>
    <xf numFmtId="166" fontId="23" fillId="3" borderId="0" xfId="0" applyNumberFormat="1" applyFont="1" applyFill="1" applyAlignment="1" applyProtection="1">
      <alignment wrapText="1"/>
      <protection hidden="1"/>
    </xf>
    <xf numFmtId="166" fontId="23" fillId="3" borderId="0" xfId="0" applyNumberFormat="1" applyFont="1" applyFill="1" applyProtection="1">
      <protection hidden="1"/>
    </xf>
    <xf numFmtId="0" fontId="7" fillId="4" borderId="0" xfId="16065" applyFont="1" applyFill="1" applyAlignment="1" applyProtection="1">
      <alignment vertical="top" wrapText="1"/>
      <protection hidden="1"/>
    </xf>
    <xf numFmtId="0" fontId="7" fillId="14" borderId="226" xfId="0" applyFont="1" applyFill="1" applyBorder="1" applyAlignment="1" applyProtection="1">
      <alignment horizontal="center"/>
      <protection hidden="1"/>
    </xf>
    <xf numFmtId="0" fontId="7" fillId="28" borderId="232" xfId="16065" applyFont="1" applyFill="1" applyBorder="1" applyAlignment="1" applyProtection="1">
      <alignment horizontal="center"/>
      <protection locked="0"/>
    </xf>
    <xf numFmtId="0" fontId="108" fillId="0" borderId="0" xfId="6465" applyFont="1" applyProtection="1">
      <protection hidden="1"/>
    </xf>
    <xf numFmtId="168" fontId="7" fillId="0" borderId="162" xfId="16065" applyNumberFormat="1" applyFont="1" applyBorder="1" applyAlignment="1" applyProtection="1">
      <alignment horizontal="center"/>
      <protection hidden="1"/>
    </xf>
    <xf numFmtId="2" fontId="23" fillId="3" borderId="0" xfId="16065" applyNumberFormat="1" applyFont="1" applyFill="1" applyAlignment="1" applyProtection="1">
      <alignment vertical="center"/>
      <protection hidden="1"/>
    </xf>
    <xf numFmtId="49" fontId="100" fillId="0" borderId="0" xfId="16065" applyNumberFormat="1" applyFont="1" applyAlignment="1" applyProtection="1">
      <alignment horizontal="center" vertical="center"/>
      <protection hidden="1"/>
    </xf>
    <xf numFmtId="0" fontId="0" fillId="0" borderId="0" xfId="16065" applyFont="1" applyAlignment="1" applyProtection="1">
      <alignment vertical="top" wrapText="1"/>
      <protection hidden="1"/>
    </xf>
    <xf numFmtId="0" fontId="7" fillId="0" borderId="18" xfId="16065" applyFont="1" applyBorder="1" applyAlignment="1" applyProtection="1">
      <alignment horizontal="center"/>
      <protection hidden="1"/>
    </xf>
    <xf numFmtId="0" fontId="5" fillId="0" borderId="183" xfId="16065" applyFont="1" applyBorder="1" applyProtection="1">
      <protection hidden="1"/>
    </xf>
    <xf numFmtId="0" fontId="5" fillId="0" borderId="233" xfId="16065" applyFont="1" applyBorder="1" applyProtection="1">
      <protection hidden="1"/>
    </xf>
    <xf numFmtId="0" fontId="5" fillId="0" borderId="184" xfId="16065" applyFont="1" applyBorder="1" applyProtection="1">
      <protection hidden="1"/>
    </xf>
    <xf numFmtId="0" fontId="7" fillId="0" borderId="183" xfId="16065" applyFont="1" applyBorder="1" applyProtection="1">
      <protection hidden="1"/>
    </xf>
    <xf numFmtId="0" fontId="7" fillId="0" borderId="233" xfId="16065" applyFont="1" applyBorder="1" applyProtection="1">
      <protection hidden="1"/>
    </xf>
    <xf numFmtId="0" fontId="7" fillId="0" borderId="184" xfId="16065" applyFont="1" applyBorder="1" applyProtection="1">
      <protection hidden="1"/>
    </xf>
    <xf numFmtId="2" fontId="195" fillId="2" borderId="0" xfId="16065" applyNumberFormat="1" applyFont="1" applyFill="1" applyProtection="1">
      <protection hidden="1"/>
    </xf>
    <xf numFmtId="2" fontId="20" fillId="2" borderId="0" xfId="16065" applyNumberFormat="1" applyFont="1" applyFill="1" applyProtection="1">
      <protection hidden="1"/>
    </xf>
    <xf numFmtId="2" fontId="10" fillId="4" borderId="0" xfId="16065" applyNumberFormat="1" applyFont="1" applyFill="1" applyProtection="1">
      <protection hidden="1"/>
    </xf>
    <xf numFmtId="168" fontId="23" fillId="0" borderId="0" xfId="16065" applyNumberFormat="1" applyFont="1" applyProtection="1">
      <protection hidden="1"/>
    </xf>
    <xf numFmtId="1" fontId="23" fillId="0" borderId="29" xfId="6465" applyNumberFormat="1" applyFont="1" applyBorder="1" applyAlignment="1" applyProtection="1">
      <alignment horizontal="left"/>
      <protection hidden="1"/>
    </xf>
    <xf numFmtId="1" fontId="23" fillId="0" borderId="170" xfId="6465" applyNumberFormat="1" applyFont="1" applyBorder="1" applyAlignment="1" applyProtection="1">
      <alignment horizontal="left"/>
      <protection hidden="1"/>
    </xf>
    <xf numFmtId="1" fontId="23" fillId="0" borderId="0" xfId="6465" applyNumberFormat="1" applyFont="1" applyAlignment="1" applyProtection="1">
      <alignment horizontal="left"/>
      <protection hidden="1"/>
    </xf>
    <xf numFmtId="1" fontId="23" fillId="0" borderId="17" xfId="6465" applyNumberFormat="1" applyFont="1" applyBorder="1" applyAlignment="1" applyProtection="1">
      <alignment horizontal="left"/>
      <protection hidden="1"/>
    </xf>
    <xf numFmtId="0" fontId="58" fillId="4" borderId="0" xfId="6465" applyFont="1" applyFill="1" applyProtection="1">
      <protection hidden="1"/>
    </xf>
    <xf numFmtId="2" fontId="195" fillId="4" borderId="0" xfId="16065" applyNumberFormat="1" applyFont="1" applyFill="1" applyAlignment="1" applyProtection="1">
      <alignment vertical="center"/>
      <protection hidden="1"/>
    </xf>
    <xf numFmtId="2" fontId="20" fillId="4" borderId="0" xfId="16065" applyNumberFormat="1" applyFont="1" applyFill="1" applyProtection="1">
      <protection hidden="1"/>
    </xf>
    <xf numFmtId="0" fontId="23" fillId="0" borderId="0" xfId="6465" applyFont="1" applyProtection="1">
      <protection hidden="1"/>
    </xf>
    <xf numFmtId="0" fontId="208" fillId="3" borderId="0" xfId="69" applyFont="1" applyFill="1" applyAlignment="1" applyProtection="1">
      <alignment vertical="center" wrapText="1"/>
      <protection hidden="1"/>
    </xf>
    <xf numFmtId="2" fontId="10" fillId="4" borderId="0" xfId="16065" applyNumberFormat="1" applyFont="1" applyFill="1" applyAlignment="1" applyProtection="1">
      <alignment horizontal="left"/>
      <protection hidden="1"/>
    </xf>
    <xf numFmtId="2" fontId="10" fillId="2" borderId="0" xfId="16065" applyNumberFormat="1" applyFont="1" applyFill="1" applyProtection="1">
      <protection hidden="1"/>
    </xf>
    <xf numFmtId="0" fontId="45" fillId="4" borderId="0" xfId="6465" applyFont="1" applyFill="1" applyProtection="1">
      <protection hidden="1"/>
    </xf>
    <xf numFmtId="0" fontId="45" fillId="2" borderId="0" xfId="6465" applyFont="1" applyFill="1" applyProtection="1">
      <protection hidden="1"/>
    </xf>
    <xf numFmtId="0" fontId="7" fillId="4" borderId="31" xfId="16065" applyFont="1" applyFill="1" applyBorder="1" applyProtection="1">
      <protection hidden="1"/>
    </xf>
    <xf numFmtId="0" fontId="7" fillId="4" borderId="18" xfId="16065" applyFont="1" applyFill="1" applyBorder="1" applyProtection="1">
      <protection hidden="1"/>
    </xf>
    <xf numFmtId="1" fontId="181" fillId="0" borderId="18" xfId="16065" applyNumberFormat="1" applyFont="1" applyBorder="1" applyAlignment="1" applyProtection="1">
      <alignment horizontal="center"/>
      <protection hidden="1"/>
    </xf>
    <xf numFmtId="0" fontId="143" fillId="4" borderId="18" xfId="6465" applyFont="1" applyFill="1" applyBorder="1" applyAlignment="1" applyProtection="1">
      <alignment horizontal="right"/>
      <protection hidden="1"/>
    </xf>
    <xf numFmtId="0" fontId="211" fillId="4" borderId="29" xfId="6465" applyFont="1" applyFill="1" applyBorder="1" applyAlignment="1" applyProtection="1">
      <alignment vertical="top" wrapText="1"/>
      <protection hidden="1"/>
    </xf>
    <xf numFmtId="0" fontId="7" fillId="2" borderId="0" xfId="16065" applyFont="1" applyFill="1" applyProtection="1">
      <protection hidden="1"/>
    </xf>
    <xf numFmtId="0" fontId="55" fillId="4" borderId="0" xfId="16065" applyFont="1" applyFill="1" applyProtection="1">
      <protection hidden="1"/>
    </xf>
    <xf numFmtId="0" fontId="0" fillId="4" borderId="0" xfId="0" applyFill="1" applyProtection="1">
      <protection hidden="1"/>
    </xf>
    <xf numFmtId="0" fontId="7" fillId="0" borderId="0" xfId="0" applyFont="1" applyAlignment="1" applyProtection="1">
      <alignment horizontal="center"/>
      <protection hidden="1"/>
    </xf>
    <xf numFmtId="0" fontId="7" fillId="0" borderId="18" xfId="6465" applyBorder="1" applyAlignment="1" applyProtection="1">
      <alignment horizontal="center"/>
      <protection hidden="1"/>
    </xf>
    <xf numFmtId="0" fontId="5" fillId="0" borderId="234" xfId="16065" applyFont="1" applyBorder="1" applyAlignment="1" applyProtection="1">
      <alignment horizontal="center"/>
      <protection hidden="1"/>
    </xf>
    <xf numFmtId="0" fontId="7" fillId="0" borderId="0" xfId="6465" applyAlignment="1" applyProtection="1">
      <alignment horizontal="center" vertical="top" wrapText="1"/>
      <protection hidden="1"/>
    </xf>
    <xf numFmtId="0" fontId="7" fillId="0" borderId="18" xfId="6465" applyBorder="1" applyAlignment="1" applyProtection="1">
      <alignment horizontal="center" vertical="top" wrapText="1"/>
      <protection hidden="1"/>
    </xf>
    <xf numFmtId="0" fontId="7" fillId="0" borderId="185" xfId="16065" applyFont="1" applyBorder="1" applyProtection="1">
      <protection hidden="1"/>
    </xf>
    <xf numFmtId="0" fontId="7" fillId="5" borderId="237" xfId="16065" applyFont="1" applyFill="1" applyBorder="1" applyProtection="1">
      <protection locked="0"/>
    </xf>
    <xf numFmtId="1" fontId="7" fillId="5" borderId="237" xfId="16065" applyNumberFormat="1" applyFont="1" applyFill="1" applyBorder="1" applyAlignment="1" applyProtection="1">
      <alignment horizontal="center"/>
      <protection locked="0"/>
    </xf>
    <xf numFmtId="0" fontId="7" fillId="5" borderId="237" xfId="16065" applyFont="1" applyFill="1" applyBorder="1" applyAlignment="1" applyProtection="1">
      <alignment horizontal="center"/>
      <protection locked="0"/>
    </xf>
    <xf numFmtId="0" fontId="7" fillId="0" borderId="186" xfId="6465" applyBorder="1" applyProtection="1">
      <protection hidden="1"/>
    </xf>
    <xf numFmtId="0" fontId="7" fillId="0" borderId="186" xfId="6465" applyBorder="1" applyAlignment="1" applyProtection="1">
      <alignment horizontal="center" vertical="top" wrapText="1"/>
      <protection hidden="1"/>
    </xf>
    <xf numFmtId="0" fontId="7" fillId="0" borderId="218" xfId="16065" applyFont="1" applyBorder="1" applyProtection="1">
      <protection hidden="1"/>
    </xf>
    <xf numFmtId="0" fontId="7" fillId="5" borderId="236" xfId="16065" applyFont="1" applyFill="1" applyBorder="1" applyProtection="1">
      <protection locked="0"/>
    </xf>
    <xf numFmtId="1" fontId="7" fillId="5" borderId="236" xfId="16065" applyNumberFormat="1" applyFont="1" applyFill="1" applyBorder="1" applyAlignment="1" applyProtection="1">
      <alignment horizontal="center"/>
      <protection locked="0"/>
    </xf>
    <xf numFmtId="0" fontId="7" fillId="5" borderId="236" xfId="16065" applyFont="1" applyFill="1" applyBorder="1" applyAlignment="1" applyProtection="1">
      <alignment horizontal="center"/>
      <protection locked="0"/>
    </xf>
    <xf numFmtId="0" fontId="7" fillId="0" borderId="236" xfId="16065" applyFont="1" applyBorder="1" applyAlignment="1" applyProtection="1">
      <alignment horizontal="center"/>
      <protection hidden="1"/>
    </xf>
    <xf numFmtId="0" fontId="7" fillId="0" borderId="234" xfId="6465" applyBorder="1" applyProtection="1">
      <protection hidden="1"/>
    </xf>
    <xf numFmtId="0" fontId="7" fillId="0" borderId="234" xfId="6465" applyBorder="1" applyAlignment="1" applyProtection="1">
      <alignment horizontal="center" vertical="top" wrapText="1"/>
      <protection hidden="1"/>
    </xf>
    <xf numFmtId="0" fontId="7" fillId="5" borderId="236" xfId="17488" applyFill="1" applyBorder="1" applyAlignment="1" applyProtection="1">
      <alignment horizontal="center"/>
      <protection locked="0"/>
    </xf>
    <xf numFmtId="0" fontId="7" fillId="5" borderId="236" xfId="17488" applyFill="1" applyBorder="1" applyProtection="1">
      <protection locked="0"/>
    </xf>
    <xf numFmtId="0" fontId="7" fillId="0" borderId="236" xfId="16065" applyFont="1" applyBorder="1" applyProtection="1">
      <protection hidden="1"/>
    </xf>
    <xf numFmtId="0" fontId="212" fillId="5" borderId="236" xfId="16065" applyFont="1" applyFill="1" applyBorder="1" applyProtection="1">
      <protection locked="0"/>
    </xf>
    <xf numFmtId="0" fontId="212" fillId="5" borderId="236" xfId="17488" applyFont="1" applyFill="1" applyBorder="1" applyProtection="1">
      <protection locked="0"/>
    </xf>
    <xf numFmtId="0" fontId="61" fillId="5" borderId="236" xfId="16065" applyFont="1" applyFill="1" applyBorder="1" applyProtection="1">
      <protection locked="0"/>
    </xf>
    <xf numFmtId="0" fontId="61" fillId="5" borderId="236" xfId="17488" applyFont="1" applyFill="1" applyBorder="1" applyProtection="1">
      <protection locked="0"/>
    </xf>
    <xf numFmtId="0" fontId="12" fillId="4" borderId="0" xfId="0" applyFont="1" applyFill="1" applyAlignment="1" applyProtection="1">
      <alignment vertical="center"/>
      <protection hidden="1"/>
    </xf>
    <xf numFmtId="0" fontId="0" fillId="3" borderId="238" xfId="17414" applyFont="1" applyFill="1" applyBorder="1" applyAlignment="1" applyProtection="1">
      <alignment horizontal="left"/>
      <protection hidden="1"/>
    </xf>
    <xf numFmtId="0" fontId="23" fillId="14" borderId="240" xfId="6465" applyFont="1" applyFill="1" applyBorder="1" applyProtection="1">
      <protection hidden="1"/>
    </xf>
    <xf numFmtId="168" fontId="23" fillId="14" borderId="241" xfId="6465" applyNumberFormat="1" applyFont="1" applyFill="1" applyBorder="1" applyAlignment="1" applyProtection="1">
      <alignment horizontal="left"/>
      <protection hidden="1"/>
    </xf>
    <xf numFmtId="0" fontId="23" fillId="14" borderId="243" xfId="6465" applyFont="1" applyFill="1" applyBorder="1" applyProtection="1">
      <protection hidden="1"/>
    </xf>
    <xf numFmtId="0" fontId="7" fillId="14" borderId="193" xfId="6465" applyFill="1" applyBorder="1" applyProtection="1">
      <protection hidden="1"/>
    </xf>
    <xf numFmtId="0" fontId="7" fillId="14" borderId="194" xfId="6465" applyFill="1" applyBorder="1" applyProtection="1">
      <protection hidden="1"/>
    </xf>
    <xf numFmtId="0" fontId="43" fillId="3" borderId="0" xfId="6465" applyFont="1" applyFill="1" applyAlignment="1" applyProtection="1">
      <alignment horizontal="left"/>
      <protection hidden="1"/>
    </xf>
    <xf numFmtId="0" fontId="7" fillId="3" borderId="0" xfId="6465" applyFill="1" applyAlignment="1" applyProtection="1">
      <alignment vertical="top"/>
      <protection hidden="1"/>
    </xf>
    <xf numFmtId="0" fontId="0" fillId="3" borderId="244" xfId="17414" applyFont="1" applyFill="1" applyBorder="1" applyAlignment="1" applyProtection="1">
      <alignment horizontal="left"/>
      <protection hidden="1"/>
    </xf>
    <xf numFmtId="0" fontId="23" fillId="30" borderId="31" xfId="6465" applyFont="1" applyFill="1" applyBorder="1" applyAlignment="1" applyProtection="1">
      <alignment horizontal="left"/>
      <protection locked="0"/>
    </xf>
    <xf numFmtId="0" fontId="23" fillId="14" borderId="245" xfId="6465" applyFont="1" applyFill="1" applyBorder="1" applyProtection="1">
      <protection hidden="1"/>
    </xf>
    <xf numFmtId="168" fontId="23" fillId="14" borderId="239" xfId="6465" applyNumberFormat="1" applyFont="1" applyFill="1" applyBorder="1" applyAlignment="1" applyProtection="1">
      <alignment horizontal="left"/>
      <protection hidden="1"/>
    </xf>
    <xf numFmtId="168" fontId="23" fillId="14" borderId="246" xfId="6465" applyNumberFormat="1" applyFont="1" applyFill="1" applyBorder="1" applyAlignment="1" applyProtection="1">
      <alignment horizontal="left"/>
      <protection hidden="1"/>
    </xf>
    <xf numFmtId="169" fontId="7" fillId="0" borderId="0" xfId="16065" applyNumberFormat="1" applyFont="1" applyProtection="1">
      <protection hidden="1"/>
    </xf>
    <xf numFmtId="0" fontId="7" fillId="3" borderId="193" xfId="6465" applyFill="1" applyBorder="1" applyProtection="1">
      <protection hidden="1"/>
    </xf>
    <xf numFmtId="0" fontId="7" fillId="3" borderId="242" xfId="6465" applyFill="1" applyBorder="1" applyProtection="1">
      <protection hidden="1"/>
    </xf>
    <xf numFmtId="168" fontId="63" fillId="0" borderId="0" xfId="6465" applyNumberFormat="1" applyFont="1" applyAlignment="1" applyProtection="1">
      <alignment vertical="top" wrapText="1"/>
      <protection hidden="1"/>
    </xf>
    <xf numFmtId="0" fontId="24" fillId="0" borderId="0" xfId="16065" applyFont="1" applyProtection="1">
      <protection hidden="1"/>
    </xf>
    <xf numFmtId="0" fontId="85" fillId="0" borderId="0" xfId="16065" applyFont="1" applyProtection="1">
      <protection hidden="1"/>
    </xf>
    <xf numFmtId="168" fontId="63" fillId="0" borderId="0" xfId="6465" applyNumberFormat="1" applyFont="1" applyAlignment="1" applyProtection="1">
      <alignment horizontal="left"/>
      <protection hidden="1"/>
    </xf>
    <xf numFmtId="1" fontId="104" fillId="0" borderId="0" xfId="6465" applyNumberFormat="1" applyFont="1" applyAlignment="1" applyProtection="1">
      <alignment horizontal="left"/>
      <protection hidden="1"/>
    </xf>
    <xf numFmtId="1" fontId="63" fillId="0" borderId="0" xfId="6465" applyNumberFormat="1" applyFont="1" applyAlignment="1" applyProtection="1">
      <alignment horizontal="left"/>
      <protection hidden="1"/>
    </xf>
    <xf numFmtId="0" fontId="137" fillId="3" borderId="17" xfId="17436" applyFont="1" applyFill="1" applyBorder="1" applyProtection="1">
      <protection hidden="1"/>
    </xf>
    <xf numFmtId="0" fontId="76" fillId="5" borderId="247" xfId="16065" applyFont="1" applyFill="1" applyBorder="1" applyProtection="1">
      <protection locked="0"/>
    </xf>
    <xf numFmtId="0" fontId="89" fillId="12" borderId="188" xfId="16065" applyFont="1" applyFill="1" applyBorder="1" applyAlignment="1" applyProtection="1">
      <alignment horizontal="center"/>
      <protection locked="0"/>
    </xf>
    <xf numFmtId="0" fontId="76" fillId="5" borderId="248" xfId="16065" applyFont="1" applyFill="1" applyBorder="1" applyProtection="1">
      <protection locked="0"/>
    </xf>
    <xf numFmtId="0" fontId="89" fillId="12" borderId="239" xfId="16065" applyFont="1" applyFill="1" applyBorder="1" applyAlignment="1" applyProtection="1">
      <alignment horizontal="center"/>
      <protection locked="0"/>
    </xf>
    <xf numFmtId="0" fontId="76" fillId="5" borderId="248" xfId="0" applyFont="1" applyFill="1" applyBorder="1" applyProtection="1">
      <protection locked="0"/>
    </xf>
    <xf numFmtId="49" fontId="7" fillId="12" borderId="239" xfId="16065" applyNumberFormat="1" applyFont="1" applyFill="1" applyBorder="1" applyAlignment="1" applyProtection="1">
      <alignment horizontal="center"/>
      <protection locked="0"/>
    </xf>
    <xf numFmtId="0" fontId="76" fillId="5" borderId="248" xfId="17488" applyFont="1" applyFill="1" applyBorder="1" applyProtection="1">
      <protection locked="0"/>
    </xf>
    <xf numFmtId="0" fontId="7" fillId="12" borderId="239" xfId="6465" applyFill="1" applyBorder="1" applyProtection="1">
      <protection locked="0"/>
    </xf>
    <xf numFmtId="0" fontId="108" fillId="5" borderId="236" xfId="16065" applyFont="1" applyFill="1" applyBorder="1" applyProtection="1">
      <protection locked="0"/>
    </xf>
    <xf numFmtId="0" fontId="7" fillId="5" borderId="248" xfId="16065" applyFont="1" applyFill="1" applyBorder="1" applyAlignment="1" applyProtection="1">
      <alignment horizontal="center"/>
      <protection locked="0"/>
    </xf>
    <xf numFmtId="0" fontId="7" fillId="12" borderId="78" xfId="6465" applyFill="1" applyBorder="1" applyAlignment="1" applyProtection="1">
      <alignment horizontal="center"/>
      <protection locked="0"/>
    </xf>
    <xf numFmtId="0" fontId="63" fillId="0" borderId="190" xfId="16065" applyFont="1" applyBorder="1" applyAlignment="1" applyProtection="1">
      <alignment horizontal="center"/>
      <protection hidden="1"/>
    </xf>
    <xf numFmtId="0" fontId="7" fillId="12" borderId="78" xfId="0" applyFont="1" applyFill="1" applyBorder="1" applyAlignment="1" applyProtection="1">
      <alignment horizontal="center"/>
      <protection locked="0"/>
    </xf>
    <xf numFmtId="0" fontId="108" fillId="5" borderId="236" xfId="6465" applyFont="1" applyFill="1" applyBorder="1" applyProtection="1">
      <protection locked="0"/>
    </xf>
    <xf numFmtId="1" fontId="7" fillId="5" borderId="236" xfId="6465" applyNumberFormat="1" applyFill="1" applyBorder="1" applyAlignment="1" applyProtection="1">
      <alignment horizontal="center"/>
      <protection locked="0"/>
    </xf>
    <xf numFmtId="0" fontId="7" fillId="5" borderId="236" xfId="6465" applyFill="1" applyBorder="1" applyAlignment="1" applyProtection="1">
      <alignment horizontal="center"/>
      <protection locked="0"/>
    </xf>
    <xf numFmtId="1" fontId="7" fillId="5" borderId="248" xfId="6465" applyNumberFormat="1" applyFill="1" applyBorder="1" applyAlignment="1" applyProtection="1">
      <alignment horizontal="center"/>
      <protection locked="0"/>
    </xf>
    <xf numFmtId="0" fontId="108" fillId="5" borderId="248" xfId="6465" applyFont="1" applyFill="1" applyBorder="1" applyProtection="1">
      <protection locked="0"/>
    </xf>
    <xf numFmtId="0" fontId="7" fillId="12" borderId="78" xfId="0" applyFont="1" applyFill="1" applyBorder="1" applyAlignment="1" applyProtection="1">
      <alignment horizontal="left"/>
      <protection locked="0"/>
    </xf>
    <xf numFmtId="0" fontId="108" fillId="5" borderId="248" xfId="16065" applyFont="1" applyFill="1" applyBorder="1" applyProtection="1">
      <protection locked="0"/>
    </xf>
    <xf numFmtId="0" fontId="108" fillId="5" borderId="248" xfId="17488" applyFont="1" applyFill="1" applyBorder="1" applyProtection="1">
      <protection locked="0"/>
    </xf>
    <xf numFmtId="1" fontId="7" fillId="5" borderId="248" xfId="16065" applyNumberFormat="1" applyFont="1" applyFill="1" applyBorder="1" applyAlignment="1" applyProtection="1">
      <alignment horizontal="center"/>
      <protection locked="0"/>
    </xf>
    <xf numFmtId="0" fontId="7" fillId="5" borderId="248" xfId="6465" applyFill="1" applyBorder="1" applyAlignment="1" applyProtection="1">
      <alignment horizontal="center"/>
      <protection locked="0"/>
    </xf>
    <xf numFmtId="0" fontId="7" fillId="12" borderId="78" xfId="0" applyFont="1" applyFill="1" applyBorder="1" applyProtection="1">
      <protection locked="0"/>
    </xf>
    <xf numFmtId="0" fontId="108" fillId="2" borderId="249" xfId="16065" applyFont="1" applyFill="1" applyBorder="1" applyAlignment="1" applyProtection="1">
      <alignment horizontal="left"/>
      <protection hidden="1"/>
    </xf>
    <xf numFmtId="1" fontId="7" fillId="2" borderId="249" xfId="16065" applyNumberFormat="1" applyFont="1" applyFill="1" applyBorder="1" applyAlignment="1" applyProtection="1">
      <alignment horizontal="center"/>
      <protection hidden="1"/>
    </xf>
    <xf numFmtId="0" fontId="7" fillId="2" borderId="249" xfId="6465" applyFill="1" applyBorder="1" applyAlignment="1" applyProtection="1">
      <alignment horizontal="center"/>
      <protection hidden="1"/>
    </xf>
    <xf numFmtId="0" fontId="7" fillId="2" borderId="250" xfId="16065" applyFont="1" applyFill="1" applyBorder="1" applyAlignment="1" applyProtection="1">
      <alignment horizontal="center"/>
      <protection hidden="1"/>
    </xf>
    <xf numFmtId="0" fontId="0" fillId="0" borderId="30" xfId="0" applyBorder="1" applyProtection="1">
      <protection hidden="1"/>
    </xf>
    <xf numFmtId="0" fontId="0" fillId="0" borderId="29" xfId="0" applyBorder="1" applyProtection="1">
      <protection hidden="1"/>
    </xf>
    <xf numFmtId="0" fontId="5" fillId="0" borderId="252" xfId="16065" applyFont="1" applyBorder="1" applyAlignment="1" applyProtection="1">
      <alignment horizontal="center"/>
      <protection hidden="1"/>
    </xf>
    <xf numFmtId="0" fontId="7" fillId="0" borderId="29" xfId="16065" applyFont="1" applyBorder="1" applyAlignment="1" applyProtection="1">
      <alignment horizontal="center"/>
      <protection hidden="1"/>
    </xf>
    <xf numFmtId="0" fontId="89" fillId="0" borderId="31" xfId="16065" applyFont="1" applyBorder="1" applyAlignment="1" applyProtection="1">
      <alignment horizontal="center"/>
      <protection hidden="1"/>
    </xf>
    <xf numFmtId="0" fontId="0" fillId="0" borderId="253" xfId="0" applyBorder="1" applyProtection="1">
      <protection hidden="1"/>
    </xf>
    <xf numFmtId="0" fontId="0" fillId="0" borderId="234" xfId="0" applyBorder="1" applyProtection="1">
      <protection hidden="1"/>
    </xf>
    <xf numFmtId="0" fontId="5" fillId="0" borderId="236" xfId="0" applyFont="1" applyBorder="1" applyAlignment="1" applyProtection="1">
      <alignment horizontal="center"/>
      <protection hidden="1"/>
    </xf>
    <xf numFmtId="0" fontId="7" fillId="0" borderId="236" xfId="0" applyFont="1" applyBorder="1" applyAlignment="1" applyProtection="1">
      <alignment horizontal="center"/>
      <protection hidden="1"/>
    </xf>
    <xf numFmtId="0" fontId="7" fillId="0" borderId="239" xfId="0" applyFont="1" applyBorder="1" applyProtection="1">
      <protection hidden="1"/>
    </xf>
    <xf numFmtId="0" fontId="0" fillId="0" borderId="236" xfId="16065" applyFont="1" applyBorder="1" applyAlignment="1" applyProtection="1">
      <alignment horizontal="center"/>
      <protection hidden="1"/>
    </xf>
    <xf numFmtId="0" fontId="0" fillId="0" borderId="253" xfId="16065" applyFont="1" applyBorder="1" applyProtection="1">
      <protection hidden="1"/>
    </xf>
    <xf numFmtId="0" fontId="7" fillId="0" borderId="253" xfId="6465" applyBorder="1" applyProtection="1">
      <protection hidden="1"/>
    </xf>
    <xf numFmtId="0" fontId="7" fillId="0" borderId="253" xfId="0" applyFont="1" applyBorder="1" applyProtection="1">
      <protection hidden="1"/>
    </xf>
    <xf numFmtId="0" fontId="7" fillId="3" borderId="255" xfId="0" applyFont="1" applyFill="1" applyBorder="1" applyProtection="1">
      <protection hidden="1"/>
    </xf>
    <xf numFmtId="0" fontId="7" fillId="0" borderId="236" xfId="6465" applyBorder="1" applyProtection="1">
      <protection hidden="1"/>
    </xf>
    <xf numFmtId="0" fontId="7" fillId="0" borderId="248" xfId="6465" applyBorder="1" applyProtection="1">
      <protection hidden="1"/>
    </xf>
    <xf numFmtId="0" fontId="7" fillId="3" borderId="248" xfId="6465" applyFill="1" applyBorder="1" applyProtection="1">
      <protection hidden="1"/>
    </xf>
    <xf numFmtId="0" fontId="7" fillId="0" borderId="256" xfId="0" applyFont="1" applyBorder="1" applyProtection="1">
      <protection hidden="1"/>
    </xf>
    <xf numFmtId="0" fontId="7" fillId="3" borderId="258" xfId="0" applyFont="1" applyFill="1" applyBorder="1" applyProtection="1">
      <protection hidden="1"/>
    </xf>
    <xf numFmtId="0" fontId="7" fillId="0" borderId="192" xfId="0" applyFont="1" applyBorder="1" applyProtection="1">
      <protection hidden="1"/>
    </xf>
    <xf numFmtId="0" fontId="7" fillId="0" borderId="27" xfId="0" applyFont="1" applyBorder="1" applyProtection="1">
      <protection hidden="1"/>
    </xf>
    <xf numFmtId="0" fontId="7" fillId="0" borderId="17" xfId="0" applyFont="1" applyBorder="1" applyProtection="1">
      <protection hidden="1"/>
    </xf>
    <xf numFmtId="0" fontId="7" fillId="0" borderId="28" xfId="0" applyFont="1" applyBorder="1" applyProtection="1">
      <protection hidden="1"/>
    </xf>
    <xf numFmtId="168" fontId="7" fillId="3" borderId="204" xfId="6465" applyNumberFormat="1" applyFill="1" applyBorder="1" applyAlignment="1" applyProtection="1">
      <alignment horizontal="center"/>
      <protection hidden="1"/>
    </xf>
    <xf numFmtId="0" fontId="29" fillId="4" borderId="0" xfId="4660" applyFont="1" applyFill="1" applyProtection="1">
      <protection hidden="1"/>
    </xf>
    <xf numFmtId="0" fontId="63" fillId="4" borderId="0" xfId="16065" applyFont="1" applyFill="1" applyProtection="1">
      <protection hidden="1"/>
    </xf>
    <xf numFmtId="0" fontId="95" fillId="14" borderId="0" xfId="17451" applyFont="1" applyFill="1" applyAlignment="1" applyProtection="1">
      <alignment horizontal="center"/>
      <protection hidden="1"/>
    </xf>
    <xf numFmtId="0" fontId="25" fillId="4" borderId="0" xfId="69" applyFont="1" applyFill="1" applyAlignment="1" applyProtection="1">
      <alignment horizontal="left"/>
      <protection hidden="1"/>
    </xf>
    <xf numFmtId="0" fontId="63" fillId="4" borderId="0" xfId="6465" applyFont="1" applyFill="1" applyAlignment="1" applyProtection="1">
      <alignment horizontal="center"/>
      <protection hidden="1"/>
    </xf>
    <xf numFmtId="0" fontId="7" fillId="4" borderId="0" xfId="69" applyFont="1" applyFill="1" applyAlignment="1" applyProtection="1">
      <alignment vertical="center" wrapText="1"/>
      <protection hidden="1"/>
    </xf>
    <xf numFmtId="0" fontId="23" fillId="2" borderId="104" xfId="6465" applyFont="1" applyFill="1" applyBorder="1" applyProtection="1">
      <protection hidden="1"/>
    </xf>
    <xf numFmtId="0" fontId="121" fillId="5" borderId="104" xfId="6465" applyFont="1" applyFill="1" applyBorder="1" applyAlignment="1" applyProtection="1">
      <alignment horizontal="center"/>
      <protection locked="0"/>
    </xf>
    <xf numFmtId="0" fontId="121" fillId="5" borderId="171" xfId="6465" applyFont="1" applyFill="1" applyBorder="1" applyAlignment="1" applyProtection="1">
      <alignment horizontal="center"/>
      <protection locked="0"/>
    </xf>
    <xf numFmtId="0" fontId="121" fillId="5" borderId="259" xfId="6465" applyFont="1" applyFill="1" applyBorder="1" applyAlignment="1" applyProtection="1">
      <alignment horizontal="center"/>
      <protection locked="0"/>
    </xf>
    <xf numFmtId="0" fontId="7" fillId="2" borderId="143" xfId="6465" applyFill="1" applyBorder="1" applyProtection="1">
      <protection hidden="1"/>
    </xf>
    <xf numFmtId="0" fontId="61" fillId="5" borderId="143" xfId="6465" applyFont="1" applyFill="1" applyBorder="1" applyAlignment="1" applyProtection="1">
      <alignment horizontal="center"/>
      <protection locked="0"/>
    </xf>
    <xf numFmtId="0" fontId="61" fillId="5" borderId="261" xfId="6465" applyFont="1" applyFill="1" applyBorder="1" applyAlignment="1" applyProtection="1">
      <alignment horizontal="center"/>
      <protection locked="0"/>
    </xf>
    <xf numFmtId="0" fontId="61" fillId="5" borderId="262" xfId="6465" applyFont="1" applyFill="1" applyBorder="1" applyAlignment="1" applyProtection="1">
      <alignment horizontal="center"/>
      <protection locked="0"/>
    </xf>
    <xf numFmtId="0" fontId="7" fillId="2" borderId="104" xfId="6465" applyFill="1" applyBorder="1" applyProtection="1">
      <protection hidden="1"/>
    </xf>
    <xf numFmtId="0" fontId="61" fillId="5" borderId="104" xfId="6465" applyFont="1" applyFill="1" applyBorder="1" applyAlignment="1" applyProtection="1">
      <alignment horizontal="center"/>
      <protection locked="0"/>
    </xf>
    <xf numFmtId="0" fontId="61" fillId="5" borderId="171" xfId="6465" applyFont="1" applyFill="1" applyBorder="1" applyAlignment="1" applyProtection="1">
      <alignment horizontal="center"/>
      <protection locked="0"/>
    </xf>
    <xf numFmtId="0" fontId="61" fillId="5" borderId="259" xfId="6465" applyFont="1" applyFill="1" applyBorder="1" applyAlignment="1" applyProtection="1">
      <alignment horizontal="center"/>
      <protection locked="0"/>
    </xf>
    <xf numFmtId="0" fontId="61" fillId="5" borderId="260" xfId="6465" applyFont="1" applyFill="1" applyBorder="1" applyAlignment="1" applyProtection="1">
      <alignment horizontal="center"/>
      <protection locked="0"/>
    </xf>
    <xf numFmtId="0" fontId="7" fillId="2" borderId="0" xfId="6465" applyFill="1" applyAlignment="1" applyProtection="1">
      <alignment vertical="center"/>
      <protection hidden="1"/>
    </xf>
    <xf numFmtId="0" fontId="61" fillId="13" borderId="263" xfId="16065" applyFont="1" applyFill="1" applyBorder="1" applyAlignment="1" applyProtection="1">
      <alignment horizontal="center"/>
      <protection locked="0"/>
    </xf>
    <xf numFmtId="168" fontId="61" fillId="5" borderId="30" xfId="6465" applyNumberFormat="1" applyFont="1" applyFill="1" applyBorder="1" applyAlignment="1" applyProtection="1">
      <alignment horizontal="center"/>
      <protection locked="0"/>
    </xf>
    <xf numFmtId="168" fontId="23" fillId="2" borderId="264" xfId="6465" applyNumberFormat="1" applyFont="1" applyFill="1" applyBorder="1" applyAlignment="1" applyProtection="1">
      <alignment horizontal="center"/>
      <protection hidden="1"/>
    </xf>
    <xf numFmtId="1" fontId="46" fillId="2" borderId="0" xfId="6465" applyNumberFormat="1" applyFont="1" applyFill="1" applyProtection="1">
      <protection hidden="1"/>
    </xf>
    <xf numFmtId="0" fontId="156" fillId="3" borderId="61" xfId="4660" applyFont="1" applyFill="1" applyBorder="1" applyAlignment="1" applyProtection="1">
      <alignment horizontal="left"/>
      <protection hidden="1"/>
    </xf>
    <xf numFmtId="168" fontId="23" fillId="2" borderId="61" xfId="6465" applyNumberFormat="1" applyFont="1" applyFill="1" applyBorder="1" applyAlignment="1" applyProtection="1">
      <alignment horizontal="center"/>
      <protection hidden="1"/>
    </xf>
    <xf numFmtId="168" fontId="23" fillId="2" borderId="15" xfId="6465" applyNumberFormat="1" applyFont="1" applyFill="1" applyBorder="1" applyAlignment="1" applyProtection="1">
      <alignment horizontal="center"/>
      <protection hidden="1"/>
    </xf>
    <xf numFmtId="168" fontId="23" fillId="2" borderId="265" xfId="6465" applyNumberFormat="1" applyFont="1" applyFill="1" applyBorder="1" applyAlignment="1" applyProtection="1">
      <alignment horizontal="center"/>
      <protection hidden="1"/>
    </xf>
    <xf numFmtId="0" fontId="7" fillId="2" borderId="0" xfId="4660" applyFont="1" applyFill="1" applyProtection="1">
      <protection hidden="1"/>
    </xf>
    <xf numFmtId="0" fontId="25" fillId="0" borderId="60" xfId="69" applyFont="1" applyBorder="1" applyAlignment="1" applyProtection="1">
      <protection hidden="1"/>
    </xf>
    <xf numFmtId="0" fontId="7" fillId="3" borderId="0" xfId="4660" applyFont="1" applyFill="1" applyProtection="1">
      <protection hidden="1"/>
    </xf>
    <xf numFmtId="0" fontId="216" fillId="2" borderId="0" xfId="6465" applyFont="1" applyFill="1" applyAlignment="1" applyProtection="1">
      <alignment vertical="top"/>
      <protection hidden="1"/>
    </xf>
    <xf numFmtId="168" fontId="218" fillId="4" borderId="262" xfId="4660" applyNumberFormat="1" applyFont="1" applyFill="1" applyBorder="1" applyAlignment="1" applyProtection="1">
      <alignment horizontal="center"/>
      <protection hidden="1"/>
    </xf>
    <xf numFmtId="168" fontId="218" fillId="4" borderId="260" xfId="4660" applyNumberFormat="1" applyFont="1" applyFill="1" applyBorder="1" applyAlignment="1" applyProtection="1">
      <alignment horizontal="center"/>
      <protection hidden="1"/>
    </xf>
    <xf numFmtId="2" fontId="218" fillId="4" borderId="259" xfId="4660" applyNumberFormat="1" applyFont="1" applyFill="1" applyBorder="1" applyAlignment="1" applyProtection="1">
      <alignment horizontal="center"/>
      <protection hidden="1"/>
    </xf>
    <xf numFmtId="0" fontId="102" fillId="0" borderId="143" xfId="69" applyFont="1" applyBorder="1" applyAlignment="1" applyProtection="1">
      <alignment horizontal="left"/>
      <protection hidden="1"/>
    </xf>
    <xf numFmtId="0" fontId="17" fillId="5" borderId="27" xfId="6465" applyFont="1" applyFill="1" applyBorder="1" applyAlignment="1" applyProtection="1">
      <alignment horizontal="center"/>
      <protection locked="0"/>
    </xf>
    <xf numFmtId="0" fontId="17" fillId="5" borderId="264" xfId="6465" applyFont="1" applyFill="1" applyBorder="1" applyAlignment="1" applyProtection="1">
      <alignment horizontal="center"/>
      <protection locked="0"/>
    </xf>
    <xf numFmtId="0" fontId="106" fillId="3" borderId="268" xfId="4660" applyFont="1" applyFill="1" applyBorder="1" applyAlignment="1" applyProtection="1">
      <alignment horizontal="center"/>
      <protection hidden="1"/>
    </xf>
    <xf numFmtId="0" fontId="106" fillId="3" borderId="269" xfId="4660" applyFont="1" applyFill="1" applyBorder="1" applyAlignment="1" applyProtection="1">
      <alignment horizontal="center"/>
      <protection hidden="1"/>
    </xf>
    <xf numFmtId="0" fontId="106" fillId="3" borderId="270" xfId="4660" applyFont="1" applyFill="1" applyBorder="1" applyAlignment="1" applyProtection="1">
      <alignment horizontal="center"/>
      <protection hidden="1"/>
    </xf>
    <xf numFmtId="168" fontId="61" fillId="4" borderId="260" xfId="6465" applyNumberFormat="1" applyFont="1" applyFill="1" applyBorder="1" applyAlignment="1" applyProtection="1">
      <alignment horizontal="center"/>
      <protection hidden="1"/>
    </xf>
    <xf numFmtId="2" fontId="121" fillId="4" borderId="260" xfId="6465" applyNumberFormat="1" applyFont="1" applyFill="1" applyBorder="1" applyAlignment="1" applyProtection="1">
      <alignment horizontal="center"/>
      <protection hidden="1"/>
    </xf>
    <xf numFmtId="1" fontId="104" fillId="4" borderId="260" xfId="4660" applyNumberFormat="1" applyFont="1" applyFill="1" applyBorder="1" applyAlignment="1" applyProtection="1">
      <alignment horizontal="center"/>
      <protection hidden="1"/>
    </xf>
    <xf numFmtId="1" fontId="104" fillId="4" borderId="104" xfId="4660" applyNumberFormat="1" applyFont="1" applyFill="1" applyBorder="1" applyAlignment="1" applyProtection="1">
      <alignment horizontal="center"/>
      <protection hidden="1"/>
    </xf>
    <xf numFmtId="1" fontId="104" fillId="4" borderId="171" xfId="4660" applyNumberFormat="1" applyFont="1" applyFill="1" applyBorder="1" applyAlignment="1" applyProtection="1">
      <alignment horizontal="center"/>
      <protection hidden="1"/>
    </xf>
    <xf numFmtId="1" fontId="104" fillId="4" borderId="259" xfId="4660" applyNumberFormat="1" applyFont="1" applyFill="1" applyBorder="1" applyAlignment="1" applyProtection="1">
      <alignment horizontal="center"/>
      <protection hidden="1"/>
    </xf>
    <xf numFmtId="1" fontId="190" fillId="4" borderId="260" xfId="4660" applyNumberFormat="1" applyFont="1" applyFill="1" applyBorder="1" applyAlignment="1" applyProtection="1">
      <alignment horizontal="center"/>
      <protection hidden="1"/>
    </xf>
    <xf numFmtId="0" fontId="219" fillId="2" borderId="0" xfId="6465" applyFont="1" applyFill="1" applyAlignment="1" applyProtection="1">
      <alignment wrapText="1"/>
      <protection hidden="1"/>
    </xf>
    <xf numFmtId="168" fontId="104" fillId="4" borderId="260" xfId="4660" applyNumberFormat="1" applyFont="1" applyFill="1" applyBorder="1" applyAlignment="1" applyProtection="1">
      <alignment horizontal="center"/>
      <protection hidden="1"/>
    </xf>
    <xf numFmtId="0" fontId="25" fillId="2" borderId="0" xfId="69" applyFont="1" applyFill="1" applyAlignment="1" applyProtection="1">
      <protection hidden="1"/>
    </xf>
    <xf numFmtId="168" fontId="104" fillId="4" borderId="27" xfId="6465" applyNumberFormat="1" applyFont="1" applyFill="1" applyBorder="1" applyAlignment="1" applyProtection="1">
      <alignment horizontal="center" wrapText="1"/>
      <protection hidden="1"/>
    </xf>
    <xf numFmtId="168" fontId="104" fillId="4" borderId="264" xfId="6465" applyNumberFormat="1" applyFont="1" applyFill="1" applyBorder="1" applyAlignment="1" applyProtection="1">
      <alignment horizontal="center" wrapText="1"/>
      <protection hidden="1"/>
    </xf>
    <xf numFmtId="0" fontId="17" fillId="4" borderId="0" xfId="16065" applyFont="1" applyFill="1" applyAlignment="1" applyProtection="1">
      <alignment horizontal="left"/>
      <protection hidden="1"/>
    </xf>
    <xf numFmtId="0" fontId="220" fillId="4" borderId="0" xfId="16065" applyFont="1" applyFill="1" applyAlignment="1" applyProtection="1">
      <alignment horizontal="left"/>
      <protection hidden="1"/>
    </xf>
    <xf numFmtId="0" fontId="74" fillId="4" borderId="0" xfId="16065" applyFont="1" applyFill="1" applyProtection="1">
      <protection hidden="1"/>
    </xf>
    <xf numFmtId="0" fontId="17" fillId="4" borderId="31" xfId="16065" applyFont="1" applyFill="1" applyBorder="1" applyAlignment="1" applyProtection="1">
      <alignment horizontal="center" wrapText="1"/>
      <protection hidden="1"/>
    </xf>
    <xf numFmtId="0" fontId="17" fillId="4" borderId="28" xfId="16065" applyFont="1" applyFill="1" applyBorder="1" applyAlignment="1" applyProtection="1">
      <alignment horizontal="center"/>
      <protection hidden="1"/>
    </xf>
    <xf numFmtId="0" fontId="7" fillId="12" borderId="30" xfId="4660" applyFont="1" applyFill="1" applyBorder="1" applyAlignment="1" applyProtection="1">
      <alignment horizontal="left"/>
      <protection locked="0"/>
    </xf>
    <xf numFmtId="0" fontId="74" fillId="4" borderId="0" xfId="6465" applyFont="1" applyFill="1" applyAlignment="1" applyProtection="1">
      <alignment horizontal="right"/>
      <protection hidden="1"/>
    </xf>
    <xf numFmtId="2" fontId="0" fillId="4" borderId="0" xfId="6465" applyNumberFormat="1" applyFont="1" applyFill="1" applyProtection="1">
      <protection hidden="1"/>
    </xf>
    <xf numFmtId="2" fontId="7" fillId="4" borderId="0" xfId="6465" applyNumberFormat="1" applyFill="1" applyAlignment="1" applyProtection="1">
      <alignment horizontal="center"/>
      <protection hidden="1"/>
    </xf>
    <xf numFmtId="0" fontId="222" fillId="4" borderId="0" xfId="4660" applyFont="1" applyFill="1" applyAlignment="1" applyProtection="1">
      <alignment vertical="center"/>
      <protection hidden="1"/>
    </xf>
    <xf numFmtId="0" fontId="7" fillId="4" borderId="0" xfId="4660" applyFont="1" applyFill="1" applyAlignment="1" applyProtection="1">
      <alignment horizontal="left"/>
      <protection hidden="1"/>
    </xf>
    <xf numFmtId="0" fontId="25" fillId="2" borderId="0" xfId="69" applyFont="1" applyFill="1" applyAlignment="1" applyProtection="1">
      <alignment vertical="center" wrapText="1"/>
      <protection hidden="1"/>
    </xf>
    <xf numFmtId="0" fontId="7" fillId="4" borderId="0" xfId="4660" applyFont="1" applyFill="1" applyProtection="1">
      <protection hidden="1"/>
    </xf>
    <xf numFmtId="0" fontId="12" fillId="3" borderId="0" xfId="6465" applyFont="1" applyFill="1" applyAlignment="1" applyProtection="1">
      <alignment vertical="center"/>
      <protection hidden="1"/>
    </xf>
    <xf numFmtId="0" fontId="0" fillId="3" borderId="17" xfId="4660" applyFont="1" applyFill="1" applyBorder="1" applyProtection="1">
      <protection hidden="1"/>
    </xf>
    <xf numFmtId="0" fontId="12" fillId="3" borderId="17" xfId="6465" applyFont="1" applyFill="1" applyBorder="1" applyAlignment="1" applyProtection="1">
      <alignment vertical="center"/>
      <protection hidden="1"/>
    </xf>
    <xf numFmtId="0" fontId="7" fillId="4" borderId="0" xfId="4660" applyFont="1" applyFill="1" applyAlignment="1" applyProtection="1">
      <alignment horizontal="center" wrapText="1"/>
      <protection hidden="1"/>
    </xf>
    <xf numFmtId="0" fontId="61" fillId="4" borderId="0" xfId="4660" applyFont="1" applyFill="1" applyAlignment="1" applyProtection="1">
      <alignment horizontal="center" wrapText="1"/>
      <protection hidden="1"/>
    </xf>
    <xf numFmtId="0" fontId="223" fillId="3" borderId="0" xfId="4660" applyFont="1" applyFill="1" applyProtection="1">
      <protection hidden="1"/>
    </xf>
    <xf numFmtId="0" fontId="223" fillId="3" borderId="79" xfId="4660" applyFont="1" applyFill="1" applyBorder="1" applyAlignment="1" applyProtection="1">
      <alignment horizontal="center" wrapText="1"/>
      <protection hidden="1"/>
    </xf>
    <xf numFmtId="0" fontId="223" fillId="3" borderId="0" xfId="4660" applyFont="1" applyFill="1" applyAlignment="1" applyProtection="1">
      <alignment horizontal="center" wrapText="1"/>
      <protection hidden="1"/>
    </xf>
    <xf numFmtId="1" fontId="0" fillId="3" borderId="0" xfId="4660" applyNumberFormat="1" applyFont="1" applyFill="1" applyProtection="1">
      <protection hidden="1"/>
    </xf>
    <xf numFmtId="0" fontId="52" fillId="3" borderId="0" xfId="6465" applyFont="1" applyFill="1" applyProtection="1">
      <protection hidden="1"/>
    </xf>
    <xf numFmtId="0" fontId="0" fillId="3" borderId="79" xfId="6465" applyFont="1" applyFill="1" applyBorder="1" applyProtection="1">
      <protection hidden="1"/>
    </xf>
    <xf numFmtId="0" fontId="7" fillId="3" borderId="50" xfId="6465" applyFill="1" applyBorder="1" applyAlignment="1" applyProtection="1">
      <alignment vertical="center" wrapText="1"/>
      <protection hidden="1"/>
    </xf>
    <xf numFmtId="0" fontId="0" fillId="0" borderId="79" xfId="6465" applyFont="1" applyBorder="1" applyProtection="1">
      <protection hidden="1"/>
    </xf>
    <xf numFmtId="0" fontId="224" fillId="3" borderId="79" xfId="6465" applyFont="1" applyFill="1" applyBorder="1" applyAlignment="1" applyProtection="1">
      <alignment vertical="top" wrapText="1"/>
      <protection hidden="1"/>
    </xf>
    <xf numFmtId="0" fontId="224" fillId="3" borderId="0" xfId="6465" applyFont="1" applyFill="1" applyAlignment="1" applyProtection="1">
      <alignment vertical="top" wrapText="1"/>
      <protection hidden="1"/>
    </xf>
    <xf numFmtId="0" fontId="104" fillId="2" borderId="79" xfId="6465" applyFont="1" applyFill="1" applyBorder="1" applyAlignment="1" applyProtection="1">
      <alignment vertical="center" wrapText="1"/>
      <protection hidden="1"/>
    </xf>
    <xf numFmtId="1" fontId="58" fillId="3" borderId="0" xfId="4660" applyNumberFormat="1" applyFont="1" applyFill="1" applyAlignment="1" applyProtection="1">
      <alignment horizontal="left" wrapText="1"/>
      <protection hidden="1"/>
    </xf>
    <xf numFmtId="0" fontId="58" fillId="3" borderId="0" xfId="4660" applyFont="1" applyFill="1" applyAlignment="1" applyProtection="1">
      <alignment horizontal="left" wrapText="1"/>
      <protection hidden="1"/>
    </xf>
    <xf numFmtId="0" fontId="104" fillId="2" borderId="0" xfId="6465" applyFont="1" applyFill="1" applyAlignment="1" applyProtection="1">
      <alignment vertical="center"/>
      <protection hidden="1"/>
    </xf>
    <xf numFmtId="0" fontId="0" fillId="3" borderId="0" xfId="4660" applyFont="1" applyFill="1" applyAlignment="1" applyProtection="1">
      <alignment wrapText="1"/>
      <protection hidden="1"/>
    </xf>
    <xf numFmtId="0" fontId="7" fillId="2" borderId="79" xfId="6465" applyFill="1" applyBorder="1" applyAlignment="1" applyProtection="1">
      <alignment vertical="top" wrapText="1"/>
      <protection hidden="1"/>
    </xf>
    <xf numFmtId="0" fontId="0" fillId="3" borderId="158" xfId="4660" applyFont="1" applyFill="1" applyBorder="1" applyProtection="1">
      <protection hidden="1"/>
    </xf>
    <xf numFmtId="0" fontId="0" fillId="3" borderId="39" xfId="4660" applyFont="1" applyFill="1" applyBorder="1" applyProtection="1">
      <protection hidden="1"/>
    </xf>
    <xf numFmtId="0" fontId="7" fillId="3" borderId="0" xfId="4660" applyFont="1" applyFill="1" applyAlignment="1" applyProtection="1">
      <alignment vertical="center" wrapText="1"/>
      <protection hidden="1"/>
    </xf>
    <xf numFmtId="0" fontId="7" fillId="18" borderId="30" xfId="4660" applyFont="1" applyFill="1" applyBorder="1" applyProtection="1">
      <protection locked="0"/>
    </xf>
    <xf numFmtId="0" fontId="225" fillId="4" borderId="0" xfId="4660" applyFont="1" applyFill="1" applyAlignment="1" applyProtection="1">
      <alignment horizontal="center"/>
      <protection hidden="1"/>
    </xf>
    <xf numFmtId="172" fontId="12" fillId="3" borderId="0" xfId="4660" applyNumberFormat="1" applyFont="1" applyFill="1" applyProtection="1">
      <protection hidden="1"/>
    </xf>
    <xf numFmtId="0" fontId="23" fillId="27" borderId="0" xfId="17437" applyFont="1" applyFill="1" applyAlignment="1" applyProtection="1">
      <alignment horizontal="left"/>
      <protection hidden="1"/>
    </xf>
    <xf numFmtId="0" fontId="5" fillId="3" borderId="0" xfId="6465" applyFont="1" applyFill="1" applyAlignment="1" applyProtection="1">
      <alignment vertical="center"/>
      <protection hidden="1"/>
    </xf>
    <xf numFmtId="0" fontId="226" fillId="3" borderId="0" xfId="6465" applyFont="1" applyFill="1" applyAlignment="1" applyProtection="1">
      <alignment vertical="center"/>
      <protection hidden="1"/>
    </xf>
    <xf numFmtId="0" fontId="58" fillId="4" borderId="0" xfId="6465" applyFont="1" applyFill="1" applyAlignment="1" applyProtection="1">
      <alignment horizontal="right"/>
      <protection hidden="1"/>
    </xf>
    <xf numFmtId="168" fontId="58" fillId="2" borderId="0" xfId="4660" applyNumberFormat="1" applyFont="1" applyFill="1" applyAlignment="1" applyProtection="1">
      <alignment horizontal="left"/>
      <protection hidden="1"/>
    </xf>
    <xf numFmtId="0" fontId="92" fillId="4" borderId="0" xfId="4660" applyFont="1" applyFill="1" applyAlignment="1" applyProtection="1">
      <alignment horizontal="center" wrapText="1"/>
      <protection hidden="1"/>
    </xf>
    <xf numFmtId="0" fontId="223" fillId="3" borderId="273" xfId="4660" applyFont="1" applyFill="1" applyBorder="1" applyAlignment="1" applyProtection="1">
      <alignment horizontal="center" wrapText="1"/>
      <protection hidden="1"/>
    </xf>
    <xf numFmtId="0" fontId="7" fillId="2" borderId="273" xfId="6465" applyFill="1" applyBorder="1" applyAlignment="1" applyProtection="1">
      <alignment wrapText="1"/>
      <protection hidden="1"/>
    </xf>
    <xf numFmtId="0" fontId="227" fillId="3" borderId="0" xfId="6465" applyFont="1" applyFill="1" applyAlignment="1" applyProtection="1">
      <alignment vertical="top" wrapText="1"/>
      <protection hidden="1"/>
    </xf>
    <xf numFmtId="0" fontId="23" fillId="3" borderId="0" xfId="6465" applyFont="1" applyFill="1" applyAlignment="1" applyProtection="1">
      <alignment horizontal="left"/>
      <protection hidden="1"/>
    </xf>
    <xf numFmtId="0" fontId="23" fillId="3" borderId="18" xfId="6465" applyFont="1" applyFill="1" applyBorder="1" applyAlignment="1" applyProtection="1">
      <alignment horizontal="left"/>
      <protection hidden="1"/>
    </xf>
    <xf numFmtId="0" fontId="7" fillId="5" borderId="61" xfId="6465" applyFill="1" applyBorder="1" applyAlignment="1" applyProtection="1">
      <alignment horizontal="center" wrapText="1"/>
      <protection locked="0"/>
    </xf>
    <xf numFmtId="0" fontId="23" fillId="2" borderId="273" xfId="6465" applyFont="1" applyFill="1" applyBorder="1" applyAlignment="1" applyProtection="1">
      <alignment vertical="top" wrapText="1"/>
      <protection hidden="1"/>
    </xf>
    <xf numFmtId="168" fontId="23" fillId="2" borderId="0" xfId="6465" applyNumberFormat="1" applyFont="1" applyFill="1" applyProtection="1">
      <protection hidden="1"/>
    </xf>
    <xf numFmtId="168" fontId="23" fillId="2" borderId="273" xfId="6465" applyNumberFormat="1" applyFont="1" applyFill="1" applyBorder="1" applyProtection="1">
      <protection hidden="1"/>
    </xf>
    <xf numFmtId="0" fontId="0" fillId="3" borderId="274" xfId="4660" applyFont="1" applyFill="1" applyBorder="1" applyProtection="1">
      <protection hidden="1"/>
    </xf>
    <xf numFmtId="0" fontId="3" fillId="4" borderId="0" xfId="4660" applyFont="1" applyFill="1" applyAlignment="1" applyProtection="1">
      <alignment horizontal="right"/>
      <protection hidden="1"/>
    </xf>
    <xf numFmtId="0" fontId="7" fillId="0" borderId="0" xfId="4660" applyFont="1" applyAlignment="1" applyProtection="1">
      <alignment horizontal="center"/>
      <protection hidden="1"/>
    </xf>
    <xf numFmtId="0" fontId="160" fillId="0" borderId="0" xfId="6465" applyFont="1" applyProtection="1">
      <protection hidden="1"/>
    </xf>
    <xf numFmtId="1" fontId="160" fillId="0" borderId="0" xfId="6465" applyNumberFormat="1" applyFont="1" applyProtection="1">
      <protection hidden="1"/>
    </xf>
    <xf numFmtId="0" fontId="6" fillId="49" borderId="0" xfId="4660" applyFont="1" applyFill="1" applyAlignment="1" applyProtection="1">
      <alignment horizontal="center"/>
      <protection hidden="1"/>
    </xf>
    <xf numFmtId="175" fontId="7" fillId="0" borderId="31" xfId="16065" applyNumberFormat="1" applyFont="1" applyBorder="1" applyAlignment="1" applyProtection="1">
      <alignment horizontal="center" wrapText="1"/>
      <protection hidden="1"/>
    </xf>
    <xf numFmtId="4" fontId="7" fillId="0" borderId="0" xfId="6465" applyNumberFormat="1" applyAlignment="1" applyProtection="1">
      <alignment horizontal="right"/>
      <protection hidden="1"/>
    </xf>
    <xf numFmtId="2" fontId="7" fillId="0" borderId="18" xfId="6465" applyNumberFormat="1" applyBorder="1" applyProtection="1">
      <protection hidden="1"/>
    </xf>
    <xf numFmtId="175" fontId="7" fillId="0" borderId="0" xfId="6465" applyNumberFormat="1" applyAlignment="1" applyProtection="1">
      <alignment horizontal="right"/>
      <protection hidden="1"/>
    </xf>
    <xf numFmtId="2" fontId="94" fillId="48" borderId="18" xfId="6465" applyNumberFormat="1" applyFont="1" applyFill="1" applyBorder="1" applyProtection="1">
      <protection hidden="1"/>
    </xf>
    <xf numFmtId="1" fontId="7" fillId="0" borderId="0" xfId="6465" applyNumberFormat="1" applyAlignment="1" applyProtection="1">
      <alignment horizontal="right"/>
      <protection hidden="1"/>
    </xf>
    <xf numFmtId="175" fontId="63" fillId="0" borderId="0" xfId="6465" applyNumberFormat="1" applyFont="1" applyAlignment="1" applyProtection="1">
      <alignment horizontal="right"/>
      <protection hidden="1"/>
    </xf>
    <xf numFmtId="0" fontId="218" fillId="0" borderId="0" xfId="6465" applyFont="1" applyAlignment="1" applyProtection="1">
      <alignment horizontal="right"/>
      <protection hidden="1"/>
    </xf>
    <xf numFmtId="175" fontId="7" fillId="0" borderId="0" xfId="6465" applyNumberFormat="1" applyProtection="1">
      <protection hidden="1"/>
    </xf>
    <xf numFmtId="175" fontId="7" fillId="0" borderId="0" xfId="4660" applyNumberFormat="1" applyFont="1" applyProtection="1">
      <protection hidden="1"/>
    </xf>
    <xf numFmtId="0" fontId="153" fillId="49" borderId="0" xfId="6465" applyFont="1" applyFill="1" applyProtection="1">
      <protection hidden="1"/>
    </xf>
    <xf numFmtId="166" fontId="7" fillId="0" borderId="0" xfId="6465" applyNumberFormat="1" applyAlignment="1" applyProtection="1">
      <alignment horizontal="right"/>
      <protection hidden="1"/>
    </xf>
    <xf numFmtId="2" fontId="94" fillId="48" borderId="0" xfId="6465" applyNumberFormat="1" applyFont="1" applyFill="1" applyAlignment="1" applyProtection="1">
      <alignment horizontal="right"/>
      <protection hidden="1"/>
    </xf>
    <xf numFmtId="2" fontId="7" fillId="0" borderId="0" xfId="4660" applyNumberFormat="1" applyFont="1" applyProtection="1">
      <protection hidden="1"/>
    </xf>
    <xf numFmtId="2" fontId="7" fillId="0" borderId="30" xfId="4660" applyNumberFormat="1" applyFont="1" applyBorder="1" applyProtection="1">
      <protection hidden="1"/>
    </xf>
    <xf numFmtId="0" fontId="7" fillId="0" borderId="0" xfId="4660" applyFont="1" applyProtection="1">
      <protection hidden="1"/>
    </xf>
    <xf numFmtId="0" fontId="7" fillId="0" borderId="0" xfId="6465" applyAlignment="1" applyProtection="1">
      <alignment vertical="center" wrapText="1"/>
      <protection hidden="1"/>
    </xf>
    <xf numFmtId="2" fontId="94" fillId="48" borderId="0" xfId="6465" applyNumberFormat="1" applyFont="1" applyFill="1" applyProtection="1">
      <protection hidden="1"/>
    </xf>
    <xf numFmtId="0" fontId="228" fillId="3" borderId="0" xfId="4660" applyFont="1" applyFill="1" applyAlignment="1" applyProtection="1">
      <alignment horizontal="right"/>
      <protection hidden="1"/>
    </xf>
    <xf numFmtId="2" fontId="7" fillId="4" borderId="17" xfId="4660" applyNumberFormat="1" applyFont="1" applyFill="1" applyBorder="1" applyProtection="1">
      <protection hidden="1"/>
    </xf>
    <xf numFmtId="2" fontId="0" fillId="2" borderId="0" xfId="6465" applyNumberFormat="1" applyFont="1" applyFill="1" applyProtection="1">
      <protection hidden="1"/>
    </xf>
    <xf numFmtId="0" fontId="33" fillId="0" borderId="0" xfId="6465" applyFont="1" applyProtection="1">
      <protection hidden="1"/>
    </xf>
    <xf numFmtId="0" fontId="37" fillId="4" borderId="0" xfId="4660" applyFont="1" applyFill="1" applyAlignment="1" applyProtection="1">
      <alignment horizontal="center" wrapText="1"/>
      <protection hidden="1"/>
    </xf>
    <xf numFmtId="0" fontId="221" fillId="4" borderId="0" xfId="16065" applyFont="1" applyFill="1" applyAlignment="1" applyProtection="1">
      <alignment horizontal="left"/>
      <protection hidden="1"/>
    </xf>
    <xf numFmtId="0" fontId="17" fillId="4" borderId="0" xfId="6465" applyFont="1" applyFill="1" applyProtection="1">
      <protection hidden="1"/>
    </xf>
    <xf numFmtId="2" fontId="231" fillId="4" borderId="0" xfId="6465" applyNumberFormat="1" applyFont="1" applyFill="1" applyAlignment="1" applyProtection="1">
      <alignment horizontal="left" wrapText="1"/>
      <protection hidden="1"/>
    </xf>
    <xf numFmtId="2" fontId="104" fillId="4" borderId="0" xfId="6465" applyNumberFormat="1" applyFont="1" applyFill="1" applyAlignment="1" applyProtection="1">
      <alignment wrapText="1"/>
      <protection hidden="1"/>
    </xf>
    <xf numFmtId="2" fontId="77" fillId="4" borderId="0" xfId="6465" applyNumberFormat="1" applyFont="1" applyFill="1" applyAlignment="1" applyProtection="1">
      <alignment wrapText="1"/>
      <protection hidden="1"/>
    </xf>
    <xf numFmtId="0" fontId="104" fillId="4" borderId="0" xfId="6465" applyFont="1" applyFill="1" applyProtection="1">
      <protection hidden="1"/>
    </xf>
    <xf numFmtId="168" fontId="135" fillId="4" borderId="0" xfId="6465" applyNumberFormat="1" applyFont="1" applyFill="1" applyProtection="1">
      <protection hidden="1"/>
    </xf>
    <xf numFmtId="0" fontId="43" fillId="4" borderId="0" xfId="6465" applyFont="1" applyFill="1" applyAlignment="1" applyProtection="1">
      <alignment wrapText="1"/>
      <protection hidden="1"/>
    </xf>
    <xf numFmtId="0" fontId="17" fillId="3" borderId="0" xfId="4660" applyFont="1" applyFill="1" applyProtection="1">
      <protection hidden="1"/>
    </xf>
    <xf numFmtId="0" fontId="7" fillId="2" borderId="0" xfId="6465" applyFill="1" applyAlignment="1" applyProtection="1">
      <alignment horizontal="right"/>
      <protection hidden="1"/>
    </xf>
    <xf numFmtId="0" fontId="55" fillId="2" borderId="0" xfId="16065" applyFont="1" applyFill="1" applyAlignment="1" applyProtection="1">
      <alignment horizontal="left"/>
      <protection hidden="1"/>
    </xf>
    <xf numFmtId="0" fontId="7" fillId="4" borderId="275" xfId="4660" applyFont="1" applyFill="1" applyBorder="1" applyAlignment="1" applyProtection="1">
      <alignment horizontal="center"/>
      <protection hidden="1"/>
    </xf>
    <xf numFmtId="0" fontId="7" fillId="4" borderId="276" xfId="4660" applyFont="1" applyFill="1" applyBorder="1" applyAlignment="1" applyProtection="1">
      <alignment horizontal="center"/>
      <protection hidden="1"/>
    </xf>
    <xf numFmtId="0" fontId="74" fillId="2" borderId="17" xfId="4660" applyFont="1" applyFill="1" applyBorder="1" applyProtection="1">
      <protection hidden="1"/>
    </xf>
    <xf numFmtId="0" fontId="7" fillId="4" borderId="0" xfId="6465" applyFill="1" applyAlignment="1" applyProtection="1">
      <alignment wrapText="1"/>
      <protection hidden="1"/>
    </xf>
    <xf numFmtId="0" fontId="74" fillId="4" borderId="0" xfId="6465" applyFont="1" applyFill="1" applyProtection="1">
      <protection hidden="1"/>
    </xf>
    <xf numFmtId="0" fontId="7" fillId="14" borderId="0" xfId="4660" applyFont="1" applyFill="1" applyAlignment="1" applyProtection="1">
      <alignment horizontal="center"/>
      <protection hidden="1"/>
    </xf>
    <xf numFmtId="0" fontId="0" fillId="14" borderId="0" xfId="6465" applyFont="1" applyFill="1" applyProtection="1">
      <protection hidden="1"/>
    </xf>
    <xf numFmtId="0" fontId="7" fillId="3" borderId="0" xfId="4660" applyFont="1" applyFill="1" applyAlignment="1" applyProtection="1">
      <alignment horizontal="center"/>
      <protection hidden="1"/>
    </xf>
    <xf numFmtId="0" fontId="137" fillId="50" borderId="0" xfId="6465" applyFont="1" applyFill="1" applyProtection="1">
      <protection hidden="1"/>
    </xf>
    <xf numFmtId="0" fontId="7" fillId="4" borderId="30" xfId="17475" applyFill="1" applyBorder="1" applyProtection="1">
      <protection hidden="1"/>
    </xf>
    <xf numFmtId="0" fontId="23" fillId="18" borderId="18" xfId="4660" applyFont="1" applyFill="1" applyBorder="1" applyAlignment="1" applyProtection="1">
      <alignment horizontal="center"/>
      <protection locked="0"/>
    </xf>
    <xf numFmtId="0" fontId="7" fillId="9" borderId="0" xfId="6465" applyFill="1" applyAlignment="1" applyProtection="1">
      <alignment horizontal="left"/>
      <protection hidden="1"/>
    </xf>
    <xf numFmtId="0" fontId="0" fillId="0" borderId="0" xfId="17486" applyFont="1" applyProtection="1">
      <protection hidden="1"/>
    </xf>
    <xf numFmtId="0" fontId="23" fillId="3" borderId="0" xfId="4660" applyFont="1" applyFill="1" applyProtection="1">
      <protection hidden="1"/>
    </xf>
    <xf numFmtId="0" fontId="23" fillId="3" borderId="18" xfId="4660" applyFont="1" applyFill="1" applyBorder="1" applyProtection="1">
      <protection hidden="1"/>
    </xf>
    <xf numFmtId="0" fontId="7" fillId="4" borderId="0" xfId="6465" applyFill="1" applyAlignment="1" applyProtection="1">
      <alignment horizontal="center"/>
      <protection hidden="1"/>
    </xf>
    <xf numFmtId="1" fontId="7" fillId="2" borderId="0" xfId="6465" applyNumberFormat="1" applyFill="1" applyAlignment="1" applyProtection="1">
      <alignment horizontal="center"/>
      <protection hidden="1"/>
    </xf>
    <xf numFmtId="0" fontId="7" fillId="23" borderId="0" xfId="6465" applyFill="1" applyAlignment="1" applyProtection="1">
      <alignment horizontal="center" vertical="top"/>
      <protection hidden="1"/>
    </xf>
    <xf numFmtId="0" fontId="17" fillId="2" borderId="0" xfId="6465" applyFont="1" applyFill="1" applyAlignment="1" applyProtection="1">
      <alignment horizontal="right"/>
      <protection hidden="1"/>
    </xf>
    <xf numFmtId="0" fontId="7" fillId="18" borderId="277" xfId="4660" applyFont="1" applyFill="1" applyBorder="1" applyAlignment="1" applyProtection="1">
      <alignment horizontal="center"/>
      <protection locked="0"/>
    </xf>
    <xf numFmtId="0" fontId="104" fillId="18" borderId="277" xfId="4660" applyFont="1" applyFill="1" applyBorder="1" applyAlignment="1" applyProtection="1">
      <alignment horizontal="center"/>
      <protection locked="0"/>
    </xf>
    <xf numFmtId="0" fontId="55" fillId="0" borderId="282" xfId="4660" applyFont="1" applyBorder="1" applyAlignment="1" applyProtection="1">
      <alignment horizontal="center"/>
      <protection hidden="1"/>
    </xf>
    <xf numFmtId="0" fontId="234" fillId="0" borderId="282" xfId="4660" applyFont="1" applyBorder="1" applyAlignment="1" applyProtection="1">
      <alignment horizontal="center"/>
      <protection hidden="1"/>
    </xf>
    <xf numFmtId="0" fontId="63" fillId="3" borderId="0" xfId="16065" applyFont="1" applyFill="1" applyAlignment="1" applyProtection="1">
      <alignment wrapText="1"/>
      <protection hidden="1"/>
    </xf>
    <xf numFmtId="0" fontId="7" fillId="4" borderId="0" xfId="6465" applyFill="1" applyAlignment="1" applyProtection="1">
      <alignment horizontal="left" wrapText="1"/>
      <protection hidden="1"/>
    </xf>
    <xf numFmtId="0" fontId="7" fillId="0" borderId="0" xfId="0" applyFont="1" applyAlignment="1" applyProtection="1">
      <alignment horizontal="right"/>
      <protection hidden="1"/>
    </xf>
    <xf numFmtId="0" fontId="150" fillId="4" borderId="0" xfId="6465" applyFont="1" applyFill="1" applyAlignment="1" applyProtection="1">
      <alignment horizontal="right"/>
      <protection hidden="1"/>
    </xf>
    <xf numFmtId="0" fontId="150" fillId="2" borderId="0" xfId="6465" applyFont="1" applyFill="1" applyAlignment="1" applyProtection="1">
      <alignment horizontal="right"/>
      <protection hidden="1"/>
    </xf>
    <xf numFmtId="0" fontId="7" fillId="4" borderId="30" xfId="17466" applyFont="1" applyFill="1" applyBorder="1" applyAlignment="1" applyProtection="1">
      <alignment horizontal="center"/>
      <protection hidden="1"/>
    </xf>
    <xf numFmtId="0" fontId="58" fillId="3" borderId="0" xfId="6465" applyFont="1" applyFill="1" applyAlignment="1" applyProtection="1">
      <alignment horizontal="right"/>
      <protection hidden="1"/>
    </xf>
    <xf numFmtId="0" fontId="7" fillId="3" borderId="0" xfId="6465" applyFill="1" applyAlignment="1" applyProtection="1">
      <alignment horizontal="right"/>
      <protection hidden="1"/>
    </xf>
    <xf numFmtId="0" fontId="150" fillId="4" borderId="0" xfId="6465" applyFont="1" applyFill="1" applyAlignment="1" applyProtection="1">
      <alignment wrapText="1"/>
      <protection hidden="1"/>
    </xf>
    <xf numFmtId="0" fontId="1" fillId="0" borderId="0" xfId="4660" applyFont="1" applyProtection="1">
      <protection hidden="1"/>
    </xf>
    <xf numFmtId="0" fontId="305" fillId="14" borderId="0" xfId="4660" applyFill="1" applyAlignment="1" applyProtection="1">
      <alignment horizontal="right"/>
      <protection hidden="1"/>
    </xf>
    <xf numFmtId="0" fontId="0" fillId="2" borderId="0" xfId="17481" applyFont="1" applyFill="1" applyProtection="1">
      <protection hidden="1"/>
    </xf>
    <xf numFmtId="0" fontId="61" fillId="4" borderId="0" xfId="4660" applyFont="1" applyFill="1" applyProtection="1">
      <protection hidden="1"/>
    </xf>
    <xf numFmtId="1" fontId="23" fillId="3" borderId="0" xfId="4660" applyNumberFormat="1" applyFont="1" applyFill="1" applyAlignment="1" applyProtection="1">
      <alignment horizontal="center"/>
      <protection hidden="1"/>
    </xf>
    <xf numFmtId="0" fontId="45" fillId="3" borderId="0" xfId="4660" applyFont="1" applyFill="1" applyAlignment="1" applyProtection="1">
      <alignment horizontal="center"/>
      <protection hidden="1"/>
    </xf>
    <xf numFmtId="0" fontId="237" fillId="3" borderId="0" xfId="4660" applyFont="1" applyFill="1" applyAlignment="1" applyProtection="1">
      <alignment horizontal="center"/>
      <protection hidden="1"/>
    </xf>
    <xf numFmtId="0" fontId="52" fillId="4" borderId="0" xfId="6465" applyFont="1" applyFill="1" applyAlignment="1" applyProtection="1">
      <alignment horizontal="center"/>
      <protection hidden="1"/>
    </xf>
    <xf numFmtId="0" fontId="5" fillId="9" borderId="0" xfId="4660" applyFont="1" applyFill="1" applyAlignment="1" applyProtection="1">
      <alignment horizontal="center"/>
      <protection hidden="1"/>
    </xf>
    <xf numFmtId="175" fontId="7" fillId="4" borderId="0" xfId="6465" applyNumberFormat="1" applyFill="1" applyProtection="1">
      <protection hidden="1"/>
    </xf>
    <xf numFmtId="0" fontId="7" fillId="4" borderId="0" xfId="4660" applyFont="1" applyFill="1" applyAlignment="1" applyProtection="1">
      <alignment vertical="top"/>
      <protection hidden="1"/>
    </xf>
    <xf numFmtId="0" fontId="7" fillId="4" borderId="0" xfId="4660" applyFont="1" applyFill="1" applyAlignment="1" applyProtection="1">
      <alignment wrapText="1"/>
      <protection hidden="1"/>
    </xf>
    <xf numFmtId="0" fontId="7" fillId="23" borderId="0" xfId="6465" applyFill="1" applyAlignment="1" applyProtection="1">
      <alignment wrapText="1"/>
      <protection hidden="1"/>
    </xf>
    <xf numFmtId="2" fontId="7" fillId="4" borderId="0" xfId="6465" applyNumberFormat="1" applyFill="1" applyProtection="1">
      <protection hidden="1"/>
    </xf>
    <xf numFmtId="2" fontId="7" fillId="4" borderId="0" xfId="4660" applyNumberFormat="1" applyFont="1" applyFill="1" applyProtection="1">
      <protection hidden="1"/>
    </xf>
    <xf numFmtId="2" fontId="7" fillId="5" borderId="29" xfId="4660" applyNumberFormat="1" applyFont="1" applyFill="1" applyBorder="1" applyAlignment="1" applyProtection="1">
      <alignment horizontal="center" wrapText="1"/>
      <protection locked="0"/>
    </xf>
    <xf numFmtId="2" fontId="7" fillId="5" borderId="17" xfId="4660" applyNumberFormat="1" applyFont="1" applyFill="1" applyBorder="1" applyAlignment="1" applyProtection="1">
      <alignment horizontal="center" wrapText="1"/>
      <protection locked="0"/>
    </xf>
    <xf numFmtId="168" fontId="7" fillId="5" borderId="27" xfId="4660" applyNumberFormat="1" applyFont="1" applyFill="1" applyBorder="1" applyAlignment="1" applyProtection="1">
      <alignment horizontal="center"/>
      <protection locked="0"/>
    </xf>
    <xf numFmtId="1" fontId="7" fillId="5" borderId="27" xfId="4660" applyNumberFormat="1" applyFont="1" applyFill="1" applyBorder="1" applyAlignment="1" applyProtection="1">
      <alignment horizontal="center"/>
      <protection locked="0"/>
    </xf>
    <xf numFmtId="0" fontId="25" fillId="3" borderId="29" xfId="69" applyFont="1" applyFill="1" applyBorder="1" applyAlignment="1" applyProtection="1">
      <alignment wrapText="1"/>
      <protection hidden="1"/>
    </xf>
    <xf numFmtId="0" fontId="176" fillId="7" borderId="0" xfId="4660" applyFont="1" applyFill="1" applyProtection="1">
      <protection hidden="1"/>
    </xf>
    <xf numFmtId="0" fontId="7" fillId="18" borderId="0" xfId="4660" applyFont="1" applyFill="1" applyAlignment="1" applyProtection="1">
      <alignment horizontal="center"/>
      <protection locked="0"/>
    </xf>
    <xf numFmtId="0" fontId="7" fillId="0" borderId="27" xfId="4660" applyFont="1" applyBorder="1" applyProtection="1">
      <protection hidden="1"/>
    </xf>
    <xf numFmtId="0" fontId="305" fillId="14" borderId="0" xfId="4660" applyFill="1" applyProtection="1">
      <protection hidden="1"/>
    </xf>
    <xf numFmtId="0" fontId="5" fillId="4" borderId="17" xfId="4660" applyFont="1" applyFill="1" applyBorder="1" applyAlignment="1" applyProtection="1">
      <alignment horizontal="center"/>
      <protection hidden="1"/>
    </xf>
    <xf numFmtId="0" fontId="164" fillId="38" borderId="0" xfId="4660" applyFont="1" applyFill="1" applyAlignment="1" applyProtection="1">
      <alignment horizontal="center"/>
      <protection hidden="1"/>
    </xf>
    <xf numFmtId="0" fontId="7" fillId="3" borderId="0" xfId="4660" applyFont="1" applyFill="1" applyAlignment="1" applyProtection="1">
      <alignment wrapText="1"/>
      <protection hidden="1"/>
    </xf>
    <xf numFmtId="0" fontId="7" fillId="5" borderId="27" xfId="6465" applyFill="1" applyBorder="1" applyAlignment="1" applyProtection="1">
      <alignment horizontal="center" wrapText="1"/>
      <protection locked="0"/>
    </xf>
    <xf numFmtId="2" fontId="7" fillId="5" borderId="31" xfId="4660" applyNumberFormat="1" applyFont="1" applyFill="1" applyBorder="1" applyAlignment="1" applyProtection="1">
      <alignment horizontal="center" wrapText="1"/>
      <protection locked="0"/>
    </xf>
    <xf numFmtId="0" fontId="7" fillId="4" borderId="17" xfId="6465" applyFill="1" applyBorder="1" applyProtection="1">
      <protection hidden="1"/>
    </xf>
    <xf numFmtId="0" fontId="7" fillId="0" borderId="31" xfId="4660" applyFont="1" applyBorder="1" applyAlignment="1" applyProtection="1">
      <alignment horizontal="left"/>
      <protection hidden="1"/>
    </xf>
    <xf numFmtId="1" fontId="7" fillId="4" borderId="18" xfId="4660" applyNumberFormat="1" applyFont="1" applyFill="1" applyBorder="1" applyAlignment="1" applyProtection="1">
      <alignment horizontal="left"/>
      <protection hidden="1"/>
    </xf>
    <xf numFmtId="0" fontId="7" fillId="14" borderId="17" xfId="4660" applyFont="1" applyFill="1" applyBorder="1" applyProtection="1">
      <protection hidden="1"/>
    </xf>
    <xf numFmtId="0" fontId="5" fillId="0" borderId="0" xfId="4660" applyFont="1" applyProtection="1">
      <protection hidden="1"/>
    </xf>
    <xf numFmtId="0" fontId="5" fillId="9" borderId="0" xfId="4660" applyFont="1" applyFill="1" applyProtection="1">
      <protection hidden="1"/>
    </xf>
    <xf numFmtId="0" fontId="7" fillId="2" borderId="0" xfId="17486" applyFont="1" applyFill="1" applyProtection="1">
      <protection hidden="1"/>
    </xf>
    <xf numFmtId="0" fontId="305" fillId="3" borderId="0" xfId="4660" applyFill="1" applyProtection="1">
      <protection hidden="1"/>
    </xf>
    <xf numFmtId="0" fontId="7" fillId="5" borderId="141" xfId="4660" applyFont="1" applyFill="1" applyBorder="1" applyAlignment="1" applyProtection="1">
      <alignment horizontal="center" wrapText="1"/>
      <protection locked="0"/>
    </xf>
    <xf numFmtId="0" fontId="23" fillId="0" borderId="285" xfId="6465" applyFont="1" applyBorder="1" applyAlignment="1" applyProtection="1">
      <alignment horizontal="center"/>
      <protection hidden="1"/>
    </xf>
    <xf numFmtId="0" fontId="23" fillId="52" borderId="286" xfId="6465" applyFont="1" applyFill="1" applyBorder="1" applyAlignment="1" applyProtection="1">
      <alignment horizontal="center"/>
      <protection locked="0"/>
    </xf>
    <xf numFmtId="0" fontId="7" fillId="18" borderId="287" xfId="6465" applyFill="1" applyBorder="1" applyAlignment="1" applyProtection="1">
      <alignment horizontal="center"/>
      <protection locked="0"/>
    </xf>
    <xf numFmtId="0" fontId="7" fillId="18" borderId="288" xfId="6465" applyFill="1" applyBorder="1" applyAlignment="1" applyProtection="1">
      <alignment horizontal="center"/>
      <protection locked="0"/>
    </xf>
    <xf numFmtId="168" fontId="7" fillId="54" borderId="283" xfId="4660" applyNumberFormat="1" applyFont="1" applyFill="1" applyBorder="1" applyAlignment="1" applyProtection="1">
      <alignment horizontal="center"/>
      <protection hidden="1"/>
    </xf>
    <xf numFmtId="0" fontId="136" fillId="3" borderId="289" xfId="4660" applyFont="1" applyFill="1" applyBorder="1" applyProtection="1">
      <protection hidden="1"/>
    </xf>
    <xf numFmtId="0" fontId="7" fillId="4" borderId="0" xfId="4660" applyFont="1" applyFill="1" applyAlignment="1" applyProtection="1">
      <alignment vertical="top" wrapText="1"/>
      <protection hidden="1"/>
    </xf>
    <xf numFmtId="0" fontId="7" fillId="23" borderId="0" xfId="6465" applyFill="1" applyAlignment="1" applyProtection="1">
      <alignment vertical="top" wrapText="1"/>
      <protection hidden="1"/>
    </xf>
    <xf numFmtId="0" fontId="74" fillId="4" borderId="0" xfId="6465" applyFont="1" applyFill="1" applyAlignment="1" applyProtection="1">
      <alignment horizontal="left" vertical="top" wrapText="1"/>
      <protection hidden="1"/>
    </xf>
    <xf numFmtId="0" fontId="7" fillId="14" borderId="0" xfId="6465" applyFill="1" applyProtection="1">
      <protection hidden="1"/>
    </xf>
    <xf numFmtId="0" fontId="7" fillId="14" borderId="0" xfId="6465" applyFill="1" applyAlignment="1" applyProtection="1">
      <alignment horizontal="left" vertical="top"/>
      <protection hidden="1"/>
    </xf>
    <xf numFmtId="0" fontId="7" fillId="4" borderId="0" xfId="17486" applyFont="1" applyFill="1" applyAlignment="1" applyProtection="1">
      <alignment horizontal="left" vertical="top" wrapText="1"/>
      <protection hidden="1"/>
    </xf>
    <xf numFmtId="0" fontId="7" fillId="23" borderId="0" xfId="6465" applyFill="1" applyAlignment="1" applyProtection="1">
      <alignment horizontal="left"/>
      <protection hidden="1"/>
    </xf>
    <xf numFmtId="0" fontId="17" fillId="4" borderId="0" xfId="6465" applyFont="1" applyFill="1" applyAlignment="1" applyProtection="1">
      <alignment horizontal="left"/>
      <protection hidden="1"/>
    </xf>
    <xf numFmtId="0" fontId="17" fillId="4" borderId="0" xfId="6465" applyFont="1" applyFill="1" applyAlignment="1" applyProtection="1">
      <alignment horizontal="right"/>
      <protection hidden="1"/>
    </xf>
    <xf numFmtId="0" fontId="52" fillId="2" borderId="0" xfId="6465" applyFont="1" applyFill="1" applyAlignment="1" applyProtection="1">
      <alignment horizontal="right"/>
      <protection hidden="1"/>
    </xf>
    <xf numFmtId="0" fontId="17" fillId="3" borderId="0" xfId="4660" applyFont="1" applyFill="1" applyAlignment="1" applyProtection="1">
      <alignment horizontal="right"/>
      <protection hidden="1"/>
    </xf>
    <xf numFmtId="0" fontId="52" fillId="3" borderId="0" xfId="4660" applyFont="1" applyFill="1" applyProtection="1">
      <protection hidden="1"/>
    </xf>
    <xf numFmtId="49" fontId="7" fillId="15" borderId="100" xfId="4660" applyNumberFormat="1" applyFont="1" applyFill="1" applyBorder="1" applyAlignment="1" applyProtection="1">
      <alignment horizontal="center"/>
      <protection hidden="1"/>
    </xf>
    <xf numFmtId="49" fontId="7" fillId="15" borderId="68" xfId="4660" applyNumberFormat="1" applyFont="1" applyFill="1" applyBorder="1" applyAlignment="1" applyProtection="1">
      <alignment horizontal="center"/>
      <protection hidden="1"/>
    </xf>
    <xf numFmtId="0" fontId="7" fillId="5" borderId="141" xfId="4660" applyFont="1" applyFill="1" applyBorder="1" applyAlignment="1" applyProtection="1">
      <alignment horizontal="center"/>
      <protection locked="0"/>
    </xf>
    <xf numFmtId="0" fontId="7" fillId="5" borderId="293" xfId="4660" applyFont="1" applyFill="1" applyBorder="1" applyAlignment="1" applyProtection="1">
      <alignment horizontal="center"/>
      <protection locked="0"/>
    </xf>
    <xf numFmtId="0" fontId="62" fillId="50" borderId="0" xfId="0" applyFont="1" applyFill="1" applyProtection="1">
      <protection hidden="1"/>
    </xf>
    <xf numFmtId="0" fontId="33" fillId="2" borderId="0" xfId="6465" applyFont="1" applyFill="1" applyProtection="1">
      <protection hidden="1"/>
    </xf>
    <xf numFmtId="0" fontId="23" fillId="50" borderId="0" xfId="17478" applyFill="1" applyProtection="1">
      <protection hidden="1"/>
    </xf>
    <xf numFmtId="0" fontId="23" fillId="50" borderId="0" xfId="0" applyFont="1" applyFill="1" applyAlignment="1" applyProtection="1">
      <alignment wrapText="1"/>
      <protection hidden="1"/>
    </xf>
    <xf numFmtId="0" fontId="23" fillId="50" borderId="0" xfId="0" applyFont="1" applyFill="1" applyProtection="1">
      <protection hidden="1"/>
    </xf>
    <xf numFmtId="0" fontId="242" fillId="4" borderId="0" xfId="17399" applyFont="1" applyFill="1" applyProtection="1">
      <protection hidden="1"/>
    </xf>
    <xf numFmtId="0" fontId="44" fillId="4" borderId="0" xfId="17399" applyFont="1" applyFill="1" applyAlignment="1" applyProtection="1">
      <alignment horizontal="center"/>
      <protection hidden="1"/>
    </xf>
    <xf numFmtId="0" fontId="243" fillId="4" borderId="0" xfId="17399" applyFont="1" applyFill="1" applyAlignment="1" applyProtection="1">
      <alignment textRotation="90"/>
      <protection hidden="1"/>
    </xf>
    <xf numFmtId="0" fontId="44" fillId="4" borderId="0" xfId="17399" applyFont="1" applyFill="1" applyProtection="1">
      <protection hidden="1"/>
    </xf>
    <xf numFmtId="0" fontId="82" fillId="2" borderId="0" xfId="17399" applyFont="1" applyFill="1" applyProtection="1">
      <protection hidden="1"/>
    </xf>
    <xf numFmtId="0" fontId="44" fillId="64" borderId="0" xfId="17399" applyFont="1" applyFill="1" applyProtection="1">
      <protection hidden="1"/>
    </xf>
    <xf numFmtId="0" fontId="196" fillId="64" borderId="0" xfId="17399" applyFont="1" applyFill="1" applyProtection="1">
      <protection hidden="1"/>
    </xf>
    <xf numFmtId="0" fontId="196" fillId="2" borderId="0" xfId="17399" applyFont="1" applyFill="1" applyProtection="1">
      <protection hidden="1"/>
    </xf>
    <xf numFmtId="0" fontId="5" fillId="2" borderId="0" xfId="17399" applyFont="1" applyFill="1" applyProtection="1">
      <protection hidden="1"/>
    </xf>
    <xf numFmtId="0" fontId="245" fillId="2" borderId="0" xfId="17399" applyFont="1" applyFill="1" applyAlignment="1" applyProtection="1">
      <alignment textRotation="90"/>
      <protection hidden="1"/>
    </xf>
    <xf numFmtId="0" fontId="44" fillId="2" borderId="0" xfId="17399" applyFont="1" applyFill="1" applyProtection="1">
      <protection hidden="1"/>
    </xf>
    <xf numFmtId="0" fontId="245" fillId="4" borderId="0" xfId="17399" applyFont="1" applyFill="1" applyAlignment="1" applyProtection="1">
      <alignment textRotation="90"/>
      <protection hidden="1"/>
    </xf>
    <xf numFmtId="0" fontId="247" fillId="2" borderId="0" xfId="17399" applyFont="1" applyFill="1" applyProtection="1">
      <protection hidden="1"/>
    </xf>
    <xf numFmtId="0" fontId="248" fillId="2" borderId="0" xfId="69" applyFont="1" applyFill="1" applyAlignment="1" applyProtection="1">
      <protection hidden="1"/>
    </xf>
    <xf numFmtId="2" fontId="194" fillId="2" borderId="0" xfId="17399" applyNumberFormat="1" applyFont="1" applyFill="1" applyProtection="1">
      <protection hidden="1"/>
    </xf>
    <xf numFmtId="2" fontId="196" fillId="2" borderId="0" xfId="17399" applyNumberFormat="1" applyFont="1" applyFill="1" applyProtection="1">
      <protection hidden="1"/>
    </xf>
    <xf numFmtId="2" fontId="44" fillId="4" borderId="0" xfId="17399" applyNumberFormat="1" applyFont="1" applyFill="1" applyProtection="1">
      <protection hidden="1"/>
    </xf>
    <xf numFmtId="2" fontId="196" fillId="4" borderId="0" xfId="17399" applyNumberFormat="1" applyFont="1" applyFill="1" applyProtection="1">
      <protection hidden="1"/>
    </xf>
    <xf numFmtId="0" fontId="245" fillId="4" borderId="0" xfId="17399" applyFont="1" applyFill="1" applyAlignment="1" applyProtection="1">
      <alignment horizontal="left" textRotation="90"/>
      <protection hidden="1"/>
    </xf>
    <xf numFmtId="0" fontId="63" fillId="4" borderId="0" xfId="17399" applyFont="1" applyFill="1" applyProtection="1">
      <protection hidden="1"/>
    </xf>
    <xf numFmtId="0" fontId="7" fillId="4" borderId="0" xfId="17399" applyFont="1" applyFill="1" applyProtection="1">
      <protection hidden="1"/>
    </xf>
    <xf numFmtId="0" fontId="250" fillId="4" borderId="0" xfId="17399" applyFont="1" applyFill="1" applyAlignment="1" applyProtection="1">
      <alignment horizontal="left" vertical="center"/>
      <protection hidden="1"/>
    </xf>
    <xf numFmtId="0" fontId="5" fillId="4" borderId="0" xfId="17399" applyFont="1" applyFill="1" applyAlignment="1" applyProtection="1">
      <alignment vertical="top" wrapText="1"/>
      <protection hidden="1"/>
    </xf>
    <xf numFmtId="0" fontId="5" fillId="4" borderId="0" xfId="17399" applyFont="1" applyFill="1" applyAlignment="1" applyProtection="1">
      <alignment horizontal="left" vertical="top" wrapText="1"/>
      <protection hidden="1"/>
    </xf>
    <xf numFmtId="2" fontId="188" fillId="2" borderId="0" xfId="16065" applyNumberFormat="1" applyFont="1" applyFill="1" applyAlignment="1" applyProtection="1">
      <alignment vertical="center"/>
      <protection hidden="1"/>
    </xf>
    <xf numFmtId="0" fontId="111" fillId="0" borderId="306" xfId="4660" applyFont="1" applyBorder="1" applyAlignment="1" applyProtection="1">
      <alignment horizontal="center"/>
      <protection hidden="1"/>
    </xf>
    <xf numFmtId="0" fontId="104" fillId="4" borderId="54" xfId="17436" applyFont="1" applyFill="1" applyBorder="1" applyProtection="1">
      <protection hidden="1"/>
    </xf>
    <xf numFmtId="0" fontId="23" fillId="2" borderId="0" xfId="6465" applyFont="1" applyFill="1" applyAlignment="1" applyProtection="1">
      <alignment horizontal="left"/>
      <protection hidden="1"/>
    </xf>
    <xf numFmtId="0" fontId="45" fillId="2" borderId="0" xfId="17436" applyFont="1" applyFill="1" applyAlignment="1" applyProtection="1">
      <alignment vertical="top"/>
      <protection hidden="1"/>
    </xf>
    <xf numFmtId="0" fontId="137" fillId="5" borderId="1" xfId="200" applyFont="1" applyFill="1" applyBorder="1" applyAlignment="1" applyProtection="1">
      <alignment horizontal="center"/>
      <protection locked="0"/>
    </xf>
    <xf numFmtId="0" fontId="5" fillId="3" borderId="0" xfId="6465" applyFont="1" applyFill="1" applyProtection="1">
      <protection hidden="1"/>
    </xf>
    <xf numFmtId="0" fontId="307" fillId="0" borderId="310" xfId="69" applyFont="1" applyBorder="1" applyAlignment="1" applyProtection="1">
      <alignment horizontal="left"/>
      <protection hidden="1"/>
    </xf>
    <xf numFmtId="0" fontId="111" fillId="50" borderId="0" xfId="17443" applyFont="1" applyFill="1" applyProtection="1">
      <protection hidden="1"/>
    </xf>
    <xf numFmtId="0" fontId="308" fillId="50" borderId="0" xfId="17443" applyFont="1" applyFill="1" applyProtection="1">
      <protection hidden="1"/>
    </xf>
    <xf numFmtId="168" fontId="111" fillId="0" borderId="0" xfId="17443" applyNumberFormat="1" applyFont="1" applyProtection="1">
      <protection hidden="1"/>
    </xf>
    <xf numFmtId="0" fontId="5" fillId="4" borderId="0" xfId="6465" applyFont="1" applyFill="1" applyAlignment="1" applyProtection="1">
      <alignment vertical="top"/>
      <protection hidden="1"/>
    </xf>
    <xf numFmtId="0" fontId="0" fillId="3" borderId="313" xfId="17436" applyFont="1" applyFill="1" applyBorder="1" applyProtection="1">
      <protection hidden="1"/>
    </xf>
    <xf numFmtId="0" fontId="111" fillId="52" borderId="314" xfId="6465" applyFont="1" applyFill="1" applyBorder="1" applyAlignment="1" applyProtection="1">
      <alignment horizontal="center"/>
      <protection locked="0"/>
    </xf>
    <xf numFmtId="0" fontId="111" fillId="52" borderId="315" xfId="6465" applyFont="1" applyFill="1" applyBorder="1" applyAlignment="1" applyProtection="1">
      <alignment horizontal="center"/>
      <protection locked="0"/>
    </xf>
    <xf numFmtId="0" fontId="5" fillId="4" borderId="0" xfId="6465" applyFont="1" applyFill="1" applyAlignment="1" applyProtection="1">
      <alignment vertical="center"/>
      <protection hidden="1"/>
    </xf>
    <xf numFmtId="0" fontId="312" fillId="50" borderId="0" xfId="4660" applyFont="1" applyFill="1" applyProtection="1">
      <protection hidden="1"/>
    </xf>
    <xf numFmtId="0" fontId="313" fillId="50" borderId="0" xfId="6465" applyFont="1" applyFill="1" applyAlignment="1" applyProtection="1">
      <alignment horizontal="right"/>
      <protection hidden="1"/>
    </xf>
    <xf numFmtId="0" fontId="61" fillId="52" borderId="318" xfId="16065" applyFont="1" applyFill="1" applyBorder="1" applyAlignment="1" applyProtection="1">
      <alignment horizontal="center"/>
      <protection locked="0"/>
    </xf>
    <xf numFmtId="0" fontId="111" fillId="52" borderId="306" xfId="6465" applyFont="1" applyFill="1" applyBorder="1" applyAlignment="1" applyProtection="1">
      <alignment horizontal="center"/>
      <protection locked="0"/>
    </xf>
    <xf numFmtId="0" fontId="111" fillId="50" borderId="320" xfId="6465" applyFont="1" applyFill="1" applyBorder="1" applyAlignment="1" applyProtection="1">
      <alignment horizontal="center" wrapText="1"/>
      <protection hidden="1"/>
    </xf>
    <xf numFmtId="0" fontId="111" fillId="50" borderId="320" xfId="6465" applyFont="1" applyFill="1" applyBorder="1" applyAlignment="1" applyProtection="1">
      <alignment horizontal="center"/>
      <protection hidden="1"/>
    </xf>
    <xf numFmtId="0" fontId="111" fillId="50" borderId="321" xfId="6465" applyFont="1" applyFill="1" applyBorder="1" applyAlignment="1" applyProtection="1">
      <alignment horizontal="center"/>
      <protection hidden="1"/>
    </xf>
    <xf numFmtId="0" fontId="111" fillId="52" borderId="306" xfId="6465" applyFont="1" applyFill="1" applyBorder="1" applyAlignment="1" applyProtection="1">
      <alignment horizontal="center" wrapText="1"/>
      <protection locked="0"/>
    </xf>
    <xf numFmtId="1" fontId="111" fillId="52" borderId="306" xfId="4660" applyNumberFormat="1" applyFont="1" applyFill="1" applyBorder="1" applyAlignment="1" applyProtection="1">
      <alignment horizontal="center"/>
      <protection locked="0"/>
    </xf>
    <xf numFmtId="0" fontId="312" fillId="50" borderId="0" xfId="17436" applyFont="1" applyFill="1" applyProtection="1">
      <protection hidden="1"/>
    </xf>
    <xf numFmtId="0" fontId="111" fillId="50" borderId="0" xfId="17436" applyFont="1" applyFill="1" applyAlignment="1" applyProtection="1">
      <alignment vertical="center"/>
      <protection hidden="1"/>
    </xf>
    <xf numFmtId="0" fontId="312" fillId="50" borderId="0" xfId="17436" applyFont="1" applyFill="1" applyAlignment="1" applyProtection="1">
      <alignment horizontal="center"/>
      <protection hidden="1"/>
    </xf>
    <xf numFmtId="0" fontId="314" fillId="50" borderId="0" xfId="17436" applyFont="1" applyFill="1" applyAlignment="1" applyProtection="1">
      <alignment horizontal="center" vertical="center"/>
      <protection hidden="1"/>
    </xf>
    <xf numFmtId="0" fontId="111" fillId="0" borderId="322" xfId="17468" applyFont="1" applyBorder="1" applyProtection="1">
      <protection hidden="1"/>
    </xf>
    <xf numFmtId="169" fontId="111" fillId="0" borderId="322" xfId="17473" applyNumberFormat="1" applyFont="1" applyBorder="1" applyProtection="1">
      <protection hidden="1"/>
    </xf>
    <xf numFmtId="173" fontId="111" fillId="50" borderId="314" xfId="6465" applyNumberFormat="1" applyFont="1" applyFill="1" applyBorder="1" applyAlignment="1" applyProtection="1">
      <alignment horizontal="center"/>
      <protection hidden="1"/>
    </xf>
    <xf numFmtId="173" fontId="111" fillId="50" borderId="306" xfId="6465" applyNumberFormat="1" applyFont="1" applyFill="1" applyBorder="1" applyAlignment="1" applyProtection="1">
      <alignment horizontal="center"/>
      <protection hidden="1"/>
    </xf>
    <xf numFmtId="0" fontId="315" fillId="50" borderId="0" xfId="17436" applyFont="1" applyFill="1" applyProtection="1">
      <protection hidden="1"/>
    </xf>
    <xf numFmtId="0" fontId="111" fillId="50" borderId="0" xfId="6465" applyFont="1" applyFill="1" applyProtection="1">
      <protection hidden="1"/>
    </xf>
    <xf numFmtId="0" fontId="0" fillId="50" borderId="0" xfId="0" applyFill="1" applyProtection="1">
      <protection hidden="1"/>
    </xf>
    <xf numFmtId="0" fontId="111" fillId="50" borderId="306" xfId="6465" applyFont="1" applyFill="1" applyBorder="1" applyAlignment="1" applyProtection="1">
      <alignment horizontal="center"/>
      <protection hidden="1"/>
    </xf>
    <xf numFmtId="0" fontId="111" fillId="50" borderId="314" xfId="6465" applyFont="1" applyFill="1" applyBorder="1" applyAlignment="1" applyProtection="1">
      <alignment horizontal="center"/>
      <protection hidden="1"/>
    </xf>
    <xf numFmtId="0" fontId="111" fillId="50" borderId="325" xfId="6465" applyFont="1" applyFill="1" applyBorder="1" applyAlignment="1" applyProtection="1">
      <alignment horizontal="center"/>
      <protection hidden="1"/>
    </xf>
    <xf numFmtId="0" fontId="111" fillId="50" borderId="326" xfId="6465" applyFont="1" applyFill="1" applyBorder="1" applyAlignment="1" applyProtection="1">
      <alignment horizontal="center"/>
      <protection hidden="1"/>
    </xf>
    <xf numFmtId="0" fontId="111" fillId="50" borderId="327" xfId="6465" applyFont="1" applyFill="1" applyBorder="1" applyAlignment="1" applyProtection="1">
      <alignment horizontal="center"/>
      <protection hidden="1"/>
    </xf>
    <xf numFmtId="0" fontId="111" fillId="50" borderId="323" xfId="6465" applyFont="1" applyFill="1" applyBorder="1" applyAlignment="1" applyProtection="1">
      <alignment horizontal="center"/>
      <protection hidden="1"/>
    </xf>
    <xf numFmtId="169" fontId="111" fillId="50" borderId="314" xfId="6465" applyNumberFormat="1" applyFont="1" applyFill="1" applyBorder="1" applyAlignment="1" applyProtection="1">
      <alignment horizontal="center"/>
      <protection hidden="1"/>
    </xf>
    <xf numFmtId="169" fontId="111" fillId="50" borderId="325" xfId="6465" applyNumberFormat="1" applyFont="1" applyFill="1" applyBorder="1" applyAlignment="1" applyProtection="1">
      <alignment horizontal="center"/>
      <protection hidden="1"/>
    </xf>
    <xf numFmtId="0" fontId="312" fillId="50" borderId="0" xfId="17436" applyFont="1" applyFill="1" applyAlignment="1" applyProtection="1">
      <alignment horizontal="center" vertical="center"/>
      <protection hidden="1"/>
    </xf>
    <xf numFmtId="0" fontId="33" fillId="4" borderId="0" xfId="17414" applyFont="1" applyFill="1" applyAlignment="1" applyProtection="1">
      <alignment horizontal="left" vertical="top" wrapText="1"/>
      <protection hidden="1"/>
    </xf>
    <xf numFmtId="0" fontId="7" fillId="0" borderId="91" xfId="16065" applyFont="1" applyBorder="1" applyAlignment="1" applyProtection="1">
      <alignment horizontal="left"/>
      <protection hidden="1"/>
    </xf>
    <xf numFmtId="0" fontId="181" fillId="0" borderId="0" xfId="6465" applyFont="1" applyAlignment="1" applyProtection="1">
      <alignment horizontal="right"/>
      <protection hidden="1"/>
    </xf>
    <xf numFmtId="2" fontId="7" fillId="0" borderId="170" xfId="16065" applyNumberFormat="1" applyFont="1" applyBorder="1" applyAlignment="1" applyProtection="1">
      <alignment horizontal="center"/>
      <protection hidden="1"/>
    </xf>
    <xf numFmtId="0" fontId="25" fillId="0" borderId="18" xfId="69" applyFont="1" applyBorder="1" applyAlignment="1" applyProtection="1">
      <alignment vertical="center"/>
      <protection hidden="1"/>
    </xf>
    <xf numFmtId="0" fontId="7" fillId="0" borderId="234" xfId="16065" applyFont="1" applyBorder="1" applyAlignment="1" applyProtection="1">
      <alignment horizontal="center"/>
      <protection hidden="1"/>
    </xf>
    <xf numFmtId="0" fontId="7" fillId="0" borderId="236" xfId="6465" applyBorder="1" applyAlignment="1" applyProtection="1">
      <alignment horizontal="center"/>
      <protection hidden="1"/>
    </xf>
    <xf numFmtId="0" fontId="89" fillId="0" borderId="18" xfId="16065" applyFont="1" applyBorder="1" applyAlignment="1" applyProtection="1">
      <alignment horizontal="center"/>
      <protection hidden="1"/>
    </xf>
    <xf numFmtId="0" fontId="7" fillId="0" borderId="234" xfId="16065" applyFont="1" applyBorder="1" applyProtection="1">
      <protection hidden="1"/>
    </xf>
    <xf numFmtId="0" fontId="63" fillId="0" borderId="234" xfId="16065" applyFont="1" applyBorder="1" applyAlignment="1" applyProtection="1">
      <alignment horizontal="center"/>
      <protection hidden="1"/>
    </xf>
    <xf numFmtId="0" fontId="7" fillId="0" borderId="190" xfId="6465" applyBorder="1" applyAlignment="1" applyProtection="1">
      <alignment horizontal="center"/>
      <protection hidden="1"/>
    </xf>
    <xf numFmtId="0" fontId="7" fillId="0" borderId="189" xfId="16065" applyFont="1" applyBorder="1" applyProtection="1">
      <protection hidden="1"/>
    </xf>
    <xf numFmtId="0" fontId="7" fillId="0" borderId="18" xfId="0" applyFont="1" applyBorder="1" applyProtection="1">
      <protection hidden="1"/>
    </xf>
    <xf numFmtId="0" fontId="25" fillId="0" borderId="41" xfId="69" applyFont="1" applyBorder="1" applyAlignment="1" applyProtection="1">
      <alignment vertical="center"/>
      <protection hidden="1"/>
    </xf>
    <xf numFmtId="0" fontId="7" fillId="0" borderId="41" xfId="0" applyFont="1" applyBorder="1" applyProtection="1">
      <protection hidden="1"/>
    </xf>
    <xf numFmtId="0" fontId="7" fillId="0" borderId="27" xfId="16065" applyFont="1" applyBorder="1" applyProtection="1">
      <protection hidden="1"/>
    </xf>
    <xf numFmtId="0" fontId="7" fillId="3" borderId="0" xfId="0" applyFont="1" applyFill="1" applyProtection="1">
      <protection hidden="1"/>
    </xf>
    <xf numFmtId="0" fontId="7" fillId="5" borderId="262" xfId="6465" applyFill="1" applyBorder="1" applyAlignment="1" applyProtection="1">
      <alignment horizontal="center"/>
      <protection locked="0"/>
    </xf>
    <xf numFmtId="0" fontId="7" fillId="5" borderId="261" xfId="6465" applyFill="1" applyBorder="1" applyAlignment="1" applyProtection="1">
      <alignment horizontal="center"/>
      <protection locked="0"/>
    </xf>
    <xf numFmtId="0" fontId="7" fillId="5" borderId="143" xfId="6465" applyFill="1" applyBorder="1" applyAlignment="1" applyProtection="1">
      <alignment horizontal="center"/>
      <protection locked="0"/>
    </xf>
    <xf numFmtId="0" fontId="7" fillId="5" borderId="37" xfId="17436" applyFont="1" applyFill="1" applyBorder="1" applyProtection="1">
      <protection locked="0"/>
    </xf>
    <xf numFmtId="0" fontId="7" fillId="5" borderId="37" xfId="17436" applyFont="1" applyFill="1" applyBorder="1" applyAlignment="1" applyProtection="1">
      <alignment horizontal="right"/>
      <protection locked="0"/>
    </xf>
    <xf numFmtId="1" fontId="69" fillId="12" borderId="18" xfId="17436" applyNumberFormat="1" applyFont="1" applyFill="1" applyBorder="1" applyProtection="1">
      <protection locked="0"/>
    </xf>
    <xf numFmtId="1" fontId="7" fillId="5" borderId="37" xfId="17436" applyNumberFormat="1" applyFont="1" applyFill="1" applyBorder="1" applyProtection="1">
      <protection locked="0"/>
    </xf>
    <xf numFmtId="0" fontId="7" fillId="5" borderId="37" xfId="6465" applyFill="1" applyBorder="1" applyProtection="1">
      <protection locked="0"/>
    </xf>
    <xf numFmtId="1" fontId="7" fillId="5" borderId="37" xfId="6465" applyNumberFormat="1" applyFill="1" applyBorder="1" applyProtection="1">
      <protection locked="0"/>
    </xf>
    <xf numFmtId="0" fontId="72" fillId="0" borderId="0" xfId="6465" applyFont="1" applyProtection="1">
      <protection locked="0"/>
    </xf>
    <xf numFmtId="0" fontId="5" fillId="0" borderId="0" xfId="6465" applyFont="1" applyAlignment="1" applyProtection="1">
      <alignment vertical="center" wrapText="1"/>
      <protection locked="0"/>
    </xf>
    <xf numFmtId="0" fontId="7" fillId="0" borderId="18" xfId="17436" applyFont="1" applyBorder="1" applyProtection="1">
      <protection hidden="1"/>
    </xf>
    <xf numFmtId="0" fontId="77" fillId="0" borderId="0" xfId="6465" applyFont="1" applyAlignment="1" applyProtection="1">
      <alignment horizontal="center"/>
      <protection hidden="1"/>
    </xf>
    <xf numFmtId="0" fontId="77" fillId="0" borderId="18" xfId="6465" applyFont="1" applyBorder="1" applyAlignment="1" applyProtection="1">
      <alignment horizontal="center"/>
      <protection hidden="1"/>
    </xf>
    <xf numFmtId="0" fontId="7" fillId="4" borderId="333" xfId="6465" applyFill="1" applyBorder="1" applyAlignment="1" applyProtection="1">
      <alignment horizontal="center"/>
      <protection hidden="1"/>
    </xf>
    <xf numFmtId="0" fontId="7" fillId="5" borderId="334" xfId="6465" applyFill="1" applyBorder="1" applyAlignment="1" applyProtection="1">
      <alignment horizontal="center"/>
      <protection locked="0"/>
    </xf>
    <xf numFmtId="0" fontId="7" fillId="5" borderId="333" xfId="6465" applyFill="1" applyBorder="1" applyAlignment="1" applyProtection="1">
      <alignment horizontal="center"/>
      <protection locked="0"/>
    </xf>
    <xf numFmtId="0" fontId="7" fillId="4" borderId="334" xfId="6465" applyFill="1" applyBorder="1" applyAlignment="1" applyProtection="1">
      <alignment horizontal="center"/>
      <protection hidden="1"/>
    </xf>
    <xf numFmtId="0" fontId="7" fillId="18" borderId="334" xfId="4660" applyFont="1" applyFill="1" applyBorder="1" applyAlignment="1" applyProtection="1">
      <alignment horizontal="center"/>
      <protection locked="0"/>
    </xf>
    <xf numFmtId="2" fontId="7" fillId="4" borderId="334" xfId="6465" applyNumberFormat="1" applyFill="1" applyBorder="1" applyAlignment="1" applyProtection="1">
      <alignment horizontal="center"/>
      <protection hidden="1"/>
    </xf>
    <xf numFmtId="0" fontId="7" fillId="0" borderId="334" xfId="4660" applyFont="1" applyBorder="1" applyAlignment="1" applyProtection="1">
      <alignment horizontal="center"/>
      <protection hidden="1"/>
    </xf>
    <xf numFmtId="0" fontId="7" fillId="4" borderId="334" xfId="4660" applyFont="1" applyFill="1" applyBorder="1" applyAlignment="1" applyProtection="1">
      <alignment horizontal="center"/>
      <protection hidden="1"/>
    </xf>
    <xf numFmtId="0" fontId="7" fillId="5" borderId="334" xfId="4660" applyFont="1" applyFill="1" applyBorder="1" applyAlignment="1" applyProtection="1">
      <alignment horizontal="center"/>
      <protection locked="0"/>
    </xf>
    <xf numFmtId="2" fontId="7" fillId="0" borderId="334" xfId="4660" applyNumberFormat="1" applyFont="1" applyBorder="1" applyAlignment="1" applyProtection="1">
      <alignment horizontal="center"/>
      <protection hidden="1"/>
    </xf>
    <xf numFmtId="0" fontId="7" fillId="9" borderId="334" xfId="4660" applyFont="1" applyFill="1" applyBorder="1" applyAlignment="1" applyProtection="1">
      <alignment horizontal="center"/>
      <protection hidden="1"/>
    </xf>
    <xf numFmtId="2" fontId="7" fillId="9" borderId="334" xfId="4660" applyNumberFormat="1" applyFont="1" applyFill="1" applyBorder="1" applyAlignment="1" applyProtection="1">
      <alignment horizontal="center"/>
      <protection hidden="1"/>
    </xf>
    <xf numFmtId="0" fontId="7" fillId="4" borderId="335" xfId="4660" applyFont="1" applyFill="1" applyBorder="1" applyAlignment="1" applyProtection="1">
      <alignment horizontal="center"/>
      <protection hidden="1"/>
    </xf>
    <xf numFmtId="0" fontId="7" fillId="5" borderId="336" xfId="4660" applyFont="1" applyFill="1" applyBorder="1" applyAlignment="1" applyProtection="1">
      <alignment horizontal="center"/>
      <protection locked="0"/>
    </xf>
    <xf numFmtId="0" fontId="7" fillId="5" borderId="337" xfId="4660" applyFont="1" applyFill="1" applyBorder="1" applyAlignment="1" applyProtection="1">
      <alignment horizontal="center"/>
      <protection locked="0"/>
    </xf>
    <xf numFmtId="0" fontId="319" fillId="2" borderId="0" xfId="17468" applyFont="1" applyFill="1" applyAlignment="1" applyProtection="1">
      <alignment horizontal="center"/>
      <protection hidden="1"/>
    </xf>
    <xf numFmtId="0" fontId="319" fillId="4" borderId="0" xfId="17468" applyFont="1" applyFill="1" applyAlignment="1" applyProtection="1">
      <alignment horizontal="center"/>
      <protection hidden="1"/>
    </xf>
    <xf numFmtId="0" fontId="305" fillId="4" borderId="0" xfId="8678" applyFont="1" applyFill="1" applyProtection="1">
      <protection hidden="1"/>
    </xf>
    <xf numFmtId="176" fontId="7" fillId="0" borderId="334" xfId="4660" applyNumberFormat="1" applyFont="1" applyBorder="1" applyAlignment="1" applyProtection="1">
      <alignment horizontal="center"/>
      <protection hidden="1"/>
    </xf>
    <xf numFmtId="0" fontId="321" fillId="2" borderId="0" xfId="6465" applyFont="1" applyFill="1" applyProtection="1">
      <protection hidden="1"/>
    </xf>
    <xf numFmtId="0" fontId="321" fillId="2" borderId="0" xfId="6465" applyFont="1" applyFill="1" applyAlignment="1" applyProtection="1">
      <alignment horizontal="center"/>
      <protection hidden="1"/>
    </xf>
    <xf numFmtId="0" fontId="17" fillId="0" borderId="154" xfId="17436" applyFont="1" applyBorder="1" applyAlignment="1" applyProtection="1">
      <alignment horizontal="center"/>
      <protection hidden="1"/>
    </xf>
    <xf numFmtId="168" fontId="99" fillId="4" borderId="338" xfId="16065" applyNumberFormat="1" applyFont="1" applyFill="1" applyBorder="1" applyAlignment="1" applyProtection="1">
      <alignment horizontal="center"/>
      <protection hidden="1"/>
    </xf>
    <xf numFmtId="168" fontId="99" fillId="4" borderId="339" xfId="16065" applyNumberFormat="1" applyFont="1" applyFill="1" applyBorder="1" applyAlignment="1" applyProtection="1">
      <alignment horizontal="center"/>
      <protection hidden="1"/>
    </xf>
    <xf numFmtId="2" fontId="99" fillId="4" borderId="340" xfId="0" applyNumberFormat="1" applyFont="1" applyFill="1" applyBorder="1" applyAlignment="1" applyProtection="1">
      <alignment horizontal="center"/>
      <protection hidden="1"/>
    </xf>
    <xf numFmtId="0" fontId="25" fillId="0" borderId="339" xfId="69" applyFont="1" applyBorder="1" applyAlignment="1" applyProtection="1">
      <alignment horizontal="right"/>
      <protection hidden="1"/>
    </xf>
    <xf numFmtId="2" fontId="7" fillId="4" borderId="341" xfId="6465" applyNumberFormat="1" applyFill="1" applyBorder="1" applyAlignment="1" applyProtection="1">
      <alignment horizontal="right"/>
      <protection hidden="1"/>
    </xf>
    <xf numFmtId="168" fontId="99" fillId="4" borderId="49" xfId="6465" applyNumberFormat="1" applyFont="1" applyFill="1" applyBorder="1" applyAlignment="1" applyProtection="1">
      <alignment horizontal="right"/>
      <protection hidden="1"/>
    </xf>
    <xf numFmtId="2" fontId="99" fillId="4" borderId="55" xfId="0" applyNumberFormat="1" applyFont="1" applyFill="1" applyBorder="1" applyAlignment="1" applyProtection="1">
      <alignment horizontal="right"/>
      <protection hidden="1"/>
    </xf>
    <xf numFmtId="0" fontId="102" fillId="0" borderId="342" xfId="69" applyFont="1" applyBorder="1" applyAlignment="1" applyProtection="1">
      <alignment horizontal="right"/>
      <protection hidden="1"/>
    </xf>
    <xf numFmtId="0" fontId="25" fillId="0" borderId="343" xfId="69" applyFont="1" applyBorder="1" applyAlignment="1" applyProtection="1">
      <alignment horizontal="right"/>
      <protection hidden="1"/>
    </xf>
    <xf numFmtId="0" fontId="106" fillId="0" borderId="0" xfId="17399" applyFont="1" applyAlignment="1" applyProtection="1">
      <alignment horizontal="center"/>
      <protection hidden="1"/>
    </xf>
    <xf numFmtId="0" fontId="111" fillId="0" borderId="0" xfId="16065" applyFont="1" applyProtection="1">
      <protection hidden="1"/>
    </xf>
    <xf numFmtId="1" fontId="7" fillId="15" borderId="100" xfId="4660" applyNumberFormat="1" applyFont="1" applyFill="1" applyBorder="1" applyAlignment="1" applyProtection="1">
      <alignment horizontal="center"/>
      <protection hidden="1"/>
    </xf>
    <xf numFmtId="0" fontId="10" fillId="2" borderId="0" xfId="4660" applyFont="1" applyFill="1" applyAlignment="1" applyProtection="1">
      <alignment vertical="top"/>
      <protection hidden="1"/>
    </xf>
    <xf numFmtId="0" fontId="322" fillId="50" borderId="0" xfId="6465" applyFont="1" applyFill="1" applyProtection="1">
      <protection hidden="1"/>
    </xf>
    <xf numFmtId="0" fontId="17" fillId="14" borderId="0" xfId="16146" applyFont="1" applyFill="1" applyAlignment="1" applyProtection="1">
      <alignment horizontal="right"/>
      <protection hidden="1"/>
    </xf>
    <xf numFmtId="0" fontId="5" fillId="3" borderId="0" xfId="17399" applyFont="1" applyFill="1" applyProtection="1">
      <protection hidden="1"/>
    </xf>
    <xf numFmtId="0" fontId="43" fillId="4" borderId="0" xfId="6465" applyFont="1" applyFill="1" applyAlignment="1" applyProtection="1">
      <alignment horizontal="left"/>
      <protection hidden="1"/>
    </xf>
    <xf numFmtId="0" fontId="0" fillId="3" borderId="0" xfId="4660" applyFont="1" applyFill="1" applyAlignment="1" applyProtection="1">
      <alignment horizontal="left" vertical="top" wrapText="1"/>
      <protection hidden="1"/>
    </xf>
    <xf numFmtId="0" fontId="0" fillId="0" borderId="0" xfId="0" applyAlignment="1" applyProtection="1">
      <alignment wrapText="1"/>
      <protection hidden="1"/>
    </xf>
    <xf numFmtId="0" fontId="7" fillId="0" borderId="144" xfId="0" applyFont="1" applyBorder="1" applyAlignment="1" applyProtection="1">
      <alignment horizontal="left"/>
      <protection hidden="1"/>
    </xf>
    <xf numFmtId="0" fontId="7" fillId="5" borderId="201" xfId="16065" applyFont="1" applyFill="1" applyBorder="1" applyAlignment="1" applyProtection="1">
      <alignment horizontal="center"/>
      <protection locked="0"/>
    </xf>
    <xf numFmtId="0" fontId="7" fillId="5" borderId="203" xfId="16065" applyFont="1" applyFill="1" applyBorder="1" applyAlignment="1" applyProtection="1">
      <alignment horizontal="center"/>
      <protection locked="0"/>
    </xf>
    <xf numFmtId="0" fontId="7" fillId="5" borderId="205" xfId="16065" applyFont="1" applyFill="1" applyBorder="1" applyAlignment="1" applyProtection="1">
      <alignment horizontal="center"/>
      <protection locked="0"/>
    </xf>
    <xf numFmtId="0" fontId="7" fillId="5" borderId="213" xfId="16065" applyFont="1" applyFill="1" applyBorder="1" applyAlignment="1" applyProtection="1">
      <alignment horizontal="center"/>
      <protection locked="0"/>
    </xf>
    <xf numFmtId="0" fontId="7" fillId="5" borderId="214" xfId="16065" applyFont="1" applyFill="1" applyBorder="1" applyAlignment="1" applyProtection="1">
      <alignment horizontal="center"/>
      <protection locked="0"/>
    </xf>
    <xf numFmtId="0" fontId="7" fillId="5" borderId="217" xfId="16065" applyFont="1" applyFill="1" applyBorder="1" applyAlignment="1" applyProtection="1">
      <alignment horizontal="center"/>
      <protection locked="0"/>
    </xf>
    <xf numFmtId="0" fontId="7" fillId="5" borderId="219" xfId="16065" applyFont="1" applyFill="1" applyBorder="1" applyAlignment="1" applyProtection="1">
      <alignment horizontal="center"/>
      <protection locked="0"/>
    </xf>
    <xf numFmtId="169" fontId="7" fillId="9" borderId="346" xfId="6465" applyNumberFormat="1" applyFill="1" applyBorder="1" applyAlignment="1" applyProtection="1">
      <alignment horizontal="center"/>
      <protection hidden="1"/>
    </xf>
    <xf numFmtId="169" fontId="17" fillId="0" borderId="27" xfId="16065" applyNumberFormat="1" applyFont="1" applyBorder="1" applyAlignment="1" applyProtection="1">
      <alignment horizontal="center"/>
      <protection hidden="1"/>
    </xf>
    <xf numFmtId="0" fontId="7" fillId="12" borderId="29" xfId="17437" applyFont="1" applyFill="1" applyBorder="1" applyProtection="1">
      <protection locked="0"/>
    </xf>
    <xf numFmtId="0" fontId="7" fillId="4" borderId="0" xfId="17488" applyFill="1" applyAlignment="1" applyProtection="1">
      <alignment horizontal="center"/>
      <protection hidden="1"/>
    </xf>
    <xf numFmtId="1" fontId="7" fillId="4" borderId="0" xfId="17488" applyNumberFormat="1" applyFill="1" applyProtection="1">
      <protection hidden="1"/>
    </xf>
    <xf numFmtId="0" fontId="78" fillId="4" borderId="29" xfId="17488" applyFont="1" applyFill="1" applyBorder="1" applyAlignment="1" applyProtection="1">
      <alignment horizontal="center" vertical="center"/>
      <protection hidden="1"/>
    </xf>
    <xf numFmtId="49" fontId="78" fillId="4" borderId="31" xfId="17488" applyNumberFormat="1" applyFont="1" applyFill="1" applyBorder="1" applyAlignment="1" applyProtection="1">
      <alignment horizontal="center" vertical="center"/>
      <protection hidden="1"/>
    </xf>
    <xf numFmtId="0" fontId="78" fillId="4" borderId="0" xfId="17488" applyFont="1" applyFill="1" applyAlignment="1" applyProtection="1">
      <alignment horizontal="center" vertical="center"/>
      <protection hidden="1"/>
    </xf>
    <xf numFmtId="49" fontId="78" fillId="4" borderId="18" xfId="17488" applyNumberFormat="1" applyFont="1" applyFill="1" applyBorder="1" applyAlignment="1" applyProtection="1">
      <alignment horizontal="center" vertical="center"/>
      <protection hidden="1"/>
    </xf>
    <xf numFmtId="168" fontId="325" fillId="50" borderId="0" xfId="16065" applyNumberFormat="1" applyFont="1" applyFill="1" applyProtection="1">
      <protection hidden="1"/>
    </xf>
    <xf numFmtId="168" fontId="326" fillId="50" borderId="0" xfId="16065" applyNumberFormat="1" applyFont="1" applyFill="1" applyProtection="1">
      <protection hidden="1"/>
    </xf>
    <xf numFmtId="0" fontId="26" fillId="2" borderId="0" xfId="6465" applyFont="1" applyFill="1" applyProtection="1">
      <protection hidden="1"/>
    </xf>
    <xf numFmtId="0" fontId="27" fillId="2" borderId="0" xfId="6465" applyFont="1" applyFill="1" applyAlignment="1" applyProtection="1">
      <alignment horizontal="left"/>
      <protection hidden="1"/>
    </xf>
    <xf numFmtId="0" fontId="26" fillId="2" borderId="0" xfId="6465" applyFont="1" applyFill="1" applyAlignment="1" applyProtection="1">
      <alignment horizontal="center"/>
      <protection hidden="1"/>
    </xf>
    <xf numFmtId="0" fontId="27" fillId="2" borderId="0" xfId="6465" applyFont="1" applyFill="1" applyProtection="1">
      <protection hidden="1"/>
    </xf>
    <xf numFmtId="0" fontId="22" fillId="4" borderId="0" xfId="69" applyFill="1" applyAlignment="1" applyProtection="1">
      <protection hidden="1"/>
    </xf>
    <xf numFmtId="0" fontId="57" fillId="4" borderId="0" xfId="16065" applyFont="1" applyFill="1" applyProtection="1">
      <protection hidden="1"/>
    </xf>
    <xf numFmtId="168" fontId="312" fillId="0" borderId="347" xfId="16065" applyNumberFormat="1" applyFont="1" applyBorder="1" applyAlignment="1" applyProtection="1">
      <alignment horizontal="center" vertical="center"/>
      <protection hidden="1"/>
    </xf>
    <xf numFmtId="0" fontId="33" fillId="4" borderId="0" xfId="16065" applyFont="1" applyFill="1" applyAlignment="1" applyProtection="1">
      <alignment wrapText="1"/>
      <protection hidden="1"/>
    </xf>
    <xf numFmtId="1" fontId="328" fillId="0" borderId="347" xfId="6465" applyNumberFormat="1" applyFont="1" applyBorder="1" applyAlignment="1" applyProtection="1">
      <alignment horizontal="center" vertical="center"/>
      <protection hidden="1"/>
    </xf>
    <xf numFmtId="170" fontId="328" fillId="50" borderId="347" xfId="6465" applyNumberFormat="1" applyFont="1" applyFill="1" applyBorder="1" applyAlignment="1" applyProtection="1">
      <alignment horizontal="center" vertical="center"/>
      <protection hidden="1"/>
    </xf>
    <xf numFmtId="0" fontId="329" fillId="4" borderId="0" xfId="6465" applyFont="1" applyFill="1" applyAlignment="1" applyProtection="1">
      <alignment horizontal="left"/>
      <protection hidden="1"/>
    </xf>
    <xf numFmtId="0" fontId="55" fillId="3" borderId="0" xfId="4660" applyFont="1" applyFill="1" applyProtection="1">
      <protection hidden="1"/>
    </xf>
    <xf numFmtId="0" fontId="325" fillId="50" borderId="0" xfId="16065" applyFont="1" applyFill="1" applyProtection="1">
      <protection hidden="1"/>
    </xf>
    <xf numFmtId="0" fontId="325" fillId="50" borderId="0" xfId="16065" applyFont="1" applyFill="1" applyAlignment="1" applyProtection="1">
      <alignment horizontal="center" wrapText="1"/>
      <protection hidden="1"/>
    </xf>
    <xf numFmtId="1" fontId="325" fillId="50" borderId="0" xfId="16065" applyNumberFormat="1" applyFont="1" applyFill="1" applyProtection="1">
      <protection hidden="1"/>
    </xf>
    <xf numFmtId="0" fontId="221" fillId="2" borderId="0" xfId="6465" applyFont="1" applyFill="1" applyAlignment="1" applyProtection="1">
      <alignment horizontal="left"/>
      <protection hidden="1"/>
    </xf>
    <xf numFmtId="0" fontId="10" fillId="2" borderId="0" xfId="6465" applyFont="1" applyFill="1" applyProtection="1">
      <protection hidden="1"/>
    </xf>
    <xf numFmtId="0" fontId="324" fillId="0" borderId="345" xfId="17399" applyFont="1" applyBorder="1" applyAlignment="1" applyProtection="1">
      <alignment vertical="center"/>
      <protection hidden="1"/>
    </xf>
    <xf numFmtId="0" fontId="322" fillId="50" borderId="312" xfId="6465" applyFont="1" applyFill="1" applyBorder="1" applyProtection="1">
      <protection hidden="1"/>
    </xf>
    <xf numFmtId="0" fontId="322" fillId="50" borderId="0" xfId="4660" applyFont="1" applyFill="1" applyProtection="1">
      <protection hidden="1"/>
    </xf>
    <xf numFmtId="0" fontId="0" fillId="0" borderId="0" xfId="16625" applyFont="1" applyProtection="1">
      <protection hidden="1"/>
    </xf>
    <xf numFmtId="0" fontId="330" fillId="0" borderId="0" xfId="0" applyFont="1" applyAlignment="1" applyProtection="1">
      <alignment horizontal="left" readingOrder="1"/>
      <protection hidden="1"/>
    </xf>
    <xf numFmtId="0" fontId="23" fillId="2" borderId="0" xfId="6465" applyFont="1" applyFill="1" applyAlignment="1" applyProtection="1">
      <alignment vertical="top"/>
      <protection hidden="1"/>
    </xf>
    <xf numFmtId="0" fontId="92" fillId="2" borderId="18" xfId="6465" applyFont="1" applyFill="1" applyBorder="1" applyAlignment="1" applyProtection="1">
      <alignment vertical="top"/>
      <protection hidden="1"/>
    </xf>
    <xf numFmtId="0" fontId="6" fillId="14" borderId="0" xfId="4660" applyFont="1" applyFill="1" applyProtection="1">
      <protection hidden="1"/>
    </xf>
    <xf numFmtId="0" fontId="7" fillId="0" borderId="334" xfId="4660" applyFont="1" applyBorder="1" applyAlignment="1" applyProtection="1">
      <alignment horizontal="left"/>
      <protection hidden="1"/>
    </xf>
    <xf numFmtId="0" fontId="61" fillId="2" borderId="0" xfId="6465" applyFont="1" applyFill="1" applyAlignment="1" applyProtection="1">
      <alignment horizontal="left"/>
      <protection hidden="1"/>
    </xf>
    <xf numFmtId="0" fontId="61" fillId="4" borderId="0" xfId="6465" applyFont="1" applyFill="1" applyAlignment="1" applyProtection="1">
      <alignment horizontal="left"/>
      <protection hidden="1"/>
    </xf>
    <xf numFmtId="166" fontId="61" fillId="4" borderId="0" xfId="6465" applyNumberFormat="1" applyFont="1" applyFill="1" applyAlignment="1" applyProtection="1">
      <alignment horizontal="left"/>
      <protection hidden="1"/>
    </xf>
    <xf numFmtId="2" fontId="61" fillId="2" borderId="0" xfId="6465" applyNumberFormat="1" applyFont="1" applyFill="1" applyAlignment="1" applyProtection="1">
      <alignment horizontal="right"/>
      <protection hidden="1"/>
    </xf>
    <xf numFmtId="0" fontId="333" fillId="3" borderId="0" xfId="4660" applyFont="1" applyFill="1" applyProtection="1">
      <protection hidden="1"/>
    </xf>
    <xf numFmtId="0" fontId="333" fillId="3" borderId="0" xfId="17475" applyFont="1" applyFill="1" applyProtection="1">
      <protection hidden="1"/>
    </xf>
    <xf numFmtId="0" fontId="333" fillId="2" borderId="0" xfId="17475" applyFont="1" applyFill="1" applyProtection="1">
      <protection hidden="1"/>
    </xf>
    <xf numFmtId="0" fontId="333" fillId="16" borderId="18" xfId="17475" applyFont="1" applyFill="1" applyBorder="1" applyAlignment="1" applyProtection="1">
      <alignment horizontal="center" vertical="top" wrapText="1"/>
      <protection hidden="1"/>
    </xf>
    <xf numFmtId="0" fontId="333" fillId="3" borderId="0" xfId="17475" applyFont="1" applyFill="1" applyAlignment="1" applyProtection="1">
      <alignment horizontal="left" vertical="top" wrapText="1"/>
      <protection hidden="1"/>
    </xf>
    <xf numFmtId="0" fontId="333" fillId="3" borderId="0" xfId="17468" applyFont="1" applyFill="1" applyProtection="1">
      <protection hidden="1"/>
    </xf>
    <xf numFmtId="0" fontId="333" fillId="3" borderId="0" xfId="17475" applyFont="1" applyFill="1" applyAlignment="1" applyProtection="1">
      <alignment horizontal="center"/>
      <protection hidden="1"/>
    </xf>
    <xf numFmtId="169" fontId="333" fillId="3" borderId="0" xfId="17468" applyNumberFormat="1" applyFont="1" applyFill="1" applyProtection="1">
      <protection hidden="1"/>
    </xf>
    <xf numFmtId="0" fontId="58" fillId="2" borderId="0" xfId="17399" applyFont="1" applyFill="1" applyProtection="1">
      <protection hidden="1"/>
    </xf>
    <xf numFmtId="0" fontId="156" fillId="50" borderId="0" xfId="6465" applyFont="1" applyFill="1" applyProtection="1">
      <protection hidden="1"/>
    </xf>
    <xf numFmtId="0" fontId="66" fillId="5" borderId="0" xfId="17399" applyFont="1" applyFill="1" applyAlignment="1" applyProtection="1">
      <alignment horizontal="center"/>
      <protection locked="0"/>
    </xf>
    <xf numFmtId="0" fontId="66" fillId="3" borderId="0" xfId="6465" applyFont="1" applyFill="1" applyProtection="1">
      <protection hidden="1"/>
    </xf>
    <xf numFmtId="0" fontId="229" fillId="4" borderId="0" xfId="6465" applyFont="1" applyFill="1" applyAlignment="1" applyProtection="1">
      <alignment vertical="top"/>
      <protection hidden="1"/>
    </xf>
    <xf numFmtId="0" fontId="230" fillId="4" borderId="0" xfId="69" applyFont="1" applyFill="1" applyAlignment="1" applyProtection="1">
      <alignment horizontal="center" vertical="top" wrapText="1"/>
      <protection hidden="1"/>
    </xf>
    <xf numFmtId="0" fontId="43" fillId="2" borderId="0" xfId="6465" applyFont="1" applyFill="1" applyAlignment="1" applyProtection="1">
      <alignment vertical="top"/>
      <protection hidden="1"/>
    </xf>
    <xf numFmtId="2" fontId="23" fillId="0" borderId="1" xfId="16067" applyNumberFormat="1" applyFont="1" applyBorder="1" applyAlignment="1" applyProtection="1">
      <alignment horizontal="center"/>
      <protection hidden="1"/>
    </xf>
    <xf numFmtId="2" fontId="23" fillId="0" borderId="100" xfId="16067" applyNumberFormat="1" applyFont="1" applyBorder="1" applyAlignment="1" applyProtection="1">
      <alignment horizontal="center"/>
      <protection hidden="1"/>
    </xf>
    <xf numFmtId="2" fontId="23" fillId="0" borderId="96" xfId="16067" applyNumberFormat="1" applyFont="1" applyBorder="1" applyAlignment="1" applyProtection="1">
      <alignment horizontal="center" wrapText="1"/>
      <protection hidden="1"/>
    </xf>
    <xf numFmtId="1" fontId="154" fillId="15" borderId="27" xfId="17414" applyNumberFormat="1" applyFont="1" applyFill="1" applyBorder="1" applyAlignment="1" applyProtection="1">
      <alignment horizontal="center"/>
      <protection hidden="1"/>
    </xf>
    <xf numFmtId="0" fontId="173" fillId="3" borderId="0" xfId="17414" applyFont="1" applyFill="1" applyAlignment="1" applyProtection="1">
      <alignment vertical="top" wrapText="1"/>
      <protection hidden="1"/>
    </xf>
    <xf numFmtId="0" fontId="169" fillId="0" borderId="100" xfId="17414" applyFont="1" applyBorder="1" applyProtection="1">
      <protection hidden="1"/>
    </xf>
    <xf numFmtId="0" fontId="169" fillId="0" borderId="106" xfId="17414" applyFont="1" applyBorder="1" applyProtection="1">
      <protection hidden="1"/>
    </xf>
    <xf numFmtId="0" fontId="81" fillId="0" borderId="61" xfId="17414" applyFont="1" applyBorder="1" applyProtection="1">
      <protection hidden="1"/>
    </xf>
    <xf numFmtId="0" fontId="81" fillId="0" borderId="100" xfId="17414" applyFont="1" applyBorder="1" applyProtection="1">
      <protection hidden="1"/>
    </xf>
    <xf numFmtId="0" fontId="81" fillId="3" borderId="68" xfId="17414" applyFont="1" applyFill="1" applyBorder="1" applyProtection="1">
      <protection hidden="1"/>
    </xf>
    <xf numFmtId="1" fontId="93" fillId="15" borderId="28" xfId="17414" applyNumberFormat="1" applyFont="1" applyFill="1" applyBorder="1" applyAlignment="1" applyProtection="1">
      <alignment horizontal="center"/>
      <protection hidden="1"/>
    </xf>
    <xf numFmtId="2" fontId="23" fillId="0" borderId="150" xfId="16067" applyNumberFormat="1" applyFont="1" applyBorder="1" applyAlignment="1" applyProtection="1">
      <alignment horizontal="center"/>
      <protection hidden="1"/>
    </xf>
    <xf numFmtId="1" fontId="17" fillId="3" borderId="137" xfId="17414" applyNumberFormat="1" applyFont="1" applyFill="1" applyBorder="1" applyAlignment="1" applyProtection="1">
      <alignment horizontal="center"/>
      <protection hidden="1"/>
    </xf>
    <xf numFmtId="1" fontId="17" fillId="3" borderId="349" xfId="17414" applyNumberFormat="1" applyFont="1" applyFill="1" applyBorder="1" applyAlignment="1" applyProtection="1">
      <alignment horizontal="center"/>
      <protection hidden="1"/>
    </xf>
    <xf numFmtId="0" fontId="336" fillId="0" borderId="0" xfId="0" applyFont="1" applyProtection="1">
      <protection hidden="1"/>
    </xf>
    <xf numFmtId="0" fontId="23" fillId="30" borderId="96" xfId="17414" applyFont="1" applyFill="1" applyBorder="1" applyAlignment="1" applyProtection="1">
      <alignment horizontal="center"/>
      <protection locked="0"/>
    </xf>
    <xf numFmtId="0" fontId="23" fillId="5" borderId="148" xfId="17414" applyFont="1" applyFill="1" applyBorder="1" applyAlignment="1" applyProtection="1">
      <alignment horizontal="center"/>
      <protection locked="0"/>
    </xf>
    <xf numFmtId="168" fontId="123" fillId="3" borderId="133" xfId="17414" applyNumberFormat="1" applyFont="1" applyFill="1" applyBorder="1" applyAlignment="1" applyProtection="1">
      <alignment horizontal="center" vertical="center"/>
      <protection hidden="1"/>
    </xf>
    <xf numFmtId="168" fontId="94" fillId="3" borderId="135" xfId="17414" applyNumberFormat="1" applyFont="1" applyFill="1" applyBorder="1" applyAlignment="1" applyProtection="1">
      <alignment horizontal="center" vertical="center"/>
      <protection hidden="1"/>
    </xf>
    <xf numFmtId="168" fontId="94" fillId="3" borderId="138" xfId="17414" applyNumberFormat="1" applyFont="1" applyFill="1" applyBorder="1" applyAlignment="1" applyProtection="1">
      <alignment horizontal="center" vertical="center"/>
      <protection hidden="1"/>
    </xf>
    <xf numFmtId="2" fontId="123" fillId="3" borderId="139" xfId="17414" applyNumberFormat="1" applyFont="1" applyFill="1" applyBorder="1" applyAlignment="1" applyProtection="1">
      <alignment horizontal="center"/>
      <protection hidden="1"/>
    </xf>
    <xf numFmtId="168" fontId="43" fillId="3" borderId="61" xfId="17414" applyNumberFormat="1" applyFont="1" applyFill="1" applyBorder="1" applyAlignment="1" applyProtection="1">
      <alignment horizontal="center"/>
      <protection hidden="1"/>
    </xf>
    <xf numFmtId="168" fontId="61" fillId="0" borderId="0" xfId="6465" applyNumberFormat="1" applyFont="1" applyAlignment="1" applyProtection="1">
      <alignment horizontal="right" vertical="top"/>
      <protection hidden="1"/>
    </xf>
    <xf numFmtId="168" fontId="61" fillId="0" borderId="0" xfId="6465" applyNumberFormat="1" applyFont="1" applyAlignment="1" applyProtection="1">
      <alignment horizontal="right"/>
      <protection hidden="1"/>
    </xf>
    <xf numFmtId="0" fontId="0" fillId="0" borderId="30" xfId="17436" applyFont="1" applyBorder="1" applyProtection="1">
      <protection hidden="1"/>
    </xf>
    <xf numFmtId="0" fontId="0" fillId="0" borderId="29" xfId="6465" applyFont="1" applyBorder="1" applyProtection="1">
      <protection hidden="1"/>
    </xf>
    <xf numFmtId="0" fontId="0" fillId="3" borderId="0" xfId="4660" applyFont="1" applyFill="1" applyAlignment="1" applyProtection="1">
      <alignment vertical="top"/>
      <protection hidden="1"/>
    </xf>
    <xf numFmtId="0" fontId="0" fillId="4" borderId="0" xfId="17475" applyFont="1" applyFill="1" applyAlignment="1" applyProtection="1">
      <alignment vertical="top"/>
      <protection hidden="1"/>
    </xf>
    <xf numFmtId="0" fontId="0" fillId="0" borderId="0" xfId="4660" applyFont="1" applyAlignment="1" applyProtection="1">
      <alignment vertical="top"/>
      <protection hidden="1"/>
    </xf>
    <xf numFmtId="168" fontId="51" fillId="4" borderId="0" xfId="8678" applyNumberFormat="1" applyFont="1" applyFill="1" applyAlignment="1" applyProtection="1">
      <alignment horizontal="right" vertical="top"/>
      <protection hidden="1"/>
    </xf>
    <xf numFmtId="0" fontId="0" fillId="2" borderId="0" xfId="8678" applyFont="1" applyFill="1" applyAlignment="1" applyProtection="1">
      <alignment vertical="top"/>
      <protection hidden="1"/>
    </xf>
    <xf numFmtId="0" fontId="7" fillId="5" borderId="254" xfId="16065" applyFont="1" applyFill="1" applyBorder="1" applyAlignment="1" applyProtection="1">
      <alignment horizontal="center"/>
      <protection locked="0"/>
    </xf>
    <xf numFmtId="0" fontId="7" fillId="0" borderId="167" xfId="16065" applyFont="1" applyBorder="1" applyAlignment="1" applyProtection="1">
      <alignment horizontal="center"/>
      <protection hidden="1"/>
    </xf>
    <xf numFmtId="0" fontId="77" fillId="96" borderId="353" xfId="0" applyFont="1" applyFill="1" applyBorder="1" applyProtection="1">
      <protection hidden="1"/>
    </xf>
    <xf numFmtId="0" fontId="123" fillId="5" borderId="141" xfId="4660" applyFont="1" applyFill="1" applyBorder="1" applyAlignment="1" applyProtection="1">
      <alignment horizontal="center"/>
      <protection locked="0"/>
    </xf>
    <xf numFmtId="0" fontId="340" fillId="50" borderId="0" xfId="0" applyFont="1" applyFill="1" applyProtection="1">
      <protection hidden="1"/>
    </xf>
    <xf numFmtId="0" fontId="111" fillId="52" borderId="306" xfId="6465" applyFont="1" applyFill="1" applyBorder="1" applyAlignment="1" applyProtection="1">
      <alignment horizontal="center" vertical="center" wrapText="1"/>
      <protection locked="0"/>
    </xf>
    <xf numFmtId="171" fontId="341" fillId="2" borderId="0" xfId="69" applyNumberFormat="1" applyFont="1" applyFill="1" applyAlignment="1" applyProtection="1">
      <protection hidden="1"/>
    </xf>
    <xf numFmtId="0" fontId="62" fillId="2" borderId="17" xfId="6465" applyFont="1" applyFill="1" applyBorder="1" applyAlignment="1" applyProtection="1">
      <alignment horizontal="left"/>
      <protection hidden="1"/>
    </xf>
    <xf numFmtId="0" fontId="306" fillId="50" borderId="0" xfId="16146" applyFont="1" applyFill="1" applyAlignment="1" applyProtection="1">
      <alignment horizontal="right"/>
      <protection hidden="1"/>
    </xf>
    <xf numFmtId="0" fontId="74" fillId="14" borderId="0" xfId="16146" applyFont="1" applyFill="1" applyProtection="1">
      <protection hidden="1"/>
    </xf>
    <xf numFmtId="0" fontId="7" fillId="9" borderId="355" xfId="17475" applyFill="1" applyBorder="1" applyAlignment="1" applyProtection="1">
      <alignment horizontal="center"/>
      <protection hidden="1"/>
    </xf>
    <xf numFmtId="0" fontId="7" fillId="9" borderId="356" xfId="17475" applyFill="1" applyBorder="1" applyAlignment="1" applyProtection="1">
      <alignment horizontal="center"/>
      <protection hidden="1"/>
    </xf>
    <xf numFmtId="0" fontId="7" fillId="9" borderId="357" xfId="17475" applyFill="1" applyBorder="1" applyAlignment="1" applyProtection="1">
      <alignment horizontal="center"/>
      <protection hidden="1"/>
    </xf>
    <xf numFmtId="168" fontId="7" fillId="54" borderId="357" xfId="4660" applyNumberFormat="1" applyFont="1" applyFill="1" applyBorder="1" applyAlignment="1" applyProtection="1">
      <alignment horizontal="center"/>
      <protection hidden="1"/>
    </xf>
    <xf numFmtId="0" fontId="7" fillId="18" borderId="360" xfId="4660" applyFont="1" applyFill="1" applyBorder="1" applyAlignment="1" applyProtection="1">
      <alignment horizontal="center"/>
      <protection locked="0"/>
    </xf>
    <xf numFmtId="0" fontId="7" fillId="18" borderId="357" xfId="4660" applyFont="1" applyFill="1" applyBorder="1" applyAlignment="1" applyProtection="1">
      <alignment horizontal="center"/>
      <protection locked="0"/>
    </xf>
    <xf numFmtId="0" fontId="23" fillId="14" borderId="363" xfId="6465" applyFont="1" applyFill="1" applyBorder="1" applyAlignment="1" applyProtection="1">
      <alignment horizontal="center"/>
      <protection hidden="1"/>
    </xf>
    <xf numFmtId="169" fontId="111" fillId="50" borderId="306" xfId="0" applyNumberFormat="1" applyFont="1" applyFill="1" applyBorder="1" applyAlignment="1" applyProtection="1">
      <alignment horizontal="center"/>
      <protection hidden="1"/>
    </xf>
    <xf numFmtId="169" fontId="111" fillId="0" borderId="306" xfId="0" applyNumberFormat="1" applyFont="1" applyBorder="1" applyAlignment="1" applyProtection="1">
      <alignment horizontal="center"/>
      <protection hidden="1"/>
    </xf>
    <xf numFmtId="2" fontId="111" fillId="0" borderId="306" xfId="0" applyNumberFormat="1" applyFont="1" applyBorder="1" applyAlignment="1" applyProtection="1">
      <alignment horizontal="center"/>
      <protection hidden="1"/>
    </xf>
    <xf numFmtId="0" fontId="111" fillId="52" borderId="306" xfId="17475" applyFont="1" applyFill="1" applyBorder="1" applyAlignment="1" applyProtection="1">
      <alignment horizontal="center"/>
      <protection locked="0"/>
    </xf>
    <xf numFmtId="0" fontId="111" fillId="0" borderId="306" xfId="17475" applyFont="1" applyBorder="1" applyAlignment="1" applyProtection="1">
      <alignment horizontal="center"/>
      <protection hidden="1"/>
    </xf>
    <xf numFmtId="168" fontId="7" fillId="23" borderId="368" xfId="17481" applyNumberFormat="1" applyFill="1" applyBorder="1" applyAlignment="1" applyProtection="1">
      <alignment horizontal="center"/>
      <protection hidden="1"/>
    </xf>
    <xf numFmtId="168" fontId="7" fillId="4" borderId="96" xfId="17475" applyNumberFormat="1" applyFill="1" applyBorder="1" applyAlignment="1" applyProtection="1">
      <alignment horizontal="center"/>
      <protection hidden="1"/>
    </xf>
    <xf numFmtId="0" fontId="7" fillId="5" borderId="141" xfId="17475" applyFill="1" applyBorder="1" applyAlignment="1" applyProtection="1">
      <alignment horizontal="center"/>
      <protection locked="0"/>
    </xf>
    <xf numFmtId="0" fontId="7" fillId="5" borderId="369" xfId="17475" applyFill="1" applyBorder="1" applyAlignment="1" applyProtection="1">
      <alignment horizontal="center"/>
      <protection locked="0"/>
    </xf>
    <xf numFmtId="0" fontId="7" fillId="4" borderId="344" xfId="17475" applyFill="1" applyBorder="1" applyAlignment="1" applyProtection="1">
      <alignment horizontal="left"/>
      <protection hidden="1"/>
    </xf>
    <xf numFmtId="0" fontId="7" fillId="5" borderId="27" xfId="17475" applyFill="1" applyBorder="1" applyAlignment="1" applyProtection="1">
      <alignment horizontal="center"/>
      <protection locked="0"/>
    </xf>
    <xf numFmtId="0" fontId="0" fillId="3" borderId="0" xfId="6465" applyFont="1" applyFill="1" applyAlignment="1" applyProtection="1">
      <alignment horizontal="center"/>
      <protection hidden="1"/>
    </xf>
    <xf numFmtId="0" fontId="0" fillId="0" borderId="367" xfId="17436" applyFont="1" applyBorder="1" applyProtection="1">
      <protection hidden="1"/>
    </xf>
    <xf numFmtId="0" fontId="0" fillId="3" borderId="311" xfId="17436" applyFont="1" applyFill="1" applyBorder="1" applyProtection="1">
      <protection hidden="1"/>
    </xf>
    <xf numFmtId="0" fontId="0" fillId="3" borderId="346" xfId="17436" applyFont="1" applyFill="1" applyBorder="1" applyProtection="1">
      <protection hidden="1"/>
    </xf>
    <xf numFmtId="0" fontId="0" fillId="4" borderId="17" xfId="17436" applyFont="1" applyFill="1" applyBorder="1"/>
    <xf numFmtId="0" fontId="0" fillId="4" borderId="17" xfId="17436" applyFont="1" applyFill="1" applyBorder="1" applyProtection="1">
      <protection hidden="1"/>
    </xf>
    <xf numFmtId="0" fontId="70" fillId="4" borderId="17" xfId="4660" applyFont="1" applyFill="1" applyBorder="1" applyAlignment="1" applyProtection="1">
      <alignment horizontal="center" vertical="center"/>
      <protection hidden="1"/>
    </xf>
    <xf numFmtId="0" fontId="0" fillId="2" borderId="17" xfId="17436" applyFont="1" applyFill="1" applyBorder="1" applyProtection="1">
      <protection hidden="1"/>
    </xf>
    <xf numFmtId="168" fontId="347" fillId="53" borderId="370" xfId="0" applyNumberFormat="1" applyFont="1" applyFill="1" applyBorder="1" applyAlignment="1" applyProtection="1">
      <alignment horizontal="center"/>
      <protection hidden="1"/>
    </xf>
    <xf numFmtId="0" fontId="86" fillId="0" borderId="30" xfId="17475" applyFont="1" applyBorder="1" applyAlignment="1" applyProtection="1">
      <alignment horizontal="left"/>
      <protection hidden="1"/>
    </xf>
    <xf numFmtId="0" fontId="23" fillId="4" borderId="0" xfId="6465" applyFont="1" applyFill="1" applyAlignment="1" applyProtection="1">
      <alignment horizontal="left"/>
      <protection hidden="1"/>
    </xf>
    <xf numFmtId="0" fontId="23" fillId="63" borderId="0" xfId="17478" applyFill="1" applyProtection="1">
      <protection hidden="1"/>
    </xf>
    <xf numFmtId="0" fontId="164" fillId="7" borderId="361" xfId="4660" applyFont="1" applyFill="1" applyBorder="1" applyAlignment="1">
      <alignment horizontal="center"/>
    </xf>
    <xf numFmtId="0" fontId="95" fillId="4" borderId="0" xfId="17475" applyFont="1" applyFill="1" applyAlignment="1" applyProtection="1">
      <alignment horizontal="left" vertical="top" wrapText="1"/>
      <protection hidden="1"/>
    </xf>
    <xf numFmtId="0" fontId="22" fillId="0" borderId="0" xfId="69" applyProtection="1">
      <alignment vertical="top"/>
      <protection hidden="1"/>
    </xf>
    <xf numFmtId="0" fontId="247" fillId="3" borderId="0" xfId="6465" applyFont="1" applyFill="1" applyProtection="1">
      <protection hidden="1"/>
    </xf>
    <xf numFmtId="0" fontId="246" fillId="3" borderId="0" xfId="69" applyFont="1" applyFill="1" applyAlignment="1" applyProtection="1">
      <protection hidden="1"/>
    </xf>
    <xf numFmtId="2" fontId="247" fillId="2" borderId="0" xfId="17399" applyNumberFormat="1" applyFont="1" applyFill="1" applyProtection="1">
      <protection hidden="1"/>
    </xf>
    <xf numFmtId="0" fontId="111" fillId="50" borderId="306" xfId="6465" applyFont="1" applyFill="1" applyBorder="1" applyAlignment="1" applyProtection="1">
      <alignment horizontal="center" wrapText="1"/>
      <protection hidden="1"/>
    </xf>
    <xf numFmtId="0" fontId="7" fillId="4" borderId="0" xfId="6465" applyFill="1" applyAlignment="1" applyProtection="1">
      <alignment horizontal="left"/>
      <protection hidden="1"/>
    </xf>
    <xf numFmtId="0" fontId="74" fillId="4" borderId="0" xfId="6465" applyFont="1" applyFill="1" applyAlignment="1" applyProtection="1">
      <alignment horizontal="left" wrapText="1"/>
      <protection hidden="1"/>
    </xf>
    <xf numFmtId="0" fontId="7" fillId="4" borderId="0" xfId="69" applyFont="1" applyFill="1" applyAlignment="1" applyProtection="1">
      <alignment horizontal="left" vertical="center" wrapText="1"/>
      <protection hidden="1"/>
    </xf>
    <xf numFmtId="0" fontId="7" fillId="4" borderId="0" xfId="6465" applyFill="1" applyAlignment="1" applyProtection="1">
      <alignment horizontal="left" vertical="top" wrapText="1"/>
      <protection hidden="1"/>
    </xf>
    <xf numFmtId="0" fontId="3" fillId="2" borderId="0" xfId="0" applyFont="1" applyFill="1" applyAlignment="1" applyProtection="1">
      <alignment horizontal="left"/>
      <protection hidden="1"/>
    </xf>
    <xf numFmtId="0" fontId="62" fillId="3" borderId="0" xfId="6465" applyFont="1" applyFill="1" applyAlignment="1" applyProtection="1">
      <alignment horizontal="center"/>
      <protection hidden="1"/>
    </xf>
    <xf numFmtId="0" fontId="291" fillId="4" borderId="0" xfId="16065" applyFont="1" applyFill="1" applyAlignment="1" applyProtection="1">
      <alignment horizontal="center" wrapText="1"/>
      <protection hidden="1"/>
    </xf>
    <xf numFmtId="0" fontId="206" fillId="2" borderId="0" xfId="16065" applyFont="1" applyFill="1" applyAlignment="1" applyProtection="1">
      <alignment horizontal="center"/>
      <protection hidden="1"/>
    </xf>
    <xf numFmtId="168" fontId="7" fillId="4" borderId="0" xfId="6465" applyNumberFormat="1" applyFill="1" applyAlignment="1" applyProtection="1">
      <alignment horizontal="left"/>
      <protection hidden="1"/>
    </xf>
    <xf numFmtId="0" fontId="7" fillId="4" borderId="0" xfId="16065" applyFont="1" applyFill="1" applyAlignment="1" applyProtection="1">
      <alignment horizontal="center"/>
      <protection hidden="1"/>
    </xf>
    <xf numFmtId="0" fontId="7" fillId="2" borderId="0" xfId="6465" applyFill="1" applyAlignment="1" applyProtection="1">
      <alignment horizontal="left"/>
      <protection hidden="1"/>
    </xf>
    <xf numFmtId="0" fontId="7" fillId="0" borderId="0" xfId="0" applyFont="1" applyProtection="1">
      <protection hidden="1"/>
    </xf>
    <xf numFmtId="0" fontId="17" fillId="3" borderId="0" xfId="6465" applyFont="1" applyFill="1" applyAlignment="1" applyProtection="1">
      <alignment horizontal="left"/>
      <protection hidden="1"/>
    </xf>
    <xf numFmtId="0" fontId="61" fillId="3" borderId="0" xfId="6465" applyFont="1" applyFill="1" applyAlignment="1" applyProtection="1">
      <alignment horizontal="left" wrapText="1"/>
      <protection hidden="1"/>
    </xf>
    <xf numFmtId="0" fontId="7" fillId="0" borderId="234" xfId="0" applyFont="1" applyBorder="1" applyProtection="1">
      <protection hidden="1"/>
    </xf>
    <xf numFmtId="0" fontId="17" fillId="0" borderId="0" xfId="6465" applyFont="1" applyAlignment="1" applyProtection="1">
      <alignment horizontal="center"/>
      <protection hidden="1"/>
    </xf>
    <xf numFmtId="0" fontId="2" fillId="2" borderId="0" xfId="17436" applyFont="1" applyFill="1" applyAlignment="1" applyProtection="1">
      <alignment horizontal="left" vertical="center"/>
      <protection hidden="1"/>
    </xf>
    <xf numFmtId="0" fontId="2" fillId="2" borderId="0" xfId="6465" applyFont="1" applyFill="1" applyAlignment="1" applyProtection="1">
      <alignment horizontal="right"/>
      <protection hidden="1"/>
    </xf>
    <xf numFmtId="0" fontId="339" fillId="2" borderId="0" xfId="6465" applyFont="1" applyFill="1" applyAlignment="1" applyProtection="1">
      <alignment horizontal="center"/>
      <protection hidden="1"/>
    </xf>
    <xf numFmtId="168" fontId="7" fillId="4" borderId="41" xfId="6465" applyNumberFormat="1" applyFill="1" applyBorder="1" applyAlignment="1" applyProtection="1">
      <alignment horizontal="left"/>
      <protection hidden="1"/>
    </xf>
    <xf numFmtId="168" fontId="7" fillId="0" borderId="18" xfId="6465" applyNumberFormat="1" applyBorder="1" applyAlignment="1" applyProtection="1">
      <alignment horizontal="center"/>
      <protection hidden="1"/>
    </xf>
    <xf numFmtId="168" fontId="111" fillId="53" borderId="371" xfId="0" applyNumberFormat="1" applyFont="1" applyFill="1" applyBorder="1" applyAlignment="1" applyProtection="1">
      <alignment horizontal="center"/>
      <protection hidden="1"/>
    </xf>
    <xf numFmtId="0" fontId="7" fillId="9" borderId="0" xfId="17475" applyFill="1" applyAlignment="1" applyProtection="1">
      <alignment horizontal="center"/>
      <protection hidden="1"/>
    </xf>
    <xf numFmtId="0" fontId="111" fillId="50" borderId="314" xfId="6465" applyFont="1" applyFill="1" applyBorder="1" applyProtection="1">
      <protection hidden="1"/>
    </xf>
    <xf numFmtId="0" fontId="306" fillId="50" borderId="0" xfId="16146" applyFont="1" applyFill="1" applyProtection="1">
      <protection hidden="1"/>
    </xf>
    <xf numFmtId="0" fontId="234" fillId="0" borderId="0" xfId="4660" applyFont="1" applyAlignment="1" applyProtection="1">
      <alignment horizontal="center"/>
      <protection hidden="1"/>
    </xf>
    <xf numFmtId="0" fontId="7" fillId="2" borderId="0" xfId="6465" applyFill="1" applyAlignment="1" applyProtection="1">
      <alignment horizontal="left" wrapText="1"/>
      <protection hidden="1"/>
    </xf>
    <xf numFmtId="0" fontId="61" fillId="3" borderId="0" xfId="0" applyFont="1" applyFill="1" applyAlignment="1" applyProtection="1">
      <alignment horizontal="center" vertical="center"/>
      <protection hidden="1"/>
    </xf>
    <xf numFmtId="0" fontId="52" fillId="4" borderId="0" xfId="6465" applyFont="1" applyFill="1" applyAlignment="1" applyProtection="1">
      <alignment vertical="top" wrapText="1"/>
      <protection hidden="1"/>
    </xf>
    <xf numFmtId="0" fontId="7" fillId="0" borderId="0" xfId="17436" applyFont="1" applyAlignment="1" applyProtection="1">
      <alignment horizontal="left"/>
      <protection hidden="1"/>
    </xf>
    <xf numFmtId="0" fontId="7" fillId="3" borderId="0" xfId="17414" applyFont="1" applyFill="1" applyAlignment="1" applyProtection="1">
      <alignment horizontal="left" vertical="top" wrapText="1"/>
      <protection hidden="1"/>
    </xf>
    <xf numFmtId="0" fontId="63" fillId="0" borderId="18" xfId="6465" applyFont="1" applyBorder="1" applyAlignment="1" applyProtection="1">
      <alignment horizontal="left"/>
      <protection hidden="1"/>
    </xf>
    <xf numFmtId="0" fontId="156" fillId="0" borderId="0" xfId="17414" applyFont="1" applyAlignment="1" applyProtection="1">
      <alignment horizontal="center"/>
      <protection hidden="1"/>
    </xf>
    <xf numFmtId="0" fontId="7" fillId="3" borderId="30" xfId="17414" applyFont="1" applyFill="1" applyBorder="1" applyAlignment="1" applyProtection="1">
      <alignment horizontal="left"/>
      <protection hidden="1"/>
    </xf>
    <xf numFmtId="0" fontId="17" fillId="3" borderId="17" xfId="17414" applyFont="1" applyFill="1" applyBorder="1" applyAlignment="1" applyProtection="1">
      <alignment horizontal="left"/>
      <protection hidden="1"/>
    </xf>
    <xf numFmtId="0" fontId="7" fillId="3" borderId="0" xfId="17414" applyFont="1" applyFill="1" applyAlignment="1" applyProtection="1">
      <alignment horizontal="left"/>
      <protection hidden="1"/>
    </xf>
    <xf numFmtId="2" fontId="7" fillId="4" borderId="0" xfId="17414" applyNumberFormat="1" applyFont="1" applyFill="1" applyAlignment="1" applyProtection="1">
      <alignment horizontal="left"/>
      <protection hidden="1"/>
    </xf>
    <xf numFmtId="0" fontId="52" fillId="3" borderId="0" xfId="17451" applyFont="1" applyFill="1" applyAlignment="1" applyProtection="1">
      <alignment horizontal="left"/>
      <protection hidden="1"/>
    </xf>
    <xf numFmtId="0" fontId="7" fillId="0" borderId="17" xfId="17451" applyFont="1" applyBorder="1" applyProtection="1">
      <protection hidden="1"/>
    </xf>
    <xf numFmtId="0" fontId="7" fillId="0" borderId="28" xfId="17451" applyFont="1" applyBorder="1" applyProtection="1">
      <protection hidden="1"/>
    </xf>
    <xf numFmtId="0" fontId="19" fillId="2" borderId="0" xfId="69" applyFont="1" applyFill="1" applyAlignment="1" applyProtection="1">
      <alignment horizontal="left"/>
      <protection hidden="1"/>
    </xf>
    <xf numFmtId="0" fontId="24" fillId="0" borderId="0" xfId="6465" applyFont="1" applyAlignment="1" applyProtection="1">
      <alignment horizontal="center"/>
      <protection hidden="1"/>
    </xf>
    <xf numFmtId="0" fontId="25" fillId="3" borderId="0" xfId="69" applyFont="1" applyFill="1" applyAlignment="1" applyProtection="1">
      <alignment horizontal="right"/>
      <protection hidden="1"/>
    </xf>
    <xf numFmtId="0" fontId="305" fillId="2" borderId="0" xfId="16065" applyFill="1" applyAlignment="1" applyProtection="1">
      <alignment horizontal="center"/>
      <protection hidden="1"/>
    </xf>
    <xf numFmtId="0" fontId="44" fillId="4" borderId="0" xfId="16065" applyFont="1" applyFill="1" applyAlignment="1" applyProtection="1">
      <alignment horizontal="center" vertical="top"/>
      <protection hidden="1"/>
    </xf>
    <xf numFmtId="0" fontId="339" fillId="2" borderId="0" xfId="6465" applyFont="1" applyFill="1" applyAlignment="1" applyProtection="1">
      <alignment wrapText="1"/>
      <protection hidden="1"/>
    </xf>
    <xf numFmtId="0" fontId="145" fillId="3" borderId="0" xfId="69" applyFont="1" applyFill="1" applyProtection="1">
      <alignment vertical="top"/>
      <protection hidden="1"/>
    </xf>
    <xf numFmtId="0" fontId="7" fillId="2" borderId="29" xfId="6465" applyFill="1" applyBorder="1" applyAlignment="1" applyProtection="1">
      <alignment horizontal="left"/>
      <protection hidden="1"/>
    </xf>
    <xf numFmtId="0" fontId="58" fillId="3" borderId="359" xfId="4660" applyFont="1" applyFill="1" applyBorder="1" applyProtection="1">
      <protection hidden="1"/>
    </xf>
    <xf numFmtId="168" fontId="7" fillId="54" borderId="358" xfId="4660" applyNumberFormat="1" applyFont="1" applyFill="1" applyBorder="1" applyAlignment="1" applyProtection="1">
      <alignment horizontal="center"/>
      <protection hidden="1"/>
    </xf>
    <xf numFmtId="2" fontId="216" fillId="2" borderId="260" xfId="6465" applyNumberFormat="1" applyFont="1" applyFill="1" applyBorder="1" applyAlignment="1" applyProtection="1">
      <alignment horizontal="center"/>
      <protection hidden="1"/>
    </xf>
    <xf numFmtId="0" fontId="7" fillId="5" borderId="248" xfId="0" applyFont="1" applyFill="1" applyBorder="1" applyAlignment="1" applyProtection="1">
      <alignment horizontal="center"/>
      <protection locked="0"/>
    </xf>
    <xf numFmtId="0" fontId="7" fillId="12" borderId="255" xfId="0" applyFont="1" applyFill="1" applyBorder="1" applyProtection="1">
      <protection locked="0"/>
    </xf>
    <xf numFmtId="0" fontId="108" fillId="5" borderId="257" xfId="6465" applyFont="1" applyFill="1" applyBorder="1" applyProtection="1">
      <protection locked="0"/>
    </xf>
    <xf numFmtId="0" fontId="7" fillId="5" borderId="257" xfId="6465" applyFill="1" applyBorder="1" applyAlignment="1" applyProtection="1">
      <alignment horizontal="center"/>
      <protection locked="0"/>
    </xf>
    <xf numFmtId="0" fontId="7" fillId="5" borderId="191" xfId="0" applyFont="1" applyFill="1" applyBorder="1" applyAlignment="1" applyProtection="1">
      <alignment horizontal="center"/>
      <protection locked="0"/>
    </xf>
    <xf numFmtId="0" fontId="7" fillId="12" borderId="258" xfId="0" applyFont="1" applyFill="1" applyBorder="1" applyProtection="1">
      <protection locked="0"/>
    </xf>
    <xf numFmtId="0" fontId="178" fillId="0" borderId="0" xfId="17443" applyProtection="1">
      <protection hidden="1"/>
    </xf>
    <xf numFmtId="0" fontId="7" fillId="34" borderId="111" xfId="17414" applyFont="1" applyFill="1" applyBorder="1" applyAlignment="1" applyProtection="1">
      <alignment horizontal="center"/>
      <protection locked="0"/>
    </xf>
    <xf numFmtId="0" fontId="43" fillId="3" borderId="0" xfId="17414" applyFont="1" applyFill="1" applyAlignment="1" applyProtection="1">
      <alignment horizontal="left"/>
      <protection locked="0"/>
    </xf>
    <xf numFmtId="0" fontId="23" fillId="5" borderId="81" xfId="6465" applyFont="1" applyFill="1" applyBorder="1" applyProtection="1">
      <protection locked="0"/>
    </xf>
    <xf numFmtId="0" fontId="7" fillId="12" borderId="72" xfId="16065" applyFont="1" applyFill="1" applyBorder="1" applyProtection="1">
      <protection locked="0"/>
    </xf>
    <xf numFmtId="0" fontId="7" fillId="12" borderId="82" xfId="16065" applyFont="1" applyFill="1" applyBorder="1" applyProtection="1">
      <protection locked="0"/>
    </xf>
    <xf numFmtId="0" fontId="77" fillId="0" borderId="18" xfId="6465" applyFont="1" applyBorder="1" applyProtection="1">
      <protection hidden="1"/>
    </xf>
    <xf numFmtId="1" fontId="75" fillId="0" borderId="0" xfId="6465" applyNumberFormat="1" applyFont="1" applyAlignment="1" applyProtection="1">
      <alignment horizontal="center"/>
      <protection hidden="1"/>
    </xf>
    <xf numFmtId="1" fontId="75" fillId="0" borderId="18" xfId="6465" applyNumberFormat="1" applyFont="1" applyBorder="1" applyAlignment="1" applyProtection="1">
      <alignment horizontal="center"/>
      <protection hidden="1"/>
    </xf>
    <xf numFmtId="0" fontId="24" fillId="0" borderId="0" xfId="17436" applyFont="1" applyProtection="1">
      <protection hidden="1"/>
    </xf>
    <xf numFmtId="1" fontId="35" fillId="0" borderId="18" xfId="6465" applyNumberFormat="1" applyFont="1" applyBorder="1" applyAlignment="1" applyProtection="1">
      <alignment vertical="top" wrapText="1"/>
      <protection hidden="1"/>
    </xf>
    <xf numFmtId="1" fontId="35" fillId="0" borderId="0" xfId="6465" applyNumberFormat="1" applyFont="1" applyAlignment="1" applyProtection="1">
      <alignment vertical="top" wrapText="1"/>
      <protection hidden="1"/>
    </xf>
    <xf numFmtId="1" fontId="23" fillId="0" borderId="18" xfId="6465" applyNumberFormat="1" applyFont="1" applyBorder="1" applyAlignment="1" applyProtection="1">
      <alignment horizontal="left" vertical="top" wrapText="1"/>
      <protection hidden="1"/>
    </xf>
    <xf numFmtId="1" fontId="75" fillId="0" borderId="0" xfId="6465" applyNumberFormat="1" applyFont="1" applyAlignment="1" applyProtection="1">
      <alignment vertical="top" wrapText="1"/>
      <protection hidden="1"/>
    </xf>
    <xf numFmtId="1" fontId="75" fillId="0" borderId="18" xfId="6465" applyNumberFormat="1" applyFont="1" applyBorder="1" applyAlignment="1" applyProtection="1">
      <alignment vertical="top" wrapText="1"/>
      <protection hidden="1"/>
    </xf>
    <xf numFmtId="0" fontId="25" fillId="0" borderId="0" xfId="69" applyFont="1" applyProtection="1">
      <alignment vertical="top"/>
    </xf>
    <xf numFmtId="0" fontId="22" fillId="0" borderId="0" xfId="69" applyProtection="1">
      <alignment vertical="top"/>
    </xf>
    <xf numFmtId="0" fontId="349" fillId="64" borderId="0" xfId="17399" applyFont="1" applyFill="1"/>
    <xf numFmtId="0" fontId="25" fillId="0" borderId="0" xfId="69" applyFont="1" applyAlignment="1">
      <protection locked="0"/>
    </xf>
    <xf numFmtId="0" fontId="104" fillId="0" borderId="29" xfId="6465" applyFont="1" applyBorder="1" applyProtection="1">
      <protection hidden="1"/>
    </xf>
    <xf numFmtId="1" fontId="104" fillId="0" borderId="375" xfId="6465" applyNumberFormat="1" applyFont="1" applyBorder="1" applyAlignment="1" applyProtection="1">
      <alignment horizontal="center"/>
      <protection hidden="1"/>
    </xf>
    <xf numFmtId="0" fontId="7" fillId="18" borderId="376" xfId="0" applyFont="1" applyFill="1" applyBorder="1" applyAlignment="1" applyProtection="1">
      <alignment horizontal="center"/>
      <protection locked="0"/>
    </xf>
    <xf numFmtId="0" fontId="210" fillId="0" borderId="171" xfId="6465" applyFont="1" applyBorder="1" applyProtection="1">
      <protection hidden="1"/>
    </xf>
    <xf numFmtId="0" fontId="7" fillId="0" borderId="261" xfId="6465" applyBorder="1" applyProtection="1">
      <protection hidden="1"/>
    </xf>
    <xf numFmtId="2" fontId="7" fillId="0" borderId="377" xfId="6465" applyNumberFormat="1" applyBorder="1" applyAlignment="1" applyProtection="1">
      <alignment horizontal="center"/>
      <protection hidden="1"/>
    </xf>
    <xf numFmtId="1" fontId="7" fillId="5" borderId="378" xfId="6465" applyNumberFormat="1" applyFill="1" applyBorder="1" applyAlignment="1" applyProtection="1">
      <alignment horizontal="center"/>
      <protection locked="0"/>
    </xf>
    <xf numFmtId="2" fontId="7" fillId="0" borderId="379" xfId="16065" applyNumberFormat="1" applyFont="1" applyBorder="1" applyAlignment="1" applyProtection="1">
      <alignment horizontal="center"/>
      <protection hidden="1"/>
    </xf>
    <xf numFmtId="0" fontId="23" fillId="5" borderId="380" xfId="6465" applyFont="1" applyFill="1" applyBorder="1" applyAlignment="1" applyProtection="1">
      <alignment horizontal="center"/>
      <protection locked="0"/>
    </xf>
    <xf numFmtId="0" fontId="61" fillId="13" borderId="381" xfId="16065" applyFont="1" applyFill="1" applyBorder="1" applyAlignment="1" applyProtection="1">
      <alignment horizontal="center"/>
      <protection locked="0"/>
    </xf>
    <xf numFmtId="0" fontId="7" fillId="0" borderId="33" xfId="0" applyFont="1" applyBorder="1" applyAlignment="1" applyProtection="1">
      <alignment horizontal="center"/>
      <protection hidden="1"/>
    </xf>
    <xf numFmtId="0" fontId="7" fillId="0" borderId="292" xfId="0" applyFont="1" applyBorder="1" applyAlignment="1" applyProtection="1">
      <alignment horizontal="center"/>
      <protection hidden="1"/>
    </xf>
    <xf numFmtId="0" fontId="7" fillId="0" borderId="386" xfId="16065" applyFont="1" applyBorder="1" applyAlignment="1" applyProtection="1">
      <alignment horizontal="center"/>
      <protection hidden="1"/>
    </xf>
    <xf numFmtId="0" fontId="7" fillId="0" borderId="385" xfId="16065" applyFont="1" applyBorder="1" applyAlignment="1" applyProtection="1">
      <alignment horizontal="center"/>
      <protection hidden="1"/>
    </xf>
    <xf numFmtId="0" fontId="25" fillId="0" borderId="387" xfId="69" applyFont="1" applyBorder="1" applyAlignment="1" applyProtection="1">
      <alignment horizontal="right"/>
      <protection hidden="1"/>
    </xf>
    <xf numFmtId="168" fontId="7" fillId="4" borderId="0" xfId="6465" applyNumberFormat="1" applyFill="1" applyProtection="1">
      <protection hidden="1"/>
    </xf>
    <xf numFmtId="0" fontId="187" fillId="0" borderId="390" xfId="69" applyFont="1" applyBorder="1" applyAlignment="1" applyProtection="1">
      <alignment horizontal="left"/>
      <protection hidden="1"/>
    </xf>
    <xf numFmtId="0" fontId="123" fillId="30" borderId="29" xfId="17451" applyFont="1" applyFill="1" applyBorder="1" applyAlignment="1" applyProtection="1">
      <alignment horizontal="center"/>
      <protection hidden="1"/>
    </xf>
    <xf numFmtId="0" fontId="124" fillId="12" borderId="367" xfId="17451" applyFont="1" applyFill="1" applyBorder="1" applyAlignment="1" applyProtection="1">
      <alignment horizontal="center"/>
      <protection hidden="1"/>
    </xf>
    <xf numFmtId="2" fontId="61" fillId="2" borderId="350" xfId="16065" applyNumberFormat="1" applyFont="1" applyFill="1" applyBorder="1" applyProtection="1">
      <protection hidden="1"/>
    </xf>
    <xf numFmtId="0" fontId="2" fillId="4" borderId="0" xfId="6465" applyFont="1" applyFill="1" applyProtection="1">
      <protection hidden="1"/>
    </xf>
    <xf numFmtId="0" fontId="31" fillId="3" borderId="0" xfId="4660" applyFont="1" applyFill="1" applyAlignment="1" applyProtection="1">
      <alignment horizontal="left"/>
      <protection hidden="1"/>
    </xf>
    <xf numFmtId="0" fontId="7" fillId="0" borderId="1" xfId="17414" applyFont="1" applyBorder="1" applyAlignment="1">
      <alignment horizontal="left"/>
    </xf>
    <xf numFmtId="0" fontId="7" fillId="0" borderId="19" xfId="17414" applyFont="1" applyBorder="1" applyAlignment="1">
      <alignment horizontal="center"/>
    </xf>
    <xf numFmtId="0" fontId="151" fillId="0" borderId="1" xfId="17414" applyFont="1" applyBorder="1"/>
    <xf numFmtId="0" fontId="151" fillId="0" borderId="9" xfId="17414" applyFont="1" applyBorder="1"/>
    <xf numFmtId="0" fontId="91" fillId="0" borderId="122" xfId="17414" applyFont="1" applyBorder="1"/>
    <xf numFmtId="0" fontId="91" fillId="0" borderId="100" xfId="17414" applyFont="1" applyBorder="1"/>
    <xf numFmtId="0" fontId="91" fillId="0" borderId="106" xfId="17414" applyFont="1" applyBorder="1"/>
    <xf numFmtId="0" fontId="154" fillId="0" borderId="122" xfId="17414" applyFont="1" applyBorder="1"/>
    <xf numFmtId="0" fontId="154" fillId="0" borderId="1" xfId="17414" applyFont="1" applyBorder="1"/>
    <xf numFmtId="0" fontId="154" fillId="0" borderId="127" xfId="17414" applyFont="1" applyBorder="1"/>
    <xf numFmtId="0" fontId="108" fillId="0" borderId="15" xfId="17414" applyFont="1" applyBorder="1"/>
    <xf numFmtId="0" fontId="108" fillId="0" borderId="1" xfId="17414" applyFont="1" applyBorder="1"/>
    <xf numFmtId="0" fontId="108" fillId="0" borderId="62" xfId="17414" applyFont="1" applyBorder="1"/>
    <xf numFmtId="0" fontId="7" fillId="0" borderId="29" xfId="17414" applyFont="1" applyBorder="1"/>
    <xf numFmtId="0" fontId="7" fillId="0" borderId="79" xfId="17414" applyFont="1" applyBorder="1" applyAlignment="1">
      <alignment horizontal="center"/>
    </xf>
    <xf numFmtId="0" fontId="7" fillId="0" borderId="120" xfId="17414" applyFont="1" applyBorder="1"/>
    <xf numFmtId="0" fontId="7" fillId="0" borderId="120" xfId="17414" applyFont="1" applyBorder="1" applyAlignment="1">
      <alignment horizontal="left"/>
    </xf>
    <xf numFmtId="168" fontId="7" fillId="0" borderId="2" xfId="17414" applyNumberFormat="1" applyFont="1" applyBorder="1" applyAlignment="1">
      <alignment horizontal="center"/>
    </xf>
    <xf numFmtId="0" fontId="152" fillId="0" borderId="30" xfId="6465" applyFont="1" applyBorder="1"/>
    <xf numFmtId="0" fontId="153" fillId="0" borderId="164" xfId="6465" applyFont="1" applyBorder="1"/>
    <xf numFmtId="0" fontId="153" fillId="0" borderId="7" xfId="6465" applyFont="1" applyBorder="1"/>
    <xf numFmtId="0" fontId="69" fillId="0" borderId="164" xfId="6465" applyFont="1" applyBorder="1"/>
    <xf numFmtId="0" fontId="69" fillId="0" borderId="7" xfId="6465" applyFont="1" applyBorder="1"/>
    <xf numFmtId="1" fontId="81" fillId="0" borderId="27" xfId="6465" applyNumberFormat="1" applyFont="1" applyBorder="1"/>
    <xf numFmtId="0" fontId="7" fillId="0" borderId="30" xfId="6465" applyBorder="1"/>
    <xf numFmtId="0" fontId="7" fillId="0" borderId="162" xfId="6465" applyBorder="1" applyAlignment="1">
      <alignment horizontal="center"/>
    </xf>
    <xf numFmtId="1" fontId="153" fillId="3" borderId="140" xfId="17414" applyNumberFormat="1" applyFont="1" applyFill="1" applyBorder="1" applyAlignment="1" applyProtection="1">
      <alignment horizontal="center"/>
      <protection hidden="1"/>
    </xf>
    <xf numFmtId="1" fontId="81" fillId="3" borderId="140" xfId="17414" applyNumberFormat="1" applyFont="1" applyFill="1" applyBorder="1" applyAlignment="1" applyProtection="1">
      <alignment horizontal="center"/>
      <protection hidden="1"/>
    </xf>
    <xf numFmtId="1" fontId="61" fillId="30" borderId="119" xfId="17414" applyNumberFormat="1" applyFont="1" applyFill="1" applyBorder="1" applyAlignment="1" applyProtection="1">
      <alignment horizontal="center"/>
      <protection hidden="1"/>
    </xf>
    <xf numFmtId="168" fontId="61" fillId="30" borderId="18" xfId="17414" applyNumberFormat="1" applyFont="1" applyFill="1" applyBorder="1" applyAlignment="1" applyProtection="1">
      <alignment horizontal="center"/>
      <protection hidden="1"/>
    </xf>
    <xf numFmtId="168" fontId="61" fillId="30" borderId="100" xfId="17414" applyNumberFormat="1" applyFont="1" applyFill="1" applyBorder="1" applyAlignment="1" applyProtection="1">
      <alignment horizontal="center"/>
      <protection hidden="1"/>
    </xf>
    <xf numFmtId="168" fontId="61" fillId="33" borderId="100" xfId="17414" applyNumberFormat="1" applyFont="1" applyFill="1" applyBorder="1" applyAlignment="1" applyProtection="1">
      <alignment horizontal="center"/>
      <protection hidden="1"/>
    </xf>
    <xf numFmtId="168" fontId="61" fillId="30" borderId="60" xfId="17414" applyNumberFormat="1" applyFont="1" applyFill="1" applyBorder="1" applyAlignment="1" applyProtection="1">
      <alignment horizontal="center"/>
      <protection hidden="1"/>
    </xf>
    <xf numFmtId="0" fontId="74" fillId="4" borderId="0" xfId="6465" applyFont="1" applyFill="1" applyAlignment="1" applyProtection="1">
      <alignment horizontal="left"/>
      <protection hidden="1"/>
    </xf>
    <xf numFmtId="0" fontId="0" fillId="0" borderId="31" xfId="0" applyBorder="1" applyProtection="1">
      <protection hidden="1"/>
    </xf>
    <xf numFmtId="0" fontId="7" fillId="4" borderId="30" xfId="4660" applyFont="1" applyFill="1" applyBorder="1" applyProtection="1">
      <protection hidden="1"/>
    </xf>
    <xf numFmtId="0" fontId="55" fillId="4" borderId="0" xfId="16065" applyFont="1" applyFill="1" applyAlignment="1" applyProtection="1">
      <alignment horizontal="left"/>
      <protection hidden="1"/>
    </xf>
    <xf numFmtId="0" fontId="190" fillId="5" borderId="391" xfId="6465" applyFont="1" applyFill="1" applyBorder="1" applyAlignment="1" applyProtection="1">
      <alignment horizontal="center"/>
      <protection locked="0"/>
    </xf>
    <xf numFmtId="0" fontId="215" fillId="5" borderId="30" xfId="6465" applyFont="1" applyFill="1" applyBorder="1" applyAlignment="1" applyProtection="1">
      <alignment horizontal="center"/>
      <protection locked="0"/>
    </xf>
    <xf numFmtId="0" fontId="139" fillId="5" borderId="260" xfId="6465" applyFont="1" applyFill="1" applyBorder="1" applyAlignment="1" applyProtection="1">
      <alignment horizontal="center"/>
      <protection locked="0"/>
    </xf>
    <xf numFmtId="0" fontId="106" fillId="0" borderId="332" xfId="6465" applyFont="1" applyBorder="1" applyProtection="1">
      <protection hidden="1"/>
    </xf>
    <xf numFmtId="1" fontId="106" fillId="0" borderId="331" xfId="0" applyNumberFormat="1" applyFont="1" applyBorder="1" applyAlignment="1" applyProtection="1">
      <alignment horizontal="center"/>
      <protection hidden="1"/>
    </xf>
    <xf numFmtId="1" fontId="106" fillId="0" borderId="330" xfId="0" applyNumberFormat="1" applyFont="1" applyBorder="1" applyAlignment="1" applyProtection="1">
      <alignment horizontal="center"/>
      <protection hidden="1"/>
    </xf>
    <xf numFmtId="1" fontId="106" fillId="0" borderId="329" xfId="0" applyNumberFormat="1" applyFont="1" applyBorder="1" applyAlignment="1" applyProtection="1">
      <alignment horizontal="center"/>
      <protection hidden="1"/>
    </xf>
    <xf numFmtId="0" fontId="106" fillId="0" borderId="171" xfId="6465" applyFont="1" applyBorder="1" applyProtection="1">
      <protection hidden="1"/>
    </xf>
    <xf numFmtId="168" fontId="104" fillId="4" borderId="104" xfId="6465" applyNumberFormat="1" applyFont="1" applyFill="1" applyBorder="1" applyProtection="1">
      <protection hidden="1"/>
    </xf>
    <xf numFmtId="0" fontId="221" fillId="4" borderId="0" xfId="6465" applyFont="1" applyFill="1" applyProtection="1">
      <protection hidden="1"/>
    </xf>
    <xf numFmtId="0" fontId="194" fillId="4" borderId="0" xfId="6465" applyFont="1" applyFill="1" applyProtection="1">
      <protection hidden="1"/>
    </xf>
    <xf numFmtId="0" fontId="7" fillId="4" borderId="31" xfId="6465" applyFill="1" applyBorder="1" applyProtection="1">
      <protection hidden="1"/>
    </xf>
    <xf numFmtId="2" fontId="7" fillId="4" borderId="0" xfId="6465" applyNumberFormat="1" applyFill="1" applyAlignment="1" applyProtection="1">
      <alignment wrapText="1"/>
      <protection hidden="1"/>
    </xf>
    <xf numFmtId="2" fontId="55" fillId="4" borderId="0" xfId="17463" applyNumberFormat="1" applyFont="1" applyFill="1" applyProtection="1">
      <protection hidden="1"/>
    </xf>
    <xf numFmtId="2" fontId="7" fillId="4" borderId="0" xfId="4660" applyNumberFormat="1" applyFont="1" applyFill="1" applyAlignment="1" applyProtection="1">
      <alignment horizontal="right"/>
      <protection hidden="1"/>
    </xf>
    <xf numFmtId="0" fontId="7" fillId="5" borderId="364" xfId="17481" applyFill="1" applyBorder="1" applyAlignment="1" applyProtection="1">
      <alignment horizontal="center" wrapText="1"/>
      <protection locked="0"/>
    </xf>
    <xf numFmtId="0" fontId="7" fillId="4" borderId="0" xfId="17486" applyFont="1" applyFill="1" applyAlignment="1" applyProtection="1">
      <alignment horizontal="left" wrapText="1"/>
      <protection hidden="1"/>
    </xf>
    <xf numFmtId="0" fontId="0" fillId="9" borderId="0" xfId="6465" applyFont="1" applyFill="1" applyProtection="1">
      <protection hidden="1"/>
    </xf>
    <xf numFmtId="0" fontId="6" fillId="2" borderId="0" xfId="6465" applyFont="1" applyFill="1" applyProtection="1">
      <protection hidden="1"/>
    </xf>
    <xf numFmtId="0" fontId="7" fillId="18" borderId="284" xfId="17475" applyFill="1" applyBorder="1" applyAlignment="1" applyProtection="1">
      <alignment horizontal="center"/>
      <protection locked="0"/>
    </xf>
    <xf numFmtId="0" fontId="33" fillId="4" borderId="0" xfId="6465" applyFont="1" applyFill="1" applyProtection="1">
      <protection hidden="1"/>
    </xf>
    <xf numFmtId="0" fontId="6" fillId="3" borderId="0" xfId="17475" applyFont="1" applyFill="1" applyProtection="1">
      <protection hidden="1"/>
    </xf>
    <xf numFmtId="0" fontId="305" fillId="4" borderId="0" xfId="6465" applyFont="1" applyFill="1" applyProtection="1">
      <protection hidden="1"/>
    </xf>
    <xf numFmtId="0" fontId="0" fillId="3" borderId="0" xfId="17475" applyFont="1" applyFill="1" applyProtection="1">
      <protection hidden="1"/>
    </xf>
    <xf numFmtId="0" fontId="0" fillId="23" borderId="0" xfId="6465" applyFont="1" applyFill="1" applyProtection="1">
      <protection hidden="1"/>
    </xf>
    <xf numFmtId="0" fontId="121" fillId="5" borderId="141" xfId="4660" applyFont="1" applyFill="1" applyBorder="1" applyAlignment="1" applyProtection="1">
      <alignment horizontal="center" wrapText="1"/>
      <protection locked="0"/>
    </xf>
    <xf numFmtId="0" fontId="343" fillId="4" borderId="0" xfId="6465" applyFont="1" applyFill="1" applyProtection="1">
      <protection hidden="1"/>
    </xf>
    <xf numFmtId="0" fontId="52" fillId="0" borderId="0" xfId="0" applyFont="1" applyProtection="1">
      <protection hidden="1"/>
    </xf>
    <xf numFmtId="0" fontId="22" fillId="0" borderId="0" xfId="69" applyAlignment="1">
      <protection locked="0"/>
    </xf>
    <xf numFmtId="0" fontId="162" fillId="3" borderId="0" xfId="6465" applyFont="1" applyFill="1" applyAlignment="1" applyProtection="1">
      <alignment wrapText="1"/>
      <protection hidden="1"/>
    </xf>
    <xf numFmtId="0" fontId="162" fillId="14" borderId="0" xfId="6465" applyFont="1" applyFill="1" applyAlignment="1" applyProtection="1">
      <alignment wrapText="1"/>
      <protection hidden="1"/>
    </xf>
    <xf numFmtId="0" fontId="305" fillId="23" borderId="0" xfId="6465" applyFont="1" applyFill="1" applyProtection="1">
      <protection hidden="1"/>
    </xf>
    <xf numFmtId="0" fontId="305" fillId="2" borderId="0" xfId="6465" applyFont="1" applyFill="1" applyProtection="1">
      <protection hidden="1"/>
    </xf>
    <xf numFmtId="0" fontId="177" fillId="14" borderId="0" xfId="6465" applyFont="1" applyFill="1" applyAlignment="1" applyProtection="1">
      <alignment wrapText="1"/>
      <protection hidden="1"/>
    </xf>
    <xf numFmtId="0" fontId="6" fillId="3" borderId="0" xfId="4660" applyFont="1" applyFill="1" applyProtection="1">
      <protection hidden="1"/>
    </xf>
    <xf numFmtId="2" fontId="6" fillId="62" borderId="0" xfId="6465" applyNumberFormat="1" applyFont="1" applyFill="1" applyProtection="1">
      <protection hidden="1"/>
    </xf>
    <xf numFmtId="0" fontId="59" fillId="14" borderId="0" xfId="4660" applyFont="1" applyFill="1" applyProtection="1">
      <protection hidden="1"/>
    </xf>
    <xf numFmtId="0" fontId="305" fillId="0" borderId="0" xfId="6465" applyFont="1" applyProtection="1">
      <protection hidden="1"/>
    </xf>
    <xf numFmtId="2" fontId="61" fillId="62" borderId="0" xfId="6465" applyNumberFormat="1" applyFont="1" applyFill="1" applyProtection="1">
      <protection hidden="1"/>
    </xf>
    <xf numFmtId="0" fontId="329" fillId="4" borderId="0" xfId="6465" applyFont="1" applyFill="1" applyProtection="1">
      <protection hidden="1"/>
    </xf>
    <xf numFmtId="0" fontId="329" fillId="3" borderId="0" xfId="4660" applyFont="1" applyFill="1" applyProtection="1">
      <protection hidden="1"/>
    </xf>
    <xf numFmtId="0" fontId="61" fillId="2" borderId="0" xfId="6465" applyFont="1" applyFill="1" applyProtection="1">
      <protection hidden="1"/>
    </xf>
    <xf numFmtId="0" fontId="86" fillId="4" borderId="0" xfId="6465" applyFont="1" applyFill="1" applyProtection="1">
      <protection hidden="1"/>
    </xf>
    <xf numFmtId="0" fontId="61" fillId="4" borderId="0" xfId="6465" applyFont="1" applyFill="1" applyProtection="1">
      <protection hidden="1"/>
    </xf>
    <xf numFmtId="0" fontId="329" fillId="14" borderId="0" xfId="4660" applyFont="1" applyFill="1" applyProtection="1">
      <protection hidden="1"/>
    </xf>
    <xf numFmtId="168" fontId="121" fillId="3" borderId="61" xfId="17414" applyNumberFormat="1" applyFont="1" applyFill="1" applyBorder="1" applyAlignment="1" applyProtection="1">
      <alignment horizontal="center"/>
      <protection hidden="1"/>
    </xf>
    <xf numFmtId="168" fontId="121" fillId="36" borderId="61" xfId="17414" applyNumberFormat="1" applyFont="1" applyFill="1" applyBorder="1" applyAlignment="1" applyProtection="1">
      <alignment horizontal="center"/>
      <protection hidden="1"/>
    </xf>
    <xf numFmtId="168" fontId="121" fillId="0" borderId="390" xfId="17414" applyNumberFormat="1" applyFont="1" applyBorder="1" applyAlignment="1" applyProtection="1">
      <alignment horizontal="center" wrapText="1"/>
      <protection hidden="1"/>
    </xf>
    <xf numFmtId="168" fontId="121" fillId="3" borderId="100" xfId="17414" applyNumberFormat="1" applyFont="1" applyFill="1" applyBorder="1" applyAlignment="1" applyProtection="1">
      <alignment horizontal="center" wrapText="1"/>
      <protection hidden="1"/>
    </xf>
    <xf numFmtId="0" fontId="98" fillId="32" borderId="100" xfId="6465" applyFont="1" applyFill="1" applyBorder="1" applyAlignment="1" applyProtection="1">
      <alignment horizontal="center"/>
      <protection locked="0"/>
    </xf>
    <xf numFmtId="0" fontId="148" fillId="32" borderId="100" xfId="6465" applyFont="1" applyFill="1" applyBorder="1" applyAlignment="1" applyProtection="1">
      <alignment horizontal="center"/>
      <protection locked="0"/>
    </xf>
    <xf numFmtId="0" fontId="148" fillId="32" borderId="60" xfId="6465" applyFont="1" applyFill="1" applyBorder="1" applyAlignment="1" applyProtection="1">
      <alignment horizontal="center"/>
      <protection locked="0"/>
    </xf>
    <xf numFmtId="168" fontId="172" fillId="37" borderId="134" xfId="17414" applyNumberFormat="1" applyFont="1" applyFill="1" applyBorder="1" applyAlignment="1" applyProtection="1">
      <alignment horizontal="center" vertical="center" wrapText="1"/>
      <protection locked="0"/>
    </xf>
    <xf numFmtId="168" fontId="172" fillId="37" borderId="18" xfId="17414" applyNumberFormat="1" applyFont="1" applyFill="1" applyBorder="1" applyAlignment="1" applyProtection="1">
      <alignment horizontal="center" vertical="center" wrapText="1"/>
      <protection locked="0"/>
    </xf>
    <xf numFmtId="0" fontId="172" fillId="37" borderId="18" xfId="17414" applyFont="1" applyFill="1" applyBorder="1" applyAlignment="1" applyProtection="1">
      <alignment horizontal="center" wrapText="1"/>
      <protection locked="0"/>
    </xf>
    <xf numFmtId="0" fontId="7" fillId="12" borderId="0" xfId="6465" applyFill="1" applyAlignment="1" applyProtection="1">
      <alignment horizontal="center"/>
      <protection locked="0"/>
    </xf>
    <xf numFmtId="0" fontId="33" fillId="5" borderId="32" xfId="16065" applyFont="1" applyFill="1" applyBorder="1" applyAlignment="1" applyProtection="1">
      <alignment horizontal="center"/>
      <protection locked="0"/>
    </xf>
    <xf numFmtId="0" fontId="33" fillId="5" borderId="32" xfId="16065" applyFont="1" applyFill="1" applyBorder="1" applyAlignment="1" applyProtection="1">
      <alignment horizontal="center" wrapText="1"/>
      <protection locked="0"/>
    </xf>
    <xf numFmtId="0" fontId="312" fillId="52" borderId="347" xfId="16065" applyFont="1" applyFill="1" applyBorder="1" applyAlignment="1" applyProtection="1">
      <alignment horizontal="center" wrapText="1"/>
      <protection locked="0"/>
    </xf>
    <xf numFmtId="0" fontId="31" fillId="6" borderId="32" xfId="16065" applyFont="1" applyFill="1" applyBorder="1" applyAlignment="1" applyProtection="1">
      <alignment horizontal="center" wrapText="1"/>
      <protection hidden="1"/>
    </xf>
    <xf numFmtId="0" fontId="31" fillId="10" borderId="32" xfId="16065" applyFont="1" applyFill="1" applyBorder="1" applyAlignment="1" applyProtection="1">
      <alignment horizontal="center" wrapText="1"/>
      <protection hidden="1"/>
    </xf>
    <xf numFmtId="0" fontId="31" fillId="11" borderId="32" xfId="16065" applyFont="1" applyFill="1" applyBorder="1" applyAlignment="1" applyProtection="1">
      <alignment horizontal="center"/>
      <protection hidden="1"/>
    </xf>
    <xf numFmtId="0" fontId="33" fillId="12" borderId="32" xfId="16065" applyFont="1" applyFill="1" applyBorder="1" applyProtection="1">
      <protection locked="0"/>
    </xf>
    <xf numFmtId="1" fontId="33" fillId="7" borderId="32" xfId="16065" applyNumberFormat="1" applyFont="1" applyFill="1" applyBorder="1" applyAlignment="1" applyProtection="1">
      <alignment horizontal="center"/>
      <protection hidden="1"/>
    </xf>
    <xf numFmtId="1" fontId="33" fillId="0" borderId="32" xfId="16065" applyNumberFormat="1" applyFont="1" applyBorder="1" applyAlignment="1" applyProtection="1">
      <alignment horizontal="center"/>
      <protection hidden="1"/>
    </xf>
    <xf numFmtId="1" fontId="312" fillId="0" borderId="347" xfId="16065" applyNumberFormat="1" applyFont="1" applyBorder="1" applyAlignment="1" applyProtection="1">
      <alignment horizontal="center"/>
      <protection hidden="1"/>
    </xf>
    <xf numFmtId="1" fontId="33" fillId="8" borderId="32" xfId="16065" applyNumberFormat="1" applyFont="1" applyFill="1" applyBorder="1" applyAlignment="1" applyProtection="1">
      <alignment horizontal="center"/>
      <protection hidden="1"/>
    </xf>
    <xf numFmtId="0" fontId="312" fillId="97" borderId="347" xfId="16065" applyFont="1" applyFill="1" applyBorder="1" applyAlignment="1" applyProtection="1">
      <alignment horizontal="center"/>
      <protection hidden="1"/>
    </xf>
    <xf numFmtId="1" fontId="312" fillId="50" borderId="347" xfId="16065" applyNumberFormat="1" applyFont="1" applyFill="1" applyBorder="1" applyAlignment="1" applyProtection="1">
      <alignment horizontal="center"/>
      <protection hidden="1"/>
    </xf>
    <xf numFmtId="1" fontId="32" fillId="7" borderId="32" xfId="16065" applyNumberFormat="1" applyFont="1" applyFill="1" applyBorder="1" applyAlignment="1" applyProtection="1">
      <alignment horizontal="center"/>
      <protection hidden="1"/>
    </xf>
    <xf numFmtId="0" fontId="42" fillId="4" borderId="0" xfId="6465" applyFont="1" applyFill="1" applyAlignment="1" applyProtection="1">
      <alignment horizontal="right" textRotation="90"/>
      <protection hidden="1"/>
    </xf>
    <xf numFmtId="1" fontId="33" fillId="0" borderId="32" xfId="6465" applyNumberFormat="1" applyFont="1" applyBorder="1" applyAlignment="1" applyProtection="1">
      <alignment horizontal="center"/>
      <protection hidden="1"/>
    </xf>
    <xf numFmtId="1" fontId="0" fillId="0" borderId="347" xfId="6465" applyNumberFormat="1" applyFont="1" applyBorder="1" applyAlignment="1" applyProtection="1">
      <alignment horizontal="center"/>
      <protection hidden="1"/>
    </xf>
    <xf numFmtId="0" fontId="33" fillId="12" borderId="32" xfId="16625" applyFont="1" applyFill="1" applyBorder="1" applyProtection="1">
      <protection locked="0"/>
    </xf>
    <xf numFmtId="0" fontId="61" fillId="3" borderId="0" xfId="0" applyFont="1" applyFill="1" applyProtection="1">
      <protection hidden="1"/>
    </xf>
    <xf numFmtId="0" fontId="98" fillId="18" borderId="68" xfId="17451" applyFont="1" applyFill="1" applyBorder="1" applyAlignment="1" applyProtection="1">
      <alignment horizontal="center"/>
      <protection locked="0"/>
    </xf>
    <xf numFmtId="0" fontId="7" fillId="0" borderId="72" xfId="17414" applyFont="1" applyBorder="1"/>
    <xf numFmtId="0" fontId="104" fillId="0" borderId="122" xfId="6465" applyFont="1" applyBorder="1" applyProtection="1">
      <protection hidden="1"/>
    </xf>
    <xf numFmtId="0" fontId="176" fillId="38" borderId="152" xfId="17414" applyFont="1" applyFill="1" applyBorder="1" applyProtection="1">
      <protection hidden="1"/>
    </xf>
    <xf numFmtId="0" fontId="7" fillId="3" borderId="0" xfId="6465" applyFill="1" applyAlignment="1" applyProtection="1">
      <alignment horizontal="center"/>
      <protection hidden="1"/>
    </xf>
    <xf numFmtId="0" fontId="45" fillId="2" borderId="0" xfId="16065" applyFont="1" applyFill="1" applyProtection="1">
      <protection hidden="1"/>
    </xf>
    <xf numFmtId="0" fontId="7" fillId="0" borderId="0" xfId="17475" applyAlignment="1" applyProtection="1">
      <alignment horizontal="left"/>
      <protection hidden="1"/>
    </xf>
    <xf numFmtId="0" fontId="24" fillId="2" borderId="0" xfId="17468" applyFont="1" applyFill="1" applyProtection="1">
      <protection hidden="1"/>
    </xf>
    <xf numFmtId="0" fontId="2" fillId="4" borderId="0" xfId="17399" applyFont="1" applyFill="1" applyAlignment="1" applyProtection="1">
      <alignment horizontal="right" vertical="top"/>
      <protection hidden="1"/>
    </xf>
    <xf numFmtId="0" fontId="5" fillId="3" borderId="0" xfId="17399" applyFont="1" applyFill="1" applyAlignment="1" applyProtection="1">
      <alignment horizontal="center"/>
      <protection hidden="1"/>
    </xf>
    <xf numFmtId="0" fontId="95" fillId="50" borderId="0" xfId="6465" applyFont="1" applyFill="1" applyAlignment="1" applyProtection="1">
      <alignment horizontal="right"/>
      <protection hidden="1"/>
    </xf>
    <xf numFmtId="0" fontId="95" fillId="14" borderId="0" xfId="6465" applyFont="1" applyFill="1" applyAlignment="1" applyProtection="1">
      <alignment horizontal="left"/>
      <protection hidden="1"/>
    </xf>
    <xf numFmtId="0" fontId="305" fillId="2" borderId="0" xfId="6465" applyFont="1" applyFill="1" applyAlignment="1" applyProtection="1">
      <alignment horizontal="right"/>
      <protection hidden="1"/>
    </xf>
    <xf numFmtId="0" fontId="249" fillId="50" borderId="0" xfId="0" applyFont="1" applyFill="1" applyProtection="1">
      <protection hidden="1"/>
    </xf>
    <xf numFmtId="0" fontId="0" fillId="0" borderId="0" xfId="17399" applyFont="1" applyAlignment="1">
      <alignment horizontal="center"/>
    </xf>
    <xf numFmtId="0" fontId="74" fillId="4" borderId="0" xfId="4660" applyFont="1" applyFill="1" applyProtection="1">
      <protection hidden="1"/>
    </xf>
    <xf numFmtId="0" fontId="17" fillId="4" borderId="0" xfId="4660" applyFont="1" applyFill="1" applyAlignment="1" applyProtection="1">
      <alignment horizontal="left"/>
      <protection hidden="1"/>
    </xf>
    <xf numFmtId="0" fontId="7" fillId="4" borderId="31" xfId="17475" applyFill="1" applyBorder="1" applyAlignment="1" applyProtection="1">
      <alignment horizontal="left"/>
      <protection hidden="1"/>
    </xf>
    <xf numFmtId="0" fontId="7" fillId="4" borderId="27" xfId="17475" applyFill="1" applyBorder="1" applyAlignment="1" applyProtection="1">
      <alignment horizontal="left"/>
      <protection hidden="1"/>
    </xf>
    <xf numFmtId="0" fontId="7" fillId="4" borderId="28" xfId="17475" applyFill="1" applyBorder="1" applyAlignment="1" applyProtection="1">
      <alignment horizontal="left"/>
      <protection hidden="1"/>
    </xf>
    <xf numFmtId="0" fontId="74" fillId="3" borderId="0" xfId="4660" applyFont="1" applyFill="1" applyProtection="1">
      <protection hidden="1"/>
    </xf>
    <xf numFmtId="0" fontId="1" fillId="4" borderId="0" xfId="6465" applyFont="1" applyFill="1" applyAlignment="1" applyProtection="1">
      <alignment horizontal="right"/>
      <protection hidden="1"/>
    </xf>
    <xf numFmtId="0" fontId="1" fillId="4" borderId="18" xfId="6465" applyFont="1" applyFill="1" applyBorder="1" applyAlignment="1" applyProtection="1">
      <alignment horizontal="right"/>
      <protection hidden="1"/>
    </xf>
    <xf numFmtId="0" fontId="7" fillId="4" borderId="27" xfId="6465" applyFill="1" applyBorder="1" applyAlignment="1" applyProtection="1">
      <alignment horizontal="center"/>
      <protection hidden="1"/>
    </xf>
    <xf numFmtId="0" fontId="7" fillId="3" borderId="0" xfId="4660" applyFont="1" applyFill="1" applyAlignment="1" applyProtection="1">
      <alignment horizontal="left"/>
      <protection hidden="1"/>
    </xf>
    <xf numFmtId="0" fontId="355" fillId="4" borderId="0" xfId="6465" applyFont="1" applyFill="1" applyAlignment="1" applyProtection="1">
      <alignment wrapText="1"/>
      <protection hidden="1"/>
    </xf>
    <xf numFmtId="0" fontId="181" fillId="4" borderId="0" xfId="6465" applyFont="1" applyFill="1" applyProtection="1">
      <protection hidden="1"/>
    </xf>
    <xf numFmtId="0" fontId="28" fillId="4" borderId="17" xfId="17436" applyFont="1" applyFill="1" applyBorder="1" applyProtection="1">
      <protection hidden="1"/>
    </xf>
    <xf numFmtId="0" fontId="7" fillId="4" borderId="334" xfId="17350" applyFont="1" applyFill="1" applyBorder="1" applyAlignment="1" applyProtection="1">
      <alignment horizontal="center"/>
      <protection hidden="1"/>
    </xf>
    <xf numFmtId="0" fontId="0" fillId="9" borderId="0" xfId="4660" applyFont="1" applyFill="1" applyProtection="1">
      <protection hidden="1"/>
    </xf>
    <xf numFmtId="0" fontId="111" fillId="50" borderId="306" xfId="17475" applyFont="1" applyFill="1" applyBorder="1" applyAlignment="1" applyProtection="1">
      <alignment horizontal="center"/>
      <protection hidden="1"/>
    </xf>
    <xf numFmtId="0" fontId="0" fillId="0" borderId="0" xfId="6465" applyFont="1" applyAlignment="1" applyProtection="1">
      <alignment horizontal="left"/>
      <protection hidden="1"/>
    </xf>
    <xf numFmtId="0" fontId="61" fillId="3" borderId="0" xfId="17475" applyFont="1" applyFill="1" applyAlignment="1" applyProtection="1">
      <alignment wrapText="1"/>
      <protection hidden="1"/>
    </xf>
    <xf numFmtId="9" fontId="7" fillId="4" borderId="18" xfId="1921" applyFont="1" applyFill="1" applyBorder="1" applyAlignment="1" applyProtection="1">
      <alignment wrapText="1"/>
      <protection hidden="1"/>
    </xf>
    <xf numFmtId="0" fontId="7" fillId="4" borderId="0" xfId="17475" applyFill="1" applyProtection="1">
      <protection hidden="1"/>
    </xf>
    <xf numFmtId="9" fontId="7" fillId="4" borderId="0" xfId="1921" applyFont="1" applyFill="1" applyAlignment="1" applyProtection="1">
      <alignment wrapText="1"/>
      <protection hidden="1"/>
    </xf>
    <xf numFmtId="0" fontId="61" fillId="3" borderId="0" xfId="16067" applyFont="1" applyFill="1" applyAlignment="1" applyProtection="1">
      <alignment wrapText="1"/>
      <protection hidden="1"/>
    </xf>
    <xf numFmtId="0" fontId="23" fillId="3" borderId="18" xfId="16067" applyFont="1" applyFill="1" applyBorder="1" applyAlignment="1" applyProtection="1">
      <alignment wrapText="1"/>
      <protection hidden="1"/>
    </xf>
    <xf numFmtId="0" fontId="233" fillId="3" borderId="0" xfId="17475" applyFont="1" applyFill="1" applyAlignment="1" applyProtection="1">
      <alignment wrapText="1"/>
      <protection hidden="1"/>
    </xf>
    <xf numFmtId="0" fontId="7" fillId="18" borderId="350" xfId="17475" applyFill="1" applyBorder="1" applyAlignment="1" applyProtection="1">
      <alignment horizontal="center" wrapText="1"/>
      <protection locked="0"/>
    </xf>
    <xf numFmtId="0" fontId="7" fillId="18" borderId="334" xfId="17475" applyFill="1" applyBorder="1" applyAlignment="1" applyProtection="1">
      <alignment horizontal="center" wrapText="1"/>
      <protection locked="0"/>
    </xf>
    <xf numFmtId="0" fontId="0" fillId="4" borderId="0" xfId="6465" applyFont="1" applyFill="1" applyAlignment="1" applyProtection="1">
      <alignment horizontal="right"/>
      <protection hidden="1"/>
    </xf>
    <xf numFmtId="0" fontId="3" fillId="2" borderId="0" xfId="0" applyFont="1" applyFill="1" applyProtection="1">
      <protection hidden="1"/>
    </xf>
    <xf numFmtId="0" fontId="46" fillId="3" borderId="0" xfId="17452" applyFont="1" applyFill="1" applyProtection="1">
      <protection hidden="1"/>
    </xf>
    <xf numFmtId="0" fontId="2" fillId="2" borderId="0" xfId="17436" applyFont="1" applyFill="1" applyAlignment="1" applyProtection="1">
      <alignment vertical="center"/>
      <protection hidden="1"/>
    </xf>
    <xf numFmtId="0" fontId="2" fillId="4" borderId="0" xfId="17451" applyFont="1" applyFill="1" applyProtection="1">
      <protection hidden="1"/>
    </xf>
    <xf numFmtId="14" fontId="2" fillId="3" borderId="0" xfId="17475" applyNumberFormat="1" applyFont="1" applyFill="1" applyProtection="1">
      <protection hidden="1"/>
    </xf>
    <xf numFmtId="0" fontId="28" fillId="4" borderId="0" xfId="16625" applyFont="1" applyFill="1" applyAlignment="1" applyProtection="1">
      <alignment horizontal="center"/>
      <protection hidden="1"/>
    </xf>
    <xf numFmtId="0" fontId="22" fillId="0" borderId="0" xfId="69" applyAlignment="1" applyProtection="1">
      <alignment horizontal="right"/>
      <protection hidden="1"/>
    </xf>
    <xf numFmtId="0" fontId="59" fillId="23" borderId="0" xfId="17475" applyFont="1" applyFill="1" applyProtection="1">
      <protection hidden="1"/>
    </xf>
    <xf numFmtId="0" fontId="58" fillId="4" borderId="0" xfId="17475" applyFont="1" applyFill="1" applyAlignment="1" applyProtection="1">
      <alignment horizontal="left" wrapText="1"/>
      <protection hidden="1"/>
    </xf>
    <xf numFmtId="0" fontId="59" fillId="3" borderId="0" xfId="17475" applyFont="1" applyFill="1" applyProtection="1">
      <protection hidden="1"/>
    </xf>
    <xf numFmtId="0" fontId="123" fillId="5" borderId="0" xfId="6465" applyFont="1" applyFill="1" applyAlignment="1" applyProtection="1">
      <alignment horizontal="center"/>
      <protection locked="0"/>
    </xf>
    <xf numFmtId="0" fontId="43" fillId="5" borderId="0" xfId="6465" applyFont="1" applyFill="1" applyAlignment="1" applyProtection="1">
      <alignment horizontal="center"/>
      <protection locked="0"/>
    </xf>
    <xf numFmtId="0" fontId="121" fillId="13" borderId="0" xfId="16065" applyFont="1" applyFill="1" applyAlignment="1" applyProtection="1">
      <alignment horizontal="center"/>
      <protection locked="0"/>
    </xf>
    <xf numFmtId="2" fontId="98" fillId="13" borderId="61" xfId="6465" applyNumberFormat="1" applyFont="1" applyFill="1" applyBorder="1" applyAlignment="1" applyProtection="1">
      <alignment horizontal="center"/>
      <protection locked="0"/>
    </xf>
    <xf numFmtId="168" fontId="99" fillId="4" borderId="51" xfId="6465" applyNumberFormat="1" applyFont="1" applyFill="1" applyBorder="1" applyProtection="1">
      <protection hidden="1"/>
    </xf>
    <xf numFmtId="168" fontId="99" fillId="4" borderId="51" xfId="16065" applyNumberFormat="1" applyFont="1" applyFill="1" applyBorder="1" applyProtection="1">
      <protection hidden="1"/>
    </xf>
    <xf numFmtId="168" fontId="121" fillId="4" borderId="0" xfId="16065" applyNumberFormat="1" applyFont="1" applyFill="1" applyProtection="1">
      <protection hidden="1"/>
    </xf>
    <xf numFmtId="0" fontId="7" fillId="4" borderId="15" xfId="17436" applyFont="1" applyFill="1" applyBorder="1" applyProtection="1">
      <protection hidden="1"/>
    </xf>
    <xf numFmtId="2" fontId="121" fillId="4" borderId="41" xfId="6465" applyNumberFormat="1" applyFont="1" applyFill="1" applyBorder="1" applyProtection="1">
      <protection hidden="1"/>
    </xf>
    <xf numFmtId="0" fontId="105" fillId="4" borderId="161" xfId="17436" applyFont="1" applyFill="1" applyBorder="1" applyAlignment="1" applyProtection="1">
      <alignment horizontal="right"/>
      <protection hidden="1"/>
    </xf>
    <xf numFmtId="0" fontId="356" fillId="2" borderId="0" xfId="17399" applyFont="1" applyFill="1" applyAlignment="1" applyProtection="1">
      <alignment horizontal="right"/>
      <protection hidden="1"/>
    </xf>
    <xf numFmtId="0" fontId="110" fillId="4" borderId="0" xfId="6465" applyFont="1" applyFill="1" applyProtection="1">
      <protection hidden="1"/>
    </xf>
    <xf numFmtId="0" fontId="110" fillId="0" borderId="0" xfId="6465" applyFont="1" applyProtection="1">
      <protection hidden="1"/>
    </xf>
    <xf numFmtId="0" fontId="110" fillId="4" borderId="0" xfId="6465" applyFont="1" applyFill="1" applyAlignment="1" applyProtection="1">
      <alignment horizontal="right"/>
      <protection hidden="1"/>
    </xf>
    <xf numFmtId="0" fontId="46" fillId="3" borderId="0" xfId="6465" applyFont="1" applyFill="1" applyAlignment="1" applyProtection="1">
      <alignment horizontal="right"/>
      <protection hidden="1"/>
    </xf>
    <xf numFmtId="0" fontId="53" fillId="2" borderId="17" xfId="17436" applyFont="1" applyFill="1" applyBorder="1" applyProtection="1">
      <protection hidden="1"/>
    </xf>
    <xf numFmtId="0" fontId="110" fillId="3" borderId="0" xfId="4660" applyFont="1" applyFill="1" applyProtection="1">
      <protection hidden="1"/>
    </xf>
    <xf numFmtId="0" fontId="110" fillId="4" borderId="0" xfId="16065" applyFont="1" applyFill="1" applyAlignment="1" applyProtection="1">
      <alignment horizontal="right"/>
      <protection hidden="1"/>
    </xf>
    <xf numFmtId="0" fontId="110" fillId="4" borderId="0" xfId="16625" applyFont="1" applyFill="1" applyAlignment="1" applyProtection="1">
      <alignment horizontal="right"/>
      <protection hidden="1"/>
    </xf>
    <xf numFmtId="0" fontId="110" fillId="2" borderId="0" xfId="17436" applyFont="1" applyFill="1" applyAlignment="1" applyProtection="1">
      <alignment vertical="top"/>
      <protection hidden="1"/>
    </xf>
    <xf numFmtId="0" fontId="110" fillId="2" borderId="18" xfId="17436" applyFont="1" applyFill="1" applyBorder="1" applyAlignment="1" applyProtection="1">
      <alignment vertical="top"/>
      <protection hidden="1"/>
    </xf>
    <xf numFmtId="0" fontId="110" fillId="2" borderId="0" xfId="17436" applyFont="1" applyFill="1" applyProtection="1">
      <protection hidden="1"/>
    </xf>
    <xf numFmtId="0" fontId="5" fillId="4" borderId="0" xfId="17399" applyFont="1" applyFill="1" applyAlignment="1" applyProtection="1">
      <alignment vertical="top"/>
      <protection hidden="1"/>
    </xf>
    <xf numFmtId="0" fontId="19" fillId="4" borderId="0" xfId="69" applyFont="1" applyFill="1" applyAlignment="1" applyProtection="1">
      <alignment vertical="center"/>
      <protection hidden="1"/>
    </xf>
    <xf numFmtId="0" fontId="7" fillId="14" borderId="350" xfId="4660" applyFont="1" applyFill="1" applyBorder="1" applyAlignment="1" applyProtection="1">
      <alignment horizontal="center"/>
      <protection hidden="1"/>
    </xf>
    <xf numFmtId="0" fontId="7" fillId="3" borderId="350" xfId="6465" applyFill="1" applyBorder="1" applyAlignment="1" applyProtection="1">
      <alignment horizontal="center"/>
      <protection hidden="1"/>
    </xf>
    <xf numFmtId="169" fontId="7" fillId="9" borderId="334" xfId="6465" applyNumberFormat="1" applyFill="1" applyBorder="1" applyAlignment="1" applyProtection="1">
      <alignment horizontal="center"/>
      <protection hidden="1"/>
    </xf>
    <xf numFmtId="0" fontId="7" fillId="18" borderId="334" xfId="6465" applyFill="1" applyBorder="1" applyAlignment="1" applyProtection="1">
      <alignment horizontal="center"/>
      <protection locked="0"/>
    </xf>
    <xf numFmtId="0" fontId="7" fillId="4" borderId="350" xfId="6465" applyFill="1" applyBorder="1" applyAlignment="1" applyProtection="1">
      <alignment horizontal="center"/>
      <protection hidden="1"/>
    </xf>
    <xf numFmtId="169" fontId="7" fillId="0" borderId="352" xfId="4660" applyNumberFormat="1" applyFont="1" applyBorder="1" applyAlignment="1" applyProtection="1">
      <alignment horizontal="center"/>
      <protection hidden="1"/>
    </xf>
    <xf numFmtId="0" fontId="7" fillId="0" borderId="334" xfId="6465" applyBorder="1" applyAlignment="1" applyProtection="1">
      <alignment horizontal="center"/>
      <protection hidden="1"/>
    </xf>
    <xf numFmtId="0" fontId="7" fillId="4" borderId="394" xfId="4660" applyFont="1" applyFill="1" applyBorder="1" applyAlignment="1" applyProtection="1">
      <alignment horizontal="center"/>
      <protection hidden="1"/>
    </xf>
    <xf numFmtId="0" fontId="7" fillId="4" borderId="395" xfId="4660" applyFont="1" applyFill="1" applyBorder="1" applyAlignment="1" applyProtection="1">
      <alignment horizontal="center"/>
      <protection hidden="1"/>
    </xf>
    <xf numFmtId="0" fontId="7" fillId="0" borderId="334" xfId="4660" applyFont="1" applyBorder="1" applyProtection="1">
      <protection hidden="1"/>
    </xf>
    <xf numFmtId="0" fontId="7" fillId="4" borderId="334" xfId="6465" applyFill="1" applyBorder="1" applyAlignment="1" applyProtection="1">
      <alignment horizontal="left" wrapText="1"/>
      <protection hidden="1"/>
    </xf>
    <xf numFmtId="0" fontId="7" fillId="4" borderId="367" xfId="6465" applyFill="1" applyBorder="1" applyAlignment="1" applyProtection="1">
      <alignment horizontal="center" wrapText="1"/>
      <protection hidden="1"/>
    </xf>
    <xf numFmtId="0" fontId="7" fillId="4" borderId="367" xfId="6465" applyFill="1" applyBorder="1" applyAlignment="1" applyProtection="1">
      <alignment horizontal="center"/>
      <protection hidden="1"/>
    </xf>
    <xf numFmtId="0" fontId="61" fillId="0" borderId="334" xfId="4660" applyFont="1" applyBorder="1" applyAlignment="1" applyProtection="1">
      <alignment horizontal="center"/>
      <protection hidden="1"/>
    </xf>
    <xf numFmtId="0" fontId="7" fillId="4" borderId="334" xfId="16065" applyFont="1" applyFill="1" applyBorder="1" applyProtection="1">
      <protection hidden="1"/>
    </xf>
    <xf numFmtId="1" fontId="7" fillId="4" borderId="334" xfId="6465" applyNumberFormat="1" applyFill="1" applyBorder="1" applyAlignment="1" applyProtection="1">
      <alignment horizontal="center"/>
      <protection hidden="1"/>
    </xf>
    <xf numFmtId="0" fontId="7" fillId="4" borderId="334" xfId="16065" applyFont="1" applyFill="1" applyBorder="1" applyAlignment="1" applyProtection="1">
      <alignment horizontal="left"/>
      <protection hidden="1"/>
    </xf>
    <xf numFmtId="0" fontId="7" fillId="5" borderId="334" xfId="6465" applyFill="1" applyBorder="1" applyAlignment="1" applyProtection="1">
      <alignment horizontal="center" wrapText="1"/>
      <protection locked="0"/>
    </xf>
    <xf numFmtId="0" fontId="7" fillId="4" borderId="334" xfId="6465" applyFill="1" applyBorder="1" applyAlignment="1" applyProtection="1">
      <alignment horizontal="center" wrapText="1"/>
      <protection hidden="1"/>
    </xf>
    <xf numFmtId="0" fontId="61" fillId="4" borderId="334" xfId="6465" applyFont="1" applyFill="1" applyBorder="1" applyAlignment="1" applyProtection="1">
      <alignment horizontal="center"/>
      <protection hidden="1"/>
    </xf>
    <xf numFmtId="1" fontId="7" fillId="12" borderId="334" xfId="4660" applyNumberFormat="1" applyFont="1" applyFill="1" applyBorder="1" applyAlignment="1" applyProtection="1">
      <alignment horizontal="center"/>
      <protection locked="0"/>
    </xf>
    <xf numFmtId="0" fontId="137" fillId="50" borderId="334" xfId="4660" applyFont="1" applyFill="1" applyBorder="1" applyAlignment="1" applyProtection="1">
      <alignment horizontal="center" vertical="top"/>
      <protection hidden="1"/>
    </xf>
    <xf numFmtId="0" fontId="219" fillId="0" borderId="352" xfId="4660" applyFont="1" applyBorder="1" applyAlignment="1" applyProtection="1">
      <alignment horizontal="center"/>
      <protection hidden="1"/>
    </xf>
    <xf numFmtId="0" fontId="219" fillId="0" borderId="352" xfId="4660" applyFont="1" applyBorder="1" applyAlignment="1" applyProtection="1">
      <alignment horizontal="center" vertical="top"/>
      <protection hidden="1"/>
    </xf>
    <xf numFmtId="0" fontId="104" fillId="18" borderId="367" xfId="4660" applyFont="1" applyFill="1" applyBorder="1" applyAlignment="1" applyProtection="1">
      <alignment horizontal="center"/>
      <protection locked="0"/>
    </xf>
    <xf numFmtId="168" fontId="7" fillId="0" borderId="334" xfId="4660" applyNumberFormat="1" applyFont="1" applyBorder="1" applyAlignment="1" applyProtection="1">
      <alignment horizontal="center"/>
      <protection hidden="1"/>
    </xf>
    <xf numFmtId="168" fontId="104" fillId="0" borderId="352" xfId="4660" applyNumberFormat="1" applyFont="1" applyBorder="1" applyAlignment="1" applyProtection="1">
      <alignment horizontal="center"/>
      <protection hidden="1"/>
    </xf>
    <xf numFmtId="168" fontId="7" fillId="14" borderId="334" xfId="6465" applyNumberFormat="1" applyFill="1" applyBorder="1" applyAlignment="1" applyProtection="1">
      <alignment horizontal="center"/>
      <protection hidden="1"/>
    </xf>
    <xf numFmtId="0" fontId="137" fillId="50" borderId="334" xfId="4660" applyFont="1" applyFill="1" applyBorder="1" applyAlignment="1" applyProtection="1">
      <alignment horizontal="center"/>
      <protection hidden="1"/>
    </xf>
    <xf numFmtId="0" fontId="7" fillId="5" borderId="367" xfId="17475" applyFill="1" applyBorder="1" applyAlignment="1" applyProtection="1">
      <alignment horizontal="center"/>
      <protection locked="0"/>
    </xf>
    <xf numFmtId="0" fontId="104" fillId="18" borderId="334" xfId="4660" applyFont="1" applyFill="1" applyBorder="1" applyAlignment="1" applyProtection="1">
      <alignment horizontal="center"/>
      <protection locked="0"/>
    </xf>
    <xf numFmtId="0" fontId="23" fillId="12" borderId="399" xfId="7991" applyFont="1" applyFill="1" applyBorder="1" applyAlignment="1" applyProtection="1">
      <alignment horizontal="center"/>
      <protection locked="0"/>
    </xf>
    <xf numFmtId="0" fontId="104" fillId="18" borderId="399" xfId="4660" applyFont="1" applyFill="1" applyBorder="1" applyAlignment="1" applyProtection="1">
      <alignment horizontal="center"/>
      <protection locked="0"/>
    </xf>
    <xf numFmtId="168" fontId="7" fillId="0" borderId="402" xfId="4660" applyNumberFormat="1" applyFont="1" applyBorder="1" applyAlignment="1" applyProtection="1">
      <alignment horizontal="center"/>
      <protection hidden="1"/>
    </xf>
    <xf numFmtId="168" fontId="104" fillId="3" borderId="402" xfId="4660" applyNumberFormat="1" applyFont="1" applyFill="1" applyBorder="1" applyAlignment="1" applyProtection="1">
      <alignment horizontal="center"/>
      <protection hidden="1"/>
    </xf>
    <xf numFmtId="168" fontId="7" fillId="0" borderId="367" xfId="4660" applyNumberFormat="1" applyFont="1" applyBorder="1" applyAlignment="1" applyProtection="1">
      <alignment horizontal="center"/>
      <protection hidden="1"/>
    </xf>
    <xf numFmtId="168" fontId="104" fillId="14" borderId="367" xfId="4660" applyNumberFormat="1" applyFont="1" applyFill="1" applyBorder="1" applyAlignment="1" applyProtection="1">
      <alignment horizontal="center"/>
      <protection hidden="1"/>
    </xf>
    <xf numFmtId="0" fontId="92" fillId="50" borderId="334" xfId="6465" applyFont="1" applyFill="1" applyBorder="1" applyAlignment="1" applyProtection="1">
      <alignment horizontal="center"/>
      <protection hidden="1"/>
    </xf>
    <xf numFmtId="0" fontId="92" fillId="50" borderId="334" xfId="6465" applyFont="1" applyFill="1" applyBorder="1" applyAlignment="1" applyProtection="1">
      <alignment horizontal="center" wrapText="1"/>
      <protection hidden="1"/>
    </xf>
    <xf numFmtId="0" fontId="111" fillId="52" borderId="334" xfId="6465" applyFont="1" applyFill="1" applyBorder="1" applyAlignment="1" applyProtection="1">
      <alignment horizontal="center"/>
      <protection locked="0"/>
    </xf>
    <xf numFmtId="0" fontId="7" fillId="0" borderId="350" xfId="4660" applyFont="1" applyBorder="1" applyAlignment="1" applyProtection="1">
      <alignment horizontal="center"/>
      <protection hidden="1"/>
    </xf>
    <xf numFmtId="0" fontId="23" fillId="50" borderId="334" xfId="6465" applyFont="1" applyFill="1" applyBorder="1" applyAlignment="1" applyProtection="1">
      <alignment horizontal="center"/>
      <protection hidden="1"/>
    </xf>
    <xf numFmtId="2" fontId="7" fillId="0" borderId="367" xfId="4660" applyNumberFormat="1" applyFont="1" applyBorder="1" applyAlignment="1" applyProtection="1">
      <alignment horizontal="center"/>
      <protection hidden="1"/>
    </xf>
    <xf numFmtId="0" fontId="7" fillId="12" borderId="367" xfId="4660" applyFont="1" applyFill="1" applyBorder="1" applyAlignment="1" applyProtection="1">
      <alignment horizontal="center"/>
      <protection locked="0"/>
    </xf>
    <xf numFmtId="2" fontId="7" fillId="14" borderId="334" xfId="17486" applyNumberFormat="1" applyFont="1" applyFill="1" applyBorder="1" applyAlignment="1" applyProtection="1">
      <alignment horizontal="center"/>
      <protection hidden="1"/>
    </xf>
    <xf numFmtId="0" fontId="121" fillId="0" borderId="334" xfId="6465" applyFont="1" applyBorder="1" applyAlignment="1" applyProtection="1">
      <alignment horizontal="center"/>
      <protection hidden="1"/>
    </xf>
    <xf numFmtId="0" fontId="7" fillId="0" borderId="367" xfId="6465" applyBorder="1" applyAlignment="1" applyProtection="1">
      <alignment horizontal="center"/>
      <protection hidden="1"/>
    </xf>
    <xf numFmtId="0" fontId="130" fillId="0" borderId="367" xfId="6465" applyFont="1" applyBorder="1" applyAlignment="1" applyProtection="1">
      <alignment horizontal="center"/>
      <protection hidden="1"/>
    </xf>
    <xf numFmtId="0" fontId="7" fillId="0" borderId="350" xfId="6465" applyBorder="1" applyAlignment="1" applyProtection="1">
      <alignment horizontal="center"/>
      <protection hidden="1"/>
    </xf>
    <xf numFmtId="168" fontId="7" fillId="0" borderId="334" xfId="6465" applyNumberFormat="1" applyBorder="1" applyAlignment="1" applyProtection="1">
      <alignment horizontal="center"/>
      <protection hidden="1"/>
    </xf>
    <xf numFmtId="0" fontId="7" fillId="5" borderId="350" xfId="6465" applyFill="1" applyBorder="1" applyAlignment="1" applyProtection="1">
      <alignment horizontal="center"/>
      <protection locked="0"/>
    </xf>
    <xf numFmtId="168" fontId="7" fillId="0" borderId="350" xfId="6465" applyNumberFormat="1" applyBorder="1" applyAlignment="1" applyProtection="1">
      <alignment horizontal="center"/>
      <protection hidden="1"/>
    </xf>
    <xf numFmtId="1" fontId="23" fillId="0" borderId="334" xfId="4660" applyNumberFormat="1" applyFont="1" applyBorder="1" applyAlignment="1" applyProtection="1">
      <alignment horizontal="center"/>
      <protection hidden="1"/>
    </xf>
    <xf numFmtId="0" fontId="7" fillId="12" borderId="334" xfId="4660" applyFont="1" applyFill="1" applyBorder="1" applyAlignment="1" applyProtection="1">
      <alignment horizontal="center"/>
      <protection locked="0"/>
    </xf>
    <xf numFmtId="0" fontId="236" fillId="4" borderId="350" xfId="6465" applyFont="1" applyFill="1" applyBorder="1" applyAlignment="1" applyProtection="1">
      <alignment horizontal="left"/>
      <protection hidden="1"/>
    </xf>
    <xf numFmtId="0" fontId="236" fillId="4" borderId="352" xfId="6465" applyFont="1" applyFill="1" applyBorder="1" applyAlignment="1" applyProtection="1">
      <alignment horizontal="left"/>
      <protection hidden="1"/>
    </xf>
    <xf numFmtId="0" fontId="236" fillId="13" borderId="334" xfId="6465" applyFont="1" applyFill="1" applyBorder="1" applyAlignment="1" applyProtection="1">
      <alignment horizontal="center"/>
      <protection locked="0"/>
    </xf>
    <xf numFmtId="0" fontId="61" fillId="5" borderId="334" xfId="6465" applyFont="1" applyFill="1" applyBorder="1" applyAlignment="1" applyProtection="1">
      <alignment horizontal="center"/>
      <protection locked="0"/>
    </xf>
    <xf numFmtId="0" fontId="61" fillId="3" borderId="350" xfId="4660" applyFont="1" applyFill="1" applyBorder="1" applyAlignment="1" applyProtection="1">
      <alignment horizontal="left"/>
      <protection hidden="1"/>
    </xf>
    <xf numFmtId="0" fontId="7" fillId="0" borderId="352" xfId="0" applyFont="1" applyBorder="1" applyProtection="1">
      <protection hidden="1"/>
    </xf>
    <xf numFmtId="0" fontId="7" fillId="4" borderId="334" xfId="4660" applyFont="1" applyFill="1" applyBorder="1" applyAlignment="1" applyProtection="1">
      <alignment horizontal="right"/>
      <protection hidden="1"/>
    </xf>
    <xf numFmtId="0" fontId="7" fillId="4" borderId="350" xfId="6465" applyFill="1" applyBorder="1" applyAlignment="1" applyProtection="1">
      <alignment horizontal="left"/>
      <protection hidden="1"/>
    </xf>
    <xf numFmtId="0" fontId="236" fillId="5" borderId="334" xfId="6465" applyFont="1" applyFill="1" applyBorder="1" applyAlignment="1" applyProtection="1">
      <alignment horizontal="center"/>
      <protection locked="0"/>
    </xf>
    <xf numFmtId="168" fontId="61" fillId="4" borderId="334" xfId="6465" applyNumberFormat="1" applyFont="1" applyFill="1" applyBorder="1" applyAlignment="1" applyProtection="1">
      <alignment horizontal="center"/>
      <protection hidden="1"/>
    </xf>
    <xf numFmtId="0" fontId="7" fillId="4" borderId="350" xfId="6465" applyFill="1" applyBorder="1" applyProtection="1">
      <protection hidden="1"/>
    </xf>
    <xf numFmtId="0" fontId="7" fillId="0" borderId="334" xfId="6465" applyBorder="1" applyAlignment="1" applyProtection="1">
      <alignment horizontal="right"/>
      <protection hidden="1"/>
    </xf>
    <xf numFmtId="0" fontId="7" fillId="0" borderId="351" xfId="6465" applyBorder="1" applyAlignment="1" applyProtection="1">
      <alignment horizontal="left"/>
      <protection hidden="1"/>
    </xf>
    <xf numFmtId="0" fontId="7" fillId="4" borderId="334" xfId="6465" applyFill="1" applyBorder="1" applyAlignment="1" applyProtection="1">
      <alignment horizontal="right"/>
      <protection hidden="1"/>
    </xf>
    <xf numFmtId="168" fontId="196" fillId="4" borderId="334" xfId="6465" applyNumberFormat="1" applyFont="1" applyFill="1" applyBorder="1" applyAlignment="1" applyProtection="1">
      <alignment horizontal="center"/>
      <protection hidden="1"/>
    </xf>
    <xf numFmtId="0" fontId="7" fillId="13" borderId="334" xfId="6465" applyFill="1" applyBorder="1" applyAlignment="1" applyProtection="1">
      <alignment horizontal="center"/>
      <protection locked="0"/>
    </xf>
    <xf numFmtId="0" fontId="7" fillId="3" borderId="334" xfId="6465" applyFill="1" applyBorder="1" applyProtection="1">
      <protection hidden="1"/>
    </xf>
    <xf numFmtId="2" fontId="7" fillId="2" borderId="334" xfId="6465" applyNumberFormat="1" applyFill="1" applyBorder="1" applyAlignment="1" applyProtection="1">
      <alignment horizontal="center"/>
      <protection hidden="1"/>
    </xf>
    <xf numFmtId="0" fontId="7" fillId="4" borderId="352" xfId="6465" applyFill="1" applyBorder="1" applyAlignment="1" applyProtection="1">
      <alignment horizontal="center"/>
      <protection hidden="1"/>
    </xf>
    <xf numFmtId="0" fontId="7" fillId="4" borderId="367" xfId="17466" applyFont="1" applyFill="1" applyBorder="1" applyAlignment="1" applyProtection="1">
      <alignment horizontal="center"/>
      <protection hidden="1"/>
    </xf>
    <xf numFmtId="0" fontId="7" fillId="5" borderId="350" xfId="17466" applyFont="1" applyFill="1" applyBorder="1" applyAlignment="1" applyProtection="1">
      <alignment horizontal="center"/>
      <protection locked="0"/>
    </xf>
    <xf numFmtId="1" fontId="23" fillId="0" borderId="350" xfId="6465" applyNumberFormat="1" applyFont="1" applyBorder="1" applyAlignment="1" applyProtection="1">
      <alignment horizontal="center"/>
      <protection hidden="1"/>
    </xf>
    <xf numFmtId="1" fontId="7" fillId="0" borderId="334" xfId="17459" applyNumberFormat="1" applyFont="1" applyBorder="1" applyAlignment="1" applyProtection="1">
      <alignment horizontal="center"/>
      <protection hidden="1"/>
    </xf>
    <xf numFmtId="2" fontId="7" fillId="4" borderId="367" xfId="4660" applyNumberFormat="1" applyFont="1" applyFill="1" applyBorder="1" applyProtection="1">
      <protection hidden="1"/>
    </xf>
    <xf numFmtId="2" fontId="7" fillId="5" borderId="367" xfId="4660" applyNumberFormat="1" applyFont="1" applyFill="1" applyBorder="1" applyAlignment="1" applyProtection="1">
      <alignment horizontal="center" wrapText="1"/>
      <protection locked="0"/>
    </xf>
    <xf numFmtId="2" fontId="7" fillId="5" borderId="344" xfId="4660" applyNumberFormat="1" applyFont="1" applyFill="1" applyBorder="1" applyAlignment="1" applyProtection="1">
      <alignment horizontal="center" wrapText="1"/>
      <protection locked="0"/>
    </xf>
    <xf numFmtId="2" fontId="7" fillId="4" borderId="334" xfId="4660" applyNumberFormat="1" applyFont="1" applyFill="1" applyBorder="1" applyProtection="1">
      <protection hidden="1"/>
    </xf>
    <xf numFmtId="168" fontId="7" fillId="2" borderId="334" xfId="4660" applyNumberFormat="1" applyFont="1" applyFill="1" applyBorder="1" applyAlignment="1" applyProtection="1">
      <alignment horizontal="center"/>
      <protection hidden="1"/>
    </xf>
    <xf numFmtId="1" fontId="7" fillId="2" borderId="334" xfId="4660" applyNumberFormat="1" applyFont="1" applyFill="1" applyBorder="1" applyAlignment="1" applyProtection="1">
      <alignment horizontal="center"/>
      <protection hidden="1"/>
    </xf>
    <xf numFmtId="0" fontId="7" fillId="5" borderId="367" xfId="4660" applyFont="1" applyFill="1" applyBorder="1" applyAlignment="1" applyProtection="1">
      <alignment horizontal="center"/>
      <protection locked="0"/>
    </xf>
    <xf numFmtId="168" fontId="7" fillId="4" borderId="344" xfId="6465" applyNumberFormat="1" applyFill="1" applyBorder="1" applyAlignment="1" applyProtection="1">
      <alignment horizontal="left"/>
      <protection hidden="1"/>
    </xf>
    <xf numFmtId="0" fontId="17" fillId="4" borderId="367" xfId="4660" applyFont="1" applyFill="1" applyBorder="1" applyAlignment="1" applyProtection="1">
      <alignment horizontal="center"/>
      <protection hidden="1"/>
    </xf>
    <xf numFmtId="2" fontId="7" fillId="4" borderId="367" xfId="4660" applyNumberFormat="1" applyFont="1" applyFill="1" applyBorder="1" applyAlignment="1" applyProtection="1">
      <alignment horizontal="center"/>
      <protection hidden="1"/>
    </xf>
    <xf numFmtId="168" fontId="7" fillId="4" borderId="334" xfId="6465" applyNumberFormat="1" applyFill="1" applyBorder="1" applyAlignment="1" applyProtection="1">
      <alignment horizontal="center"/>
      <protection hidden="1"/>
    </xf>
    <xf numFmtId="168" fontId="7" fillId="4" borderId="334" xfId="4660" applyNumberFormat="1" applyFont="1" applyFill="1" applyBorder="1" applyAlignment="1" applyProtection="1">
      <alignment horizontal="left"/>
      <protection hidden="1"/>
    </xf>
    <xf numFmtId="168" fontId="75" fillId="4" borderId="350" xfId="4660" applyNumberFormat="1" applyFont="1" applyFill="1" applyBorder="1" applyAlignment="1" applyProtection="1">
      <alignment horizontal="center"/>
      <protection hidden="1"/>
    </xf>
    <xf numFmtId="168" fontId="75" fillId="4" borderId="334" xfId="4660" applyNumberFormat="1" applyFont="1" applyFill="1" applyBorder="1" applyAlignment="1" applyProtection="1">
      <alignment horizontal="center"/>
      <protection hidden="1"/>
    </xf>
    <xf numFmtId="2" fontId="7" fillId="4" borderId="334" xfId="4660" applyNumberFormat="1" applyFont="1" applyFill="1" applyBorder="1" applyAlignment="1" applyProtection="1">
      <alignment horizontal="center"/>
      <protection hidden="1"/>
    </xf>
    <xf numFmtId="0" fontId="7" fillId="12" borderId="334" xfId="6465" applyFill="1" applyBorder="1" applyAlignment="1" applyProtection="1">
      <alignment horizontal="center"/>
      <protection locked="0"/>
    </xf>
    <xf numFmtId="2" fontId="7" fillId="3" borderId="350" xfId="6465" applyNumberFormat="1" applyFill="1" applyBorder="1" applyAlignment="1" applyProtection="1">
      <alignment horizontal="center"/>
      <protection hidden="1"/>
    </xf>
    <xf numFmtId="2" fontId="7" fillId="12" borderId="334" xfId="6465" applyNumberFormat="1" applyFill="1" applyBorder="1" applyAlignment="1" applyProtection="1">
      <alignment horizontal="center"/>
      <protection locked="0"/>
    </xf>
    <xf numFmtId="0" fontId="23" fillId="3" borderId="334" xfId="4660" applyFont="1" applyFill="1" applyBorder="1" applyProtection="1">
      <protection hidden="1"/>
    </xf>
    <xf numFmtId="0" fontId="7" fillId="5" borderId="352" xfId="6465" applyFill="1" applyBorder="1" applyAlignment="1" applyProtection="1">
      <alignment horizontal="center"/>
      <protection locked="0"/>
    </xf>
    <xf numFmtId="0" fontId="7" fillId="2" borderId="350" xfId="6465" applyFill="1" applyBorder="1" applyAlignment="1" applyProtection="1">
      <alignment horizontal="center" wrapText="1"/>
      <protection hidden="1"/>
    </xf>
    <xf numFmtId="0" fontId="7" fillId="21" borderId="334" xfId="6465" applyFill="1" applyBorder="1" applyAlignment="1" applyProtection="1">
      <alignment horizontal="center" wrapText="1"/>
      <protection hidden="1"/>
    </xf>
    <xf numFmtId="0" fontId="52" fillId="4" borderId="334" xfId="6465" applyFont="1" applyFill="1" applyBorder="1" applyAlignment="1" applyProtection="1">
      <alignment horizontal="center" wrapText="1"/>
      <protection hidden="1"/>
    </xf>
    <xf numFmtId="0" fontId="23" fillId="50" borderId="334" xfId="17478" applyFill="1" applyBorder="1" applyAlignment="1" applyProtection="1">
      <alignment horizontal="center"/>
      <protection hidden="1"/>
    </xf>
    <xf numFmtId="0" fontId="7" fillId="5" borderId="350" xfId="6465" applyFill="1" applyBorder="1" applyAlignment="1" applyProtection="1">
      <alignment horizontal="center" wrapText="1"/>
      <protection locked="0"/>
    </xf>
    <xf numFmtId="0" fontId="63" fillId="4" borderId="334" xfId="6465" applyFont="1" applyFill="1" applyBorder="1" applyAlignment="1" applyProtection="1">
      <alignment horizontal="left"/>
      <protection hidden="1"/>
    </xf>
    <xf numFmtId="0" fontId="23" fillId="50" borderId="352" xfId="17478" applyFill="1" applyBorder="1" applyAlignment="1" applyProtection="1">
      <alignment horizontal="center"/>
      <protection hidden="1"/>
    </xf>
    <xf numFmtId="0" fontId="164" fillId="7" borderId="334" xfId="4660" applyFont="1" applyFill="1" applyBorder="1" applyAlignment="1" applyProtection="1">
      <alignment horizontal="right"/>
      <protection hidden="1"/>
    </xf>
    <xf numFmtId="0" fontId="92" fillId="3" borderId="363" xfId="4660" applyFont="1" applyFill="1" applyBorder="1" applyAlignment="1" applyProtection="1">
      <alignment horizontal="center"/>
      <protection hidden="1"/>
    </xf>
    <xf numFmtId="0" fontId="7" fillId="9" borderId="367" xfId="6465" applyFill="1" applyBorder="1" applyProtection="1">
      <protection hidden="1"/>
    </xf>
    <xf numFmtId="0" fontId="7" fillId="9" borderId="334" xfId="6465" applyFill="1" applyBorder="1" applyAlignment="1" applyProtection="1">
      <alignment horizontal="center"/>
      <protection hidden="1"/>
    </xf>
    <xf numFmtId="0" fontId="7" fillId="5" borderId="334" xfId="17475" applyFill="1" applyBorder="1" applyAlignment="1" applyProtection="1">
      <alignment horizontal="center"/>
      <protection locked="0"/>
    </xf>
    <xf numFmtId="0" fontId="7" fillId="4" borderId="334" xfId="17475" applyFill="1" applyBorder="1" applyAlignment="1" applyProtection="1">
      <alignment horizontal="center"/>
      <protection hidden="1"/>
    </xf>
    <xf numFmtId="0" fontId="17" fillId="0" borderId="334" xfId="4660" applyFont="1" applyBorder="1" applyAlignment="1" applyProtection="1">
      <alignment horizontal="center"/>
      <protection hidden="1"/>
    </xf>
    <xf numFmtId="49" fontId="7" fillId="15" borderId="358" xfId="4660" applyNumberFormat="1" applyFont="1" applyFill="1" applyBorder="1" applyAlignment="1" applyProtection="1">
      <alignment horizontal="center"/>
      <protection hidden="1"/>
    </xf>
    <xf numFmtId="0" fontId="136" fillId="13" borderId="408" xfId="6465" applyFont="1" applyFill="1" applyBorder="1" applyProtection="1">
      <protection hidden="1"/>
    </xf>
    <xf numFmtId="0" fontId="52" fillId="13" borderId="334" xfId="6465" applyFont="1" applyFill="1" applyBorder="1" applyAlignment="1" applyProtection="1">
      <alignment horizontal="center"/>
      <protection locked="0"/>
    </xf>
    <xf numFmtId="0" fontId="149" fillId="4" borderId="367" xfId="6465" applyFont="1" applyFill="1" applyBorder="1" applyAlignment="1" applyProtection="1">
      <alignment horizontal="center"/>
      <protection hidden="1"/>
    </xf>
    <xf numFmtId="0" fontId="149" fillId="4" borderId="350" xfId="6465" applyFont="1" applyFill="1" applyBorder="1" applyAlignment="1" applyProtection="1">
      <alignment horizontal="center"/>
      <protection hidden="1"/>
    </xf>
    <xf numFmtId="0" fontId="52" fillId="4" borderId="409" xfId="6465" applyFont="1" applyFill="1" applyBorder="1" applyAlignment="1" applyProtection="1">
      <alignment horizontal="center"/>
      <protection hidden="1"/>
    </xf>
    <xf numFmtId="0" fontId="214" fillId="2" borderId="367" xfId="6465" applyFont="1" applyFill="1" applyBorder="1" applyProtection="1">
      <protection hidden="1"/>
    </xf>
    <xf numFmtId="0" fontId="215" fillId="5" borderId="367" xfId="6465" applyFont="1" applyFill="1" applyBorder="1" applyAlignment="1" applyProtection="1">
      <alignment horizontal="center"/>
      <protection locked="0"/>
    </xf>
    <xf numFmtId="0" fontId="215" fillId="5" borderId="409" xfId="6465" applyFont="1" applyFill="1" applyBorder="1" applyAlignment="1" applyProtection="1">
      <alignment horizontal="center"/>
      <protection locked="0"/>
    </xf>
    <xf numFmtId="0" fontId="332" fillId="12" borderId="351" xfId="6465" applyFont="1" applyFill="1" applyBorder="1" applyAlignment="1" applyProtection="1">
      <alignment horizontal="center"/>
      <protection locked="0"/>
    </xf>
    <xf numFmtId="0" fontId="332" fillId="3" borderId="352" xfId="16065" applyFont="1" applyFill="1" applyBorder="1" applyProtection="1">
      <protection hidden="1"/>
    </xf>
    <xf numFmtId="0" fontId="23" fillId="3" borderId="367" xfId="4660" applyFont="1" applyFill="1" applyBorder="1" applyProtection="1">
      <protection hidden="1"/>
    </xf>
    <xf numFmtId="168" fontId="61" fillId="13" borderId="367" xfId="6465" applyNumberFormat="1" applyFont="1" applyFill="1" applyBorder="1" applyAlignment="1" applyProtection="1">
      <alignment horizontal="center"/>
      <protection locked="0"/>
    </xf>
    <xf numFmtId="168" fontId="61" fillId="13" borderId="409" xfId="6465" applyNumberFormat="1" applyFont="1" applyFill="1" applyBorder="1" applyAlignment="1" applyProtection="1">
      <alignment horizontal="center"/>
      <protection locked="0"/>
    </xf>
    <xf numFmtId="0" fontId="17" fillId="0" borderId="367" xfId="16065" applyFont="1" applyBorder="1" applyAlignment="1" applyProtection="1">
      <alignment horizontal="right"/>
      <protection hidden="1"/>
    </xf>
    <xf numFmtId="169" fontId="17" fillId="0" borderId="367" xfId="16065" applyNumberFormat="1" applyFont="1" applyBorder="1" applyAlignment="1" applyProtection="1">
      <alignment horizontal="center"/>
      <protection hidden="1"/>
    </xf>
    <xf numFmtId="0" fontId="7" fillId="2" borderId="334" xfId="6465" applyFill="1" applyBorder="1" applyProtection="1">
      <protection hidden="1"/>
    </xf>
    <xf numFmtId="168" fontId="61" fillId="4" borderId="409" xfId="6465" applyNumberFormat="1" applyFont="1" applyFill="1" applyBorder="1" applyAlignment="1" applyProtection="1">
      <alignment horizontal="center"/>
      <protection hidden="1"/>
    </xf>
    <xf numFmtId="168" fontId="89" fillId="18" borderId="367" xfId="6465" applyNumberFormat="1" applyFont="1" applyFill="1" applyBorder="1" applyAlignment="1" applyProtection="1">
      <alignment horizontal="center" wrapText="1"/>
      <protection locked="0"/>
    </xf>
    <xf numFmtId="0" fontId="190" fillId="5" borderId="410" xfId="6465" applyFont="1" applyFill="1" applyBorder="1" applyAlignment="1" applyProtection="1">
      <alignment horizontal="center"/>
      <protection locked="0"/>
    </xf>
    <xf numFmtId="49" fontId="17" fillId="4" borderId="367" xfId="16065" applyNumberFormat="1" applyFont="1" applyFill="1" applyBorder="1" applyAlignment="1" applyProtection="1">
      <alignment horizontal="center"/>
      <protection hidden="1"/>
    </xf>
    <xf numFmtId="168" fontId="7" fillId="13" borderId="352" xfId="16065" applyNumberFormat="1" applyFont="1" applyFill="1" applyBorder="1" applyAlignment="1" applyProtection="1">
      <alignment horizontal="center" wrapText="1"/>
      <protection locked="0"/>
    </xf>
    <xf numFmtId="2" fontId="7" fillId="4" borderId="352" xfId="16065" applyNumberFormat="1" applyFont="1" applyFill="1" applyBorder="1" applyAlignment="1" applyProtection="1">
      <alignment horizontal="center" wrapText="1"/>
      <protection hidden="1"/>
    </xf>
    <xf numFmtId="49" fontId="7" fillId="13" borderId="350" xfId="16065" applyNumberFormat="1" applyFont="1" applyFill="1" applyBorder="1" applyAlignment="1" applyProtection="1">
      <alignment horizontal="left"/>
      <protection locked="0"/>
    </xf>
    <xf numFmtId="168" fontId="7" fillId="12" borderId="352" xfId="4660" applyNumberFormat="1" applyFont="1" applyFill="1" applyBorder="1" applyAlignment="1" applyProtection="1">
      <alignment horizontal="center"/>
      <protection locked="0"/>
    </xf>
    <xf numFmtId="2" fontId="7" fillId="4" borderId="334" xfId="16065" applyNumberFormat="1" applyFont="1" applyFill="1" applyBorder="1" applyAlignment="1" applyProtection="1">
      <alignment horizontal="center" wrapText="1"/>
      <protection hidden="1"/>
    </xf>
    <xf numFmtId="168" fontId="61" fillId="13" borderId="352" xfId="16065" applyNumberFormat="1" applyFont="1" applyFill="1" applyBorder="1" applyAlignment="1" applyProtection="1">
      <alignment horizontal="center" wrapText="1"/>
      <protection locked="0"/>
    </xf>
    <xf numFmtId="2" fontId="61" fillId="4" borderId="352" xfId="16065" applyNumberFormat="1" applyFont="1" applyFill="1" applyBorder="1" applyAlignment="1" applyProtection="1">
      <alignment horizontal="center" wrapText="1"/>
      <protection hidden="1"/>
    </xf>
    <xf numFmtId="0" fontId="7" fillId="5" borderId="408" xfId="16065" applyFont="1" applyFill="1" applyBorder="1" applyProtection="1">
      <protection hidden="1"/>
    </xf>
    <xf numFmtId="0" fontId="7" fillId="26" borderId="408" xfId="16065" applyFont="1" applyFill="1" applyBorder="1" applyProtection="1">
      <protection hidden="1"/>
    </xf>
    <xf numFmtId="0" fontId="98" fillId="0" borderId="334" xfId="0" applyFont="1" applyBorder="1" applyProtection="1">
      <protection hidden="1"/>
    </xf>
    <xf numFmtId="168" fontId="98" fillId="45" borderId="367" xfId="6465" applyNumberFormat="1" applyFont="1" applyFill="1" applyBorder="1" applyAlignment="1" applyProtection="1">
      <alignment horizontal="center"/>
      <protection locked="0"/>
    </xf>
    <xf numFmtId="0" fontId="52" fillId="4" borderId="411" xfId="8678" applyFont="1" applyFill="1" applyBorder="1" applyProtection="1">
      <protection hidden="1"/>
    </xf>
    <xf numFmtId="0" fontId="17" fillId="5" borderId="351" xfId="6465" applyFont="1" applyFill="1" applyBorder="1" applyProtection="1">
      <protection locked="0"/>
    </xf>
    <xf numFmtId="0" fontId="52" fillId="4" borderId="351" xfId="8678" applyFont="1" applyFill="1" applyBorder="1" applyProtection="1">
      <protection hidden="1"/>
    </xf>
    <xf numFmtId="0" fontId="52" fillId="4" borderId="352" xfId="8678" applyFont="1" applyFill="1" applyBorder="1" applyProtection="1">
      <protection hidden="1"/>
    </xf>
    <xf numFmtId="2" fontId="23" fillId="2" borderId="350" xfId="6465" applyNumberFormat="1" applyFont="1" applyFill="1" applyBorder="1" applyAlignment="1" applyProtection="1">
      <alignment horizontal="center"/>
      <protection hidden="1"/>
    </xf>
    <xf numFmtId="0" fontId="208" fillId="2" borderId="350" xfId="6465" applyFont="1" applyFill="1" applyBorder="1" applyAlignment="1" applyProtection="1">
      <alignment horizontal="center" vertical="center"/>
      <protection hidden="1"/>
    </xf>
    <xf numFmtId="0" fontId="23" fillId="2" borderId="334" xfId="6465" applyFont="1" applyFill="1" applyBorder="1" applyAlignment="1" applyProtection="1">
      <alignment horizontal="center"/>
      <protection hidden="1"/>
    </xf>
    <xf numFmtId="2" fontId="23" fillId="4" borderId="350" xfId="6465" applyNumberFormat="1" applyFont="1" applyFill="1" applyBorder="1" applyAlignment="1" applyProtection="1">
      <alignment horizontal="center"/>
      <protection hidden="1"/>
    </xf>
    <xf numFmtId="0" fontId="23" fillId="4" borderId="334" xfId="6465" applyFont="1" applyFill="1" applyBorder="1" applyAlignment="1" applyProtection="1">
      <alignment horizontal="center"/>
      <protection hidden="1"/>
    </xf>
    <xf numFmtId="1" fontId="23" fillId="4" borderId="350" xfId="6465" applyNumberFormat="1" applyFont="1" applyFill="1" applyBorder="1" applyAlignment="1" applyProtection="1">
      <alignment horizontal="center"/>
      <protection hidden="1"/>
    </xf>
    <xf numFmtId="0" fontId="23" fillId="5" borderId="350" xfId="6465" applyFont="1" applyFill="1" applyBorder="1" applyAlignment="1" applyProtection="1">
      <alignment horizontal="center"/>
      <protection locked="0"/>
    </xf>
    <xf numFmtId="1" fontId="23" fillId="4" borderId="334" xfId="6465" applyNumberFormat="1" applyFont="1" applyFill="1" applyBorder="1" applyAlignment="1" applyProtection="1">
      <alignment horizontal="center"/>
      <protection hidden="1"/>
    </xf>
    <xf numFmtId="0" fontId="23" fillId="5" borderId="334" xfId="6465" applyFont="1" applyFill="1" applyBorder="1" applyAlignment="1" applyProtection="1">
      <alignment horizontal="center"/>
      <protection locked="0"/>
    </xf>
    <xf numFmtId="0" fontId="197" fillId="3" borderId="395" xfId="16065" applyFont="1" applyFill="1" applyBorder="1" applyProtection="1">
      <protection hidden="1"/>
    </xf>
    <xf numFmtId="0" fontId="61" fillId="7" borderId="412" xfId="16065" applyFont="1" applyFill="1" applyBorder="1" applyAlignment="1" applyProtection="1">
      <alignment horizontal="right" wrapText="1"/>
      <protection hidden="1"/>
    </xf>
    <xf numFmtId="0" fontId="7" fillId="4" borderId="334" xfId="6465" applyFill="1" applyBorder="1" applyAlignment="1" applyProtection="1">
      <alignment horizontal="center" vertical="center"/>
      <protection hidden="1"/>
    </xf>
    <xf numFmtId="0" fontId="7" fillId="4" borderId="334" xfId="6465" applyFill="1" applyBorder="1" applyAlignment="1" applyProtection="1">
      <alignment horizontal="left" vertical="center"/>
      <protection hidden="1"/>
    </xf>
    <xf numFmtId="0" fontId="7" fillId="9" borderId="334" xfId="6465" applyFill="1" applyBorder="1" applyAlignment="1" applyProtection="1">
      <alignment horizontal="center" vertical="center"/>
      <protection hidden="1"/>
    </xf>
    <xf numFmtId="0" fontId="7" fillId="18" borderId="350" xfId="6465" applyFill="1" applyBorder="1" applyAlignment="1" applyProtection="1">
      <alignment horizontal="center"/>
      <protection locked="0"/>
    </xf>
    <xf numFmtId="169" fontId="7" fillId="3" borderId="350" xfId="6465" applyNumberFormat="1" applyFill="1" applyBorder="1" applyAlignment="1" applyProtection="1">
      <alignment horizontal="center"/>
      <protection hidden="1"/>
    </xf>
    <xf numFmtId="169" fontId="7" fillId="9" borderId="334" xfId="6465" applyNumberFormat="1" applyFill="1" applyBorder="1" applyAlignment="1" applyProtection="1">
      <alignment horizontal="center" wrapText="1"/>
      <protection hidden="1"/>
    </xf>
    <xf numFmtId="0" fontId="52" fillId="0" borderId="415" xfId="0" applyFont="1" applyBorder="1" applyProtection="1">
      <protection hidden="1"/>
    </xf>
    <xf numFmtId="0" fontId="17" fillId="14" borderId="416" xfId="0" applyFont="1" applyFill="1" applyBorder="1" applyAlignment="1" applyProtection="1">
      <alignment horizontal="center"/>
      <protection hidden="1"/>
    </xf>
    <xf numFmtId="0" fontId="123" fillId="14" borderId="415" xfId="0" applyFont="1" applyFill="1" applyBorder="1" applyAlignment="1" applyProtection="1">
      <alignment horizontal="center"/>
      <protection hidden="1"/>
    </xf>
    <xf numFmtId="0" fontId="17" fillId="14" borderId="417" xfId="0" applyFont="1" applyFill="1" applyBorder="1" applyAlignment="1" applyProtection="1">
      <alignment horizontal="center"/>
      <protection hidden="1"/>
    </xf>
    <xf numFmtId="0" fontId="17" fillId="14" borderId="418" xfId="0" applyFont="1" applyFill="1" applyBorder="1" applyAlignment="1" applyProtection="1">
      <alignment horizontal="center"/>
      <protection hidden="1"/>
    </xf>
    <xf numFmtId="0" fontId="124" fillId="14" borderId="415" xfId="0" applyFont="1" applyFill="1" applyBorder="1" applyAlignment="1" applyProtection="1">
      <alignment horizontal="center"/>
      <protection hidden="1"/>
    </xf>
    <xf numFmtId="0" fontId="127" fillId="14" borderId="415" xfId="0" applyFont="1" applyFill="1" applyBorder="1" applyAlignment="1" applyProtection="1">
      <alignment horizontal="center"/>
      <protection hidden="1"/>
    </xf>
    <xf numFmtId="0" fontId="7" fillId="5" borderId="419" xfId="6465" applyFill="1" applyBorder="1" applyProtection="1">
      <protection locked="0"/>
    </xf>
    <xf numFmtId="0" fontId="7" fillId="5" borderId="420" xfId="6465" applyFill="1" applyBorder="1" applyAlignment="1" applyProtection="1">
      <alignment horizontal="center"/>
      <protection locked="0"/>
    </xf>
    <xf numFmtId="0" fontId="94" fillId="28" borderId="419" xfId="16065" applyFont="1" applyFill="1" applyBorder="1" applyAlignment="1" applyProtection="1">
      <alignment horizontal="center"/>
      <protection locked="0"/>
    </xf>
    <xf numFmtId="0" fontId="7" fillId="28" borderId="421" xfId="16065" applyFont="1" applyFill="1" applyBorder="1" applyAlignment="1" applyProtection="1">
      <alignment horizontal="center"/>
      <protection locked="0"/>
    </xf>
    <xf numFmtId="0" fontId="7" fillId="13" borderId="421" xfId="16065" applyFont="1" applyFill="1" applyBorder="1" applyAlignment="1" applyProtection="1">
      <alignment horizontal="center"/>
      <protection locked="0"/>
    </xf>
    <xf numFmtId="0" fontId="7" fillId="13" borderId="422" xfId="16065" applyFont="1" applyFill="1" applyBorder="1" applyAlignment="1" applyProtection="1">
      <alignment horizontal="center"/>
      <protection locked="0"/>
    </xf>
    <xf numFmtId="0" fontId="91" fillId="29" borderId="419" xfId="16065" applyFont="1" applyFill="1" applyBorder="1" applyAlignment="1" applyProtection="1">
      <alignment horizontal="center"/>
      <protection locked="0"/>
    </xf>
    <xf numFmtId="0" fontId="7" fillId="29" borderId="421" xfId="16065" applyFont="1" applyFill="1" applyBorder="1" applyAlignment="1" applyProtection="1">
      <alignment horizontal="center"/>
      <protection locked="0"/>
    </xf>
    <xf numFmtId="0" fontId="7" fillId="29" borderId="420" xfId="16065" applyFont="1" applyFill="1" applyBorder="1" applyAlignment="1" applyProtection="1">
      <alignment horizontal="center"/>
      <protection locked="0"/>
    </xf>
    <xf numFmtId="169" fontId="7" fillId="4" borderId="350" xfId="6465" applyNumberFormat="1" applyFill="1" applyBorder="1" applyAlignment="1" applyProtection="1">
      <alignment horizontal="center"/>
      <protection hidden="1"/>
    </xf>
    <xf numFmtId="169" fontId="7" fillId="4" borderId="352" xfId="6465" applyNumberFormat="1" applyFill="1" applyBorder="1" applyAlignment="1" applyProtection="1">
      <alignment horizontal="center"/>
      <protection hidden="1"/>
    </xf>
    <xf numFmtId="0" fontId="7" fillId="9" borderId="350" xfId="6465" applyFill="1" applyBorder="1" applyAlignment="1" applyProtection="1">
      <alignment horizontal="center" wrapText="1"/>
      <protection hidden="1"/>
    </xf>
    <xf numFmtId="0" fontId="7" fillId="9" borderId="424" xfId="6465" applyFill="1" applyBorder="1" applyAlignment="1" applyProtection="1">
      <alignment horizontal="center" wrapText="1"/>
      <protection hidden="1"/>
    </xf>
    <xf numFmtId="0" fontId="7" fillId="18" borderId="425" xfId="6465" applyFill="1" applyBorder="1" applyAlignment="1" applyProtection="1">
      <alignment horizontal="center"/>
      <protection locked="0"/>
    </xf>
    <xf numFmtId="0" fontId="7" fillId="9" borderId="334" xfId="6465" applyFill="1" applyBorder="1" applyAlignment="1" applyProtection="1">
      <alignment horizontal="center" wrapText="1"/>
      <protection hidden="1"/>
    </xf>
    <xf numFmtId="0" fontId="7" fillId="0" borderId="417" xfId="16065" applyFont="1" applyBorder="1" applyProtection="1">
      <protection hidden="1"/>
    </xf>
    <xf numFmtId="0" fontId="123" fillId="28" borderId="350" xfId="16065" applyFont="1" applyFill="1" applyBorder="1" applyAlignment="1" applyProtection="1">
      <alignment horizontal="center"/>
      <protection locked="0"/>
    </xf>
    <xf numFmtId="0" fontId="124" fillId="13" borderId="350" xfId="0" applyFont="1" applyFill="1" applyBorder="1" applyAlignment="1" applyProtection="1">
      <alignment horizontal="center"/>
      <protection locked="0"/>
    </xf>
    <xf numFmtId="168" fontId="92" fillId="4" borderId="412" xfId="16065" applyNumberFormat="1" applyFont="1" applyFill="1" applyBorder="1" applyAlignment="1" applyProtection="1">
      <alignment horizontal="center"/>
      <protection hidden="1"/>
    </xf>
    <xf numFmtId="168" fontId="23" fillId="4" borderId="412" xfId="16065" applyNumberFormat="1" applyFont="1" applyFill="1" applyBorder="1" applyAlignment="1" applyProtection="1">
      <alignment horizontal="center"/>
      <protection hidden="1"/>
    </xf>
    <xf numFmtId="2" fontId="58" fillId="2" borderId="350" xfId="16065" applyNumberFormat="1" applyFont="1" applyFill="1" applyBorder="1" applyProtection="1">
      <protection hidden="1"/>
    </xf>
    <xf numFmtId="2" fontId="58" fillId="4" borderId="350" xfId="16065" applyNumberFormat="1" applyFont="1" applyFill="1" applyBorder="1" applyAlignment="1" applyProtection="1">
      <alignment horizontal="center"/>
      <protection hidden="1"/>
    </xf>
    <xf numFmtId="2" fontId="58" fillId="2" borderId="350" xfId="16065" applyNumberFormat="1" applyFont="1" applyFill="1" applyBorder="1" applyAlignment="1" applyProtection="1">
      <alignment horizontal="center"/>
      <protection hidden="1"/>
    </xf>
    <xf numFmtId="168" fontId="58" fillId="3" borderId="351" xfId="6465" applyNumberFormat="1" applyFont="1" applyFill="1" applyBorder="1" applyAlignment="1" applyProtection="1">
      <alignment horizontal="right"/>
      <protection hidden="1"/>
    </xf>
    <xf numFmtId="0" fontId="0" fillId="0" borderId="334" xfId="17436" applyFont="1" applyBorder="1" applyProtection="1">
      <protection hidden="1"/>
    </xf>
    <xf numFmtId="169" fontId="72" fillId="0" borderId="334" xfId="16065" applyNumberFormat="1" applyFont="1" applyBorder="1" applyAlignment="1" applyProtection="1">
      <alignment horizontal="center" wrapText="1"/>
      <protection hidden="1"/>
    </xf>
    <xf numFmtId="0" fontId="17" fillId="0" borderId="367" xfId="16065" applyFont="1" applyBorder="1" applyAlignment="1" applyProtection="1">
      <alignment horizontal="center"/>
      <protection hidden="1"/>
    </xf>
    <xf numFmtId="0" fontId="23" fillId="30" borderId="429" xfId="6465" applyFont="1" applyFill="1" applyBorder="1" applyProtection="1">
      <protection locked="0"/>
    </xf>
    <xf numFmtId="0" fontId="23" fillId="30" borderId="430" xfId="6465" applyFont="1" applyFill="1" applyBorder="1" applyAlignment="1" applyProtection="1">
      <alignment horizontal="left"/>
      <protection locked="0"/>
    </xf>
    <xf numFmtId="0" fontId="23" fillId="12" borderId="431" xfId="6465" applyFont="1" applyFill="1" applyBorder="1" applyProtection="1">
      <protection locked="0"/>
    </xf>
    <xf numFmtId="0" fontId="23" fillId="12" borderId="432" xfId="6465" applyFont="1" applyFill="1" applyBorder="1" applyAlignment="1" applyProtection="1">
      <alignment horizontal="left"/>
      <protection locked="0"/>
    </xf>
    <xf numFmtId="0" fontId="23" fillId="30" borderId="433" xfId="6465" applyFont="1" applyFill="1" applyBorder="1" applyProtection="1">
      <protection locked="0"/>
    </xf>
    <xf numFmtId="0" fontId="43" fillId="3" borderId="334" xfId="0" applyFont="1" applyFill="1" applyBorder="1" applyAlignment="1" applyProtection="1">
      <alignment horizontal="center"/>
      <protection hidden="1"/>
    </xf>
    <xf numFmtId="0" fontId="23" fillId="27" borderId="434" xfId="17436" applyFont="1" applyFill="1" applyBorder="1" applyProtection="1">
      <protection hidden="1"/>
    </xf>
    <xf numFmtId="0" fontId="23" fillId="27" borderId="352" xfId="17436" applyFont="1" applyFill="1" applyBorder="1" applyAlignment="1" applyProtection="1">
      <alignment horizontal="center"/>
      <protection hidden="1"/>
    </xf>
    <xf numFmtId="0" fontId="7" fillId="13" borderId="334" xfId="0" applyFont="1" applyFill="1" applyBorder="1" applyAlignment="1" applyProtection="1">
      <alignment horizontal="center"/>
      <protection locked="0"/>
    </xf>
    <xf numFmtId="0" fontId="7" fillId="13" borderId="350" xfId="6465" applyFill="1" applyBorder="1" applyAlignment="1" applyProtection="1">
      <alignment horizontal="center"/>
      <protection locked="0"/>
    </xf>
    <xf numFmtId="168" fontId="7" fillId="13" borderId="334" xfId="6465" applyNumberFormat="1" applyFill="1" applyBorder="1" applyAlignment="1" applyProtection="1">
      <alignment horizontal="center"/>
      <protection locked="0"/>
    </xf>
    <xf numFmtId="168" fontId="7" fillId="3" borderId="350" xfId="6465" applyNumberFormat="1" applyFill="1" applyBorder="1" applyAlignment="1" applyProtection="1">
      <alignment horizontal="center"/>
      <protection hidden="1"/>
    </xf>
    <xf numFmtId="168" fontId="7" fillId="2" borderId="334" xfId="6465" applyNumberFormat="1" applyFill="1" applyBorder="1" applyAlignment="1" applyProtection="1">
      <alignment horizontal="center"/>
      <protection hidden="1"/>
    </xf>
    <xf numFmtId="0" fontId="23" fillId="14" borderId="431" xfId="6465" applyFont="1" applyFill="1" applyBorder="1" applyProtection="1">
      <protection hidden="1"/>
    </xf>
    <xf numFmtId="1" fontId="23" fillId="14" borderId="432" xfId="6465" applyNumberFormat="1" applyFont="1" applyFill="1" applyBorder="1" applyAlignment="1" applyProtection="1">
      <alignment horizontal="left"/>
      <protection hidden="1"/>
    </xf>
    <xf numFmtId="0" fontId="23" fillId="0" borderId="435" xfId="6465" applyFont="1" applyBorder="1" applyProtection="1">
      <protection hidden="1"/>
    </xf>
    <xf numFmtId="1" fontId="23" fillId="0" borderId="428" xfId="6465" applyNumberFormat="1" applyFont="1" applyBorder="1" applyAlignment="1" applyProtection="1">
      <alignment horizontal="left"/>
      <protection hidden="1"/>
    </xf>
    <xf numFmtId="2" fontId="7" fillId="0" borderId="334" xfId="6465" applyNumberFormat="1" applyBorder="1" applyAlignment="1" applyProtection="1">
      <alignment horizontal="center"/>
      <protection hidden="1"/>
    </xf>
    <xf numFmtId="169" fontId="7" fillId="0" borderId="334" xfId="6465" applyNumberFormat="1" applyBorder="1" applyAlignment="1" applyProtection="1">
      <alignment horizontal="center"/>
      <protection hidden="1"/>
    </xf>
    <xf numFmtId="0" fontId="92" fillId="12" borderId="350" xfId="17436" applyFont="1" applyFill="1" applyBorder="1" applyAlignment="1" applyProtection="1">
      <alignment horizontal="center"/>
      <protection locked="0"/>
    </xf>
    <xf numFmtId="2" fontId="7" fillId="4" borderId="350" xfId="6465" applyNumberFormat="1" applyFill="1" applyBorder="1" applyAlignment="1" applyProtection="1">
      <alignment horizontal="center"/>
      <protection hidden="1"/>
    </xf>
    <xf numFmtId="168" fontId="7" fillId="0" borderId="334" xfId="0" applyNumberFormat="1" applyFont="1" applyBorder="1" applyAlignment="1" applyProtection="1">
      <alignment horizontal="center"/>
      <protection hidden="1"/>
    </xf>
    <xf numFmtId="0" fontId="179" fillId="5" borderId="408" xfId="16065" applyFont="1" applyFill="1" applyBorder="1" applyProtection="1">
      <protection hidden="1"/>
    </xf>
    <xf numFmtId="0" fontId="23" fillId="3" borderId="0" xfId="17443" applyFont="1" applyFill="1" applyProtection="1">
      <protection hidden="1"/>
    </xf>
    <xf numFmtId="0" fontId="61" fillId="2" borderId="0" xfId="17436" applyFont="1" applyFill="1" applyProtection="1">
      <protection hidden="1"/>
    </xf>
    <xf numFmtId="0" fontId="61" fillId="2" borderId="311" xfId="17436" applyFont="1" applyFill="1" applyBorder="1" applyAlignment="1" applyProtection="1">
      <alignment horizontal="left"/>
      <protection hidden="1"/>
    </xf>
    <xf numFmtId="0" fontId="180" fillId="26" borderId="408" xfId="16065" applyFont="1" applyFill="1" applyBorder="1" applyProtection="1">
      <protection hidden="1"/>
    </xf>
    <xf numFmtId="1" fontId="23" fillId="0" borderId="0" xfId="17443" applyNumberFormat="1" applyFont="1" applyAlignment="1" applyProtection="1">
      <alignment vertical="center"/>
      <protection hidden="1"/>
    </xf>
    <xf numFmtId="1" fontId="191" fillId="12" borderId="0" xfId="16622" applyNumberFormat="1" applyFont="1" applyFill="1" applyAlignment="1" applyProtection="1">
      <alignment vertical="center"/>
      <protection locked="0"/>
    </xf>
    <xf numFmtId="0" fontId="178" fillId="3" borderId="312" xfId="17443" applyFill="1" applyBorder="1" applyProtection="1">
      <protection hidden="1"/>
    </xf>
    <xf numFmtId="0" fontId="7" fillId="0" borderId="367" xfId="17468" applyFont="1" applyBorder="1" applyProtection="1">
      <protection hidden="1"/>
    </xf>
    <xf numFmtId="169" fontId="7" fillId="0" borderId="367" xfId="17473" applyNumberFormat="1" applyFont="1" applyBorder="1" applyProtection="1">
      <protection hidden="1"/>
    </xf>
    <xf numFmtId="1" fontId="23" fillId="0" borderId="0" xfId="17443" applyNumberFormat="1" applyFont="1" applyProtection="1">
      <protection hidden="1"/>
    </xf>
    <xf numFmtId="0" fontId="178" fillId="3" borderId="311" xfId="17443" applyFill="1" applyBorder="1" applyProtection="1">
      <protection hidden="1"/>
    </xf>
    <xf numFmtId="0" fontId="55" fillId="4" borderId="350" xfId="16065" applyFont="1" applyFill="1" applyBorder="1" applyAlignment="1" applyProtection="1">
      <alignment horizontal="center"/>
      <protection hidden="1"/>
    </xf>
    <xf numFmtId="0" fontId="98" fillId="0" borderId="334" xfId="17436" applyFont="1" applyBorder="1" applyAlignment="1" applyProtection="1">
      <alignment horizontal="center"/>
      <protection hidden="1"/>
    </xf>
    <xf numFmtId="0" fontId="98" fillId="13" borderId="367" xfId="6465" applyFont="1" applyFill="1" applyBorder="1" applyAlignment="1" applyProtection="1">
      <alignment horizontal="center"/>
      <protection locked="0"/>
    </xf>
    <xf numFmtId="0" fontId="17" fillId="5" borderId="350" xfId="6465" applyFont="1" applyFill="1" applyBorder="1" applyAlignment="1" applyProtection="1">
      <alignment horizontal="center"/>
      <protection locked="0"/>
    </xf>
    <xf numFmtId="0" fontId="52" fillId="4" borderId="352" xfId="8678" applyFont="1" applyFill="1" applyBorder="1" applyAlignment="1" applyProtection="1">
      <alignment horizontal="center"/>
      <protection hidden="1"/>
    </xf>
    <xf numFmtId="0" fontId="17" fillId="5" borderId="351" xfId="6465" applyFont="1" applyFill="1" applyBorder="1" applyAlignment="1" applyProtection="1">
      <alignment horizontal="center"/>
      <protection locked="0"/>
    </xf>
    <xf numFmtId="0" fontId="52" fillId="4" borderId="351" xfId="8678" applyFont="1" applyFill="1" applyBorder="1" applyAlignment="1" applyProtection="1">
      <alignment horizontal="center"/>
      <protection hidden="1"/>
    </xf>
    <xf numFmtId="0" fontId="52" fillId="0" borderId="350" xfId="6465" applyFont="1" applyBorder="1" applyProtection="1">
      <protection hidden="1"/>
    </xf>
    <xf numFmtId="0" fontId="17" fillId="0" borderId="436" xfId="6465" applyFont="1" applyBorder="1" applyAlignment="1" applyProtection="1">
      <alignment horizontal="center"/>
      <protection hidden="1"/>
    </xf>
    <xf numFmtId="0" fontId="104" fillId="0" borderId="351" xfId="6465" applyFont="1" applyBorder="1" applyAlignment="1" applyProtection="1">
      <alignment horizontal="center"/>
      <protection hidden="1"/>
    </xf>
    <xf numFmtId="0" fontId="104" fillId="0" borderId="352" xfId="6465" applyFont="1" applyBorder="1" applyAlignment="1" applyProtection="1">
      <alignment horizontal="center"/>
      <protection hidden="1"/>
    </xf>
    <xf numFmtId="0" fontId="17" fillId="14" borderId="437" xfId="17436" applyFont="1" applyFill="1" applyBorder="1" applyAlignment="1" applyProtection="1">
      <alignment horizontal="center"/>
      <protection hidden="1"/>
    </xf>
    <xf numFmtId="0" fontId="123" fillId="14" borderId="438" xfId="17436" applyFont="1" applyFill="1" applyBorder="1" applyAlignment="1" applyProtection="1">
      <alignment horizontal="center"/>
      <protection hidden="1"/>
    </xf>
    <xf numFmtId="0" fontId="17" fillId="14" borderId="439" xfId="17436" applyFont="1" applyFill="1" applyBorder="1" applyAlignment="1" applyProtection="1">
      <alignment horizontal="center"/>
      <protection hidden="1"/>
    </xf>
    <xf numFmtId="0" fontId="17" fillId="14" borderId="440" xfId="0" applyFont="1" applyFill="1" applyBorder="1" applyAlignment="1" applyProtection="1">
      <alignment horizontal="center"/>
      <protection hidden="1"/>
    </xf>
    <xf numFmtId="0" fontId="124" fillId="14" borderId="438" xfId="0" applyFont="1" applyFill="1" applyBorder="1" applyAlignment="1" applyProtection="1">
      <alignment horizontal="center"/>
      <protection hidden="1"/>
    </xf>
    <xf numFmtId="0" fontId="17" fillId="14" borderId="441" xfId="17436" applyFont="1" applyFill="1" applyBorder="1" applyAlignment="1" applyProtection="1">
      <alignment horizontal="center"/>
      <protection hidden="1"/>
    </xf>
    <xf numFmtId="0" fontId="7" fillId="0" borderId="335" xfId="6465" applyBorder="1" applyAlignment="1">
      <alignment horizontal="center"/>
    </xf>
    <xf numFmtId="0" fontId="7" fillId="28" borderId="442" xfId="6465" applyFill="1" applyBorder="1" applyAlignment="1" applyProtection="1">
      <alignment horizontal="center"/>
      <protection locked="0"/>
    </xf>
    <xf numFmtId="1" fontId="23" fillId="12" borderId="0" xfId="17443" applyNumberFormat="1" applyFont="1" applyFill="1" applyProtection="1">
      <protection locked="0"/>
    </xf>
    <xf numFmtId="0" fontId="61" fillId="3" borderId="0" xfId="6465" applyFont="1" applyFill="1" applyProtection="1">
      <protection hidden="1"/>
    </xf>
    <xf numFmtId="0" fontId="52" fillId="2" borderId="0" xfId="6465" applyFont="1" applyFill="1" applyAlignment="1" applyProtection="1">
      <alignment vertical="top" wrapText="1"/>
      <protection hidden="1"/>
    </xf>
    <xf numFmtId="1" fontId="23" fillId="3" borderId="0" xfId="17443" applyNumberFormat="1" applyFont="1" applyFill="1" applyProtection="1">
      <protection hidden="1"/>
    </xf>
    <xf numFmtId="1" fontId="104" fillId="0" borderId="443" xfId="6465" applyNumberFormat="1" applyFont="1" applyBorder="1" applyAlignment="1" applyProtection="1">
      <alignment horizontal="center"/>
      <protection hidden="1"/>
    </xf>
    <xf numFmtId="0" fontId="123" fillId="28" borderId="445" xfId="6465" applyFont="1" applyFill="1" applyBorder="1" applyAlignment="1" applyProtection="1">
      <alignment horizontal="center"/>
      <protection locked="0"/>
    </xf>
    <xf numFmtId="0" fontId="124" fillId="13" borderId="445" xfId="6465" applyFont="1" applyFill="1" applyBorder="1" applyAlignment="1" applyProtection="1">
      <alignment horizontal="center"/>
      <protection locked="0"/>
    </xf>
    <xf numFmtId="168" fontId="7" fillId="4" borderId="412" xfId="17436" applyNumberFormat="1" applyFont="1" applyFill="1" applyBorder="1" applyAlignment="1" applyProtection="1">
      <alignment horizontal="center"/>
      <protection hidden="1"/>
    </xf>
    <xf numFmtId="168" fontId="7" fillId="4" borderId="367" xfId="6465" applyNumberFormat="1" applyFill="1" applyBorder="1" applyAlignment="1" applyProtection="1">
      <alignment horizontal="center"/>
      <protection hidden="1"/>
    </xf>
    <xf numFmtId="0" fontId="7" fillId="0" borderId="395" xfId="6465" applyBorder="1" applyProtection="1">
      <protection hidden="1"/>
    </xf>
    <xf numFmtId="0" fontId="92" fillId="27" borderId="352" xfId="17436" applyFont="1" applyFill="1" applyBorder="1" applyAlignment="1" applyProtection="1">
      <alignment horizontal="center"/>
      <protection hidden="1"/>
    </xf>
    <xf numFmtId="0" fontId="7" fillId="13" borderId="351" xfId="16817" applyFont="1" applyFill="1" applyBorder="1" applyAlignment="1" applyProtection="1">
      <alignment horizontal="center"/>
      <protection locked="0"/>
    </xf>
    <xf numFmtId="0" fontId="7" fillId="12" borderId="449" xfId="6465" applyFill="1" applyBorder="1" applyProtection="1">
      <protection locked="0"/>
    </xf>
    <xf numFmtId="174" fontId="7" fillId="12" borderId="450" xfId="6465" applyNumberFormat="1" applyFill="1" applyBorder="1" applyAlignment="1" applyProtection="1">
      <alignment horizontal="left"/>
      <protection locked="0"/>
    </xf>
    <xf numFmtId="174" fontId="7" fillId="30" borderId="451" xfId="6465" applyNumberFormat="1" applyFill="1" applyBorder="1" applyAlignment="1" applyProtection="1">
      <alignment horizontal="left"/>
      <protection locked="0"/>
    </xf>
    <xf numFmtId="0" fontId="7" fillId="2" borderId="351" xfId="16817" applyFont="1" applyFill="1" applyBorder="1" applyAlignment="1" applyProtection="1">
      <alignment horizontal="center"/>
      <protection hidden="1"/>
    </xf>
    <xf numFmtId="0" fontId="23" fillId="14" borderId="452" xfId="6465" applyFont="1" applyFill="1" applyBorder="1" applyProtection="1">
      <protection hidden="1"/>
    </xf>
    <xf numFmtId="1" fontId="23" fillId="14" borderId="453" xfId="6465" applyNumberFormat="1" applyFont="1" applyFill="1" applyBorder="1" applyAlignment="1" applyProtection="1">
      <alignment horizontal="left"/>
      <protection hidden="1"/>
    </xf>
    <xf numFmtId="0" fontId="23" fillId="14" borderId="446" xfId="6465" applyFont="1" applyFill="1" applyBorder="1" applyProtection="1">
      <protection hidden="1"/>
    </xf>
    <xf numFmtId="1" fontId="23" fillId="14" borderId="454" xfId="6465" applyNumberFormat="1" applyFont="1" applyFill="1" applyBorder="1" applyAlignment="1" applyProtection="1">
      <alignment horizontal="left"/>
      <protection hidden="1"/>
    </xf>
    <xf numFmtId="0" fontId="7" fillId="5" borderId="408" xfId="16067" applyFont="1" applyFill="1" applyBorder="1" applyProtection="1">
      <protection hidden="1"/>
    </xf>
    <xf numFmtId="0" fontId="7" fillId="26" borderId="408" xfId="16067" applyFont="1" applyFill="1" applyBorder="1" applyProtection="1">
      <protection hidden="1"/>
    </xf>
    <xf numFmtId="0" fontId="7" fillId="13" borderId="408" xfId="16065" applyFont="1" applyFill="1" applyBorder="1" applyAlignment="1" applyProtection="1">
      <alignment horizontal="center"/>
      <protection locked="0"/>
    </xf>
    <xf numFmtId="0" fontId="7" fillId="12" borderId="334" xfId="6465" applyFill="1" applyBorder="1" applyAlignment="1" applyProtection="1">
      <alignment horizontal="center" vertical="center"/>
      <protection locked="0"/>
    </xf>
    <xf numFmtId="0" fontId="96" fillId="5" borderId="408" xfId="6465" applyFont="1" applyFill="1" applyBorder="1" applyAlignment="1" applyProtection="1">
      <alignment horizontal="center"/>
      <protection locked="0"/>
    </xf>
    <xf numFmtId="0" fontId="7" fillId="3" borderId="334" xfId="17414" applyFont="1" applyFill="1" applyBorder="1" applyAlignment="1" applyProtection="1">
      <alignment horizontal="center"/>
      <protection hidden="1"/>
    </xf>
    <xf numFmtId="0" fontId="7" fillId="12" borderId="334" xfId="17414" applyFont="1" applyFill="1" applyBorder="1" applyAlignment="1" applyProtection="1">
      <alignment horizontal="center" vertical="center"/>
      <protection locked="0"/>
    </xf>
    <xf numFmtId="0" fontId="7" fillId="12" borderId="334" xfId="17414" applyFont="1" applyFill="1" applyBorder="1" applyAlignment="1" applyProtection="1">
      <alignment horizontal="center"/>
      <protection locked="0"/>
    </xf>
    <xf numFmtId="169" fontId="7" fillId="9" borderId="334" xfId="6465" applyNumberFormat="1" applyFill="1" applyBorder="1" applyAlignment="1" applyProtection="1">
      <alignment horizontal="center" vertical="center"/>
      <protection hidden="1"/>
    </xf>
    <xf numFmtId="168" fontId="92" fillId="12" borderId="367" xfId="17414" applyNumberFormat="1" applyFont="1" applyFill="1" applyBorder="1" applyAlignment="1" applyProtection="1">
      <alignment horizontal="center" vertical="center"/>
      <protection locked="0"/>
    </xf>
    <xf numFmtId="0" fontId="146" fillId="0" borderId="367" xfId="0" applyFont="1" applyBorder="1" applyAlignment="1" applyProtection="1">
      <alignment horizontal="center"/>
      <protection hidden="1"/>
    </xf>
    <xf numFmtId="0" fontId="23" fillId="18" borderId="367" xfId="0" applyFont="1" applyFill="1" applyBorder="1" applyAlignment="1" applyProtection="1">
      <alignment horizontal="center"/>
      <protection locked="0"/>
    </xf>
    <xf numFmtId="0" fontId="7" fillId="4" borderId="334" xfId="16065" applyFont="1" applyFill="1" applyBorder="1" applyAlignment="1" applyProtection="1">
      <alignment horizontal="left" vertical="center"/>
      <protection hidden="1"/>
    </xf>
    <xf numFmtId="0" fontId="17" fillId="0" borderId="350" xfId="17414" applyFont="1" applyBorder="1" applyAlignment="1" applyProtection="1">
      <alignment horizontal="right"/>
      <protection hidden="1"/>
    </xf>
    <xf numFmtId="168" fontId="43" fillId="3" borderId="367" xfId="17414" applyNumberFormat="1" applyFont="1" applyFill="1" applyBorder="1" applyAlignment="1" applyProtection="1">
      <alignment horizontal="center"/>
      <protection hidden="1"/>
    </xf>
    <xf numFmtId="0" fontId="7" fillId="5" borderId="350" xfId="6465" applyFill="1" applyBorder="1" applyAlignment="1" applyProtection="1">
      <alignment horizontal="center" vertical="center"/>
      <protection locked="0"/>
    </xf>
    <xf numFmtId="0" fontId="7" fillId="29" borderId="350" xfId="6465" applyFill="1" applyBorder="1" applyAlignment="1" applyProtection="1">
      <alignment horizontal="center" vertical="center"/>
      <protection locked="0"/>
    </xf>
    <xf numFmtId="0" fontId="7" fillId="5" borderId="334" xfId="6465" applyFill="1" applyBorder="1" applyAlignment="1" applyProtection="1">
      <alignment horizontal="center" vertical="center"/>
      <protection locked="0"/>
    </xf>
    <xf numFmtId="1" fontId="7" fillId="3" borderId="367" xfId="17414" applyNumberFormat="1" applyFont="1" applyFill="1" applyBorder="1" applyAlignment="1" applyProtection="1">
      <alignment horizontal="center" vertical="center"/>
      <protection hidden="1"/>
    </xf>
    <xf numFmtId="169" fontId="7" fillId="0" borderId="334" xfId="17414" applyNumberFormat="1" applyFont="1" applyBorder="1" applyAlignment="1" applyProtection="1">
      <alignment horizontal="center"/>
      <protection hidden="1"/>
    </xf>
    <xf numFmtId="0" fontId="63" fillId="18" borderId="334" xfId="15827" applyFont="1" applyFill="1" applyBorder="1" applyAlignment="1" applyProtection="1">
      <alignment horizontal="center"/>
      <protection locked="0"/>
    </xf>
    <xf numFmtId="0" fontId="63" fillId="22" borderId="334" xfId="15827" applyFont="1" applyFill="1" applyBorder="1" applyAlignment="1" applyProtection="1">
      <alignment horizontal="center"/>
      <protection locked="0"/>
    </xf>
    <xf numFmtId="0" fontId="63" fillId="30" borderId="334" xfId="15827" applyFont="1" applyFill="1" applyBorder="1" applyAlignment="1" applyProtection="1">
      <alignment horizontal="center"/>
      <protection locked="0"/>
    </xf>
    <xf numFmtId="0" fontId="63" fillId="33" borderId="334" xfId="15827" applyFont="1" applyFill="1" applyBorder="1" applyAlignment="1" applyProtection="1">
      <alignment horizontal="center"/>
      <protection locked="0"/>
    </xf>
    <xf numFmtId="0" fontId="17" fillId="0" borderId="367" xfId="17414" applyFont="1" applyBorder="1" applyAlignment="1" applyProtection="1">
      <alignment horizontal="left" vertical="center"/>
      <protection hidden="1"/>
    </xf>
    <xf numFmtId="0" fontId="149" fillId="0" borderId="334" xfId="17414" applyFont="1" applyBorder="1" applyProtection="1">
      <protection hidden="1"/>
    </xf>
    <xf numFmtId="0" fontId="17" fillId="0" borderId="350" xfId="17414" applyFont="1" applyBorder="1" applyAlignment="1" applyProtection="1">
      <alignment horizontal="center"/>
      <protection hidden="1"/>
    </xf>
    <xf numFmtId="0" fontId="17" fillId="0" borderId="334" xfId="17414" applyFont="1" applyBorder="1" applyAlignment="1" applyProtection="1">
      <alignment horizontal="center"/>
      <protection hidden="1"/>
    </xf>
    <xf numFmtId="0" fontId="17" fillId="0" borderId="352" xfId="17414" applyFont="1" applyBorder="1" applyAlignment="1" applyProtection="1">
      <alignment horizontal="center"/>
      <protection hidden="1"/>
    </xf>
    <xf numFmtId="0" fontId="52" fillId="0" borderId="350" xfId="17414" applyFont="1" applyBorder="1" applyAlignment="1" applyProtection="1">
      <alignment horizontal="left"/>
      <protection hidden="1"/>
    </xf>
    <xf numFmtId="0" fontId="17" fillId="0" borderId="455" xfId="17414" applyFont="1" applyBorder="1" applyAlignment="1" applyProtection="1">
      <alignment horizontal="center"/>
      <protection hidden="1"/>
    </xf>
    <xf numFmtId="0" fontId="17" fillId="3" borderId="350" xfId="17414" applyFont="1" applyFill="1" applyBorder="1" applyAlignment="1" applyProtection="1">
      <alignment horizontal="center"/>
      <protection hidden="1"/>
    </xf>
    <xf numFmtId="0" fontId="17" fillId="3" borderId="334" xfId="17414" applyFont="1" applyFill="1" applyBorder="1" applyAlignment="1" applyProtection="1">
      <alignment horizontal="center"/>
      <protection hidden="1"/>
    </xf>
    <xf numFmtId="0" fontId="17" fillId="3" borderId="352" xfId="17414" applyFont="1" applyFill="1" applyBorder="1" applyAlignment="1" applyProtection="1">
      <alignment horizontal="center"/>
      <protection hidden="1"/>
    </xf>
    <xf numFmtId="0" fontId="137" fillId="3" borderId="334" xfId="17414" applyFont="1" applyFill="1" applyBorder="1" applyAlignment="1" applyProtection="1">
      <alignment horizontal="center"/>
      <protection hidden="1"/>
    </xf>
    <xf numFmtId="0" fontId="7" fillId="5" borderId="456" xfId="16817" applyFont="1" applyFill="1" applyBorder="1" applyAlignment="1" applyProtection="1">
      <alignment horizontal="center"/>
      <protection locked="0"/>
    </xf>
    <xf numFmtId="0" fontId="7" fillId="20" borderId="358" xfId="17414" applyFont="1" applyFill="1" applyBorder="1" applyAlignment="1" applyProtection="1">
      <alignment horizontal="center"/>
      <protection locked="0"/>
    </xf>
    <xf numFmtId="0" fontId="7" fillId="29" borderId="457" xfId="17414" applyFont="1" applyFill="1" applyBorder="1" applyAlignment="1" applyProtection="1">
      <alignment horizontal="center"/>
      <protection locked="0"/>
    </xf>
    <xf numFmtId="0" fontId="7" fillId="34" borderId="457" xfId="17414" applyFont="1" applyFill="1" applyBorder="1" applyAlignment="1" applyProtection="1">
      <alignment horizontal="center"/>
      <protection locked="0"/>
    </xf>
    <xf numFmtId="173" fontId="7" fillId="3" borderId="350" xfId="6465" applyNumberFormat="1" applyFill="1" applyBorder="1" applyAlignment="1" applyProtection="1">
      <alignment horizontal="center"/>
      <protection hidden="1"/>
    </xf>
    <xf numFmtId="173" fontId="7" fillId="9" borderId="334" xfId="6465" applyNumberFormat="1" applyFill="1" applyBorder="1" applyAlignment="1" applyProtection="1">
      <alignment horizontal="center"/>
      <protection hidden="1"/>
    </xf>
    <xf numFmtId="0" fontId="7" fillId="18" borderId="458" xfId="6465" applyFill="1" applyBorder="1" applyAlignment="1" applyProtection="1">
      <alignment horizontal="center"/>
      <protection locked="0"/>
    </xf>
    <xf numFmtId="0" fontId="61" fillId="12" borderId="352" xfId="69" applyFont="1" applyFill="1" applyBorder="1" applyAlignment="1">
      <alignment horizontal="center"/>
      <protection locked="0"/>
    </xf>
    <xf numFmtId="0" fontId="63" fillId="2" borderId="351" xfId="17414" applyFont="1" applyFill="1" applyBorder="1" applyProtection="1">
      <protection hidden="1"/>
    </xf>
    <xf numFmtId="0" fontId="63" fillId="29" borderId="334" xfId="17414" applyFont="1" applyFill="1" applyBorder="1" applyAlignment="1" applyProtection="1">
      <alignment horizontal="center"/>
      <protection locked="0"/>
    </xf>
    <xf numFmtId="0" fontId="63" fillId="2" borderId="352" xfId="17414" applyFont="1" applyFill="1" applyBorder="1" applyProtection="1">
      <protection hidden="1"/>
    </xf>
    <xf numFmtId="0" fontId="63" fillId="13" borderId="352" xfId="17414" applyFont="1" applyFill="1" applyBorder="1" applyAlignment="1" applyProtection="1">
      <alignment horizontal="center"/>
      <protection locked="0"/>
    </xf>
    <xf numFmtId="0" fontId="23" fillId="27" borderId="350" xfId="17436" applyFont="1" applyFill="1" applyBorder="1" applyProtection="1">
      <protection hidden="1"/>
    </xf>
    <xf numFmtId="0" fontId="23" fillId="27" borderId="334" xfId="17436" applyFont="1" applyFill="1" applyBorder="1" applyAlignment="1" applyProtection="1">
      <alignment horizontal="center"/>
      <protection hidden="1"/>
    </xf>
    <xf numFmtId="0" fontId="7" fillId="3" borderId="350" xfId="17399" applyFont="1" applyFill="1" applyBorder="1" applyProtection="1">
      <protection hidden="1"/>
    </xf>
    <xf numFmtId="0" fontId="350" fillId="7" borderId="350" xfId="17414" applyFont="1" applyFill="1" applyBorder="1"/>
    <xf numFmtId="0" fontId="121" fillId="4" borderId="391" xfId="17414" applyFont="1" applyFill="1" applyBorder="1" applyAlignment="1" applyProtection="1">
      <alignment horizontal="right"/>
      <protection hidden="1"/>
    </xf>
    <xf numFmtId="2" fontId="63" fillId="30" borderId="350" xfId="17474" applyNumberFormat="1" applyFont="1" applyFill="1" applyBorder="1" applyAlignment="1" applyProtection="1">
      <alignment horizontal="center"/>
      <protection locked="0"/>
    </xf>
    <xf numFmtId="2" fontId="63" fillId="33" borderId="334" xfId="17474" applyNumberFormat="1" applyFont="1" applyFill="1" applyBorder="1" applyProtection="1">
      <protection hidden="1"/>
    </xf>
    <xf numFmtId="168" fontId="63" fillId="22" borderId="351" xfId="15827" applyNumberFormat="1" applyFont="1" applyFill="1" applyBorder="1" applyAlignment="1" applyProtection="1">
      <alignment horizontal="center"/>
      <protection locked="0"/>
    </xf>
    <xf numFmtId="0" fontId="63" fillId="33" borderId="352" xfId="15827" applyFont="1" applyFill="1" applyBorder="1" applyAlignment="1" applyProtection="1">
      <alignment horizontal="center"/>
      <protection hidden="1"/>
    </xf>
    <xf numFmtId="0" fontId="17" fillId="14" borderId="441" xfId="17414" applyFont="1" applyFill="1" applyBorder="1" applyAlignment="1" applyProtection="1">
      <alignment horizontal="center"/>
      <protection hidden="1"/>
    </xf>
    <xf numFmtId="0" fontId="52" fillId="0" borderId="350" xfId="17414" applyFont="1" applyBorder="1" applyProtection="1">
      <protection hidden="1"/>
    </xf>
    <xf numFmtId="0" fontId="168" fillId="0" borderId="459" xfId="17414" applyFont="1" applyBorder="1" applyAlignment="1" applyProtection="1">
      <alignment horizontal="center"/>
      <protection hidden="1"/>
    </xf>
    <xf numFmtId="0" fontId="7" fillId="0" borderId="411" xfId="17414" applyFont="1" applyBorder="1" applyProtection="1">
      <protection hidden="1"/>
    </xf>
    <xf numFmtId="0" fontId="43" fillId="0" borderId="459" xfId="17414" applyFont="1" applyBorder="1" applyAlignment="1" applyProtection="1">
      <alignment horizontal="center"/>
      <protection hidden="1"/>
    </xf>
    <xf numFmtId="0" fontId="137" fillId="5" borderId="460" xfId="0" applyFont="1" applyFill="1" applyBorder="1" applyAlignment="1" applyProtection="1">
      <alignment horizontal="center"/>
      <protection locked="0"/>
    </xf>
    <xf numFmtId="0" fontId="151" fillId="0" borderId="457" xfId="17414" applyFont="1" applyBorder="1" applyAlignment="1" applyProtection="1">
      <alignment horizontal="left"/>
      <protection hidden="1"/>
    </xf>
    <xf numFmtId="0" fontId="167" fillId="5" borderId="367" xfId="17414" applyFont="1" applyFill="1" applyBorder="1" applyAlignment="1" applyProtection="1">
      <alignment horizontal="center"/>
      <protection locked="0"/>
    </xf>
    <xf numFmtId="168" fontId="61" fillId="33" borderId="367" xfId="17414" applyNumberFormat="1" applyFont="1" applyFill="1" applyBorder="1" applyAlignment="1" applyProtection="1">
      <alignment horizontal="center"/>
      <protection hidden="1"/>
    </xf>
    <xf numFmtId="1" fontId="7" fillId="25" borderId="334" xfId="17414" applyNumberFormat="1" applyFont="1" applyFill="1" applyBorder="1" applyProtection="1">
      <protection hidden="1"/>
    </xf>
    <xf numFmtId="1" fontId="61" fillId="3" borderId="358" xfId="17414" applyNumberFormat="1" applyFont="1" applyFill="1" applyBorder="1" applyAlignment="1" applyProtection="1">
      <alignment horizontal="center"/>
      <protection hidden="1"/>
    </xf>
    <xf numFmtId="0" fontId="61" fillId="5" borderId="334" xfId="17414" applyFont="1" applyFill="1" applyBorder="1" applyAlignment="1" applyProtection="1">
      <alignment horizontal="center"/>
      <protection locked="0"/>
    </xf>
    <xf numFmtId="0" fontId="23" fillId="2" borderId="351" xfId="17414" applyFont="1" applyFill="1" applyBorder="1" applyProtection="1">
      <protection hidden="1"/>
    </xf>
    <xf numFmtId="168" fontId="61" fillId="30" borderId="334" xfId="17414" applyNumberFormat="1" applyFont="1" applyFill="1" applyBorder="1" applyAlignment="1" applyProtection="1">
      <alignment horizontal="center"/>
      <protection locked="0"/>
    </xf>
    <xf numFmtId="0" fontId="23" fillId="2" borderId="334" xfId="17414" applyFont="1" applyFill="1" applyBorder="1" applyProtection="1">
      <protection hidden="1"/>
    </xf>
    <xf numFmtId="2" fontId="63" fillId="22" borderId="350" xfId="17474" applyNumberFormat="1" applyFont="1" applyFill="1" applyBorder="1" applyAlignment="1" applyProtection="1">
      <alignment horizontal="center"/>
      <protection locked="0"/>
    </xf>
    <xf numFmtId="2" fontId="63" fillId="3" borderId="334" xfId="17474" applyNumberFormat="1" applyFont="1" applyFill="1" applyBorder="1" applyProtection="1">
      <protection hidden="1"/>
    </xf>
    <xf numFmtId="2" fontId="63" fillId="3" borderId="334" xfId="17474" applyNumberFormat="1" applyFont="1" applyFill="1" applyBorder="1" applyAlignment="1" applyProtection="1">
      <alignment horizontal="center"/>
      <protection hidden="1"/>
    </xf>
    <xf numFmtId="0" fontId="63" fillId="12" borderId="334" xfId="15827" applyFont="1" applyFill="1" applyBorder="1" applyAlignment="1" applyProtection="1">
      <alignment horizontal="center"/>
      <protection locked="0"/>
    </xf>
    <xf numFmtId="0" fontId="63" fillId="22" borderId="352" xfId="15827" applyFont="1" applyFill="1" applyBorder="1" applyAlignment="1" applyProtection="1">
      <alignment horizontal="center"/>
      <protection locked="0"/>
    </xf>
    <xf numFmtId="0" fontId="63" fillId="33" borderId="352" xfId="15827" applyFont="1" applyFill="1" applyBorder="1" applyAlignment="1" applyProtection="1">
      <alignment horizontal="center"/>
      <protection locked="0"/>
    </xf>
    <xf numFmtId="0" fontId="52" fillId="3" borderId="438" xfId="17414" applyFont="1" applyFill="1" applyBorder="1" applyProtection="1">
      <protection hidden="1"/>
    </xf>
    <xf numFmtId="0" fontId="17" fillId="14" borderId="440" xfId="17414" applyFont="1" applyFill="1" applyBorder="1" applyAlignment="1" applyProtection="1">
      <alignment horizontal="center"/>
      <protection hidden="1"/>
    </xf>
    <xf numFmtId="0" fontId="137" fillId="13" borderId="391" xfId="17414" applyFont="1" applyFill="1" applyBorder="1" applyAlignment="1" applyProtection="1">
      <alignment horizontal="center"/>
      <protection locked="0"/>
    </xf>
    <xf numFmtId="2" fontId="43" fillId="22" borderId="463" xfId="17414" applyNumberFormat="1" applyFont="1" applyFill="1" applyBorder="1" applyAlignment="1" applyProtection="1">
      <alignment horizontal="center"/>
      <protection locked="0"/>
    </xf>
    <xf numFmtId="0" fontId="168" fillId="30" borderId="464" xfId="17414" applyFont="1" applyFill="1" applyBorder="1" applyAlignment="1" applyProtection="1">
      <alignment horizontal="center"/>
      <protection locked="0"/>
    </xf>
    <xf numFmtId="2" fontId="121" fillId="33" borderId="465" xfId="17414" applyNumberFormat="1" applyFont="1" applyFill="1" applyBorder="1" applyAlignment="1" applyProtection="1">
      <alignment horizontal="center"/>
      <protection locked="0"/>
    </xf>
    <xf numFmtId="0" fontId="167" fillId="26" borderId="466" xfId="17414" applyFont="1" applyFill="1" applyBorder="1" applyAlignment="1" applyProtection="1">
      <alignment horizontal="center"/>
      <protection locked="0"/>
    </xf>
    <xf numFmtId="0" fontId="52" fillId="3" borderId="334" xfId="17414" applyFont="1" applyFill="1" applyBorder="1" applyProtection="1">
      <protection hidden="1"/>
    </xf>
    <xf numFmtId="0" fontId="137" fillId="0" borderId="350" xfId="17414" applyFont="1" applyBorder="1" applyAlignment="1" applyProtection="1">
      <alignment horizontal="center"/>
      <protection hidden="1"/>
    </xf>
    <xf numFmtId="0" fontId="121" fillId="0" borderId="467" xfId="17414" applyFont="1" applyBorder="1" applyAlignment="1" applyProtection="1">
      <alignment horizontal="center"/>
      <protection hidden="1"/>
    </xf>
    <xf numFmtId="0" fontId="172" fillId="33" borderId="352" xfId="17414" applyFont="1" applyFill="1" applyBorder="1" applyAlignment="1" applyProtection="1">
      <alignment horizontal="center"/>
      <protection hidden="1"/>
    </xf>
    <xf numFmtId="0" fontId="91" fillId="0" borderId="358" xfId="17414" applyFont="1" applyBorder="1"/>
    <xf numFmtId="0" fontId="7" fillId="5" borderId="334" xfId="69" applyFont="1" applyFill="1" applyBorder="1" applyAlignment="1">
      <alignment horizontal="center"/>
      <protection locked="0"/>
    </xf>
    <xf numFmtId="0" fontId="23" fillId="27" borderId="351" xfId="17414" applyFont="1" applyFill="1" applyBorder="1" applyAlignment="1" applyProtection="1">
      <alignment horizontal="center"/>
      <protection hidden="1"/>
    </xf>
    <xf numFmtId="0" fontId="23" fillId="27" borderId="468" xfId="17436" applyFont="1" applyFill="1" applyBorder="1" applyAlignment="1" applyProtection="1">
      <alignment horizontal="center"/>
      <protection hidden="1"/>
    </xf>
    <xf numFmtId="2" fontId="23" fillId="0" borderId="334" xfId="17414" applyNumberFormat="1" applyFont="1" applyBorder="1" applyAlignment="1" applyProtection="1">
      <alignment horizontal="center"/>
      <protection hidden="1"/>
    </xf>
    <xf numFmtId="0" fontId="23" fillId="2" borderId="469" xfId="17414" applyFont="1" applyFill="1" applyBorder="1" applyProtection="1">
      <protection hidden="1"/>
    </xf>
    <xf numFmtId="2" fontId="23" fillId="0" borderId="469" xfId="17414" applyNumberFormat="1" applyFont="1" applyBorder="1" applyAlignment="1" applyProtection="1">
      <alignment horizontal="center"/>
      <protection hidden="1"/>
    </xf>
    <xf numFmtId="0" fontId="0" fillId="0" borderId="352" xfId="17436" applyFont="1" applyBorder="1" applyProtection="1">
      <protection hidden="1"/>
    </xf>
    <xf numFmtId="0" fontId="78" fillId="4" borderId="367" xfId="17488" applyFont="1" applyFill="1" applyBorder="1" applyAlignment="1" applyProtection="1">
      <alignment horizontal="center" vertical="center"/>
      <protection hidden="1"/>
    </xf>
    <xf numFmtId="0" fontId="78" fillId="4" borderId="367" xfId="17488" applyFont="1" applyFill="1" applyBorder="1" applyAlignment="1" applyProtection="1">
      <alignment horizontal="center" vertical="center" wrapText="1"/>
      <protection hidden="1"/>
    </xf>
    <xf numFmtId="49" fontId="80" fillId="4" borderId="367" xfId="6465" applyNumberFormat="1" applyFont="1" applyFill="1" applyBorder="1" applyAlignment="1" applyProtection="1">
      <alignment horizontal="center" vertical="center" wrapText="1"/>
      <protection hidden="1"/>
    </xf>
    <xf numFmtId="49" fontId="63" fillId="4" borderId="334" xfId="6465" applyNumberFormat="1" applyFont="1" applyFill="1" applyBorder="1" applyAlignment="1" applyProtection="1">
      <alignment horizontal="center"/>
      <protection locked="0"/>
    </xf>
    <xf numFmtId="0" fontId="7" fillId="0" borderId="334" xfId="6465" applyBorder="1" applyProtection="1">
      <protection locked="0"/>
    </xf>
    <xf numFmtId="0" fontId="7" fillId="4" borderId="334" xfId="6465" applyFill="1" applyBorder="1" applyAlignment="1" applyProtection="1">
      <alignment horizontal="left" wrapText="1"/>
      <protection locked="0"/>
    </xf>
    <xf numFmtId="0" fontId="7" fillId="0" borderId="334" xfId="17436" applyFont="1" applyBorder="1" applyAlignment="1" applyProtection="1">
      <alignment horizontal="center"/>
      <protection locked="0"/>
    </xf>
    <xf numFmtId="0" fontId="81" fillId="0" borderId="334" xfId="17436" applyFont="1" applyBorder="1" applyAlignment="1" applyProtection="1">
      <alignment horizontal="center"/>
      <protection locked="0"/>
    </xf>
    <xf numFmtId="1" fontId="7" fillId="0" borderId="334" xfId="6465" applyNumberFormat="1" applyBorder="1" applyAlignment="1" applyProtection="1">
      <alignment horizontal="center"/>
      <protection locked="0"/>
    </xf>
    <xf numFmtId="0" fontId="75" fillId="0" borderId="334" xfId="6465" applyFont="1" applyBorder="1" applyAlignment="1" applyProtection="1">
      <alignment horizontal="center"/>
      <protection locked="0"/>
    </xf>
    <xf numFmtId="0" fontId="7" fillId="0" borderId="334" xfId="17436" applyFont="1" applyBorder="1" applyProtection="1">
      <protection locked="0"/>
    </xf>
    <xf numFmtId="1" fontId="7" fillId="4" borderId="334" xfId="6465" applyNumberFormat="1" applyFill="1" applyBorder="1" applyAlignment="1" applyProtection="1">
      <alignment horizontal="center" wrapText="1"/>
      <protection locked="0"/>
    </xf>
    <xf numFmtId="1" fontId="75" fillId="4" borderId="334" xfId="6465" applyNumberFormat="1" applyFont="1" applyFill="1" applyBorder="1" applyAlignment="1" applyProtection="1">
      <alignment horizontal="center" wrapText="1"/>
      <protection locked="0"/>
    </xf>
    <xf numFmtId="0" fontId="7" fillId="0" borderId="334" xfId="6465" applyBorder="1" applyAlignment="1" applyProtection="1">
      <alignment horizontal="center"/>
      <protection locked="0"/>
    </xf>
    <xf numFmtId="0" fontId="81" fillId="0" borderId="334" xfId="6465" applyFont="1" applyBorder="1" applyAlignment="1" applyProtection="1">
      <alignment horizontal="center"/>
      <protection locked="0"/>
    </xf>
    <xf numFmtId="49" fontId="63" fillId="0" borderId="334" xfId="6465" applyNumberFormat="1" applyFont="1" applyBorder="1" applyAlignment="1" applyProtection="1">
      <alignment horizontal="center"/>
      <protection locked="0"/>
    </xf>
    <xf numFmtId="0" fontId="7" fillId="4" borderId="334" xfId="17488" applyFill="1" applyBorder="1" applyProtection="1">
      <protection locked="0"/>
    </xf>
    <xf numFmtId="0" fontId="7" fillId="4" borderId="334" xfId="6465" applyFill="1" applyBorder="1" applyAlignment="1" applyProtection="1">
      <alignment horizontal="center" wrapText="1"/>
      <protection locked="0"/>
    </xf>
    <xf numFmtId="0" fontId="7" fillId="0" borderId="334" xfId="6465" applyBorder="1" applyProtection="1">
      <protection hidden="1"/>
    </xf>
    <xf numFmtId="0" fontId="7" fillId="0" borderId="350" xfId="6465" applyBorder="1" applyProtection="1">
      <protection locked="0"/>
    </xf>
    <xf numFmtId="9" fontId="61" fillId="18" borderId="334" xfId="6465" applyNumberFormat="1" applyFont="1" applyFill="1" applyBorder="1" applyAlignment="1" applyProtection="1">
      <alignment horizontal="center" vertical="top" wrapText="1"/>
      <protection locked="0"/>
    </xf>
    <xf numFmtId="0" fontId="7" fillId="0" borderId="334" xfId="17488" applyBorder="1" applyProtection="1">
      <protection locked="0"/>
    </xf>
    <xf numFmtId="0" fontId="7" fillId="20" borderId="352" xfId="6465" applyFill="1" applyBorder="1" applyAlignment="1" applyProtection="1">
      <alignment horizontal="center"/>
      <protection locked="0"/>
    </xf>
    <xf numFmtId="0" fontId="7" fillId="4" borderId="473" xfId="6465" applyFill="1" applyBorder="1" applyAlignment="1" applyProtection="1">
      <alignment horizontal="center" wrapText="1"/>
      <protection hidden="1"/>
    </xf>
    <xf numFmtId="49" fontId="63" fillId="0" borderId="334" xfId="6465" applyNumberFormat="1" applyFont="1" applyBorder="1" applyAlignment="1" applyProtection="1">
      <alignment horizontal="center" wrapText="1"/>
      <protection locked="0"/>
    </xf>
    <xf numFmtId="49" fontId="7" fillId="5" borderId="334" xfId="17436" applyNumberFormat="1" applyFont="1" applyFill="1" applyBorder="1" applyAlignment="1" applyProtection="1">
      <alignment horizontal="center"/>
      <protection locked="0"/>
    </xf>
    <xf numFmtId="0" fontId="7" fillId="0" borderId="334" xfId="17488" applyBorder="1" applyAlignment="1" applyProtection="1">
      <alignment horizontal="left"/>
      <protection locked="0"/>
    </xf>
    <xf numFmtId="0" fontId="81" fillId="0" borderId="334" xfId="15827" applyFont="1" applyBorder="1" applyAlignment="1" applyProtection="1">
      <alignment horizontal="center" vertical="center"/>
      <protection locked="0"/>
    </xf>
    <xf numFmtId="0" fontId="7" fillId="3" borderId="352" xfId="17437" applyFont="1" applyFill="1" applyBorder="1" applyProtection="1">
      <protection hidden="1"/>
    </xf>
    <xf numFmtId="168" fontId="89" fillId="3" borderId="367" xfId="17437" applyNumberFormat="1" applyFont="1" applyFill="1" applyBorder="1" applyAlignment="1" applyProtection="1">
      <alignment horizontal="center" vertical="top" wrapText="1"/>
      <protection hidden="1"/>
    </xf>
    <xf numFmtId="0" fontId="90" fillId="0" borderId="334" xfId="17437" applyFont="1" applyBorder="1" applyAlignment="1" applyProtection="1">
      <alignment horizontal="center"/>
      <protection hidden="1"/>
    </xf>
    <xf numFmtId="0" fontId="91" fillId="0" borderId="334" xfId="17437" applyFont="1" applyBorder="1" applyAlignment="1" applyProtection="1">
      <alignment horizontal="center"/>
      <protection hidden="1"/>
    </xf>
    <xf numFmtId="2" fontId="90" fillId="12" borderId="334" xfId="17437" applyNumberFormat="1" applyFont="1" applyFill="1" applyBorder="1" applyAlignment="1" applyProtection="1">
      <alignment horizontal="center"/>
      <protection locked="0"/>
    </xf>
    <xf numFmtId="2" fontId="91" fillId="0" borderId="334" xfId="17437" applyNumberFormat="1" applyFont="1" applyBorder="1" applyAlignment="1" applyProtection="1">
      <alignment horizontal="center"/>
      <protection hidden="1"/>
    </xf>
    <xf numFmtId="0" fontId="7" fillId="12" borderId="351" xfId="17437" applyFont="1" applyFill="1" applyBorder="1" applyProtection="1">
      <protection locked="0"/>
    </xf>
    <xf numFmtId="0" fontId="93" fillId="0" borderId="334" xfId="17437" applyFont="1" applyBorder="1" applyAlignment="1" applyProtection="1">
      <alignment horizontal="center"/>
      <protection hidden="1"/>
    </xf>
    <xf numFmtId="2" fontId="93" fillId="0" borderId="367" xfId="0" applyNumberFormat="1" applyFont="1" applyBorder="1" applyAlignment="1" applyProtection="1">
      <alignment horizontal="center"/>
      <protection hidden="1"/>
    </xf>
    <xf numFmtId="168" fontId="7" fillId="0" borderId="367" xfId="17437" applyNumberFormat="1" applyFont="1" applyBorder="1" applyAlignment="1" applyProtection="1">
      <alignment horizontal="center"/>
      <protection hidden="1"/>
    </xf>
    <xf numFmtId="2" fontId="90" fillId="12" borderId="350" xfId="17437" applyNumberFormat="1" applyFont="1" applyFill="1" applyBorder="1" applyAlignment="1" applyProtection="1">
      <alignment horizontal="center"/>
      <protection locked="0"/>
    </xf>
    <xf numFmtId="2" fontId="93" fillId="0" borderId="334" xfId="0" applyNumberFormat="1" applyFont="1" applyBorder="1" applyAlignment="1" applyProtection="1">
      <alignment horizontal="center"/>
      <protection hidden="1"/>
    </xf>
    <xf numFmtId="0" fontId="94" fillId="0" borderId="367" xfId="17437" applyFont="1" applyBorder="1" applyAlignment="1" applyProtection="1">
      <alignment horizontal="left"/>
      <protection hidden="1"/>
    </xf>
    <xf numFmtId="0" fontId="94" fillId="12" borderId="367" xfId="0" applyFont="1" applyFill="1" applyBorder="1" applyAlignment="1" applyProtection="1">
      <alignment horizontal="center" wrapText="1"/>
      <protection locked="0"/>
    </xf>
    <xf numFmtId="0" fontId="114" fillId="26" borderId="408" xfId="16065" applyFont="1" applyFill="1" applyBorder="1" applyAlignment="1" applyProtection="1">
      <alignment horizontal="center" vertical="center"/>
      <protection hidden="1"/>
    </xf>
    <xf numFmtId="0" fontId="98" fillId="0" borderId="367" xfId="17451" applyFont="1" applyBorder="1" applyAlignment="1" applyProtection="1">
      <alignment horizontal="center"/>
      <protection hidden="1"/>
    </xf>
    <xf numFmtId="168" fontId="98" fillId="13" borderId="367" xfId="6465" applyNumberFormat="1" applyFont="1" applyFill="1" applyBorder="1" applyAlignment="1" applyProtection="1">
      <alignment horizontal="center"/>
      <protection locked="0"/>
    </xf>
    <xf numFmtId="0" fontId="17" fillId="13" borderId="468" xfId="6465" applyFont="1" applyFill="1" applyBorder="1" applyAlignment="1" applyProtection="1">
      <alignment horizontal="right"/>
      <protection locked="0"/>
    </xf>
    <xf numFmtId="0" fontId="17" fillId="5" borderId="468" xfId="6465" applyFont="1" applyFill="1" applyBorder="1" applyProtection="1">
      <protection locked="0"/>
    </xf>
    <xf numFmtId="0" fontId="17" fillId="0" borderId="475" xfId="16065" applyFont="1" applyBorder="1" applyAlignment="1" applyProtection="1">
      <alignment horizontal="center"/>
      <protection hidden="1"/>
    </xf>
    <xf numFmtId="0" fontId="7" fillId="0" borderId="351" xfId="16065" applyFont="1" applyBorder="1" applyAlignment="1" applyProtection="1">
      <alignment horizontal="left"/>
      <protection hidden="1"/>
    </xf>
    <xf numFmtId="0" fontId="106" fillId="0" borderId="351" xfId="6465" applyFont="1" applyBorder="1" applyAlignment="1" applyProtection="1">
      <alignment horizontal="center"/>
      <protection hidden="1"/>
    </xf>
    <xf numFmtId="0" fontId="106" fillId="0" borderId="352" xfId="6465" applyFont="1" applyBorder="1" applyAlignment="1" applyProtection="1">
      <alignment horizontal="center"/>
      <protection hidden="1"/>
    </xf>
    <xf numFmtId="0" fontId="52" fillId="3" borderId="438" xfId="16065" applyFont="1" applyFill="1" applyBorder="1" applyProtection="1">
      <protection hidden="1"/>
    </xf>
    <xf numFmtId="0" fontId="17" fillId="14" borderId="440" xfId="17451" applyFont="1" applyFill="1" applyBorder="1" applyAlignment="1" applyProtection="1">
      <alignment horizontal="center"/>
      <protection hidden="1"/>
    </xf>
    <xf numFmtId="0" fontId="123" fillId="14" borderId="438" xfId="17451" applyFont="1" applyFill="1" applyBorder="1" applyAlignment="1" applyProtection="1">
      <alignment horizontal="center"/>
      <protection hidden="1"/>
    </xf>
    <xf numFmtId="0" fontId="17" fillId="14" borderId="439" xfId="17451" applyFont="1" applyFill="1" applyBorder="1" applyAlignment="1" applyProtection="1">
      <alignment horizontal="center"/>
      <protection hidden="1"/>
    </xf>
    <xf numFmtId="0" fontId="124" fillId="14" borderId="438" xfId="17451" applyFont="1" applyFill="1" applyBorder="1" applyAlignment="1" applyProtection="1">
      <alignment horizontal="center"/>
      <protection hidden="1"/>
    </xf>
    <xf numFmtId="0" fontId="122" fillId="14" borderId="438" xfId="17451" applyFont="1" applyFill="1" applyBorder="1" applyAlignment="1" applyProtection="1">
      <alignment horizontal="center"/>
      <protection hidden="1"/>
    </xf>
    <xf numFmtId="0" fontId="7" fillId="12" borderId="476" xfId="16065" applyFont="1" applyFill="1" applyBorder="1" applyProtection="1">
      <protection locked="0"/>
    </xf>
    <xf numFmtId="0" fontId="7" fillId="12" borderId="477" xfId="17451" applyFont="1" applyFill="1" applyBorder="1" applyAlignment="1" applyProtection="1">
      <alignment horizontal="center"/>
      <protection locked="0"/>
    </xf>
    <xf numFmtId="0" fontId="94" fillId="28" borderId="438" xfId="16065" applyFont="1" applyFill="1" applyBorder="1" applyAlignment="1" applyProtection="1">
      <alignment horizontal="center"/>
      <protection locked="0"/>
    </xf>
    <xf numFmtId="0" fontId="7" fillId="28" borderId="439" xfId="16065" applyFont="1" applyFill="1" applyBorder="1" applyAlignment="1" applyProtection="1">
      <alignment horizontal="center"/>
      <protection locked="0"/>
    </xf>
    <xf numFmtId="0" fontId="7" fillId="28" borderId="440" xfId="16065" applyFont="1" applyFill="1" applyBorder="1" applyAlignment="1" applyProtection="1">
      <alignment horizontal="center"/>
      <protection locked="0"/>
    </xf>
    <xf numFmtId="0" fontId="91" fillId="29" borderId="438" xfId="16065" applyFont="1" applyFill="1" applyBorder="1" applyAlignment="1" applyProtection="1">
      <alignment horizontal="center"/>
      <protection locked="0"/>
    </xf>
    <xf numFmtId="0" fontId="7" fillId="29" borderId="439" xfId="16065" applyFont="1" applyFill="1" applyBorder="1" applyAlignment="1" applyProtection="1">
      <alignment horizontal="center"/>
      <protection locked="0"/>
    </xf>
    <xf numFmtId="0" fontId="7" fillId="29" borderId="440" xfId="16065" applyFont="1" applyFill="1" applyBorder="1" applyAlignment="1" applyProtection="1">
      <alignment horizontal="center"/>
      <protection locked="0"/>
    </xf>
    <xf numFmtId="0" fontId="121" fillId="13" borderId="478" xfId="16065" applyFont="1" applyFill="1" applyBorder="1" applyAlignment="1" applyProtection="1">
      <alignment horizontal="center"/>
      <protection locked="0"/>
    </xf>
    <xf numFmtId="0" fontId="121" fillId="29" borderId="478" xfId="16065" applyFont="1" applyFill="1" applyBorder="1" applyAlignment="1" applyProtection="1">
      <alignment horizontal="center"/>
      <protection locked="0"/>
    </xf>
    <xf numFmtId="0" fontId="124" fillId="12" borderId="367" xfId="17451" applyFont="1" applyFill="1" applyBorder="1" applyAlignment="1" applyProtection="1">
      <alignment horizontal="center"/>
      <protection locked="0"/>
    </xf>
    <xf numFmtId="0" fontId="127" fillId="29" borderId="367" xfId="17451" applyFont="1" applyFill="1" applyBorder="1" applyAlignment="1" applyProtection="1">
      <alignment horizontal="center"/>
      <protection locked="0"/>
    </xf>
    <xf numFmtId="0" fontId="92" fillId="30" borderId="334" xfId="4660" applyFont="1" applyFill="1" applyBorder="1" applyAlignment="1" applyProtection="1">
      <alignment horizontal="center"/>
      <protection locked="0"/>
    </xf>
    <xf numFmtId="0" fontId="124" fillId="13" borderId="350" xfId="17451" applyFont="1" applyFill="1" applyBorder="1" applyAlignment="1" applyProtection="1">
      <alignment horizontal="center"/>
      <protection locked="0"/>
    </xf>
    <xf numFmtId="0" fontId="92" fillId="12" borderId="334" xfId="4660" applyFont="1" applyFill="1" applyBorder="1" applyAlignment="1" applyProtection="1">
      <alignment horizontal="center"/>
      <protection locked="0"/>
    </xf>
    <xf numFmtId="1" fontId="92" fillId="12" borderId="334" xfId="4660" applyNumberFormat="1" applyFont="1" applyFill="1" applyBorder="1" applyAlignment="1" applyProtection="1">
      <alignment horizontal="center"/>
      <protection locked="0"/>
    </xf>
    <xf numFmtId="0" fontId="127" fillId="29" borderId="350" xfId="16065" applyFont="1" applyFill="1" applyBorder="1" applyAlignment="1" applyProtection="1">
      <alignment horizontal="center"/>
      <protection locked="0"/>
    </xf>
    <xf numFmtId="2" fontId="100" fillId="4" borderId="350" xfId="16065" applyNumberFormat="1" applyFont="1" applyFill="1" applyBorder="1" applyProtection="1">
      <protection hidden="1"/>
    </xf>
    <xf numFmtId="166" fontId="123" fillId="4" borderId="351" xfId="6465" applyNumberFormat="1" applyFont="1" applyFill="1" applyBorder="1" applyAlignment="1" applyProtection="1">
      <alignment horizontal="left"/>
      <protection hidden="1"/>
    </xf>
    <xf numFmtId="166" fontId="123" fillId="4" borderId="352" xfId="6465" applyNumberFormat="1" applyFont="1" applyFill="1" applyBorder="1" applyProtection="1">
      <protection hidden="1"/>
    </xf>
    <xf numFmtId="166" fontId="124" fillId="4" borderId="351" xfId="6465" applyNumberFormat="1" applyFont="1" applyFill="1" applyBorder="1" applyAlignment="1" applyProtection="1">
      <alignment horizontal="left"/>
      <protection hidden="1"/>
    </xf>
    <xf numFmtId="166" fontId="124" fillId="4" borderId="352" xfId="6465" applyNumberFormat="1" applyFont="1" applyFill="1" applyBorder="1" applyProtection="1">
      <protection hidden="1"/>
    </xf>
    <xf numFmtId="166" fontId="130" fillId="4" borderId="351" xfId="6465" applyNumberFormat="1" applyFont="1" applyFill="1" applyBorder="1" applyAlignment="1" applyProtection="1">
      <alignment horizontal="left"/>
      <protection hidden="1"/>
    </xf>
    <xf numFmtId="166" fontId="127" fillId="4" borderId="352" xfId="6465" applyNumberFormat="1" applyFont="1" applyFill="1" applyBorder="1" applyProtection="1">
      <protection hidden="1"/>
    </xf>
    <xf numFmtId="0" fontId="7" fillId="4" borderId="483" xfId="6465" applyFill="1" applyBorder="1" applyAlignment="1" applyProtection="1">
      <alignment horizontal="center"/>
      <protection hidden="1"/>
    </xf>
    <xf numFmtId="169" fontId="7" fillId="4" borderId="483" xfId="6465" applyNumberFormat="1" applyFill="1" applyBorder="1" applyAlignment="1" applyProtection="1">
      <alignment horizontal="center"/>
      <protection hidden="1"/>
    </xf>
    <xf numFmtId="0" fontId="7" fillId="30" borderId="484" xfId="6465" applyFill="1" applyBorder="1" applyAlignment="1" applyProtection="1">
      <alignment horizontal="left"/>
      <protection locked="0"/>
    </xf>
    <xf numFmtId="0" fontId="7" fillId="12" borderId="485" xfId="6465" applyFill="1" applyBorder="1" applyProtection="1">
      <protection locked="0"/>
    </xf>
    <xf numFmtId="0" fontId="7" fillId="30" borderId="485" xfId="6465" applyFill="1" applyBorder="1" applyProtection="1">
      <protection locked="0"/>
    </xf>
    <xf numFmtId="0" fontId="7" fillId="14" borderId="391" xfId="6465" applyFill="1" applyBorder="1" applyProtection="1">
      <protection hidden="1"/>
    </xf>
    <xf numFmtId="0" fontId="7" fillId="14" borderId="486" xfId="6465" applyFill="1" applyBorder="1" applyAlignment="1" applyProtection="1">
      <alignment horizontal="left"/>
      <protection hidden="1"/>
    </xf>
    <xf numFmtId="0" fontId="7" fillId="14" borderId="487" xfId="6465" applyFill="1" applyBorder="1" applyProtection="1">
      <protection hidden="1"/>
    </xf>
    <xf numFmtId="0" fontId="7" fillId="14" borderId="465" xfId="6465" applyFill="1" applyBorder="1" applyAlignment="1" applyProtection="1">
      <alignment horizontal="left"/>
      <protection hidden="1"/>
    </xf>
    <xf numFmtId="0" fontId="7" fillId="9" borderId="488" xfId="6465" applyFill="1" applyBorder="1" applyAlignment="1" applyProtection="1">
      <alignment horizontal="center"/>
      <protection hidden="1"/>
    </xf>
    <xf numFmtId="0" fontId="7" fillId="18" borderId="489" xfId="6465" applyFill="1" applyBorder="1" applyAlignment="1" applyProtection="1">
      <alignment horizontal="center"/>
      <protection locked="0"/>
    </xf>
    <xf numFmtId="0" fontId="7" fillId="3" borderId="482" xfId="6465" applyFill="1" applyBorder="1" applyAlignment="1" applyProtection="1">
      <alignment horizontal="center"/>
      <protection hidden="1"/>
    </xf>
    <xf numFmtId="0" fontId="43" fillId="0" borderId="334" xfId="17451" applyFont="1" applyBorder="1" applyAlignment="1" applyProtection="1">
      <alignment horizontal="center"/>
      <protection hidden="1"/>
    </xf>
    <xf numFmtId="0" fontId="7" fillId="5" borderId="334" xfId="17451" applyFont="1" applyFill="1" applyBorder="1" applyAlignment="1" applyProtection="1">
      <alignment horizontal="center"/>
      <protection locked="0"/>
    </xf>
    <xf numFmtId="2" fontId="7" fillId="0" borderId="334" xfId="17451" applyNumberFormat="1" applyFont="1" applyBorder="1" applyAlignment="1" applyProtection="1">
      <alignment horizontal="center"/>
      <protection hidden="1"/>
    </xf>
    <xf numFmtId="0" fontId="348" fillId="5" borderId="408" xfId="16067" applyFont="1" applyFill="1" applyBorder="1" applyProtection="1">
      <protection hidden="1"/>
    </xf>
    <xf numFmtId="171" fontId="1" fillId="2" borderId="367" xfId="17468" applyNumberFormat="1" applyFont="1" applyFill="1" applyBorder="1" applyAlignment="1" applyProtection="1">
      <alignment horizontal="center" vertical="center" wrapText="1"/>
      <protection hidden="1"/>
    </xf>
    <xf numFmtId="2" fontId="1" fillId="13" borderId="334" xfId="17468" applyNumberFormat="1" applyFont="1" applyFill="1" applyBorder="1" applyAlignment="1" applyProtection="1">
      <alignment horizontal="center" vertical="top"/>
      <protection locked="0"/>
    </xf>
    <xf numFmtId="2" fontId="47" fillId="5" borderId="334" xfId="17468" applyNumberFormat="1" applyFont="1" applyFill="1" applyBorder="1" applyAlignment="1" applyProtection="1">
      <alignment horizontal="center" vertical="top"/>
      <protection locked="0"/>
    </xf>
    <xf numFmtId="0" fontId="31" fillId="4" borderId="367" xfId="8678" applyFont="1" applyFill="1" applyBorder="1" applyAlignment="1" applyProtection="1">
      <alignment horizontal="center"/>
      <protection hidden="1"/>
    </xf>
    <xf numFmtId="0" fontId="0" fillId="5" borderId="334" xfId="8678" applyFont="1" applyFill="1" applyBorder="1" applyAlignment="1" applyProtection="1">
      <alignment horizontal="left"/>
      <protection locked="0"/>
    </xf>
    <xf numFmtId="168" fontId="0" fillId="5" borderId="334" xfId="8678" applyNumberFormat="1" applyFont="1" applyFill="1" applyBorder="1" applyAlignment="1" applyProtection="1">
      <alignment horizontal="center"/>
      <protection locked="0"/>
    </xf>
    <xf numFmtId="2" fontId="0" fillId="4" borderId="334" xfId="8678" applyNumberFormat="1" applyFont="1" applyFill="1" applyBorder="1" applyAlignment="1" applyProtection="1">
      <alignment horizontal="center"/>
      <protection hidden="1"/>
    </xf>
    <xf numFmtId="2" fontId="57" fillId="12" borderId="367" xfId="4660" applyNumberFormat="1" applyFont="1" applyFill="1" applyBorder="1" applyAlignment="1" applyProtection="1">
      <alignment horizontal="right" vertical="center"/>
      <protection locked="0"/>
    </xf>
    <xf numFmtId="0" fontId="33" fillId="3" borderId="367" xfId="17475" applyFont="1" applyFill="1" applyBorder="1" applyProtection="1">
      <protection hidden="1"/>
    </xf>
    <xf numFmtId="2" fontId="33" fillId="5" borderId="334" xfId="17468" applyNumberFormat="1" applyFont="1" applyFill="1" applyBorder="1" applyAlignment="1" applyProtection="1">
      <alignment horizontal="center" wrapText="1"/>
      <protection locked="0"/>
    </xf>
    <xf numFmtId="0" fontId="33" fillId="5" borderId="334" xfId="17468" applyFont="1" applyFill="1" applyBorder="1" applyAlignment="1" applyProtection="1">
      <alignment horizontal="center" vertical="center"/>
      <protection locked="0"/>
    </xf>
    <xf numFmtId="169" fontId="49" fillId="4" borderId="367" xfId="8678" applyNumberFormat="1" applyFont="1" applyFill="1" applyBorder="1" applyAlignment="1" applyProtection="1">
      <alignment horizontal="center" vertical="center" wrapText="1"/>
      <protection hidden="1"/>
    </xf>
    <xf numFmtId="169" fontId="49" fillId="4" borderId="367" xfId="8678" applyNumberFormat="1" applyFont="1" applyFill="1" applyBorder="1" applyAlignment="1" applyProtection="1">
      <alignment horizontal="center" vertical="center"/>
      <protection hidden="1"/>
    </xf>
    <xf numFmtId="2" fontId="49" fillId="4" borderId="367" xfId="17468" applyNumberFormat="1" applyFont="1" applyFill="1" applyBorder="1" applyAlignment="1" applyProtection="1">
      <alignment horizontal="center" vertical="center"/>
      <protection hidden="1"/>
    </xf>
    <xf numFmtId="169" fontId="49" fillId="4" borderId="334" xfId="8678" applyNumberFormat="1" applyFont="1" applyFill="1" applyBorder="1" applyAlignment="1" applyProtection="1">
      <alignment horizontal="center" vertical="center"/>
      <protection hidden="1"/>
    </xf>
    <xf numFmtId="168" fontId="49" fillId="4" borderId="334" xfId="8678" applyNumberFormat="1" applyFont="1" applyFill="1" applyBorder="1" applyAlignment="1" applyProtection="1">
      <alignment horizontal="center" vertical="center"/>
      <protection hidden="1"/>
    </xf>
    <xf numFmtId="168" fontId="49" fillId="4" borderId="334" xfId="17468" applyNumberFormat="1" applyFont="1" applyFill="1" applyBorder="1" applyAlignment="1" applyProtection="1">
      <alignment horizontal="center" vertical="center"/>
      <protection hidden="1"/>
    </xf>
    <xf numFmtId="1" fontId="57" fillId="3" borderId="367" xfId="4660" applyNumberFormat="1" applyFont="1" applyFill="1" applyBorder="1" applyProtection="1">
      <protection hidden="1"/>
    </xf>
    <xf numFmtId="0" fontId="57" fillId="3" borderId="367" xfId="4660" applyFont="1" applyFill="1" applyBorder="1" applyProtection="1">
      <protection hidden="1"/>
    </xf>
    <xf numFmtId="0" fontId="47" fillId="5" borderId="334" xfId="17468" applyFont="1" applyFill="1" applyBorder="1" applyAlignment="1" applyProtection="1">
      <alignment horizontal="center" vertical="top"/>
      <protection locked="0"/>
    </xf>
    <xf numFmtId="2" fontId="33" fillId="5" borderId="334" xfId="17468" applyNumberFormat="1" applyFont="1" applyFill="1" applyBorder="1" applyAlignment="1" applyProtection="1">
      <alignment horizontal="center" vertical="center" wrapText="1"/>
      <protection locked="0"/>
    </xf>
    <xf numFmtId="169" fontId="49" fillId="4" borderId="367" xfId="8678" applyNumberFormat="1" applyFont="1" applyFill="1" applyBorder="1" applyAlignment="1" applyProtection="1">
      <alignment horizontal="center"/>
      <protection hidden="1"/>
    </xf>
    <xf numFmtId="2" fontId="49" fillId="4" borderId="367" xfId="17468" applyNumberFormat="1" applyFont="1" applyFill="1" applyBorder="1" applyAlignment="1" applyProtection="1">
      <alignment horizontal="center"/>
      <protection hidden="1"/>
    </xf>
    <xf numFmtId="169" fontId="50" fillId="4" borderId="334" xfId="17468" applyNumberFormat="1" applyFont="1" applyFill="1" applyBorder="1" applyAlignment="1" applyProtection="1">
      <alignment horizontal="center"/>
      <protection hidden="1"/>
    </xf>
    <xf numFmtId="168" fontId="50" fillId="4" borderId="334" xfId="17468" applyNumberFormat="1" applyFont="1" applyFill="1" applyBorder="1" applyAlignment="1" applyProtection="1">
      <alignment horizontal="center"/>
      <protection hidden="1"/>
    </xf>
    <xf numFmtId="2" fontId="57" fillId="12" borderId="334" xfId="4660" applyNumberFormat="1" applyFont="1" applyFill="1" applyBorder="1" applyAlignment="1" applyProtection="1">
      <alignment horizontal="center" vertical="top"/>
      <protection locked="0"/>
    </xf>
    <xf numFmtId="169" fontId="49" fillId="4" borderId="334" xfId="8678" applyNumberFormat="1" applyFont="1" applyFill="1" applyBorder="1" applyAlignment="1" applyProtection="1">
      <alignment horizontal="center" vertical="top"/>
      <protection hidden="1"/>
    </xf>
    <xf numFmtId="168" fontId="49" fillId="4" borderId="334" xfId="8678" applyNumberFormat="1" applyFont="1" applyFill="1" applyBorder="1" applyAlignment="1" applyProtection="1">
      <alignment horizontal="center" vertical="top"/>
      <protection hidden="1"/>
    </xf>
    <xf numFmtId="168" fontId="57" fillId="3" borderId="334" xfId="4660" applyNumberFormat="1" applyFont="1" applyFill="1" applyBorder="1" applyAlignment="1" applyProtection="1">
      <alignment horizontal="center"/>
      <protection hidden="1"/>
    </xf>
    <xf numFmtId="2" fontId="33" fillId="5" borderId="334" xfId="17468" applyNumberFormat="1" applyFont="1" applyFill="1" applyBorder="1" applyAlignment="1" applyProtection="1">
      <alignment horizontal="center" vertical="top" wrapText="1"/>
      <protection locked="0"/>
    </xf>
    <xf numFmtId="0" fontId="33" fillId="5" borderId="334" xfId="17468" applyFont="1" applyFill="1" applyBorder="1" applyAlignment="1" applyProtection="1">
      <alignment horizontal="center" vertical="top"/>
      <protection locked="0"/>
    </xf>
    <xf numFmtId="169" fontId="49" fillId="4" borderId="334" xfId="8678" applyNumberFormat="1" applyFont="1" applyFill="1" applyBorder="1" applyAlignment="1" applyProtection="1">
      <alignment horizontal="center"/>
      <protection hidden="1"/>
    </xf>
    <xf numFmtId="168" fontId="49" fillId="4" borderId="334" xfId="8678" applyNumberFormat="1" applyFont="1" applyFill="1" applyBorder="1" applyAlignment="1" applyProtection="1">
      <alignment horizontal="center"/>
      <protection hidden="1"/>
    </xf>
    <xf numFmtId="0" fontId="0" fillId="5" borderId="350" xfId="8678" applyFont="1" applyFill="1" applyBorder="1" applyAlignment="1" applyProtection="1">
      <alignment horizontal="left"/>
      <protection locked="0"/>
    </xf>
    <xf numFmtId="0" fontId="0" fillId="12" borderId="334" xfId="17475" applyFont="1" applyFill="1" applyBorder="1" applyAlignment="1" applyProtection="1">
      <alignment horizontal="center" vertical="top"/>
      <protection locked="0"/>
    </xf>
    <xf numFmtId="168" fontId="0" fillId="12" borderId="334" xfId="17475" applyNumberFormat="1" applyFont="1" applyFill="1" applyBorder="1" applyAlignment="1" applyProtection="1">
      <alignment horizontal="center" vertical="top"/>
      <protection locked="0"/>
    </xf>
    <xf numFmtId="0" fontId="0" fillId="4" borderId="334" xfId="8678" applyFont="1" applyFill="1" applyBorder="1" applyAlignment="1" applyProtection="1">
      <alignment horizontal="center" vertical="top"/>
      <protection hidden="1"/>
    </xf>
    <xf numFmtId="0" fontId="0" fillId="4" borderId="350" xfId="8678" applyFont="1" applyFill="1" applyBorder="1" applyAlignment="1" applyProtection="1">
      <alignment horizontal="center" vertical="top"/>
      <protection hidden="1"/>
    </xf>
    <xf numFmtId="0" fontId="0" fillId="4" borderId="352" xfId="8678" applyFont="1" applyFill="1" applyBorder="1" applyAlignment="1" applyProtection="1">
      <alignment horizontal="center" vertical="top"/>
      <protection hidden="1"/>
    </xf>
    <xf numFmtId="2" fontId="0" fillId="4" borderId="334" xfId="8678" applyNumberFormat="1" applyFont="1" applyFill="1" applyBorder="1" applyAlignment="1" applyProtection="1">
      <alignment horizontal="center" vertical="top"/>
      <protection hidden="1"/>
    </xf>
    <xf numFmtId="0" fontId="0" fillId="5" borderId="334" xfId="8678" applyFont="1" applyFill="1" applyBorder="1" applyAlignment="1" applyProtection="1">
      <alignment horizontal="center" vertical="top"/>
      <protection locked="0"/>
    </xf>
    <xf numFmtId="0" fontId="0" fillId="4" borderId="367" xfId="8678" applyFont="1" applyFill="1" applyBorder="1" applyAlignment="1" applyProtection="1">
      <alignment horizontal="center" vertical="top"/>
      <protection hidden="1"/>
    </xf>
    <xf numFmtId="0" fontId="0" fillId="4" borderId="334" xfId="17475" applyFont="1" applyFill="1" applyBorder="1" applyAlignment="1" applyProtection="1">
      <alignment horizontal="center" vertical="top"/>
      <protection hidden="1"/>
    </xf>
    <xf numFmtId="2" fontId="0" fillId="4" borderId="350" xfId="8678" applyNumberFormat="1" applyFont="1" applyFill="1" applyBorder="1" applyAlignment="1" applyProtection="1">
      <alignment horizontal="center" vertical="top"/>
      <protection hidden="1"/>
    </xf>
    <xf numFmtId="2" fontId="0" fillId="5" borderId="334" xfId="8678" applyNumberFormat="1" applyFont="1" applyFill="1" applyBorder="1" applyAlignment="1" applyProtection="1">
      <alignment horizontal="center" vertical="top"/>
      <protection locked="0"/>
    </xf>
    <xf numFmtId="2" fontId="0" fillId="4" borderId="352" xfId="8678" applyNumberFormat="1" applyFont="1" applyFill="1" applyBorder="1" applyAlignment="1" applyProtection="1">
      <alignment horizontal="center" vertical="top"/>
      <protection hidden="1"/>
    </xf>
    <xf numFmtId="1" fontId="0" fillId="4" borderId="334" xfId="8678" applyNumberFormat="1" applyFont="1" applyFill="1" applyBorder="1" applyAlignment="1" applyProtection="1">
      <alignment horizontal="center" vertical="top"/>
      <protection hidden="1"/>
    </xf>
    <xf numFmtId="2" fontId="305" fillId="4" borderId="334" xfId="17468" applyNumberFormat="1" applyFill="1" applyBorder="1" applyAlignment="1" applyProtection="1">
      <alignment horizontal="center" vertical="top"/>
      <protection hidden="1"/>
    </xf>
    <xf numFmtId="0" fontId="305" fillId="5" borderId="334" xfId="17468" applyFill="1" applyBorder="1" applyAlignment="1" applyProtection="1">
      <alignment horizontal="left" wrapText="1"/>
      <protection locked="0"/>
    </xf>
    <xf numFmtId="168" fontId="305" fillId="5" borderId="334" xfId="17468" applyNumberFormat="1" applyFill="1" applyBorder="1" applyAlignment="1" applyProtection="1">
      <alignment horizontal="center" wrapText="1"/>
      <protection locked="0"/>
    </xf>
    <xf numFmtId="0" fontId="305" fillId="5" borderId="350" xfId="17468" applyFill="1" applyBorder="1" applyAlignment="1" applyProtection="1">
      <alignment horizontal="left" wrapText="1"/>
      <protection locked="0"/>
    </xf>
    <xf numFmtId="168" fontId="0" fillId="5" borderId="334" xfId="8678" applyNumberFormat="1" applyFont="1" applyFill="1" applyBorder="1" applyAlignment="1" applyProtection="1">
      <alignment horizontal="center" vertical="center"/>
      <protection locked="0"/>
    </xf>
    <xf numFmtId="0" fontId="0" fillId="5" borderId="334" xfId="17475" applyFont="1" applyFill="1" applyBorder="1" applyAlignment="1" applyProtection="1">
      <alignment horizontal="center" vertical="top"/>
      <protection locked="0"/>
    </xf>
    <xf numFmtId="169" fontId="0" fillId="4" borderId="334" xfId="17475" applyNumberFormat="1" applyFont="1" applyFill="1" applyBorder="1" applyAlignment="1" applyProtection="1">
      <alignment horizontal="left" vertical="top"/>
      <protection hidden="1"/>
    </xf>
    <xf numFmtId="0" fontId="0" fillId="12" borderId="334" xfId="4660" applyFont="1" applyFill="1" applyBorder="1" applyAlignment="1" applyProtection="1">
      <alignment horizontal="center"/>
      <protection locked="0"/>
    </xf>
    <xf numFmtId="2" fontId="0" fillId="0" borderId="334" xfId="17475" applyNumberFormat="1" applyFont="1" applyBorder="1" applyAlignment="1" applyProtection="1">
      <alignment horizontal="center" vertical="top"/>
      <protection hidden="1"/>
    </xf>
    <xf numFmtId="0" fontId="0" fillId="12" borderId="334" xfId="4660" applyFont="1" applyFill="1" applyBorder="1" applyAlignment="1" applyProtection="1">
      <alignment horizontal="center" vertical="center"/>
      <protection locked="0"/>
    </xf>
    <xf numFmtId="169" fontId="0" fillId="0" borderId="334" xfId="17475" applyNumberFormat="1" applyFont="1" applyBorder="1" applyAlignment="1" applyProtection="1">
      <alignment horizontal="center" vertical="top"/>
      <protection hidden="1"/>
    </xf>
    <xf numFmtId="169" fontId="0" fillId="0" borderId="334" xfId="4660" applyNumberFormat="1" applyFont="1" applyBorder="1" applyAlignment="1" applyProtection="1">
      <alignment horizontal="center" vertical="top"/>
      <protection hidden="1"/>
    </xf>
    <xf numFmtId="0" fontId="0" fillId="2" borderId="350" xfId="17475" applyFont="1" applyFill="1" applyBorder="1" applyAlignment="1" applyProtection="1">
      <alignment horizontal="center" vertical="top"/>
      <protection hidden="1"/>
    </xf>
    <xf numFmtId="0" fontId="0" fillId="2" borderId="334" xfId="17475" applyFont="1" applyFill="1" applyBorder="1" applyAlignment="1" applyProtection="1">
      <alignment horizontal="center" vertical="top"/>
      <protection hidden="1"/>
    </xf>
    <xf numFmtId="2" fontId="0" fillId="0" borderId="334" xfId="4660" applyNumberFormat="1" applyFont="1" applyBorder="1" applyAlignment="1" applyProtection="1">
      <alignment horizontal="center"/>
      <protection hidden="1"/>
    </xf>
    <xf numFmtId="2" fontId="0" fillId="4" borderId="350" xfId="17475" applyNumberFormat="1" applyFont="1" applyFill="1" applyBorder="1" applyAlignment="1" applyProtection="1">
      <alignment horizontal="center" vertical="top"/>
      <protection hidden="1"/>
    </xf>
    <xf numFmtId="2" fontId="0" fillId="0" borderId="334" xfId="4660" applyNumberFormat="1" applyFont="1" applyBorder="1" applyAlignment="1" applyProtection="1">
      <alignment horizontal="center" vertical="top"/>
      <protection hidden="1"/>
    </xf>
    <xf numFmtId="0" fontId="0" fillId="0" borderId="334" xfId="4660" applyFont="1" applyBorder="1" applyAlignment="1" applyProtection="1">
      <alignment horizontal="center"/>
      <protection hidden="1"/>
    </xf>
    <xf numFmtId="0" fontId="0" fillId="0" borderId="334" xfId="4660" applyFont="1" applyBorder="1" applyAlignment="1" applyProtection="1">
      <alignment horizontal="center" vertical="top"/>
      <protection hidden="1"/>
    </xf>
    <xf numFmtId="0" fontId="53" fillId="4" borderId="334" xfId="4660" applyFont="1" applyFill="1" applyBorder="1" applyAlignment="1" applyProtection="1">
      <alignment horizontal="center" vertical="top"/>
      <protection hidden="1"/>
    </xf>
    <xf numFmtId="0" fontId="0" fillId="4" borderId="334" xfId="4660" applyFont="1" applyFill="1" applyBorder="1" applyAlignment="1" applyProtection="1">
      <alignment horizontal="center" vertical="top"/>
      <protection hidden="1"/>
    </xf>
    <xf numFmtId="2" fontId="0" fillId="5" borderId="334" xfId="4660" applyNumberFormat="1" applyFont="1" applyFill="1" applyBorder="1" applyAlignment="1" applyProtection="1">
      <alignment horizontal="center" vertical="top"/>
      <protection locked="0"/>
    </xf>
    <xf numFmtId="0" fontId="0" fillId="5" borderId="334" xfId="4660" applyFont="1" applyFill="1" applyBorder="1" applyAlignment="1" applyProtection="1">
      <alignment horizontal="center" vertical="top"/>
      <protection locked="0"/>
    </xf>
    <xf numFmtId="168" fontId="53" fillId="4" borderId="334" xfId="4660" applyNumberFormat="1" applyFont="1" applyFill="1" applyBorder="1" applyAlignment="1" applyProtection="1">
      <alignment horizontal="center" vertical="top"/>
      <protection hidden="1"/>
    </xf>
    <xf numFmtId="169" fontId="0" fillId="4" borderId="334" xfId="17487" applyNumberFormat="1" applyFont="1" applyFill="1" applyBorder="1" applyAlignment="1" applyProtection="1">
      <alignment horizontal="center" vertical="top"/>
      <protection hidden="1"/>
    </xf>
    <xf numFmtId="168" fontId="53" fillId="2" borderId="490" xfId="8678" applyNumberFormat="1" applyFont="1" applyFill="1" applyBorder="1" applyAlignment="1" applyProtection="1">
      <alignment horizontal="center"/>
      <protection hidden="1"/>
    </xf>
    <xf numFmtId="2" fontId="33" fillId="2" borderId="334" xfId="8678" applyNumberFormat="1" applyFont="1" applyFill="1" applyBorder="1" applyAlignment="1" applyProtection="1">
      <alignment horizontal="center"/>
      <protection hidden="1"/>
    </xf>
    <xf numFmtId="2" fontId="0" fillId="0" borderId="334" xfId="17475" applyNumberFormat="1" applyFont="1" applyBorder="1" applyAlignment="1" applyProtection="1">
      <alignment horizontal="center"/>
      <protection hidden="1"/>
    </xf>
    <xf numFmtId="0" fontId="6" fillId="2" borderId="350" xfId="8678" applyFont="1" applyFill="1" applyBorder="1" applyAlignment="1" applyProtection="1">
      <alignment horizontal="left" vertical="top"/>
      <protection hidden="1"/>
    </xf>
    <xf numFmtId="2" fontId="6" fillId="4" borderId="334" xfId="16067" applyNumberFormat="1" applyFont="1" applyFill="1" applyBorder="1" applyAlignment="1" applyProtection="1">
      <alignment horizontal="center" vertical="top" wrapText="1"/>
      <protection hidden="1"/>
    </xf>
    <xf numFmtId="168" fontId="6" fillId="2" borderId="334" xfId="8678" applyNumberFormat="1" applyFont="1" applyFill="1" applyBorder="1" applyAlignment="1" applyProtection="1">
      <alignment horizontal="center" vertical="top"/>
      <protection hidden="1"/>
    </xf>
    <xf numFmtId="2" fontId="6" fillId="4" borderId="334" xfId="8678" applyNumberFormat="1" applyFont="1" applyFill="1" applyBorder="1" applyAlignment="1" applyProtection="1">
      <alignment horizontal="center" vertical="top"/>
      <protection hidden="1"/>
    </xf>
    <xf numFmtId="2" fontId="0" fillId="5" borderId="334" xfId="17475" applyNumberFormat="1" applyFont="1" applyFill="1" applyBorder="1" applyAlignment="1" applyProtection="1">
      <alignment horizontal="center" vertical="top"/>
      <protection locked="0"/>
    </xf>
    <xf numFmtId="0" fontId="8" fillId="0" borderId="350" xfId="17399" applyFont="1" applyBorder="1" applyAlignment="1" applyProtection="1">
      <alignment horizontal="left"/>
      <protection hidden="1"/>
    </xf>
    <xf numFmtId="0" fontId="8" fillId="0" borderId="351" xfId="17399" applyFont="1" applyBorder="1" applyAlignment="1" applyProtection="1">
      <alignment horizontal="center"/>
      <protection hidden="1"/>
    </xf>
    <xf numFmtId="0" fontId="8" fillId="0" borderId="351" xfId="17399" applyFont="1" applyBorder="1" applyAlignment="1" applyProtection="1">
      <alignment horizontal="left"/>
      <protection hidden="1"/>
    </xf>
    <xf numFmtId="0" fontId="8" fillId="0" borderId="352" xfId="17399" applyFont="1" applyBorder="1" applyAlignment="1" applyProtection="1">
      <alignment horizontal="left"/>
      <protection hidden="1"/>
    </xf>
    <xf numFmtId="0" fontId="8" fillId="0" borderId="350" xfId="17399" applyFont="1" applyBorder="1" applyAlignment="1" applyProtection="1">
      <alignment horizontal="center"/>
      <protection hidden="1"/>
    </xf>
    <xf numFmtId="0" fontId="8" fillId="0" borderId="352" xfId="17399" applyFont="1" applyBorder="1" applyAlignment="1" applyProtection="1">
      <alignment horizontal="center"/>
      <protection hidden="1"/>
    </xf>
    <xf numFmtId="168" fontId="10" fillId="0" borderId="477" xfId="17399" applyNumberFormat="1" applyFont="1" applyBorder="1" applyAlignment="1" applyProtection="1">
      <alignment horizontal="center"/>
      <protection hidden="1"/>
    </xf>
    <xf numFmtId="0" fontId="10" fillId="0" borderId="477" xfId="17399" applyFont="1" applyBorder="1" applyAlignment="1" applyProtection="1">
      <alignment horizontal="center"/>
      <protection hidden="1"/>
    </xf>
    <xf numFmtId="168" fontId="10" fillId="0" borderId="491" xfId="17399" applyNumberFormat="1" applyFont="1" applyBorder="1" applyAlignment="1" applyProtection="1">
      <alignment horizontal="center"/>
      <protection hidden="1"/>
    </xf>
    <xf numFmtId="0" fontId="7" fillId="5" borderId="467" xfId="4660" applyFont="1" applyFill="1" applyBorder="1" applyAlignment="1" applyProtection="1">
      <alignment horizontal="center"/>
      <protection locked="0"/>
    </xf>
    <xf numFmtId="2" fontId="7" fillId="4" borderId="467" xfId="4660" applyNumberFormat="1" applyFont="1" applyFill="1" applyBorder="1" applyAlignment="1" applyProtection="1">
      <alignment horizontal="center"/>
      <protection hidden="1"/>
    </xf>
    <xf numFmtId="0" fontId="7" fillId="4" borderId="492" xfId="6465" applyFill="1" applyBorder="1" applyAlignment="1" applyProtection="1">
      <alignment horizontal="center"/>
      <protection hidden="1"/>
    </xf>
    <xf numFmtId="0" fontId="7" fillId="5" borderId="492" xfId="6465" applyFill="1" applyBorder="1" applyAlignment="1" applyProtection="1">
      <alignment horizontal="center"/>
      <protection locked="0"/>
    </xf>
    <xf numFmtId="0" fontId="190" fillId="4" borderId="445" xfId="6465" applyFont="1" applyFill="1" applyBorder="1" applyProtection="1">
      <protection hidden="1"/>
    </xf>
    <xf numFmtId="168" fontId="7" fillId="13" borderId="493" xfId="16065" applyNumberFormat="1" applyFont="1" applyFill="1" applyBorder="1" applyAlignment="1" applyProtection="1">
      <alignment horizontal="center" wrapText="1"/>
      <protection locked="0"/>
    </xf>
    <xf numFmtId="168" fontId="61" fillId="13" borderId="493" xfId="16065" applyNumberFormat="1" applyFont="1" applyFill="1" applyBorder="1" applyAlignment="1" applyProtection="1">
      <alignment horizontal="center" wrapText="1"/>
      <protection locked="0"/>
    </xf>
    <xf numFmtId="0" fontId="7" fillId="4" borderId="494" xfId="6465" applyFill="1" applyBorder="1" applyAlignment="1" applyProtection="1">
      <alignment horizontal="center"/>
      <protection hidden="1"/>
    </xf>
    <xf numFmtId="0" fontId="17" fillId="5" borderId="468" xfId="6465" applyFont="1" applyFill="1" applyBorder="1" applyAlignment="1" applyProtection="1">
      <alignment horizontal="right"/>
      <protection locked="0"/>
    </xf>
    <xf numFmtId="0" fontId="7" fillId="9" borderId="482" xfId="6465" applyFill="1" applyBorder="1" applyAlignment="1" applyProtection="1">
      <alignment horizontal="center"/>
      <protection hidden="1"/>
    </xf>
    <xf numFmtId="0" fontId="7" fillId="18" borderId="496" xfId="6465" applyFill="1" applyBorder="1" applyAlignment="1" applyProtection="1">
      <alignment horizontal="center"/>
      <protection locked="0"/>
    </xf>
    <xf numFmtId="0" fontId="121" fillId="28" borderId="497" xfId="16065" applyFont="1" applyFill="1" applyBorder="1" applyAlignment="1" applyProtection="1">
      <alignment horizontal="center"/>
      <protection locked="0"/>
    </xf>
    <xf numFmtId="0" fontId="121" fillId="13" borderId="497" xfId="16065" applyFont="1" applyFill="1" applyBorder="1" applyAlignment="1" applyProtection="1">
      <alignment horizontal="center"/>
      <protection locked="0"/>
    </xf>
    <xf numFmtId="0" fontId="121" fillId="29" borderId="497" xfId="16065" applyFont="1" applyFill="1" applyBorder="1" applyAlignment="1" applyProtection="1">
      <alignment horizontal="center"/>
      <protection locked="0"/>
    </xf>
    <xf numFmtId="0" fontId="123" fillId="28" borderId="445" xfId="0" applyFont="1" applyFill="1" applyBorder="1" applyAlignment="1" applyProtection="1">
      <alignment horizontal="center"/>
      <protection locked="0"/>
    </xf>
    <xf numFmtId="2" fontId="124" fillId="13" borderId="445" xfId="16065" applyNumberFormat="1" applyFont="1" applyFill="1" applyBorder="1" applyAlignment="1" applyProtection="1">
      <alignment horizontal="center"/>
      <protection locked="0"/>
    </xf>
    <xf numFmtId="0" fontId="130" fillId="29" borderId="445" xfId="0" applyFont="1" applyFill="1" applyBorder="1" applyAlignment="1" applyProtection="1">
      <alignment horizontal="center"/>
      <protection hidden="1"/>
    </xf>
    <xf numFmtId="0" fontId="130" fillId="29" borderId="436" xfId="16065" applyFont="1" applyFill="1" applyBorder="1" applyAlignment="1" applyProtection="1">
      <alignment horizontal="center"/>
      <protection locked="0"/>
    </xf>
    <xf numFmtId="0" fontId="23" fillId="27" borderId="467" xfId="17436" applyFont="1" applyFill="1" applyBorder="1" applyAlignment="1" applyProtection="1">
      <alignment horizontal="center"/>
      <protection hidden="1"/>
    </xf>
    <xf numFmtId="0" fontId="94" fillId="28" borderId="476" xfId="6465" applyFont="1" applyFill="1" applyBorder="1" applyAlignment="1" applyProtection="1">
      <alignment horizontal="center"/>
      <protection locked="0"/>
    </xf>
    <xf numFmtId="0" fontId="7" fillId="28" borderId="477" xfId="6465" applyFill="1" applyBorder="1" applyAlignment="1" applyProtection="1">
      <alignment horizontal="center"/>
      <protection locked="0"/>
    </xf>
    <xf numFmtId="0" fontId="7" fillId="9" borderId="334" xfId="6465" applyFill="1" applyBorder="1" applyAlignment="1" applyProtection="1">
      <alignment vertical="center"/>
      <protection hidden="1"/>
    </xf>
    <xf numFmtId="0" fontId="7" fillId="4" borderId="334" xfId="6465" applyFill="1" applyBorder="1" applyAlignment="1" applyProtection="1">
      <alignment vertical="center"/>
      <protection hidden="1"/>
    </xf>
    <xf numFmtId="0" fontId="121" fillId="28" borderId="497" xfId="6465" applyFont="1" applyFill="1" applyBorder="1" applyAlignment="1" applyProtection="1">
      <alignment horizontal="center"/>
      <protection locked="0"/>
    </xf>
    <xf numFmtId="0" fontId="121" fillId="13" borderId="497" xfId="6465" applyFont="1" applyFill="1" applyBorder="1" applyAlignment="1" applyProtection="1">
      <alignment horizontal="center"/>
      <protection locked="0"/>
    </xf>
    <xf numFmtId="0" fontId="61" fillId="13" borderId="334" xfId="16065" applyFont="1" applyFill="1" applyBorder="1" applyAlignment="1" applyProtection="1">
      <alignment horizontal="center"/>
      <protection locked="0"/>
    </xf>
    <xf numFmtId="0" fontId="23" fillId="27" borderId="493" xfId="17436" applyFont="1" applyFill="1" applyBorder="1" applyProtection="1">
      <protection hidden="1"/>
    </xf>
    <xf numFmtId="2" fontId="5" fillId="0" borderId="334" xfId="6465" applyNumberFormat="1" applyFont="1" applyBorder="1" applyAlignment="1" applyProtection="1">
      <alignment horizontal="center"/>
      <protection hidden="1"/>
    </xf>
    <xf numFmtId="0" fontId="43" fillId="0" borderId="334" xfId="17436" applyFont="1" applyBorder="1" applyAlignment="1" applyProtection="1">
      <alignment horizontal="center"/>
      <protection hidden="1"/>
    </xf>
    <xf numFmtId="0" fontId="43" fillId="4" borderId="334" xfId="17436" applyFont="1" applyFill="1" applyBorder="1" applyAlignment="1" applyProtection="1">
      <alignment horizontal="center"/>
      <protection hidden="1"/>
    </xf>
    <xf numFmtId="0" fontId="7" fillId="5" borderId="334" xfId="17436" applyFont="1" applyFill="1" applyBorder="1" applyAlignment="1" applyProtection="1">
      <alignment horizontal="center"/>
      <protection locked="0"/>
    </xf>
    <xf numFmtId="2" fontId="7" fillId="4" borderId="494" xfId="17475" applyNumberFormat="1" applyFill="1" applyBorder="1" applyAlignment="1" applyProtection="1">
      <alignment horizontal="center"/>
      <protection hidden="1"/>
    </xf>
    <xf numFmtId="0" fontId="7" fillId="3" borderId="494" xfId="6465" applyFill="1" applyBorder="1" applyAlignment="1" applyProtection="1">
      <alignment horizontal="center"/>
      <protection hidden="1"/>
    </xf>
    <xf numFmtId="0" fontId="121" fillId="4" borderId="446" xfId="17414" applyFont="1" applyFill="1" applyBorder="1" applyAlignment="1" applyProtection="1">
      <alignment horizontal="right"/>
      <protection hidden="1"/>
    </xf>
    <xf numFmtId="0" fontId="151" fillId="0" borderId="448" xfId="17414" applyFont="1" applyBorder="1" applyProtection="1">
      <protection hidden="1"/>
    </xf>
    <xf numFmtId="0" fontId="7" fillId="5" borderId="446" xfId="17414" applyFont="1" applyFill="1" applyBorder="1" applyAlignment="1" applyProtection="1">
      <alignment horizontal="center"/>
      <protection locked="0"/>
    </xf>
    <xf numFmtId="0" fontId="7" fillId="5" borderId="448" xfId="17414" applyFont="1" applyFill="1" applyBorder="1" applyAlignment="1" applyProtection="1">
      <alignment horizontal="center"/>
      <protection locked="0"/>
    </xf>
    <xf numFmtId="0" fontId="7" fillId="18" borderId="498" xfId="6465" applyFill="1" applyBorder="1" applyAlignment="1" applyProtection="1">
      <alignment horizontal="center"/>
      <protection locked="0"/>
    </xf>
    <xf numFmtId="0" fontId="7" fillId="18" borderId="498" xfId="6465" quotePrefix="1" applyFill="1" applyBorder="1" applyAlignment="1" applyProtection="1">
      <alignment horizontal="center"/>
      <protection locked="0"/>
    </xf>
    <xf numFmtId="0" fontId="23" fillId="5" borderId="445" xfId="17414" applyFont="1" applyFill="1" applyBorder="1" applyAlignment="1" applyProtection="1">
      <alignment horizontal="center"/>
      <protection locked="0"/>
    </xf>
    <xf numFmtId="0" fontId="7" fillId="0" borderId="445" xfId="17414" applyFont="1" applyBorder="1" applyAlignment="1" applyProtection="1">
      <alignment horizontal="center"/>
      <protection hidden="1"/>
    </xf>
    <xf numFmtId="0" fontId="63" fillId="30" borderId="445" xfId="17414" applyFont="1" applyFill="1" applyBorder="1" applyAlignment="1" applyProtection="1">
      <alignment horizontal="center"/>
      <protection hidden="1"/>
    </xf>
    <xf numFmtId="2" fontId="63" fillId="30" borderId="445" xfId="17414" applyNumberFormat="1" applyFont="1" applyFill="1" applyBorder="1" applyAlignment="1" applyProtection="1">
      <alignment horizontal="center"/>
      <protection locked="0"/>
    </xf>
    <xf numFmtId="0" fontId="151" fillId="0" borderId="446" xfId="17414" applyFont="1" applyBorder="1"/>
    <xf numFmtId="0" fontId="17" fillId="4" borderId="446" xfId="17414" applyFont="1" applyFill="1" applyBorder="1" applyAlignment="1" applyProtection="1">
      <alignment horizontal="right"/>
      <protection hidden="1"/>
    </xf>
    <xf numFmtId="0" fontId="168" fillId="0" borderId="493" xfId="17414" applyFont="1" applyBorder="1" applyAlignment="1" applyProtection="1">
      <alignment horizontal="center"/>
      <protection hidden="1"/>
    </xf>
    <xf numFmtId="2" fontId="23" fillId="27" borderId="499" xfId="17436" applyNumberFormat="1" applyFont="1" applyFill="1" applyBorder="1" applyAlignment="1" applyProtection="1">
      <alignment horizontal="center"/>
      <protection hidden="1"/>
    </xf>
    <xf numFmtId="0" fontId="167" fillId="26" borderId="500" xfId="17414" applyFont="1" applyFill="1" applyBorder="1" applyAlignment="1" applyProtection="1">
      <alignment horizontal="center"/>
      <protection locked="0"/>
    </xf>
    <xf numFmtId="0" fontId="7" fillId="9" borderId="499" xfId="6465" applyFill="1" applyBorder="1" applyAlignment="1" applyProtection="1">
      <alignment horizontal="center"/>
      <protection hidden="1"/>
    </xf>
    <xf numFmtId="168" fontId="10" fillId="0" borderId="446" xfId="17399" applyNumberFormat="1" applyFont="1" applyBorder="1" applyAlignment="1" applyProtection="1">
      <alignment horizontal="center"/>
      <protection hidden="1"/>
    </xf>
    <xf numFmtId="1" fontId="10" fillId="0" borderId="446" xfId="17399" applyNumberFormat="1" applyFont="1" applyBorder="1" applyAlignment="1" applyProtection="1">
      <alignment horizontal="center"/>
      <protection hidden="1"/>
    </xf>
    <xf numFmtId="0" fontId="45" fillId="50" borderId="0" xfId="6465" applyFont="1" applyFill="1" applyAlignment="1" applyProtection="1">
      <alignment horizontal="right"/>
      <protection hidden="1"/>
    </xf>
    <xf numFmtId="0" fontId="145" fillId="0" borderId="0" xfId="69" applyFont="1" applyAlignment="1" applyProtection="1">
      <protection hidden="1"/>
    </xf>
    <xf numFmtId="0" fontId="246" fillId="0" borderId="0" xfId="69" applyFont="1" applyAlignment="1" applyProtection="1">
      <protection hidden="1"/>
    </xf>
    <xf numFmtId="0" fontId="43" fillId="4" borderId="0" xfId="17399" applyFont="1" applyFill="1" applyAlignment="1" applyProtection="1">
      <alignment horizontal="left"/>
      <protection hidden="1"/>
    </xf>
    <xf numFmtId="0" fontId="5" fillId="4" borderId="0" xfId="17399" applyFont="1" applyFill="1" applyAlignment="1" applyProtection="1">
      <alignment horizontal="left" vertical="top"/>
      <protection hidden="1"/>
    </xf>
    <xf numFmtId="0" fontId="145" fillId="3" borderId="0" xfId="69" applyFont="1" applyFill="1" applyAlignment="1">
      <alignment horizontal="left" vertical="center"/>
      <protection locked="0"/>
    </xf>
    <xf numFmtId="2" fontId="5" fillId="3" borderId="0" xfId="17399" applyNumberFormat="1" applyFont="1" applyFill="1" applyAlignment="1" applyProtection="1">
      <alignment horizontal="left" vertical="center"/>
      <protection hidden="1"/>
    </xf>
    <xf numFmtId="2" fontId="5" fillId="3" borderId="0" xfId="6465" applyNumberFormat="1" applyFont="1" applyFill="1" applyAlignment="1" applyProtection="1">
      <alignment horizontal="left" vertical="center"/>
      <protection hidden="1"/>
    </xf>
    <xf numFmtId="0" fontId="145" fillId="3" borderId="0" xfId="69" applyFont="1" applyFill="1" applyAlignment="1" applyProtection="1">
      <protection hidden="1"/>
    </xf>
    <xf numFmtId="0" fontId="246" fillId="3" borderId="0" xfId="69" applyFont="1" applyFill="1" applyAlignment="1" applyProtection="1">
      <protection hidden="1"/>
    </xf>
    <xf numFmtId="0" fontId="192" fillId="0" borderId="0" xfId="69" applyFont="1" applyAlignment="1" applyProtection="1">
      <protection hidden="1"/>
    </xf>
    <xf numFmtId="0" fontId="25" fillId="3" borderId="0" xfId="69" applyFont="1" applyFill="1" applyAlignment="1" applyProtection="1">
      <protection hidden="1"/>
    </xf>
    <xf numFmtId="0" fontId="5" fillId="3" borderId="0" xfId="17399" applyFont="1" applyFill="1" applyAlignment="1" applyProtection="1">
      <alignment wrapText="1"/>
      <protection hidden="1"/>
    </xf>
    <xf numFmtId="0" fontId="246" fillId="15" borderId="0" xfId="69" applyFont="1" applyFill="1" applyAlignment="1" applyProtection="1">
      <protection hidden="1"/>
    </xf>
    <xf numFmtId="0" fontId="342" fillId="3" borderId="0" xfId="69" applyFont="1" applyFill="1" applyAlignment="1" applyProtection="1">
      <protection hidden="1"/>
    </xf>
    <xf numFmtId="171" fontId="5" fillId="2" borderId="0" xfId="69" applyNumberFormat="1" applyFont="1" applyFill="1" applyAlignment="1" applyProtection="1">
      <protection hidden="1"/>
    </xf>
    <xf numFmtId="0" fontId="46" fillId="4" borderId="0" xfId="17399" applyFont="1" applyFill="1" applyAlignment="1" applyProtection="1">
      <alignment horizontal="right"/>
      <protection hidden="1"/>
    </xf>
    <xf numFmtId="0" fontId="95" fillId="4" borderId="0" xfId="6465" applyFont="1" applyFill="1" applyAlignment="1" applyProtection="1">
      <alignment horizontal="left"/>
      <protection hidden="1"/>
    </xf>
    <xf numFmtId="0" fontId="95" fillId="4" borderId="0" xfId="17475" applyFont="1" applyFill="1" applyAlignment="1" applyProtection="1">
      <alignment horizontal="left" vertical="top" wrapText="1"/>
      <protection hidden="1"/>
    </xf>
    <xf numFmtId="0" fontId="339" fillId="4" borderId="0" xfId="17399" applyFont="1" applyFill="1" applyAlignment="1" applyProtection="1">
      <alignment horizontal="center"/>
      <protection hidden="1"/>
    </xf>
    <xf numFmtId="0" fontId="45" fillId="3" borderId="0" xfId="6465" applyFont="1" applyFill="1" applyAlignment="1" applyProtection="1">
      <alignment horizontal="right" wrapText="1"/>
      <protection hidden="1"/>
    </xf>
    <xf numFmtId="0" fontId="45" fillId="2" borderId="0" xfId="6465" applyFont="1" applyFill="1" applyAlignment="1" applyProtection="1">
      <alignment horizontal="right"/>
      <protection hidden="1"/>
    </xf>
    <xf numFmtId="0" fontId="355" fillId="4" borderId="0" xfId="6465" applyFont="1" applyFill="1" applyAlignment="1" applyProtection="1">
      <alignment horizontal="center" wrapText="1"/>
      <protection hidden="1"/>
    </xf>
    <xf numFmtId="0" fontId="0" fillId="14" borderId="367" xfId="6465" applyFont="1" applyFill="1" applyBorder="1" applyAlignment="1" applyProtection="1">
      <alignment horizontal="center"/>
      <protection hidden="1"/>
    </xf>
    <xf numFmtId="0" fontId="0" fillId="14" borderId="104" xfId="6465" applyFont="1" applyFill="1" applyBorder="1" applyAlignment="1" applyProtection="1">
      <alignment horizontal="center"/>
      <protection hidden="1"/>
    </xf>
    <xf numFmtId="49" fontId="7" fillId="15" borderId="62" xfId="4660" applyNumberFormat="1" applyFont="1" applyFill="1" applyBorder="1" applyAlignment="1" applyProtection="1">
      <alignment horizontal="left"/>
      <protection hidden="1"/>
    </xf>
    <xf numFmtId="49" fontId="7" fillId="15" borderId="128" xfId="4660" applyNumberFormat="1" applyFont="1" applyFill="1" applyBorder="1" applyAlignment="1" applyProtection="1">
      <alignment horizontal="left"/>
      <protection hidden="1"/>
    </xf>
    <xf numFmtId="0" fontId="62" fillId="50" borderId="0" xfId="0" applyFont="1" applyFill="1" applyAlignment="1" applyProtection="1">
      <alignment horizontal="left"/>
      <protection hidden="1"/>
    </xf>
    <xf numFmtId="49" fontId="7" fillId="15" borderId="1" xfId="4660" applyNumberFormat="1" applyFont="1" applyFill="1" applyBorder="1" applyAlignment="1" applyProtection="1">
      <alignment horizontal="left"/>
      <protection hidden="1"/>
    </xf>
    <xf numFmtId="49" fontId="7" fillId="15" borderId="96" xfId="4660" applyNumberFormat="1" applyFont="1" applyFill="1" applyBorder="1" applyAlignment="1" applyProtection="1">
      <alignment horizontal="left"/>
      <protection hidden="1"/>
    </xf>
    <xf numFmtId="0" fontId="7" fillId="3" borderId="30" xfId="4660" applyFont="1" applyFill="1" applyBorder="1" applyAlignment="1" applyProtection="1">
      <alignment vertical="center" wrapText="1"/>
      <protection hidden="1"/>
    </xf>
    <xf numFmtId="0" fontId="7" fillId="3" borderId="29" xfId="4660" applyFont="1" applyFill="1" applyBorder="1" applyAlignment="1" applyProtection="1">
      <alignment vertical="center" wrapText="1"/>
      <protection hidden="1"/>
    </xf>
    <xf numFmtId="0" fontId="7" fillId="3" borderId="31" xfId="4660" applyFont="1" applyFill="1" applyBorder="1" applyAlignment="1" applyProtection="1">
      <alignment vertical="center" wrapText="1"/>
      <protection hidden="1"/>
    </xf>
    <xf numFmtId="0" fontId="7" fillId="3" borderId="0" xfId="4660" applyFont="1" applyFill="1" applyAlignment="1" applyProtection="1">
      <alignment vertical="center" wrapText="1"/>
      <protection hidden="1"/>
    </xf>
    <xf numFmtId="0" fontId="7" fillId="3" borderId="18" xfId="4660" applyFont="1" applyFill="1" applyBorder="1" applyAlignment="1" applyProtection="1">
      <alignment vertical="center" wrapText="1"/>
      <protection hidden="1"/>
    </xf>
    <xf numFmtId="0" fontId="7" fillId="3" borderId="27" xfId="4660" applyFont="1" applyFill="1" applyBorder="1" applyAlignment="1" applyProtection="1">
      <alignment vertical="center" wrapText="1"/>
      <protection hidden="1"/>
    </xf>
    <xf numFmtId="0" fontId="7" fillId="3" borderId="17" xfId="4660" applyFont="1" applyFill="1" applyBorder="1" applyAlignment="1" applyProtection="1">
      <alignment vertical="center" wrapText="1"/>
      <protection hidden="1"/>
    </xf>
    <xf numFmtId="0" fontId="7" fillId="3" borderId="28" xfId="4660" applyFont="1" applyFill="1" applyBorder="1" applyAlignment="1" applyProtection="1">
      <alignment vertical="center" wrapText="1"/>
      <protection hidden="1"/>
    </xf>
    <xf numFmtId="0" fontId="7" fillId="15" borderId="1" xfId="4660" applyFont="1" applyFill="1" applyBorder="1" applyAlignment="1" applyProtection="1">
      <alignment horizontal="left"/>
      <protection hidden="1"/>
    </xf>
    <xf numFmtId="0" fontId="7" fillId="15" borderId="96" xfId="4660" applyFont="1" applyFill="1" applyBorder="1" applyAlignment="1" applyProtection="1">
      <alignment horizontal="left"/>
      <protection hidden="1"/>
    </xf>
    <xf numFmtId="0" fontId="7" fillId="2" borderId="0" xfId="6465" applyFill="1" applyAlignment="1" applyProtection="1">
      <alignment horizontal="left"/>
      <protection hidden="1"/>
    </xf>
    <xf numFmtId="0" fontId="7" fillId="4" borderId="30" xfId="17475" applyFill="1" applyBorder="1" applyAlignment="1" applyProtection="1">
      <alignment horizontal="right" wrapText="1"/>
      <protection hidden="1"/>
    </xf>
    <xf numFmtId="0" fontId="7" fillId="3" borderId="367" xfId="4660" applyFont="1" applyFill="1" applyBorder="1" applyAlignment="1" applyProtection="1">
      <alignment horizontal="center"/>
      <protection hidden="1"/>
    </xf>
    <xf numFmtId="2" fontId="7" fillId="23" borderId="367" xfId="17481" applyNumberFormat="1" applyFill="1" applyBorder="1" applyAlignment="1" applyProtection="1">
      <alignment horizontal="center"/>
      <protection hidden="1"/>
    </xf>
    <xf numFmtId="0" fontId="52" fillId="3" borderId="0" xfId="4660" applyFont="1" applyFill="1" applyAlignment="1" applyProtection="1">
      <alignment horizontal="left"/>
      <protection hidden="1"/>
    </xf>
    <xf numFmtId="0" fontId="7" fillId="0" borderId="350" xfId="4660" applyFont="1" applyBorder="1" applyAlignment="1" applyProtection="1">
      <alignment horizontal="center"/>
      <protection hidden="1"/>
    </xf>
    <xf numFmtId="0" fontId="7" fillId="0" borderId="352" xfId="4660" applyFont="1" applyBorder="1" applyAlignment="1" applyProtection="1">
      <alignment horizontal="center"/>
      <protection hidden="1"/>
    </xf>
    <xf numFmtId="2" fontId="7" fillId="23" borderId="365" xfId="17481" applyNumberFormat="1" applyFill="1" applyBorder="1" applyAlignment="1" applyProtection="1">
      <alignment horizontal="center" wrapText="1"/>
      <protection hidden="1"/>
    </xf>
    <xf numFmtId="2" fontId="7" fillId="23" borderId="366" xfId="17481" applyNumberFormat="1" applyFill="1" applyBorder="1" applyAlignment="1" applyProtection="1">
      <alignment horizontal="center" wrapText="1"/>
      <protection hidden="1"/>
    </xf>
    <xf numFmtId="2" fontId="7" fillId="23" borderId="27" xfId="17481" applyNumberFormat="1" applyFill="1" applyBorder="1" applyAlignment="1" applyProtection="1">
      <alignment horizontal="center" wrapText="1"/>
      <protection hidden="1"/>
    </xf>
    <xf numFmtId="2" fontId="7" fillId="23" borderId="344" xfId="17481" applyNumberFormat="1" applyFill="1" applyBorder="1" applyAlignment="1" applyProtection="1">
      <alignment horizontal="center" wrapText="1"/>
      <protection hidden="1"/>
    </xf>
    <xf numFmtId="0" fontId="121" fillId="3" borderId="0" xfId="4660" applyFont="1" applyFill="1" applyAlignment="1" applyProtection="1">
      <alignment horizontal="left" wrapText="1"/>
      <protection hidden="1"/>
    </xf>
    <xf numFmtId="0" fontId="111" fillId="59" borderId="310" xfId="6465" applyFont="1" applyFill="1" applyBorder="1" applyAlignment="1" applyProtection="1">
      <alignment horizontal="left"/>
      <protection hidden="1"/>
    </xf>
    <xf numFmtId="0" fontId="111" fillId="59" borderId="0" xfId="6465" applyFont="1" applyFill="1" applyAlignment="1" applyProtection="1">
      <alignment horizontal="left"/>
      <protection hidden="1"/>
    </xf>
    <xf numFmtId="0" fontId="111" fillId="59" borderId="372" xfId="6465" applyFont="1" applyFill="1" applyBorder="1" applyAlignment="1" applyProtection="1">
      <alignment horizontal="left"/>
      <protection hidden="1"/>
    </xf>
    <xf numFmtId="0" fontId="100" fillId="60" borderId="0" xfId="4660" applyFont="1" applyFill="1" applyAlignment="1" applyProtection="1">
      <alignment horizontal="center"/>
      <protection hidden="1"/>
    </xf>
    <xf numFmtId="0" fontId="100" fillId="60" borderId="18" xfId="4660" applyFont="1" applyFill="1" applyBorder="1" applyAlignment="1" applyProtection="1">
      <alignment horizontal="center"/>
      <protection hidden="1"/>
    </xf>
    <xf numFmtId="0" fontId="100" fillId="60" borderId="27" xfId="4660" applyFont="1" applyFill="1" applyBorder="1" applyAlignment="1" applyProtection="1">
      <alignment horizontal="center"/>
      <protection hidden="1"/>
    </xf>
    <xf numFmtId="0" fontId="100" fillId="60" borderId="17" xfId="4660" applyFont="1" applyFill="1" applyBorder="1" applyAlignment="1" applyProtection="1">
      <alignment horizontal="center"/>
      <protection hidden="1"/>
    </xf>
    <xf numFmtId="0" fontId="100" fillId="60" borderId="28" xfId="4660" applyFont="1" applyFill="1" applyBorder="1" applyAlignment="1" applyProtection="1">
      <alignment horizontal="center"/>
      <protection hidden="1"/>
    </xf>
    <xf numFmtId="0" fontId="7" fillId="5" borderId="1" xfId="17475" applyFill="1" applyBorder="1" applyAlignment="1" applyProtection="1">
      <alignment horizontal="left"/>
      <protection locked="0"/>
    </xf>
    <xf numFmtId="0" fontId="7" fillId="5" borderId="96" xfId="17475" applyFill="1" applyBorder="1" applyAlignment="1" applyProtection="1">
      <alignment horizontal="left"/>
      <protection locked="0"/>
    </xf>
    <xf numFmtId="0" fontId="7" fillId="3" borderId="0" xfId="4660" applyFont="1" applyFill="1" applyAlignment="1" applyProtection="1">
      <alignment horizontal="left" wrapText="1"/>
      <protection hidden="1"/>
    </xf>
    <xf numFmtId="0" fontId="7" fillId="4" borderId="0" xfId="6465" applyFill="1" applyAlignment="1" applyProtection="1">
      <alignment horizontal="left" wrapText="1"/>
      <protection hidden="1"/>
    </xf>
    <xf numFmtId="0" fontId="7" fillId="4" borderId="334" xfId="6465" applyFill="1" applyBorder="1" applyAlignment="1" applyProtection="1">
      <alignment horizontal="left" wrapText="1"/>
      <protection hidden="1"/>
    </xf>
    <xf numFmtId="0" fontId="7" fillId="4" borderId="0" xfId="4660" applyFont="1" applyFill="1" applyAlignment="1" applyProtection="1">
      <alignment horizontal="left" wrapText="1"/>
      <protection hidden="1"/>
    </xf>
    <xf numFmtId="0" fontId="7" fillId="4" borderId="18" xfId="4660" applyFont="1" applyFill="1" applyBorder="1" applyAlignment="1" applyProtection="1">
      <alignment horizontal="left"/>
      <protection hidden="1"/>
    </xf>
    <xf numFmtId="0" fontId="7" fillId="0" borderId="0" xfId="4660" applyFont="1" applyAlignment="1" applyProtection="1">
      <alignment horizontal="right"/>
      <protection hidden="1"/>
    </xf>
    <xf numFmtId="0" fontId="7" fillId="4" borderId="27" xfId="4660" applyFont="1" applyFill="1" applyBorder="1" applyAlignment="1" applyProtection="1">
      <alignment horizontal="left"/>
      <protection hidden="1"/>
    </xf>
    <xf numFmtId="0" fontId="7" fillId="4" borderId="344" xfId="4660" applyFont="1" applyFill="1" applyBorder="1" applyAlignment="1" applyProtection="1">
      <alignment horizontal="left"/>
      <protection hidden="1"/>
    </xf>
    <xf numFmtId="168" fontId="7" fillId="4" borderId="27" xfId="6465" applyNumberFormat="1" applyFill="1" applyBorder="1" applyAlignment="1" applyProtection="1">
      <alignment horizontal="right"/>
      <protection hidden="1"/>
    </xf>
    <xf numFmtId="168" fontId="7" fillId="4" borderId="17" xfId="6465" applyNumberFormat="1" applyFill="1" applyBorder="1" applyAlignment="1" applyProtection="1">
      <alignment horizontal="right"/>
      <protection hidden="1"/>
    </xf>
    <xf numFmtId="0" fontId="63" fillId="0" borderId="350" xfId="4660" applyFont="1" applyBorder="1" applyAlignment="1" applyProtection="1">
      <alignment horizontal="left"/>
      <protection hidden="1"/>
    </xf>
    <xf numFmtId="0" fontId="63" fillId="0" borderId="351" xfId="4660" applyFont="1" applyBorder="1" applyAlignment="1" applyProtection="1">
      <alignment horizontal="left"/>
      <protection hidden="1"/>
    </xf>
    <xf numFmtId="0" fontId="63" fillId="0" borderId="352" xfId="4660" applyFont="1" applyBorder="1" applyAlignment="1" applyProtection="1">
      <alignment horizontal="left"/>
      <protection hidden="1"/>
    </xf>
    <xf numFmtId="0" fontId="74" fillId="14" borderId="0" xfId="4660" applyFont="1" applyFill="1" applyAlignment="1" applyProtection="1">
      <alignment horizontal="left"/>
      <protection hidden="1"/>
    </xf>
    <xf numFmtId="0" fontId="7" fillId="14" borderId="17" xfId="4660" applyFont="1" applyFill="1" applyBorder="1" applyAlignment="1" applyProtection="1">
      <alignment horizontal="left"/>
      <protection hidden="1"/>
    </xf>
    <xf numFmtId="0" fontId="5" fillId="4" borderId="17" xfId="6465" applyFont="1" applyFill="1" applyBorder="1" applyAlignment="1" applyProtection="1">
      <alignment horizontal="left" wrapText="1"/>
      <protection hidden="1"/>
    </xf>
    <xf numFmtId="0" fontId="7" fillId="4" borderId="0" xfId="6465" applyFill="1" applyAlignment="1" applyProtection="1">
      <alignment horizontal="center"/>
      <protection hidden="1"/>
    </xf>
    <xf numFmtId="0" fontId="61" fillId="3" borderId="29" xfId="4660" applyFont="1" applyFill="1" applyBorder="1" applyAlignment="1" applyProtection="1">
      <alignment horizontal="center"/>
      <protection hidden="1"/>
    </xf>
    <xf numFmtId="0" fontId="23" fillId="14" borderId="350" xfId="4660" applyFont="1" applyFill="1" applyBorder="1" applyAlignment="1" applyProtection="1">
      <alignment horizontal="center"/>
      <protection hidden="1"/>
    </xf>
    <xf numFmtId="0" fontId="23" fillId="14" borderId="352" xfId="4660" applyFont="1" applyFill="1" applyBorder="1" applyAlignment="1" applyProtection="1">
      <alignment horizontal="center"/>
      <protection hidden="1"/>
    </xf>
    <xf numFmtId="0" fontId="7" fillId="0" borderId="350" xfId="4660" applyFont="1" applyBorder="1" applyAlignment="1" applyProtection="1">
      <alignment horizontal="center" wrapText="1"/>
      <protection hidden="1"/>
    </xf>
    <xf numFmtId="0" fontId="7" fillId="0" borderId="352" xfId="4660" applyFont="1" applyBorder="1" applyAlignment="1" applyProtection="1">
      <alignment horizontal="center" wrapText="1"/>
      <protection hidden="1"/>
    </xf>
    <xf numFmtId="0" fontId="221" fillId="3" borderId="0" xfId="4660" applyFont="1" applyFill="1" applyAlignment="1" applyProtection="1">
      <alignment horizontal="left"/>
      <protection hidden="1"/>
    </xf>
    <xf numFmtId="172" fontId="7" fillId="0" borderId="350" xfId="4660" applyNumberFormat="1" applyFont="1" applyBorder="1" applyAlignment="1" applyProtection="1">
      <alignment horizontal="center"/>
      <protection hidden="1"/>
    </xf>
    <xf numFmtId="172" fontId="7" fillId="0" borderId="352" xfId="4660" applyNumberFormat="1" applyFont="1" applyBorder="1" applyAlignment="1" applyProtection="1">
      <alignment horizontal="center"/>
      <protection hidden="1"/>
    </xf>
    <xf numFmtId="0" fontId="7" fillId="5" borderId="350" xfId="6465" applyFill="1" applyBorder="1" applyAlignment="1" applyProtection="1">
      <alignment horizontal="center" wrapText="1"/>
      <protection locked="0"/>
    </xf>
    <xf numFmtId="0" fontId="7" fillId="5" borderId="351" xfId="6465" applyFill="1" applyBorder="1" applyAlignment="1" applyProtection="1">
      <alignment horizontal="center" wrapText="1"/>
      <protection locked="0"/>
    </xf>
    <xf numFmtId="9" fontId="7" fillId="2" borderId="29" xfId="1921" applyFont="1" applyFill="1" applyBorder="1" applyAlignment="1" applyProtection="1">
      <alignment horizontal="center" wrapText="1"/>
      <protection hidden="1"/>
    </xf>
    <xf numFmtId="0" fontId="7" fillId="2" borderId="0" xfId="17475" applyFill="1" applyAlignment="1" applyProtection="1">
      <alignment horizontal="center"/>
      <protection hidden="1"/>
    </xf>
    <xf numFmtId="0" fontId="7" fillId="5" borderId="1" xfId="4660" applyFont="1" applyFill="1" applyBorder="1" applyAlignment="1" applyProtection="1">
      <alignment wrapText="1"/>
      <protection locked="0"/>
    </xf>
    <xf numFmtId="0" fontId="52" fillId="14" borderId="30" xfId="6465" applyFont="1" applyFill="1" applyBorder="1" applyAlignment="1" applyProtection="1">
      <alignment horizontal="center"/>
      <protection hidden="1"/>
    </xf>
    <xf numFmtId="0" fontId="52" fillId="14" borderId="29" xfId="6465" applyFont="1" applyFill="1" applyBorder="1" applyAlignment="1" applyProtection="1">
      <alignment horizontal="center"/>
      <protection hidden="1"/>
    </xf>
    <xf numFmtId="0" fontId="52" fillId="14" borderId="31" xfId="6465" applyFont="1" applyFill="1" applyBorder="1" applyAlignment="1" applyProtection="1">
      <alignment horizontal="center"/>
      <protection hidden="1"/>
    </xf>
    <xf numFmtId="0" fontId="52" fillId="14" borderId="171" xfId="6465" applyFont="1" applyFill="1" applyBorder="1" applyAlignment="1" applyProtection="1">
      <alignment horizontal="center"/>
      <protection hidden="1"/>
    </xf>
    <xf numFmtId="0" fontId="52" fillId="14" borderId="290" xfId="6465" applyFont="1" applyFill="1" applyBorder="1" applyAlignment="1" applyProtection="1">
      <alignment horizontal="center"/>
      <protection hidden="1"/>
    </xf>
    <xf numFmtId="0" fontId="52" fillId="14" borderId="291" xfId="6465" applyFont="1" applyFill="1" applyBorder="1" applyAlignment="1" applyProtection="1">
      <alignment horizontal="center"/>
      <protection hidden="1"/>
    </xf>
    <xf numFmtId="0" fontId="196" fillId="56" borderId="0" xfId="6465" applyFont="1" applyFill="1" applyAlignment="1" applyProtection="1">
      <alignment horizontal="center"/>
      <protection hidden="1"/>
    </xf>
    <xf numFmtId="0" fontId="196" fillId="56" borderId="18" xfId="6465" applyFont="1" applyFill="1" applyBorder="1" applyAlignment="1" applyProtection="1">
      <alignment horizontal="center"/>
      <protection hidden="1"/>
    </xf>
    <xf numFmtId="0" fontId="7" fillId="58" borderId="0" xfId="6465" applyFill="1" applyAlignment="1" applyProtection="1">
      <alignment horizontal="center"/>
      <protection hidden="1"/>
    </xf>
    <xf numFmtId="0" fontId="7" fillId="58" borderId="18" xfId="6465" applyFill="1" applyBorder="1" applyAlignment="1" applyProtection="1">
      <alignment horizontal="center"/>
      <protection hidden="1"/>
    </xf>
    <xf numFmtId="168" fontId="7" fillId="54" borderId="482" xfId="4660" applyNumberFormat="1" applyFont="1" applyFill="1" applyBorder="1" applyAlignment="1" applyProtection="1">
      <alignment horizontal="center"/>
      <protection hidden="1"/>
    </xf>
    <xf numFmtId="168" fontId="7" fillId="54" borderId="348" xfId="4660" applyNumberFormat="1" applyFont="1" applyFill="1" applyBorder="1" applyAlignment="1" applyProtection="1">
      <alignment horizontal="center"/>
      <protection hidden="1"/>
    </xf>
    <xf numFmtId="0" fontId="17" fillId="3" borderId="350" xfId="6465" applyFont="1" applyFill="1" applyBorder="1" applyAlignment="1" applyProtection="1">
      <alignment horizontal="left"/>
      <protection hidden="1"/>
    </xf>
    <xf numFmtId="0" fontId="17" fillId="3" borderId="352" xfId="6465" applyFont="1" applyFill="1" applyBorder="1" applyAlignment="1" applyProtection="1">
      <alignment horizontal="left"/>
      <protection hidden="1"/>
    </xf>
    <xf numFmtId="0" fontId="241" fillId="61" borderId="373" xfId="0" applyFont="1" applyFill="1" applyBorder="1" applyAlignment="1" applyProtection="1">
      <alignment horizontal="left"/>
      <protection hidden="1"/>
    </xf>
    <xf numFmtId="0" fontId="241" fillId="61" borderId="316" xfId="0" applyFont="1" applyFill="1" applyBorder="1" applyAlignment="1" applyProtection="1">
      <alignment horizontal="left"/>
      <protection hidden="1"/>
    </xf>
    <xf numFmtId="0" fontId="241" fillId="61" borderId="374" xfId="0" applyFont="1" applyFill="1" applyBorder="1" applyAlignment="1" applyProtection="1">
      <alignment horizontal="left"/>
      <protection hidden="1"/>
    </xf>
    <xf numFmtId="0" fontId="7" fillId="55" borderId="0" xfId="6465" applyFill="1" applyAlignment="1" applyProtection="1">
      <alignment horizontal="center"/>
      <protection hidden="1"/>
    </xf>
    <xf numFmtId="0" fontId="7" fillId="55" borderId="18" xfId="6465" applyFill="1" applyBorder="1" applyAlignment="1" applyProtection="1">
      <alignment horizontal="center"/>
      <protection hidden="1"/>
    </xf>
    <xf numFmtId="0" fontId="123" fillId="5" borderId="1" xfId="4660" applyFont="1" applyFill="1" applyBorder="1" applyAlignment="1" applyProtection="1">
      <alignment wrapText="1"/>
      <protection locked="0"/>
    </xf>
    <xf numFmtId="0" fontId="111" fillId="53" borderId="0" xfId="6465" applyFont="1" applyFill="1" applyAlignment="1" applyProtection="1">
      <alignment wrapText="1"/>
      <protection hidden="1"/>
    </xf>
    <xf numFmtId="0" fontId="111" fillId="53" borderId="372" xfId="6465" applyFont="1" applyFill="1" applyBorder="1" applyAlignment="1" applyProtection="1">
      <alignment wrapText="1"/>
      <protection hidden="1"/>
    </xf>
    <xf numFmtId="0" fontId="347" fillId="57" borderId="0" xfId="6465" applyFont="1" applyFill="1" applyAlignment="1" applyProtection="1">
      <alignment horizontal="left" wrapText="1"/>
      <protection hidden="1"/>
    </xf>
    <xf numFmtId="0" fontId="347" fillId="57" borderId="372" xfId="6465" applyFont="1" applyFill="1" applyBorder="1" applyAlignment="1" applyProtection="1">
      <alignment horizontal="left" wrapText="1"/>
      <protection hidden="1"/>
    </xf>
    <xf numFmtId="0" fontId="7" fillId="4" borderId="350" xfId="6465" applyFill="1" applyBorder="1" applyAlignment="1" applyProtection="1">
      <alignment horizontal="center"/>
      <protection hidden="1"/>
    </xf>
    <xf numFmtId="0" fontId="7" fillId="9" borderId="362" xfId="6465" applyFill="1" applyBorder="1" applyAlignment="1" applyProtection="1">
      <alignment horizontal="center" wrapText="1"/>
      <protection hidden="1"/>
    </xf>
    <xf numFmtId="0" fontId="7" fillId="9" borderId="31" xfId="6465" applyFill="1" applyBorder="1" applyAlignment="1" applyProtection="1">
      <alignment horizontal="center" wrapText="1"/>
      <protection hidden="1"/>
    </xf>
    <xf numFmtId="0" fontId="23" fillId="14" borderId="362" xfId="6465" applyFont="1" applyFill="1" applyBorder="1" applyAlignment="1" applyProtection="1">
      <alignment horizontal="center"/>
      <protection hidden="1"/>
    </xf>
    <xf numFmtId="0" fontId="7" fillId="15" borderId="446" xfId="4660" applyFont="1" applyFill="1" applyBorder="1" applyAlignment="1" applyProtection="1">
      <alignment horizontal="left"/>
      <protection hidden="1"/>
    </xf>
    <xf numFmtId="0" fontId="7" fillId="15" borderId="448" xfId="4660" applyFont="1" applyFill="1" applyBorder="1" applyAlignment="1" applyProtection="1">
      <alignment horizontal="left"/>
      <protection hidden="1"/>
    </xf>
    <xf numFmtId="0" fontId="74" fillId="0" borderId="0" xfId="6465" applyFont="1" applyAlignment="1" applyProtection="1">
      <alignment horizontal="left"/>
      <protection hidden="1"/>
    </xf>
    <xf numFmtId="0" fontId="7" fillId="4" borderId="0" xfId="6465" applyFill="1" applyAlignment="1" applyProtection="1">
      <alignment horizontal="right"/>
      <protection hidden="1"/>
    </xf>
    <xf numFmtId="0" fontId="7" fillId="4" borderId="0" xfId="6465" applyFill="1" applyAlignment="1" applyProtection="1">
      <alignment horizontal="left"/>
      <protection hidden="1"/>
    </xf>
    <xf numFmtId="0" fontId="137" fillId="3" borderId="0" xfId="4660" applyFont="1" applyFill="1" applyAlignment="1" applyProtection="1">
      <alignment horizontal="right"/>
      <protection hidden="1"/>
    </xf>
    <xf numFmtId="0" fontId="137" fillId="3" borderId="18" xfId="4660" applyFont="1" applyFill="1" applyBorder="1" applyAlignment="1" applyProtection="1">
      <alignment horizontal="right"/>
      <protection hidden="1"/>
    </xf>
    <xf numFmtId="2" fontId="7" fillId="3" borderId="350" xfId="6465" applyNumberFormat="1" applyFill="1" applyBorder="1" applyAlignment="1" applyProtection="1">
      <alignment horizontal="center"/>
      <protection hidden="1"/>
    </xf>
    <xf numFmtId="0" fontId="7" fillId="4" borderId="350" xfId="6465" applyFill="1" applyBorder="1" applyAlignment="1" applyProtection="1">
      <alignment horizontal="center" wrapText="1"/>
      <protection hidden="1"/>
    </xf>
    <xf numFmtId="0" fontId="7" fillId="4" borderId="352" xfId="6465" applyFill="1" applyBorder="1" applyAlignment="1" applyProtection="1">
      <alignment horizontal="center" wrapText="1"/>
      <protection hidden="1"/>
    </xf>
    <xf numFmtId="0" fontId="7" fillId="4" borderId="351" xfId="6465" applyFill="1" applyBorder="1" applyAlignment="1" applyProtection="1">
      <alignment horizontal="center"/>
      <protection hidden="1"/>
    </xf>
    <xf numFmtId="0" fontId="7" fillId="4" borderId="352" xfId="6465" applyFill="1" applyBorder="1" applyAlignment="1" applyProtection="1">
      <alignment horizontal="center"/>
      <protection hidden="1"/>
    </xf>
    <xf numFmtId="0" fontId="25" fillId="0" borderId="0" xfId="69" applyFont="1" applyAlignment="1" applyProtection="1">
      <protection hidden="1"/>
    </xf>
    <xf numFmtId="0" fontId="7" fillId="5" borderId="350" xfId="6465" applyFill="1" applyBorder="1" applyAlignment="1" applyProtection="1">
      <alignment horizontal="center"/>
      <protection locked="0"/>
    </xf>
    <xf numFmtId="0" fontId="7" fillId="5" borderId="351" xfId="6465" applyFill="1" applyBorder="1" applyAlignment="1" applyProtection="1">
      <alignment horizontal="center"/>
      <protection locked="0"/>
    </xf>
    <xf numFmtId="0" fontId="7" fillId="5" borderId="352" xfId="6465" applyFill="1" applyBorder="1" applyAlignment="1" applyProtection="1">
      <alignment horizontal="center"/>
      <protection locked="0"/>
    </xf>
    <xf numFmtId="2" fontId="7" fillId="0" borderId="350" xfId="4660" applyNumberFormat="1" applyFont="1" applyBorder="1" applyAlignment="1" applyProtection="1">
      <alignment horizontal="center"/>
      <protection hidden="1"/>
    </xf>
    <xf numFmtId="2" fontId="7" fillId="0" borderId="352" xfId="4660" applyNumberFormat="1" applyFont="1" applyBorder="1" applyAlignment="1" applyProtection="1">
      <alignment horizontal="center"/>
      <protection hidden="1"/>
    </xf>
    <xf numFmtId="0" fontId="7" fillId="4" borderId="29" xfId="6465" applyFill="1" applyBorder="1" applyAlignment="1" applyProtection="1">
      <alignment horizontal="right"/>
      <protection hidden="1"/>
    </xf>
    <xf numFmtId="0" fontId="74" fillId="0" borderId="0" xfId="4660" applyFont="1" applyAlignment="1" applyProtection="1">
      <alignment horizontal="left"/>
      <protection hidden="1"/>
    </xf>
    <xf numFmtId="0" fontId="74" fillId="4" borderId="0" xfId="6465" applyFont="1" applyFill="1" applyAlignment="1" applyProtection="1">
      <alignment horizontal="left"/>
      <protection hidden="1"/>
    </xf>
    <xf numFmtId="0" fontId="23" fillId="4" borderId="17" xfId="6465" applyFont="1" applyFill="1" applyBorder="1" applyAlignment="1" applyProtection="1">
      <alignment horizontal="right"/>
      <protection hidden="1"/>
    </xf>
    <xf numFmtId="0" fontId="25" fillId="0" borderId="29" xfId="69" applyFont="1" applyBorder="1" applyAlignment="1" applyProtection="1">
      <alignment horizontal="left" wrapText="1"/>
      <protection hidden="1"/>
    </xf>
    <xf numFmtId="0" fontId="61" fillId="3" borderId="0" xfId="4660" applyFont="1" applyFill="1" applyAlignment="1" applyProtection="1">
      <alignment horizontal="center"/>
      <protection hidden="1"/>
    </xf>
    <xf numFmtId="0" fontId="41" fillId="14" borderId="0" xfId="6465" applyFont="1" applyFill="1" applyAlignment="1" applyProtection="1">
      <alignment horizontal="left"/>
      <protection hidden="1"/>
    </xf>
    <xf numFmtId="0" fontId="7" fillId="4" borderId="17" xfId="6465" applyFill="1" applyBorder="1" applyAlignment="1" applyProtection="1">
      <alignment horizontal="left"/>
      <protection hidden="1"/>
    </xf>
    <xf numFmtId="0" fontId="7" fillId="4" borderId="30" xfId="4660" applyFont="1" applyFill="1" applyBorder="1" applyAlignment="1" applyProtection="1">
      <alignment horizontal="right"/>
      <protection hidden="1"/>
    </xf>
    <xf numFmtId="0" fontId="7" fillId="4" borderId="29" xfId="4660" applyFont="1" applyFill="1" applyBorder="1" applyAlignment="1" applyProtection="1">
      <alignment horizontal="right"/>
      <protection hidden="1"/>
    </xf>
    <xf numFmtId="0" fontId="7" fillId="55" borderId="261" xfId="6465" applyFill="1" applyBorder="1" applyAlignment="1" applyProtection="1">
      <alignment horizontal="center"/>
      <protection hidden="1"/>
    </xf>
    <xf numFmtId="0" fontId="7" fillId="55" borderId="33" xfId="6465" applyFill="1" applyBorder="1" applyAlignment="1" applyProtection="1">
      <alignment horizontal="center"/>
      <protection hidden="1"/>
    </xf>
    <xf numFmtId="0" fontId="7" fillId="55" borderId="292" xfId="6465" applyFill="1" applyBorder="1" applyAlignment="1" applyProtection="1">
      <alignment horizontal="center"/>
      <protection hidden="1"/>
    </xf>
    <xf numFmtId="0" fontId="7" fillId="3" borderId="29" xfId="4660" applyFont="1" applyFill="1" applyBorder="1" applyAlignment="1" applyProtection="1">
      <alignment wrapText="1"/>
      <protection hidden="1"/>
    </xf>
    <xf numFmtId="0" fontId="7" fillId="3" borderId="0" xfId="4660" applyFont="1" applyFill="1" applyAlignment="1" applyProtection="1">
      <alignment wrapText="1"/>
      <protection hidden="1"/>
    </xf>
    <xf numFmtId="0" fontId="7" fillId="4" borderId="30" xfId="6465" applyFill="1" applyBorder="1" applyAlignment="1" applyProtection="1">
      <alignment horizontal="center"/>
      <protection hidden="1"/>
    </xf>
    <xf numFmtId="0" fontId="7" fillId="4" borderId="31" xfId="6465" applyFill="1" applyBorder="1" applyAlignment="1" applyProtection="1">
      <alignment horizontal="center"/>
      <protection hidden="1"/>
    </xf>
    <xf numFmtId="0" fontId="7" fillId="4" borderId="27" xfId="6465" applyFill="1" applyBorder="1" applyAlignment="1" applyProtection="1">
      <alignment horizontal="center"/>
      <protection hidden="1"/>
    </xf>
    <xf numFmtId="0" fontId="7" fillId="4" borderId="344" xfId="6465" applyFill="1" applyBorder="1" applyAlignment="1" applyProtection="1">
      <alignment horizontal="center"/>
      <protection hidden="1"/>
    </xf>
    <xf numFmtId="0" fontId="25" fillId="0" borderId="27" xfId="69" applyFont="1" applyBorder="1" applyAlignment="1">
      <alignment horizontal="left"/>
      <protection locked="0"/>
    </xf>
    <xf numFmtId="0" fontId="25" fillId="0" borderId="17" xfId="69" applyFont="1" applyBorder="1" applyAlignment="1">
      <alignment horizontal="left"/>
      <protection locked="0"/>
    </xf>
    <xf numFmtId="0" fontId="25" fillId="0" borderId="344" xfId="69" applyFont="1" applyBorder="1" applyAlignment="1">
      <alignment horizontal="left"/>
      <protection locked="0"/>
    </xf>
    <xf numFmtId="0" fontId="7" fillId="0" borderId="350" xfId="4660" applyFont="1" applyBorder="1" applyAlignment="1" applyProtection="1">
      <alignment horizontal="left"/>
      <protection hidden="1"/>
    </xf>
    <xf numFmtId="0" fontId="7" fillId="4" borderId="0" xfId="4660" applyFont="1" applyFill="1" applyAlignment="1" applyProtection="1">
      <alignment horizontal="right"/>
      <protection hidden="1"/>
    </xf>
    <xf numFmtId="0" fontId="7" fillId="4" borderId="18" xfId="4660" applyFont="1" applyFill="1" applyBorder="1" applyAlignment="1" applyProtection="1">
      <alignment horizontal="right"/>
      <protection hidden="1"/>
    </xf>
    <xf numFmtId="0" fontId="74" fillId="4" borderId="17" xfId="6465" applyFont="1" applyFill="1" applyBorder="1" applyAlignment="1" applyProtection="1">
      <alignment horizontal="left"/>
      <protection hidden="1"/>
    </xf>
    <xf numFmtId="0" fontId="74" fillId="23" borderId="0" xfId="6465" applyFont="1" applyFill="1" applyAlignment="1" applyProtection="1">
      <alignment wrapText="1"/>
      <protection hidden="1"/>
    </xf>
    <xf numFmtId="2" fontId="7" fillId="4" borderId="0" xfId="6465" applyNumberFormat="1" applyFill="1" applyAlignment="1" applyProtection="1">
      <alignment horizontal="left"/>
      <protection hidden="1"/>
    </xf>
    <xf numFmtId="0" fontId="74" fillId="4" borderId="0" xfId="6465" applyFont="1" applyFill="1" applyAlignment="1" applyProtection="1">
      <alignment horizontal="left" wrapText="1"/>
      <protection hidden="1"/>
    </xf>
    <xf numFmtId="0" fontId="61" fillId="13" borderId="350" xfId="16065" applyFont="1" applyFill="1" applyBorder="1" applyAlignment="1" applyProtection="1">
      <alignment horizontal="center"/>
      <protection locked="0"/>
    </xf>
    <xf numFmtId="0" fontId="61" fillId="13" borderId="348" xfId="16065" applyFont="1" applyFill="1" applyBorder="1" applyAlignment="1" applyProtection="1">
      <alignment horizontal="center"/>
      <protection locked="0"/>
    </xf>
    <xf numFmtId="0" fontId="25" fillId="0" borderId="0" xfId="69" applyFont="1" applyAlignment="1" applyProtection="1">
      <alignment horizontal="left"/>
      <protection hidden="1"/>
    </xf>
    <xf numFmtId="0" fontId="74" fillId="4" borderId="18" xfId="6465" applyFont="1" applyFill="1" applyBorder="1" applyAlignment="1" applyProtection="1">
      <alignment horizontal="left"/>
      <protection hidden="1"/>
    </xf>
    <xf numFmtId="0" fontId="17" fillId="0" borderId="17" xfId="4660" applyFont="1" applyBorder="1" applyAlignment="1" applyProtection="1">
      <alignment horizontal="left"/>
      <protection hidden="1"/>
    </xf>
    <xf numFmtId="4" fontId="7" fillId="0" borderId="350" xfId="4660" applyNumberFormat="1" applyFont="1" applyBorder="1" applyAlignment="1" applyProtection="1">
      <alignment horizontal="center"/>
      <protection hidden="1"/>
    </xf>
    <xf numFmtId="4" fontId="7" fillId="0" borderId="352" xfId="4660" applyNumberFormat="1" applyFont="1" applyBorder="1" applyAlignment="1" applyProtection="1">
      <alignment horizontal="center"/>
      <protection hidden="1"/>
    </xf>
    <xf numFmtId="0" fontId="7" fillId="3" borderId="30" xfId="4660" applyFont="1" applyFill="1" applyBorder="1" applyAlignment="1" applyProtection="1">
      <alignment horizontal="left"/>
      <protection hidden="1"/>
    </xf>
    <xf numFmtId="0" fontId="7" fillId="5" borderId="350" xfId="4660" applyFont="1" applyFill="1" applyBorder="1" applyAlignment="1" applyProtection="1">
      <alignment horizontal="center"/>
      <protection locked="0"/>
    </xf>
    <xf numFmtId="0" fontId="7" fillId="5" borderId="352" xfId="4660" applyFont="1" applyFill="1" applyBorder="1" applyAlignment="1" applyProtection="1">
      <alignment horizontal="center"/>
      <protection locked="0"/>
    </xf>
    <xf numFmtId="0" fontId="7" fillId="3" borderId="27" xfId="4660" applyFont="1" applyFill="1" applyBorder="1" applyAlignment="1" applyProtection="1">
      <alignment horizontal="left"/>
      <protection hidden="1"/>
    </xf>
    <xf numFmtId="0" fontId="7" fillId="4" borderId="0" xfId="6465" applyFill="1" applyAlignment="1" applyProtection="1">
      <alignment horizontal="center" wrapText="1"/>
      <protection hidden="1"/>
    </xf>
    <xf numFmtId="0" fontId="235" fillId="4" borderId="0" xfId="17467" applyFont="1" applyFill="1" applyAlignment="1" applyProtection="1">
      <alignment horizontal="left"/>
      <protection hidden="1"/>
    </xf>
    <xf numFmtId="0" fontId="235" fillId="4" borderId="18" xfId="17467" applyFont="1" applyFill="1" applyBorder="1" applyAlignment="1" applyProtection="1">
      <alignment horizontal="left"/>
      <protection hidden="1"/>
    </xf>
    <xf numFmtId="0" fontId="43" fillId="4" borderId="0" xfId="17467" applyFont="1" applyFill="1" applyAlignment="1" applyProtection="1">
      <alignment horizontal="right"/>
      <protection hidden="1"/>
    </xf>
    <xf numFmtId="0" fontId="43" fillId="4" borderId="18" xfId="17467" applyFont="1" applyFill="1" applyBorder="1" applyAlignment="1" applyProtection="1">
      <alignment horizontal="right"/>
      <protection hidden="1"/>
    </xf>
    <xf numFmtId="0" fontId="1" fillId="4" borderId="0" xfId="6465" applyFont="1" applyFill="1" applyAlignment="1" applyProtection="1">
      <alignment horizontal="right"/>
      <protection hidden="1"/>
    </xf>
    <xf numFmtId="0" fontId="1" fillId="4" borderId="18" xfId="6465" applyFont="1" applyFill="1" applyBorder="1" applyAlignment="1" applyProtection="1">
      <alignment horizontal="right"/>
      <protection hidden="1"/>
    </xf>
    <xf numFmtId="2" fontId="7" fillId="23" borderId="367" xfId="17481" applyNumberFormat="1" applyFill="1" applyBorder="1" applyAlignment="1" applyProtection="1">
      <alignment horizontal="center" wrapText="1"/>
      <protection hidden="1"/>
    </xf>
    <xf numFmtId="0" fontId="111" fillId="52" borderId="350" xfId="6465" applyFont="1" applyFill="1" applyBorder="1" applyAlignment="1" applyProtection="1">
      <alignment horizontal="center"/>
      <protection locked="0"/>
    </xf>
    <xf numFmtId="0" fontId="111" fillId="52" borderId="352" xfId="6465" applyFont="1" applyFill="1" applyBorder="1" applyAlignment="1" applyProtection="1">
      <alignment horizontal="center"/>
      <protection locked="0"/>
    </xf>
    <xf numFmtId="176" fontId="111" fillId="50" borderId="334" xfId="6465" applyNumberFormat="1" applyFont="1" applyFill="1" applyBorder="1" applyAlignment="1" applyProtection="1">
      <alignment horizontal="center"/>
      <protection hidden="1"/>
    </xf>
    <xf numFmtId="2" fontId="111" fillId="50" borderId="334" xfId="6465" applyNumberFormat="1" applyFont="1" applyFill="1" applyBorder="1" applyAlignment="1" applyProtection="1">
      <alignment horizontal="center"/>
      <protection hidden="1"/>
    </xf>
    <xf numFmtId="0" fontId="61" fillId="50" borderId="0" xfId="17475" applyFont="1" applyFill="1" applyAlignment="1" applyProtection="1">
      <alignment horizontal="left" wrapText="1"/>
      <protection hidden="1"/>
    </xf>
    <xf numFmtId="0" fontId="61" fillId="3" borderId="29" xfId="4660" applyFont="1" applyFill="1" applyBorder="1" applyAlignment="1" applyProtection="1">
      <alignment horizontal="left"/>
      <protection hidden="1"/>
    </xf>
    <xf numFmtId="0" fontId="61" fillId="3" borderId="316" xfId="4660" applyFont="1" applyFill="1" applyBorder="1" applyAlignment="1" applyProtection="1">
      <alignment horizontal="left"/>
      <protection hidden="1"/>
    </xf>
    <xf numFmtId="0" fontId="111" fillId="50" borderId="306" xfId="6465" applyFont="1" applyFill="1" applyBorder="1" applyAlignment="1" applyProtection="1">
      <alignment horizontal="center" wrapText="1"/>
      <protection hidden="1"/>
    </xf>
    <xf numFmtId="0" fontId="111" fillId="50" borderId="314" xfId="6465" applyFont="1" applyFill="1" applyBorder="1" applyAlignment="1" applyProtection="1">
      <alignment horizontal="center" wrapText="1"/>
      <protection hidden="1"/>
    </xf>
    <xf numFmtId="0" fontId="111" fillId="50" borderId="319" xfId="6465" applyFont="1" applyFill="1" applyBorder="1" applyAlignment="1" applyProtection="1">
      <alignment horizontal="center" wrapText="1"/>
      <protection hidden="1"/>
    </xf>
    <xf numFmtId="0" fontId="111" fillId="50" borderId="317" xfId="6465" applyFont="1" applyFill="1" applyBorder="1" applyAlignment="1" applyProtection="1">
      <alignment horizontal="center" wrapText="1"/>
      <protection hidden="1"/>
    </xf>
    <xf numFmtId="0" fontId="7" fillId="14" borderId="405" xfId="17475" applyFill="1" applyBorder="1" applyAlignment="1" applyProtection="1">
      <alignment horizontal="left" wrapText="1"/>
      <protection hidden="1"/>
    </xf>
    <xf numFmtId="0" fontId="7" fillId="14" borderId="352" xfId="17475" applyFill="1" applyBorder="1" applyAlignment="1" applyProtection="1">
      <alignment horizontal="left" wrapText="1"/>
      <protection hidden="1"/>
    </xf>
    <xf numFmtId="0" fontId="111" fillId="50" borderId="350" xfId="6465" applyFont="1" applyFill="1" applyBorder="1" applyAlignment="1" applyProtection="1">
      <alignment horizontal="center"/>
      <protection hidden="1"/>
    </xf>
    <xf numFmtId="0" fontId="111" fillId="50" borderId="352" xfId="6465" applyFont="1" applyFill="1" applyBorder="1" applyAlignment="1" applyProtection="1">
      <alignment horizontal="center"/>
      <protection hidden="1"/>
    </xf>
    <xf numFmtId="0" fontId="7" fillId="14" borderId="350" xfId="17475" applyFill="1" applyBorder="1" applyAlignment="1" applyProtection="1">
      <alignment horizontal="center"/>
      <protection hidden="1"/>
    </xf>
    <xf numFmtId="0" fontId="7" fillId="14" borderId="351" xfId="17475" applyFill="1" applyBorder="1" applyAlignment="1" applyProtection="1">
      <alignment horizontal="center"/>
      <protection hidden="1"/>
    </xf>
    <xf numFmtId="0" fontId="7" fillId="14" borderId="352" xfId="17475" applyFill="1" applyBorder="1" applyAlignment="1" applyProtection="1">
      <alignment horizontal="center"/>
      <protection hidden="1"/>
    </xf>
    <xf numFmtId="0" fontId="7" fillId="14" borderId="350" xfId="17475" applyFill="1" applyBorder="1" applyAlignment="1" applyProtection="1">
      <alignment horizontal="left" wrapText="1"/>
      <protection hidden="1"/>
    </xf>
    <xf numFmtId="0" fontId="17" fillId="9" borderId="0" xfId="17475" applyFont="1" applyFill="1" applyAlignment="1" applyProtection="1">
      <alignment horizontal="left"/>
      <protection hidden="1"/>
    </xf>
    <xf numFmtId="0" fontId="7" fillId="14" borderId="350" xfId="4660" applyFont="1" applyFill="1" applyBorder="1" applyAlignment="1" applyProtection="1">
      <alignment horizontal="center"/>
      <protection hidden="1"/>
    </xf>
    <xf numFmtId="0" fontId="7" fillId="14" borderId="352" xfId="4660" applyFont="1" applyFill="1" applyBorder="1" applyAlignment="1" applyProtection="1">
      <alignment horizontal="center"/>
      <protection hidden="1"/>
    </xf>
    <xf numFmtId="0" fontId="7" fillId="3" borderId="0" xfId="4660" applyFont="1" applyFill="1" applyAlignment="1" applyProtection="1">
      <alignment horizontal="left"/>
      <protection hidden="1"/>
    </xf>
    <xf numFmtId="0" fontId="7" fillId="3" borderId="0" xfId="791" applyFont="1" applyFill="1" applyAlignment="1" applyProtection="1">
      <alignment wrapText="1"/>
      <protection hidden="1"/>
    </xf>
    <xf numFmtId="0" fontId="61" fillId="4" borderId="18" xfId="6465" applyFont="1" applyFill="1" applyBorder="1" applyAlignment="1" applyProtection="1">
      <alignment horizontal="center" wrapText="1"/>
      <protection hidden="1"/>
    </xf>
    <xf numFmtId="2" fontId="7" fillId="14" borderId="350" xfId="17486" applyNumberFormat="1" applyFont="1" applyFill="1" applyBorder="1" applyAlignment="1" applyProtection="1">
      <alignment horizontal="left"/>
      <protection hidden="1"/>
    </xf>
    <xf numFmtId="0" fontId="25" fillId="0" borderId="18" xfId="69" applyFont="1" applyBorder="1" applyAlignment="1" applyProtection="1">
      <alignment horizontal="center"/>
    </xf>
    <xf numFmtId="0" fontId="23" fillId="3" borderId="400" xfId="7991" applyFont="1" applyFill="1" applyBorder="1" applyAlignment="1" applyProtection="1">
      <alignment horizontal="center"/>
      <protection hidden="1"/>
    </xf>
    <xf numFmtId="0" fontId="7" fillId="4" borderId="350" xfId="17475" applyFill="1" applyBorder="1" applyAlignment="1" applyProtection="1">
      <alignment horizontal="left"/>
      <protection hidden="1"/>
    </xf>
    <xf numFmtId="0" fontId="7" fillId="4" borderId="352" xfId="17475" applyFill="1" applyBorder="1" applyAlignment="1" applyProtection="1">
      <alignment horizontal="left"/>
      <protection hidden="1"/>
    </xf>
    <xf numFmtId="0" fontId="7" fillId="3" borderId="278" xfId="4660" applyFont="1" applyFill="1" applyBorder="1" applyAlignment="1" applyProtection="1">
      <alignment horizontal="center"/>
      <protection hidden="1"/>
    </xf>
    <xf numFmtId="0" fontId="7" fillId="3" borderId="403" xfId="4660" applyFont="1" applyFill="1" applyBorder="1" applyAlignment="1" applyProtection="1">
      <alignment horizontal="center"/>
      <protection hidden="1"/>
    </xf>
    <xf numFmtId="0" fontId="74" fillId="4" borderId="17" xfId="17475" applyFont="1" applyFill="1" applyBorder="1" applyAlignment="1" applyProtection="1">
      <alignment horizontal="left"/>
      <protection hidden="1"/>
    </xf>
    <xf numFmtId="168" fontId="137" fillId="3" borderId="350" xfId="4660" applyNumberFormat="1" applyFont="1" applyFill="1" applyBorder="1" applyAlignment="1" applyProtection="1">
      <alignment horizontal="center"/>
      <protection hidden="1"/>
    </xf>
    <xf numFmtId="0" fontId="23" fillId="51" borderId="350" xfId="17350" applyFont="1" applyFill="1" applyBorder="1" applyAlignment="1" applyProtection="1">
      <alignment horizontal="center"/>
      <protection hidden="1"/>
    </xf>
    <xf numFmtId="0" fontId="92" fillId="50" borderId="350" xfId="6465" applyFont="1" applyFill="1" applyBorder="1" applyAlignment="1" applyProtection="1">
      <alignment horizontal="center"/>
      <protection hidden="1"/>
    </xf>
    <xf numFmtId="0" fontId="92" fillId="50" borderId="352" xfId="6465" applyFont="1" applyFill="1" applyBorder="1" applyAlignment="1" applyProtection="1">
      <alignment horizontal="center"/>
      <protection hidden="1"/>
    </xf>
    <xf numFmtId="0" fontId="92" fillId="50" borderId="334" xfId="6465" applyFont="1" applyFill="1" applyBorder="1" applyAlignment="1" applyProtection="1">
      <alignment horizontal="center"/>
      <protection hidden="1"/>
    </xf>
    <xf numFmtId="0" fontId="1" fillId="3" borderId="280" xfId="17475" applyFont="1" applyFill="1" applyBorder="1" applyAlignment="1" applyProtection="1">
      <alignment horizontal="center"/>
      <protection hidden="1"/>
    </xf>
    <xf numFmtId="0" fontId="61" fillId="3" borderId="0" xfId="16067" applyFont="1" applyFill="1" applyAlignment="1" applyProtection="1">
      <alignment horizontal="left" wrapText="1"/>
      <protection hidden="1"/>
    </xf>
    <xf numFmtId="0" fontId="7" fillId="4" borderId="30" xfId="17475" applyFill="1" applyBorder="1" applyAlignment="1" applyProtection="1">
      <alignment horizontal="left"/>
      <protection hidden="1"/>
    </xf>
    <xf numFmtId="0" fontId="7" fillId="4" borderId="31" xfId="17475" applyFill="1" applyBorder="1" applyAlignment="1" applyProtection="1">
      <alignment horizontal="left"/>
      <protection hidden="1"/>
    </xf>
    <xf numFmtId="0" fontId="7" fillId="4" borderId="27" xfId="17475" applyFill="1" applyBorder="1" applyAlignment="1" applyProtection="1">
      <alignment horizontal="left"/>
      <protection hidden="1"/>
    </xf>
    <xf numFmtId="0" fontId="7" fillId="4" borderId="344" xfId="17475" applyFill="1" applyBorder="1" applyAlignment="1" applyProtection="1">
      <alignment horizontal="left"/>
      <protection hidden="1"/>
    </xf>
    <xf numFmtId="0" fontId="7" fillId="14" borderId="30" xfId="4660" applyFont="1" applyFill="1" applyBorder="1" applyAlignment="1" applyProtection="1">
      <alignment horizontal="left"/>
      <protection hidden="1"/>
    </xf>
    <xf numFmtId="0" fontId="7" fillId="14" borderId="27" xfId="4660" applyFont="1" applyFill="1" applyBorder="1" applyAlignment="1" applyProtection="1">
      <alignment horizontal="left"/>
      <protection hidden="1"/>
    </xf>
    <xf numFmtId="0" fontId="7" fillId="14" borderId="29" xfId="4660" applyFont="1" applyFill="1" applyBorder="1" applyAlignment="1" applyProtection="1">
      <alignment horizontal="right" vertical="top"/>
      <protection hidden="1"/>
    </xf>
    <xf numFmtId="0" fontId="232" fillId="50" borderId="0" xfId="6465" applyFont="1" applyFill="1" applyAlignment="1" applyProtection="1">
      <alignment horizontal="left"/>
      <protection hidden="1"/>
    </xf>
    <xf numFmtId="168" fontId="137" fillId="3" borderId="280" xfId="4660" applyNumberFormat="1" applyFont="1" applyFill="1" applyBorder="1" applyAlignment="1" applyProtection="1">
      <alignment horizontal="center"/>
      <protection hidden="1"/>
    </xf>
    <xf numFmtId="0" fontId="110" fillId="4" borderId="0" xfId="4660" applyFont="1" applyFill="1" applyAlignment="1" applyProtection="1">
      <alignment horizontal="right"/>
      <protection hidden="1"/>
    </xf>
    <xf numFmtId="0" fontId="17" fillId="4" borderId="0" xfId="4660" applyFont="1" applyFill="1" applyAlignment="1" applyProtection="1">
      <alignment horizontal="left"/>
      <protection hidden="1"/>
    </xf>
    <xf numFmtId="0" fontId="344" fillId="50" borderId="0" xfId="17475" applyFont="1" applyFill="1" applyAlignment="1" applyProtection="1">
      <alignment horizontal="center" vertical="center"/>
      <protection hidden="1"/>
    </xf>
    <xf numFmtId="0" fontId="7" fillId="4" borderId="334" xfId="16065" applyFont="1" applyFill="1" applyBorder="1" applyAlignment="1" applyProtection="1">
      <alignment horizontal="left"/>
      <protection hidden="1"/>
    </xf>
    <xf numFmtId="0" fontId="201" fillId="7" borderId="350" xfId="4660" applyFont="1" applyFill="1" applyBorder="1" applyAlignment="1">
      <alignment horizontal="center"/>
    </xf>
    <xf numFmtId="0" fontId="74" fillId="2" borderId="0" xfId="4660" applyFont="1" applyFill="1" applyAlignment="1" applyProtection="1">
      <alignment horizontal="left"/>
      <protection hidden="1"/>
    </xf>
    <xf numFmtId="0" fontId="17" fillId="4" borderId="0" xfId="6465" applyFont="1" applyFill="1" applyAlignment="1" applyProtection="1">
      <alignment horizontal="right"/>
      <protection hidden="1"/>
    </xf>
    <xf numFmtId="0" fontId="76" fillId="4" borderId="350" xfId="4660" applyFont="1" applyFill="1" applyBorder="1" applyAlignment="1" applyProtection="1">
      <alignment horizontal="left"/>
      <protection hidden="1"/>
    </xf>
    <xf numFmtId="0" fontId="76" fillId="4" borderId="351" xfId="4660" applyFont="1" applyFill="1" applyBorder="1" applyAlignment="1" applyProtection="1">
      <alignment horizontal="left"/>
      <protection hidden="1"/>
    </xf>
    <xf numFmtId="0" fontId="76" fillId="4" borderId="352" xfId="4660" applyFont="1" applyFill="1" applyBorder="1" applyAlignment="1" applyProtection="1">
      <alignment horizontal="left"/>
      <protection hidden="1"/>
    </xf>
    <xf numFmtId="1" fontId="7" fillId="4" borderId="470" xfId="16065" applyNumberFormat="1" applyFont="1" applyFill="1" applyBorder="1" applyAlignment="1" applyProtection="1">
      <alignment horizontal="left"/>
      <protection hidden="1"/>
    </xf>
    <xf numFmtId="1" fontId="7" fillId="4" borderId="471" xfId="16065" applyNumberFormat="1" applyFont="1" applyFill="1" applyBorder="1" applyAlignment="1" applyProtection="1">
      <alignment horizontal="left"/>
      <protection hidden="1"/>
    </xf>
    <xf numFmtId="0" fontId="7" fillId="4" borderId="471" xfId="6465" applyFill="1" applyBorder="1" applyAlignment="1" applyProtection="1">
      <alignment horizontal="left"/>
      <protection hidden="1"/>
    </xf>
    <xf numFmtId="0" fontId="7" fillId="4" borderId="472" xfId="6465" applyFill="1" applyBorder="1" applyAlignment="1" applyProtection="1">
      <alignment horizontal="left"/>
      <protection hidden="1"/>
    </xf>
    <xf numFmtId="1" fontId="7" fillId="4" borderId="350" xfId="16065" applyNumberFormat="1" applyFont="1" applyFill="1" applyBorder="1" applyAlignment="1" applyProtection="1">
      <alignment horizontal="left"/>
      <protection hidden="1"/>
    </xf>
    <xf numFmtId="1" fontId="7" fillId="4" borderId="351" xfId="16065" applyNumberFormat="1" applyFont="1" applyFill="1" applyBorder="1" applyAlignment="1" applyProtection="1">
      <alignment horizontal="left"/>
      <protection hidden="1"/>
    </xf>
    <xf numFmtId="0" fontId="23" fillId="4" borderId="351" xfId="6465" applyFont="1" applyFill="1" applyBorder="1" applyAlignment="1" applyProtection="1">
      <alignment horizontal="left"/>
      <protection hidden="1"/>
    </xf>
    <xf numFmtId="0" fontId="23" fillId="4" borderId="352" xfId="6465" applyFont="1" applyFill="1" applyBorder="1" applyAlignment="1" applyProtection="1">
      <alignment horizontal="left"/>
      <protection hidden="1"/>
    </xf>
    <xf numFmtId="0" fontId="61" fillId="4" borderId="350" xfId="16065" applyFont="1" applyFill="1" applyBorder="1" applyAlignment="1" applyProtection="1">
      <alignment horizontal="left"/>
      <protection hidden="1"/>
    </xf>
    <xf numFmtId="0" fontId="61" fillId="4" borderId="351" xfId="16065" applyFont="1" applyFill="1" applyBorder="1" applyAlignment="1" applyProtection="1">
      <alignment horizontal="left"/>
      <protection hidden="1"/>
    </xf>
    <xf numFmtId="0" fontId="61" fillId="4" borderId="352" xfId="16065" applyFont="1" applyFill="1" applyBorder="1" applyAlignment="1" applyProtection="1">
      <alignment horizontal="left"/>
      <protection hidden="1"/>
    </xf>
    <xf numFmtId="0" fontId="61" fillId="7" borderId="350" xfId="4660" applyFont="1" applyFill="1" applyBorder="1" applyAlignment="1" applyProtection="1">
      <alignment horizontal="center"/>
      <protection hidden="1"/>
    </xf>
    <xf numFmtId="0" fontId="7" fillId="4" borderId="351" xfId="6465" applyFill="1" applyBorder="1" applyAlignment="1" applyProtection="1">
      <alignment horizontal="left"/>
      <protection hidden="1"/>
    </xf>
    <xf numFmtId="0" fontId="7" fillId="4" borderId="352" xfId="6465" applyFill="1" applyBorder="1" applyAlignment="1" applyProtection="1">
      <alignment horizontal="left"/>
      <protection hidden="1"/>
    </xf>
    <xf numFmtId="0" fontId="7" fillId="2" borderId="350" xfId="6465" applyFill="1" applyBorder="1" applyAlignment="1" applyProtection="1">
      <alignment horizontal="left" wrapText="1"/>
      <protection hidden="1"/>
    </xf>
    <xf numFmtId="0" fontId="7" fillId="2" borderId="351" xfId="6465" applyFill="1" applyBorder="1" applyAlignment="1" applyProtection="1">
      <alignment horizontal="left" wrapText="1"/>
      <protection hidden="1"/>
    </xf>
    <xf numFmtId="0" fontId="7" fillId="2" borderId="352" xfId="6465" applyFill="1" applyBorder="1" applyAlignment="1" applyProtection="1">
      <alignment horizontal="left" wrapText="1"/>
      <protection hidden="1"/>
    </xf>
    <xf numFmtId="1" fontId="7" fillId="4" borderId="396" xfId="16065" applyNumberFormat="1" applyFont="1" applyFill="1" applyBorder="1" applyAlignment="1" applyProtection="1">
      <alignment horizontal="left"/>
      <protection hidden="1"/>
    </xf>
    <xf numFmtId="1" fontId="7" fillId="4" borderId="397" xfId="16065" applyNumberFormat="1" applyFont="1" applyFill="1" applyBorder="1" applyAlignment="1" applyProtection="1">
      <alignment horizontal="left"/>
      <protection hidden="1"/>
    </xf>
    <xf numFmtId="1" fontId="7" fillId="4" borderId="398" xfId="16065" applyNumberFormat="1" applyFont="1" applyFill="1" applyBorder="1" applyAlignment="1" applyProtection="1">
      <alignment horizontal="left"/>
      <protection hidden="1"/>
    </xf>
    <xf numFmtId="1" fontId="7" fillId="23" borderId="470" xfId="17471" applyNumberFormat="1" applyFont="1" applyFill="1" applyBorder="1" applyAlignment="1" applyProtection="1">
      <alignment horizontal="left"/>
      <protection hidden="1"/>
    </xf>
    <xf numFmtId="1" fontId="7" fillId="23" borderId="471" xfId="17471" applyNumberFormat="1" applyFont="1" applyFill="1" applyBorder="1" applyAlignment="1" applyProtection="1">
      <alignment horizontal="left"/>
      <protection hidden="1"/>
    </xf>
    <xf numFmtId="1" fontId="7" fillId="23" borderId="472" xfId="17471" applyNumberFormat="1" applyFont="1" applyFill="1" applyBorder="1" applyAlignment="1" applyProtection="1">
      <alignment horizontal="left"/>
      <protection hidden="1"/>
    </xf>
    <xf numFmtId="0" fontId="63" fillId="2" borderId="0" xfId="6465" applyFont="1" applyFill="1" applyAlignment="1" applyProtection="1">
      <alignment horizontal="left"/>
      <protection hidden="1"/>
    </xf>
    <xf numFmtId="0" fontId="7" fillId="4" borderId="350" xfId="6465" applyFill="1" applyBorder="1" applyAlignment="1" applyProtection="1">
      <alignment horizontal="left"/>
      <protection hidden="1"/>
    </xf>
    <xf numFmtId="1" fontId="7" fillId="4" borderId="350" xfId="4660" applyNumberFormat="1" applyFont="1" applyFill="1" applyBorder="1" applyAlignment="1" applyProtection="1">
      <alignment horizontal="left"/>
      <protection hidden="1"/>
    </xf>
    <xf numFmtId="1" fontId="7" fillId="4" borderId="351" xfId="4660" applyNumberFormat="1" applyFont="1" applyFill="1" applyBorder="1" applyAlignment="1" applyProtection="1">
      <alignment horizontal="left"/>
      <protection hidden="1"/>
    </xf>
    <xf numFmtId="1" fontId="7" fillId="4" borderId="352" xfId="4660" applyNumberFormat="1" applyFont="1" applyFill="1" applyBorder="1" applyAlignment="1" applyProtection="1">
      <alignment horizontal="left"/>
      <protection hidden="1"/>
    </xf>
    <xf numFmtId="0" fontId="7" fillId="0" borderId="350" xfId="6465" applyBorder="1" applyAlignment="1" applyProtection="1">
      <alignment horizontal="left"/>
      <protection hidden="1"/>
    </xf>
    <xf numFmtId="0" fontId="7" fillId="0" borderId="351" xfId="6465" applyBorder="1" applyAlignment="1" applyProtection="1">
      <alignment horizontal="left"/>
      <protection hidden="1"/>
    </xf>
    <xf numFmtId="0" fontId="7" fillId="0" borderId="352" xfId="6465" applyBorder="1" applyAlignment="1" applyProtection="1">
      <alignment horizontal="left"/>
      <protection hidden="1"/>
    </xf>
    <xf numFmtId="0" fontId="23" fillId="3" borderId="0" xfId="6465" applyFont="1" applyFill="1" applyAlignment="1" applyProtection="1">
      <alignment horizontal="left"/>
      <protection hidden="1"/>
    </xf>
    <xf numFmtId="0" fontId="7" fillId="14" borderId="350" xfId="4660" applyFont="1" applyFill="1" applyBorder="1" applyAlignment="1" applyProtection="1">
      <alignment horizontal="left"/>
      <protection hidden="1"/>
    </xf>
    <xf numFmtId="0" fontId="23" fillId="4" borderId="17" xfId="4660" applyFont="1" applyFill="1" applyBorder="1" applyAlignment="1" applyProtection="1">
      <alignment horizontal="left"/>
      <protection hidden="1"/>
    </xf>
    <xf numFmtId="0" fontId="23" fillId="3" borderId="350" xfId="4660" applyFont="1" applyFill="1" applyBorder="1" applyAlignment="1" applyProtection="1">
      <alignment horizontal="left"/>
      <protection hidden="1"/>
    </xf>
    <xf numFmtId="0" fontId="7" fillId="0" borderId="351" xfId="0" applyFont="1" applyBorder="1" applyAlignment="1" applyProtection="1">
      <alignment horizontal="left"/>
      <protection hidden="1"/>
    </xf>
    <xf numFmtId="0" fontId="7" fillId="0" borderId="352" xfId="0" applyFont="1" applyBorder="1" applyAlignment="1" applyProtection="1">
      <alignment horizontal="left"/>
      <protection hidden="1"/>
    </xf>
    <xf numFmtId="0" fontId="7" fillId="3" borderId="350" xfId="6465" applyFill="1" applyBorder="1" applyAlignment="1" applyProtection="1">
      <alignment horizontal="center"/>
      <protection hidden="1"/>
    </xf>
    <xf numFmtId="0" fontId="7" fillId="3" borderId="352" xfId="6465" applyFill="1" applyBorder="1" applyAlignment="1" applyProtection="1">
      <alignment horizontal="center"/>
      <protection hidden="1"/>
    </xf>
    <xf numFmtId="0" fontId="74" fillId="4" borderId="0" xfId="17466" applyFont="1" applyFill="1" applyAlignment="1" applyProtection="1">
      <alignment horizontal="left"/>
      <protection hidden="1"/>
    </xf>
    <xf numFmtId="0" fontId="45" fillId="4" borderId="0" xfId="6465" applyFont="1" applyFill="1" applyAlignment="1" applyProtection="1">
      <alignment horizontal="right"/>
      <protection hidden="1"/>
    </xf>
    <xf numFmtId="0" fontId="7" fillId="3" borderId="351" xfId="6465" applyFill="1" applyBorder="1" applyAlignment="1" applyProtection="1">
      <alignment horizontal="center"/>
      <protection hidden="1"/>
    </xf>
    <xf numFmtId="0" fontId="145" fillId="47" borderId="104" xfId="69" applyFont="1" applyFill="1" applyBorder="1" applyAlignment="1" applyProtection="1">
      <alignment horizontal="center" wrapText="1"/>
      <protection hidden="1"/>
    </xf>
    <xf numFmtId="0" fontId="145" fillId="47" borderId="266" xfId="69" applyFont="1" applyFill="1" applyBorder="1" applyAlignment="1" applyProtection="1">
      <alignment horizontal="center" wrapText="1"/>
      <protection hidden="1"/>
    </xf>
    <xf numFmtId="0" fontId="145" fillId="47" borderId="260" xfId="69" applyFont="1" applyFill="1" applyBorder="1" applyAlignment="1" applyProtection="1">
      <alignment horizontal="center" wrapText="1"/>
      <protection hidden="1"/>
    </xf>
    <xf numFmtId="0" fontId="7" fillId="0" borderId="267" xfId="6465" applyBorder="1" applyAlignment="1" applyProtection="1">
      <alignment horizontal="left" vertical="center" wrapText="1"/>
      <protection hidden="1"/>
    </xf>
    <xf numFmtId="0" fontId="23" fillId="3" borderId="0" xfId="6465" applyFont="1" applyFill="1" applyAlignment="1" applyProtection="1">
      <alignment horizontal="left" vertical="top" wrapText="1"/>
      <protection hidden="1"/>
    </xf>
    <xf numFmtId="0" fontId="7" fillId="4" borderId="0" xfId="6465" applyFill="1" applyAlignment="1" applyProtection="1">
      <alignment horizontal="left" vertical="top" wrapText="1"/>
      <protection hidden="1"/>
    </xf>
    <xf numFmtId="0" fontId="7" fillId="3" borderId="0" xfId="4660" applyFont="1" applyFill="1" applyAlignment="1" applyProtection="1">
      <alignment horizontal="left" vertical="center" wrapText="1"/>
      <protection hidden="1"/>
    </xf>
    <xf numFmtId="0" fontId="7" fillId="4" borderId="367" xfId="6465" applyFill="1" applyBorder="1" applyAlignment="1" applyProtection="1">
      <alignment horizontal="center"/>
      <protection hidden="1"/>
    </xf>
    <xf numFmtId="1" fontId="7" fillId="4" borderId="334" xfId="6465" applyNumberFormat="1" applyFill="1" applyBorder="1" applyAlignment="1" applyProtection="1">
      <alignment horizontal="center"/>
      <protection hidden="1"/>
    </xf>
    <xf numFmtId="0" fontId="23" fillId="3" borderId="351" xfId="4660" applyFont="1" applyFill="1" applyBorder="1" applyAlignment="1" applyProtection="1">
      <alignment horizontal="left"/>
      <protection hidden="1"/>
    </xf>
    <xf numFmtId="0" fontId="23" fillId="3" borderId="352" xfId="4660" applyFont="1" applyFill="1" applyBorder="1" applyAlignment="1" applyProtection="1">
      <alignment horizontal="left"/>
      <protection hidden="1"/>
    </xf>
    <xf numFmtId="2" fontId="7" fillId="4" borderId="334" xfId="6465" applyNumberFormat="1" applyFill="1" applyBorder="1" applyAlignment="1" applyProtection="1">
      <alignment horizontal="center"/>
      <protection hidden="1"/>
    </xf>
    <xf numFmtId="0" fontId="7" fillId="5" borderId="334" xfId="6465" applyFill="1" applyBorder="1" applyAlignment="1" applyProtection="1">
      <alignment horizontal="center"/>
      <protection locked="0"/>
    </xf>
    <xf numFmtId="2" fontId="7" fillId="0" borderId="334" xfId="4660" applyNumberFormat="1" applyFont="1" applyBorder="1" applyAlignment="1" applyProtection="1">
      <alignment horizontal="center"/>
      <protection hidden="1"/>
    </xf>
    <xf numFmtId="0" fontId="74" fillId="4" borderId="0" xfId="6465" applyFont="1" applyFill="1" applyAlignment="1" applyProtection="1">
      <alignment vertical="top"/>
      <protection hidden="1"/>
    </xf>
    <xf numFmtId="0" fontId="59" fillId="4" borderId="0" xfId="6465" applyFont="1" applyFill="1" applyAlignment="1" applyProtection="1">
      <alignment horizontal="center"/>
      <protection hidden="1"/>
    </xf>
    <xf numFmtId="2" fontId="74" fillId="4" borderId="0" xfId="17463" applyNumberFormat="1" applyFont="1" applyFill="1" applyAlignment="1" applyProtection="1">
      <alignment horizontal="left"/>
      <protection hidden="1"/>
    </xf>
    <xf numFmtId="0" fontId="7" fillId="5" borderId="334" xfId="17463" applyFont="1" applyFill="1" applyBorder="1" applyAlignment="1" applyProtection="1">
      <alignment horizontal="center"/>
      <protection locked="0"/>
    </xf>
    <xf numFmtId="1" fontId="7" fillId="4" borderId="334" xfId="17463" applyNumberFormat="1" applyFont="1" applyFill="1" applyBorder="1" applyAlignment="1" applyProtection="1">
      <alignment horizontal="center"/>
      <protection hidden="1"/>
    </xf>
    <xf numFmtId="1" fontId="7" fillId="0" borderId="334" xfId="17458" applyNumberFormat="1" applyFont="1" applyBorder="1" applyAlignment="1" applyProtection="1">
      <alignment horizontal="center"/>
      <protection hidden="1"/>
    </xf>
    <xf numFmtId="0" fontId="7" fillId="5" borderId="350" xfId="17463" applyFont="1" applyFill="1" applyBorder="1" applyAlignment="1" applyProtection="1">
      <alignment horizontal="center"/>
      <protection locked="0"/>
    </xf>
    <xf numFmtId="0" fontId="7" fillId="5" borderId="352" xfId="17463" applyFont="1" applyFill="1" applyBorder="1" applyAlignment="1" applyProtection="1">
      <alignment horizontal="center"/>
      <protection locked="0"/>
    </xf>
    <xf numFmtId="0" fontId="7" fillId="4" borderId="367" xfId="17463" applyFont="1" applyFill="1" applyBorder="1" applyAlignment="1" applyProtection="1">
      <alignment horizontal="center"/>
      <protection hidden="1"/>
    </xf>
    <xf numFmtId="0" fontId="7" fillId="2" borderId="0" xfId="6465" applyFill="1" applyAlignment="1" applyProtection="1">
      <alignment horizontal="right"/>
      <protection hidden="1"/>
    </xf>
    <xf numFmtId="0" fontId="7" fillId="2" borderId="18" xfId="6465" applyFill="1" applyBorder="1" applyAlignment="1" applyProtection="1">
      <alignment horizontal="right"/>
      <protection hidden="1"/>
    </xf>
    <xf numFmtId="0" fontId="7" fillId="4" borderId="30" xfId="17463" applyFont="1" applyFill="1" applyBorder="1" applyAlignment="1" applyProtection="1">
      <alignment horizontal="center"/>
      <protection hidden="1"/>
    </xf>
    <xf numFmtId="0" fontId="7" fillId="4" borderId="31" xfId="17463" applyFont="1" applyFill="1" applyBorder="1" applyAlignment="1" applyProtection="1">
      <alignment horizontal="center"/>
      <protection hidden="1"/>
    </xf>
    <xf numFmtId="0" fontId="25" fillId="0" borderId="29" xfId="69" applyFont="1" applyBorder="1" applyAlignment="1" applyProtection="1">
      <alignment horizontal="left"/>
      <protection hidden="1"/>
    </xf>
    <xf numFmtId="2" fontId="7" fillId="4" borderId="30" xfId="6465" applyNumberFormat="1" applyFill="1" applyBorder="1" applyAlignment="1" applyProtection="1">
      <alignment horizontal="right"/>
      <protection hidden="1"/>
    </xf>
    <xf numFmtId="2" fontId="7" fillId="4" borderId="30" xfId="6465" applyNumberFormat="1" applyFill="1" applyBorder="1" applyAlignment="1" applyProtection="1">
      <alignment horizontal="center"/>
      <protection hidden="1"/>
    </xf>
    <xf numFmtId="168" fontId="7" fillId="4" borderId="334" xfId="6465" applyNumberFormat="1" applyFill="1" applyBorder="1" applyAlignment="1" applyProtection="1">
      <alignment horizontal="center"/>
      <protection hidden="1"/>
    </xf>
    <xf numFmtId="0" fontId="7" fillId="4" borderId="334" xfId="6465" applyFill="1" applyBorder="1" applyAlignment="1" applyProtection="1">
      <alignment horizontal="center"/>
      <protection hidden="1"/>
    </xf>
    <xf numFmtId="2" fontId="7" fillId="4" borderId="27" xfId="6465" applyNumberFormat="1" applyFill="1" applyBorder="1" applyAlignment="1" applyProtection="1">
      <alignment horizontal="right"/>
      <protection hidden="1"/>
    </xf>
    <xf numFmtId="2" fontId="7" fillId="0" borderId="27" xfId="4660" applyNumberFormat="1" applyFont="1" applyBorder="1" applyAlignment="1" applyProtection="1">
      <alignment horizontal="center"/>
      <protection hidden="1"/>
    </xf>
    <xf numFmtId="2" fontId="7" fillId="4" borderId="27" xfId="6465" applyNumberFormat="1" applyFill="1" applyBorder="1" applyAlignment="1" applyProtection="1">
      <alignment horizontal="center"/>
      <protection hidden="1"/>
    </xf>
    <xf numFmtId="0" fontId="7" fillId="3" borderId="18" xfId="4660" applyFont="1" applyFill="1" applyBorder="1" applyAlignment="1" applyProtection="1">
      <alignment horizontal="left"/>
      <protection hidden="1"/>
    </xf>
    <xf numFmtId="0" fontId="7" fillId="2" borderId="15" xfId="6465" applyFill="1" applyBorder="1" applyAlignment="1" applyProtection="1">
      <alignment horizontal="left" wrapText="1"/>
      <protection hidden="1"/>
    </xf>
    <xf numFmtId="0" fontId="7" fillId="2" borderId="39" xfId="6465" applyFill="1" applyBorder="1" applyAlignment="1" applyProtection="1">
      <alignment horizontal="left" wrapText="1"/>
      <protection hidden="1"/>
    </xf>
    <xf numFmtId="0" fontId="7" fillId="2" borderId="41" xfId="6465" applyFill="1" applyBorder="1" applyAlignment="1" applyProtection="1">
      <alignment horizontal="left" wrapText="1"/>
      <protection hidden="1"/>
    </xf>
    <xf numFmtId="2" fontId="61" fillId="3" borderId="350" xfId="4660" applyNumberFormat="1" applyFont="1" applyFill="1" applyBorder="1" applyAlignment="1" applyProtection="1">
      <alignment horizontal="right"/>
      <protection hidden="1"/>
    </xf>
    <xf numFmtId="2" fontId="61" fillId="3" borderId="351" xfId="4660" applyNumberFormat="1" applyFont="1" applyFill="1" applyBorder="1" applyAlignment="1" applyProtection="1">
      <alignment horizontal="right"/>
      <protection hidden="1"/>
    </xf>
    <xf numFmtId="2" fontId="61" fillId="3" borderId="352" xfId="4660" applyNumberFormat="1" applyFont="1" applyFill="1" applyBorder="1" applyAlignment="1" applyProtection="1">
      <alignment horizontal="right"/>
      <protection hidden="1"/>
    </xf>
    <xf numFmtId="0" fontId="25" fillId="0" borderId="17" xfId="69" applyFont="1" applyBorder="1" applyAlignment="1" applyProtection="1">
      <protection hidden="1"/>
    </xf>
    <xf numFmtId="0" fontId="7" fillId="4" borderId="17" xfId="6465" applyFill="1" applyBorder="1" applyAlignment="1" applyProtection="1">
      <alignment horizontal="right"/>
      <protection hidden="1"/>
    </xf>
    <xf numFmtId="0" fontId="7" fillId="4" borderId="30" xfId="6465" applyFill="1" applyBorder="1" applyAlignment="1" applyProtection="1">
      <alignment horizontal="right"/>
      <protection hidden="1"/>
    </xf>
    <xf numFmtId="0" fontId="7" fillId="0" borderId="30" xfId="4660" applyFont="1" applyBorder="1" applyAlignment="1" applyProtection="1">
      <alignment horizontal="center"/>
      <protection hidden="1"/>
    </xf>
    <xf numFmtId="0" fontId="61" fillId="3" borderId="273" xfId="6465" applyFont="1" applyFill="1" applyBorder="1" applyAlignment="1" applyProtection="1">
      <alignment horizontal="left" vertical="top" wrapText="1"/>
      <protection hidden="1"/>
    </xf>
    <xf numFmtId="0" fontId="7" fillId="4" borderId="9" xfId="6465" applyFill="1" applyBorder="1" applyAlignment="1" applyProtection="1">
      <alignment horizontal="left" wrapText="1"/>
      <protection hidden="1"/>
    </xf>
    <xf numFmtId="0" fontId="7" fillId="4" borderId="58" xfId="6465" applyFill="1" applyBorder="1" applyAlignment="1" applyProtection="1">
      <alignment horizontal="left" wrapText="1"/>
      <protection hidden="1"/>
    </xf>
    <xf numFmtId="0" fontId="7" fillId="4" borderId="59" xfId="6465" applyFill="1" applyBorder="1" applyAlignment="1" applyProtection="1">
      <alignment horizontal="left" wrapText="1"/>
      <protection hidden="1"/>
    </xf>
    <xf numFmtId="0" fontId="23" fillId="3" borderId="27" xfId="6465" applyFont="1" applyFill="1" applyBorder="1" applyAlignment="1" applyProtection="1">
      <alignment horizontal="left" wrapText="1"/>
      <protection hidden="1"/>
    </xf>
    <xf numFmtId="0" fontId="23" fillId="3" borderId="17" xfId="6465" applyFont="1" applyFill="1" applyBorder="1" applyAlignment="1" applyProtection="1">
      <alignment horizontal="left" wrapText="1"/>
      <protection hidden="1"/>
    </xf>
    <xf numFmtId="0" fontId="23" fillId="3" borderId="28" xfId="6465" applyFont="1" applyFill="1" applyBorder="1" applyAlignment="1" applyProtection="1">
      <alignment horizontal="left" wrapText="1"/>
      <protection hidden="1"/>
    </xf>
    <xf numFmtId="0" fontId="22" fillId="0" borderId="29" xfId="69" applyBorder="1" applyAlignment="1" applyProtection="1">
      <alignment horizontal="left" vertical="top"/>
      <protection hidden="1"/>
    </xf>
    <xf numFmtId="0" fontId="74" fillId="4" borderId="0" xfId="16065" applyFont="1" applyFill="1" applyAlignment="1" applyProtection="1">
      <alignment horizontal="left"/>
      <protection hidden="1"/>
    </xf>
    <xf numFmtId="169" fontId="17" fillId="4" borderId="367" xfId="16065" applyNumberFormat="1" applyFont="1" applyFill="1" applyBorder="1" applyAlignment="1" applyProtection="1">
      <alignment horizontal="center" wrapText="1"/>
      <protection hidden="1"/>
    </xf>
    <xf numFmtId="0" fontId="316" fillId="0" borderId="0" xfId="69" applyFont="1" applyAlignment="1" applyProtection="1">
      <alignment horizontal="left" vertical="top"/>
      <protection hidden="1"/>
    </xf>
    <xf numFmtId="0" fontId="7" fillId="3" borderId="350" xfId="6465" applyFill="1" applyBorder="1" applyAlignment="1" applyProtection="1">
      <alignment horizontal="left"/>
      <protection hidden="1"/>
    </xf>
    <xf numFmtId="0" fontId="7" fillId="3" borderId="351" xfId="6465" applyFill="1" applyBorder="1" applyAlignment="1" applyProtection="1">
      <alignment horizontal="left"/>
      <protection hidden="1"/>
    </xf>
    <xf numFmtId="0" fontId="7" fillId="3" borderId="352" xfId="6465" applyFill="1" applyBorder="1" applyAlignment="1" applyProtection="1">
      <alignment horizontal="left"/>
      <protection hidden="1"/>
    </xf>
    <xf numFmtId="0" fontId="223" fillId="3" borderId="271" xfId="4660" applyFont="1" applyFill="1" applyBorder="1" applyAlignment="1" applyProtection="1">
      <alignment horizontal="center" wrapText="1"/>
      <protection hidden="1"/>
    </xf>
    <xf numFmtId="0" fontId="223" fillId="3" borderId="58" xfId="4660" applyFont="1" applyFill="1" applyBorder="1" applyAlignment="1" applyProtection="1">
      <alignment horizontal="center" wrapText="1"/>
      <protection hidden="1"/>
    </xf>
    <xf numFmtId="0" fontId="223" fillId="3" borderId="272" xfId="4660" applyFont="1" applyFill="1" applyBorder="1" applyAlignment="1" applyProtection="1">
      <alignment horizontal="center" wrapText="1"/>
      <protection hidden="1"/>
    </xf>
    <xf numFmtId="0" fontId="7" fillId="2" borderId="79" xfId="6465" applyFill="1" applyBorder="1" applyAlignment="1" applyProtection="1">
      <alignment horizontal="left" wrapText="1"/>
      <protection hidden="1"/>
    </xf>
    <xf numFmtId="0" fontId="7" fillId="2" borderId="0" xfId="6465" applyFill="1" applyAlignment="1" applyProtection="1">
      <alignment horizontal="left" wrapText="1"/>
      <protection hidden="1"/>
    </xf>
    <xf numFmtId="0" fontId="106" fillId="3" borderId="91" xfId="0" applyFont="1" applyFill="1" applyBorder="1" applyAlignment="1" applyProtection="1">
      <alignment horizontal="left"/>
      <protection hidden="1"/>
    </xf>
    <xf numFmtId="0" fontId="106" fillId="3" borderId="99" xfId="0" applyFont="1" applyFill="1" applyBorder="1" applyAlignment="1" applyProtection="1">
      <alignment horizontal="left"/>
      <protection hidden="1"/>
    </xf>
    <xf numFmtId="0" fontId="106" fillId="3" borderId="98" xfId="0" applyFont="1" applyFill="1" applyBorder="1" applyAlignment="1" applyProtection="1">
      <alignment horizontal="left"/>
      <protection hidden="1"/>
    </xf>
    <xf numFmtId="0" fontId="7" fillId="2" borderId="79" xfId="6465" applyFill="1" applyBorder="1" applyAlignment="1" applyProtection="1">
      <alignment horizontal="left"/>
      <protection hidden="1"/>
    </xf>
    <xf numFmtId="0" fontId="52" fillId="3" borderId="0" xfId="6465" applyFont="1" applyFill="1" applyAlignment="1" applyProtection="1">
      <alignment horizontal="left" wrapText="1"/>
      <protection hidden="1"/>
    </xf>
    <xf numFmtId="0" fontId="52" fillId="3" borderId="273" xfId="6465" applyFont="1" applyFill="1" applyBorder="1" applyAlignment="1" applyProtection="1">
      <alignment horizontal="left" wrapText="1"/>
      <protection hidden="1"/>
    </xf>
    <xf numFmtId="0" fontId="23" fillId="3" borderId="30" xfId="6465" applyFont="1" applyFill="1" applyBorder="1" applyAlignment="1" applyProtection="1">
      <alignment horizontal="left"/>
      <protection hidden="1"/>
    </xf>
    <xf numFmtId="0" fontId="23" fillId="3" borderId="29" xfId="6465" applyFont="1" applyFill="1" applyBorder="1" applyAlignment="1" applyProtection="1">
      <alignment horizontal="left"/>
      <protection hidden="1"/>
    </xf>
    <xf numFmtId="0" fontId="23" fillId="3" borderId="31" xfId="6465" applyFont="1" applyFill="1" applyBorder="1" applyAlignment="1" applyProtection="1">
      <alignment horizontal="left"/>
      <protection hidden="1"/>
    </xf>
    <xf numFmtId="0" fontId="291" fillId="4" borderId="0" xfId="4660" applyFont="1" applyFill="1" applyAlignment="1" applyProtection="1">
      <alignment horizontal="center" vertical="top" wrapText="1"/>
      <protection hidden="1"/>
    </xf>
    <xf numFmtId="0" fontId="110" fillId="4" borderId="0" xfId="4660" applyFont="1" applyFill="1" applyAlignment="1" applyProtection="1">
      <alignment horizontal="right" vertical="center"/>
      <protection hidden="1"/>
    </xf>
    <xf numFmtId="0" fontId="121" fillId="0" borderId="0" xfId="4660" applyFont="1" applyAlignment="1" applyProtection="1">
      <alignment horizontal="center"/>
      <protection hidden="1"/>
    </xf>
    <xf numFmtId="0" fontId="45" fillId="14" borderId="0" xfId="17451" applyFont="1" applyFill="1" applyAlignment="1" applyProtection="1">
      <alignment horizontal="center"/>
      <protection hidden="1"/>
    </xf>
    <xf numFmtId="0" fontId="17" fillId="4" borderId="0" xfId="6465" applyFont="1" applyFill="1" applyAlignment="1" applyProtection="1">
      <alignment horizontal="left" wrapText="1"/>
      <protection hidden="1"/>
    </xf>
    <xf numFmtId="0" fontId="7" fillId="0" borderId="0" xfId="6465" applyAlignment="1" applyProtection="1">
      <alignment horizontal="center"/>
      <protection hidden="1"/>
    </xf>
    <xf numFmtId="0" fontId="7" fillId="0" borderId="18" xfId="6465" applyBorder="1" applyAlignment="1" applyProtection="1">
      <alignment horizontal="center"/>
      <protection hidden="1"/>
    </xf>
    <xf numFmtId="168" fontId="332" fillId="4" borderId="350" xfId="6465" applyNumberFormat="1" applyFont="1" applyFill="1" applyBorder="1" applyAlignment="1" applyProtection="1">
      <alignment horizontal="left"/>
      <protection hidden="1"/>
    </xf>
    <xf numFmtId="0" fontId="210" fillId="0" borderId="350" xfId="4660" applyFont="1" applyBorder="1" applyAlignment="1" applyProtection="1">
      <alignment horizontal="left"/>
      <protection hidden="1"/>
    </xf>
    <xf numFmtId="0" fontId="210" fillId="0" borderId="351" xfId="4660" applyFont="1" applyBorder="1" applyAlignment="1" applyProtection="1">
      <alignment horizontal="left"/>
      <protection hidden="1"/>
    </xf>
    <xf numFmtId="0" fontId="210" fillId="0" borderId="352" xfId="4660" applyFont="1" applyBorder="1" applyAlignment="1" applyProtection="1">
      <alignment horizontal="left"/>
      <protection hidden="1"/>
    </xf>
    <xf numFmtId="0" fontId="94" fillId="48" borderId="0" xfId="4660" applyFont="1" applyFill="1" applyAlignment="1" applyProtection="1">
      <alignment horizontal="right"/>
      <protection hidden="1"/>
    </xf>
    <xf numFmtId="0" fontId="5" fillId="0" borderId="0" xfId="0" applyFont="1" applyAlignment="1" applyProtection="1">
      <alignment vertical="center"/>
      <protection hidden="1"/>
    </xf>
    <xf numFmtId="0" fontId="7" fillId="4" borderId="0" xfId="69" applyFont="1" applyFill="1" applyAlignment="1" applyProtection="1">
      <alignment horizontal="left" vertical="center" wrapText="1"/>
      <protection hidden="1"/>
    </xf>
    <xf numFmtId="0" fontId="23" fillId="2" borderId="350" xfId="6465" applyFont="1" applyFill="1" applyBorder="1" applyAlignment="1" applyProtection="1">
      <alignment horizontal="left"/>
      <protection hidden="1"/>
    </xf>
    <xf numFmtId="0" fontId="23" fillId="2" borderId="351" xfId="6465" applyFont="1" applyFill="1" applyBorder="1" applyAlignment="1" applyProtection="1">
      <alignment horizontal="left"/>
      <protection hidden="1"/>
    </xf>
    <xf numFmtId="0" fontId="23" fillId="2" borderId="352" xfId="6465" applyFont="1" applyFill="1" applyBorder="1" applyAlignment="1" applyProtection="1">
      <alignment horizontal="left"/>
      <protection hidden="1"/>
    </xf>
    <xf numFmtId="0" fontId="56" fillId="3" borderId="27" xfId="4660" applyFont="1" applyFill="1" applyBorder="1" applyAlignment="1" applyProtection="1">
      <alignment horizontal="center"/>
      <protection hidden="1"/>
    </xf>
    <xf numFmtId="0" fontId="56" fillId="3" borderId="17" xfId="4660" applyFont="1" applyFill="1" applyBorder="1" applyAlignment="1" applyProtection="1">
      <alignment horizontal="center"/>
      <protection hidden="1"/>
    </xf>
    <xf numFmtId="0" fontId="92" fillId="4" borderId="30" xfId="4660" applyFont="1" applyFill="1" applyBorder="1" applyAlignment="1" applyProtection="1">
      <alignment horizontal="center"/>
      <protection hidden="1"/>
    </xf>
    <xf numFmtId="0" fontId="92" fillId="4" borderId="29" xfId="4660" applyFont="1" applyFill="1" applyBorder="1" applyAlignment="1" applyProtection="1">
      <alignment horizontal="center"/>
      <protection hidden="1"/>
    </xf>
    <xf numFmtId="2" fontId="7" fillId="0" borderId="350" xfId="17436" applyNumberFormat="1" applyFont="1" applyBorder="1" applyAlignment="1" applyProtection="1">
      <alignment horizontal="center"/>
      <protection hidden="1"/>
    </xf>
    <xf numFmtId="2" fontId="7" fillId="0" borderId="352" xfId="17436" applyNumberFormat="1" applyFont="1" applyBorder="1" applyAlignment="1" applyProtection="1">
      <alignment horizontal="center"/>
      <protection hidden="1"/>
    </xf>
    <xf numFmtId="168" fontId="7" fillId="3" borderId="350" xfId="6465" applyNumberFormat="1" applyFill="1" applyBorder="1" applyAlignment="1" applyProtection="1">
      <alignment horizontal="center"/>
      <protection hidden="1"/>
    </xf>
    <xf numFmtId="168" fontId="7" fillId="3" borderId="352" xfId="6465" applyNumberFormat="1" applyFill="1" applyBorder="1" applyAlignment="1" applyProtection="1">
      <alignment horizontal="center"/>
      <protection hidden="1"/>
    </xf>
    <xf numFmtId="0" fontId="23" fillId="4" borderId="426" xfId="6465" applyFont="1" applyFill="1" applyBorder="1" applyAlignment="1" applyProtection="1">
      <alignment horizontal="left"/>
      <protection hidden="1"/>
    </xf>
    <xf numFmtId="0" fontId="145" fillId="0" borderId="0" xfId="69" applyFont="1" applyAlignment="1" applyProtection="1">
      <alignment horizontal="right"/>
      <protection hidden="1"/>
    </xf>
    <xf numFmtId="0" fontId="23" fillId="4" borderId="193" xfId="6465" applyFont="1" applyFill="1" applyBorder="1" applyAlignment="1" applyProtection="1">
      <alignment horizontal="left"/>
      <protection hidden="1"/>
    </xf>
    <xf numFmtId="2" fontId="7" fillId="0" borderId="350" xfId="6465" applyNumberFormat="1" applyBorder="1" applyAlignment="1" applyProtection="1">
      <alignment horizontal="center"/>
      <protection hidden="1"/>
    </xf>
    <xf numFmtId="0" fontId="7" fillId="3" borderId="334" xfId="6465" applyFill="1" applyBorder="1" applyAlignment="1" applyProtection="1">
      <alignment horizontal="center"/>
      <protection hidden="1"/>
    </xf>
    <xf numFmtId="0" fontId="0" fillId="44" borderId="367" xfId="0" applyFill="1" applyBorder="1" applyAlignment="1" applyProtection="1">
      <alignment horizontal="center" vertical="center" textRotation="90"/>
      <protection hidden="1"/>
    </xf>
    <xf numFmtId="0" fontId="0" fillId="24" borderId="107" xfId="0" applyFill="1" applyBorder="1" applyAlignment="1" applyProtection="1">
      <alignment horizontal="center" vertical="center" textRotation="90" wrapText="1"/>
      <protection hidden="1"/>
    </xf>
    <xf numFmtId="0" fontId="0" fillId="26" borderId="107" xfId="6465" applyFont="1" applyFill="1" applyBorder="1" applyAlignment="1" applyProtection="1">
      <alignment horizontal="center" vertical="center" textRotation="90"/>
      <protection hidden="1"/>
    </xf>
    <xf numFmtId="0" fontId="17" fillId="3" borderId="412" xfId="16065" applyFont="1" applyFill="1" applyBorder="1" applyAlignment="1" applyProtection="1">
      <alignment horizontal="center"/>
      <protection hidden="1"/>
    </xf>
    <xf numFmtId="0" fontId="0" fillId="0" borderId="198" xfId="0" applyBorder="1" applyAlignment="1" applyProtection="1">
      <alignment horizontal="center"/>
      <protection hidden="1"/>
    </xf>
    <xf numFmtId="0" fontId="7" fillId="3" borderId="412" xfId="16065" applyFont="1" applyFill="1" applyBorder="1" applyAlignment="1" applyProtection="1">
      <alignment horizontal="left"/>
      <protection hidden="1"/>
    </xf>
    <xf numFmtId="0" fontId="201" fillId="7" borderId="209" xfId="16065" applyFont="1" applyFill="1" applyBorder="1" applyAlignment="1" applyProtection="1">
      <alignment horizontal="center" vertical="center"/>
      <protection hidden="1"/>
    </xf>
    <xf numFmtId="0" fontId="201" fillId="0" borderId="198" xfId="0" applyFont="1" applyBorder="1" applyAlignment="1" applyProtection="1">
      <alignment vertical="center"/>
      <protection hidden="1"/>
    </xf>
    <xf numFmtId="0" fontId="164" fillId="7" borderId="209" xfId="16065" applyFont="1" applyFill="1" applyBorder="1" applyAlignment="1" applyProtection="1">
      <alignment horizontal="center" wrapText="1"/>
      <protection hidden="1"/>
    </xf>
    <xf numFmtId="0" fontId="32" fillId="0" borderId="198" xfId="0" applyFont="1" applyBorder="1" applyAlignment="1" applyProtection="1">
      <alignment wrapText="1"/>
      <protection hidden="1"/>
    </xf>
    <xf numFmtId="0" fontId="104" fillId="3" borderId="413" xfId="6465" applyFont="1" applyFill="1" applyBorder="1" applyAlignment="1" applyProtection="1">
      <alignment horizontal="center"/>
      <protection hidden="1"/>
    </xf>
    <xf numFmtId="0" fontId="0" fillId="0" borderId="199" xfId="0" applyBorder="1" applyAlignment="1" applyProtection="1">
      <alignment horizontal="center"/>
      <protection hidden="1"/>
    </xf>
    <xf numFmtId="0" fontId="104" fillId="3" borderId="414" xfId="0" applyFont="1" applyFill="1" applyBorder="1" applyAlignment="1" applyProtection="1">
      <alignment horizontal="center" wrapText="1"/>
      <protection hidden="1"/>
    </xf>
    <xf numFmtId="0" fontId="0" fillId="0" borderId="200" xfId="0" applyBorder="1" applyAlignment="1" applyProtection="1">
      <alignment horizontal="center"/>
      <protection hidden="1"/>
    </xf>
    <xf numFmtId="0" fontId="7" fillId="0" borderId="0" xfId="6465" applyAlignment="1" applyProtection="1">
      <alignment horizontal="left" vertical="top" wrapText="1"/>
      <protection hidden="1"/>
    </xf>
    <xf numFmtId="0" fontId="7" fillId="3" borderId="251" xfId="0" applyFont="1" applyFill="1" applyBorder="1" applyAlignment="1" applyProtection="1">
      <alignment horizontal="left"/>
      <protection hidden="1"/>
    </xf>
    <xf numFmtId="0" fontId="7" fillId="3" borderId="204" xfId="6465" applyFill="1" applyBorder="1" applyAlignment="1" applyProtection="1">
      <alignment horizontal="center" wrapText="1"/>
      <protection hidden="1"/>
    </xf>
    <xf numFmtId="0" fontId="23" fillId="0" borderId="354" xfId="0" applyFont="1" applyBorder="1" applyAlignment="1" applyProtection="1">
      <alignment horizontal="left" vertical="top"/>
      <protection hidden="1"/>
    </xf>
    <xf numFmtId="0" fontId="23" fillId="0" borderId="18" xfId="0" applyFont="1" applyBorder="1" applyAlignment="1" applyProtection="1">
      <alignment horizontal="left" vertical="top"/>
      <protection hidden="1"/>
    </xf>
    <xf numFmtId="0" fontId="1" fillId="4" borderId="17" xfId="8678" applyFont="1" applyFill="1" applyBorder="1" applyAlignment="1" applyProtection="1">
      <alignment horizontal="left"/>
      <protection hidden="1"/>
    </xf>
    <xf numFmtId="0" fontId="0" fillId="0" borderId="29" xfId="16065" applyFont="1" applyBorder="1" applyAlignment="1" applyProtection="1">
      <alignment horizontal="left"/>
      <protection hidden="1"/>
    </xf>
    <xf numFmtId="0" fontId="17" fillId="3" borderId="0" xfId="6465" applyFont="1" applyFill="1" applyAlignment="1" applyProtection="1">
      <alignment horizontal="left"/>
      <protection hidden="1"/>
    </xf>
    <xf numFmtId="0" fontId="61" fillId="3" borderId="0" xfId="6465" applyFont="1" applyFill="1" applyAlignment="1" applyProtection="1">
      <alignment horizontal="left" wrapText="1"/>
      <protection hidden="1"/>
    </xf>
    <xf numFmtId="2" fontId="7" fillId="4" borderId="350" xfId="6465" applyNumberFormat="1" applyFill="1" applyBorder="1" applyAlignment="1" applyProtection="1">
      <alignment horizontal="center"/>
      <protection hidden="1"/>
    </xf>
    <xf numFmtId="2" fontId="7" fillId="4" borderId="352" xfId="6465" applyNumberFormat="1" applyFill="1" applyBorder="1" applyAlignment="1" applyProtection="1">
      <alignment horizontal="center"/>
      <protection hidden="1"/>
    </xf>
    <xf numFmtId="2" fontId="7" fillId="0" borderId="350" xfId="0" applyNumberFormat="1" applyFont="1" applyBorder="1" applyAlignment="1" applyProtection="1">
      <alignment horizontal="center"/>
      <protection hidden="1"/>
    </xf>
    <xf numFmtId="2" fontId="7" fillId="0" borderId="352" xfId="0" applyNumberFormat="1" applyFont="1" applyBorder="1" applyAlignment="1" applyProtection="1">
      <alignment horizontal="center"/>
      <protection hidden="1"/>
    </xf>
    <xf numFmtId="0" fontId="61" fillId="3" borderId="29" xfId="0" applyFont="1" applyFill="1" applyBorder="1" applyAlignment="1" applyProtection="1">
      <alignment horizontal="center" vertical="center"/>
      <protection hidden="1"/>
    </xf>
    <xf numFmtId="0" fontId="61" fillId="3" borderId="0" xfId="0" applyFont="1" applyFill="1" applyAlignment="1" applyProtection="1">
      <alignment horizontal="center" vertical="center"/>
      <protection hidden="1"/>
    </xf>
    <xf numFmtId="0" fontId="141" fillId="3" borderId="0" xfId="6465" applyFont="1" applyFill="1" applyAlignment="1" applyProtection="1">
      <alignment horizontal="left" vertical="top" wrapText="1"/>
      <protection hidden="1"/>
    </xf>
    <xf numFmtId="0" fontId="46" fillId="4" borderId="0" xfId="17399" applyFont="1" applyFill="1" applyAlignment="1" applyProtection="1">
      <alignment horizontal="center"/>
      <protection hidden="1"/>
    </xf>
    <xf numFmtId="0" fontId="46" fillId="4" borderId="0" xfId="6465" applyFont="1" applyFill="1" applyAlignment="1" applyProtection="1">
      <alignment horizontal="right"/>
      <protection hidden="1"/>
    </xf>
    <xf numFmtId="0" fontId="63" fillId="4" borderId="0" xfId="6465" applyFont="1" applyFill="1" applyAlignment="1" applyProtection="1">
      <alignment horizontal="left"/>
      <protection hidden="1"/>
    </xf>
    <xf numFmtId="0" fontId="55" fillId="4" borderId="0" xfId="16065" applyFont="1" applyFill="1" applyAlignment="1" applyProtection="1">
      <alignment horizontal="left"/>
      <protection hidden="1"/>
    </xf>
    <xf numFmtId="0" fontId="25" fillId="0" borderId="29" xfId="69" applyFont="1" applyBorder="1" applyAlignment="1" applyProtection="1">
      <alignment horizontal="center" vertical="center" wrapText="1"/>
      <protection hidden="1"/>
    </xf>
    <xf numFmtId="0" fontId="25" fillId="0" borderId="0" xfId="69" applyFont="1" applyAlignment="1" applyProtection="1">
      <alignment horizontal="center" vertical="center" wrapText="1"/>
      <protection hidden="1"/>
    </xf>
    <xf numFmtId="0" fontId="7" fillId="3" borderId="0" xfId="0" applyFont="1" applyFill="1" applyAlignment="1" applyProtection="1">
      <alignment horizontal="left"/>
      <protection hidden="1"/>
    </xf>
    <xf numFmtId="0" fontId="7" fillId="3" borderId="350" xfId="17399" applyFont="1" applyFill="1" applyBorder="1" applyAlignment="1" applyProtection="1">
      <alignment horizontal="left"/>
      <protection hidden="1"/>
    </xf>
    <xf numFmtId="2" fontId="7" fillId="3" borderId="0" xfId="6465" applyNumberFormat="1" applyFill="1" applyAlignment="1" applyProtection="1">
      <alignment horizontal="left" wrapText="1"/>
      <protection hidden="1"/>
    </xf>
    <xf numFmtId="0" fontId="25" fillId="0" borderId="0" xfId="69" applyFont="1" applyAlignment="1" applyProtection="1">
      <alignment vertical="center"/>
      <protection hidden="1"/>
    </xf>
    <xf numFmtId="0" fontId="17" fillId="14" borderId="30" xfId="6465" applyFont="1" applyFill="1" applyBorder="1" applyAlignment="1" applyProtection="1">
      <alignment horizontal="left" vertical="top"/>
      <protection hidden="1"/>
    </xf>
    <xf numFmtId="0" fontId="17" fillId="14" borderId="29" xfId="6465" applyFont="1" applyFill="1" applyBorder="1" applyAlignment="1" applyProtection="1">
      <alignment horizontal="left" vertical="top"/>
      <protection hidden="1"/>
    </xf>
    <xf numFmtId="0" fontId="17" fillId="14" borderId="31" xfId="6465" applyFont="1" applyFill="1" applyBorder="1" applyAlignment="1" applyProtection="1">
      <alignment horizontal="left" vertical="top"/>
      <protection hidden="1"/>
    </xf>
    <xf numFmtId="0" fontId="17" fillId="14" borderId="27" xfId="6465" applyFont="1" applyFill="1" applyBorder="1" applyAlignment="1" applyProtection="1">
      <alignment horizontal="left" vertical="top"/>
      <protection hidden="1"/>
    </xf>
    <xf numFmtId="0" fontId="17" fillId="14" borderId="17" xfId="6465" applyFont="1" applyFill="1" applyBorder="1" applyAlignment="1" applyProtection="1">
      <alignment horizontal="left" vertical="top"/>
      <protection hidden="1"/>
    </xf>
    <xf numFmtId="0" fontId="17" fillId="14" borderId="28" xfId="6465" applyFont="1" applyFill="1" applyBorder="1" applyAlignment="1" applyProtection="1">
      <alignment horizontal="left" vertical="top"/>
      <protection hidden="1"/>
    </xf>
    <xf numFmtId="0" fontId="7" fillId="0" borderId="379" xfId="16065" applyFont="1" applyBorder="1" applyAlignment="1" applyProtection="1">
      <alignment horizontal="left"/>
      <protection hidden="1"/>
    </xf>
    <xf numFmtId="0" fontId="7" fillId="0" borderId="0" xfId="16065" applyFont="1" applyAlignment="1" applyProtection="1">
      <alignment horizontal="left"/>
      <protection hidden="1"/>
    </xf>
    <xf numFmtId="0" fontId="181" fillId="0" borderId="0" xfId="16065" applyFont="1" applyAlignment="1" applyProtection="1">
      <alignment horizontal="center"/>
      <protection hidden="1"/>
    </xf>
    <xf numFmtId="0" fontId="209" fillId="0" borderId="18" xfId="0" applyFont="1" applyBorder="1" applyAlignment="1" applyProtection="1">
      <alignment horizontal="center"/>
      <protection hidden="1"/>
    </xf>
    <xf numFmtId="0" fontId="112" fillId="7" borderId="271" xfId="6465" applyFont="1" applyFill="1" applyBorder="1" applyAlignment="1" applyProtection="1">
      <alignment horizontal="left"/>
      <protection hidden="1"/>
    </xf>
    <xf numFmtId="0" fontId="112" fillId="7" borderId="382" xfId="6465" applyFont="1" applyFill="1" applyBorder="1" applyAlignment="1" applyProtection="1">
      <alignment horizontal="left"/>
      <protection hidden="1"/>
    </xf>
    <xf numFmtId="0" fontId="7" fillId="2" borderId="0" xfId="6465" applyFill="1" applyAlignment="1" applyProtection="1">
      <alignment wrapText="1"/>
      <protection hidden="1"/>
    </xf>
    <xf numFmtId="0" fontId="52" fillId="2" borderId="0" xfId="6465" applyFont="1" applyFill="1" applyAlignment="1" applyProtection="1">
      <alignment horizontal="left"/>
      <protection hidden="1"/>
    </xf>
    <xf numFmtId="0" fontId="23" fillId="5" borderId="383" xfId="6465" applyFont="1" applyFill="1" applyBorder="1" applyAlignment="1" applyProtection="1">
      <alignment horizontal="left"/>
      <protection locked="0"/>
    </xf>
    <xf numFmtId="0" fontId="23" fillId="5" borderId="384" xfId="6465" applyFont="1" applyFill="1" applyBorder="1" applyAlignment="1" applyProtection="1">
      <alignment horizontal="left"/>
      <protection locked="0"/>
    </xf>
    <xf numFmtId="0" fontId="7" fillId="0" borderId="0" xfId="6465" applyAlignment="1" applyProtection="1">
      <alignment horizontal="left"/>
      <protection hidden="1"/>
    </xf>
    <xf numFmtId="0" fontId="181" fillId="0" borderId="0" xfId="6465" applyFont="1" applyAlignment="1" applyProtection="1">
      <alignment horizontal="center"/>
      <protection hidden="1"/>
    </xf>
    <xf numFmtId="168" fontId="7" fillId="0" borderId="0" xfId="16065" applyNumberFormat="1" applyFont="1" applyAlignment="1" applyProtection="1">
      <alignment horizontal="right" wrapText="1"/>
      <protection hidden="1"/>
    </xf>
    <xf numFmtId="0" fontId="7" fillId="0" borderId="184" xfId="6465" applyBorder="1" applyAlignment="1" applyProtection="1">
      <alignment horizontal="left"/>
      <protection hidden="1"/>
    </xf>
    <xf numFmtId="0" fontId="123" fillId="0" borderId="367" xfId="6465" applyFont="1" applyBorder="1" applyAlignment="1" applyProtection="1">
      <alignment horizontal="center"/>
      <protection hidden="1"/>
    </xf>
    <xf numFmtId="0" fontId="213" fillId="0" borderId="29" xfId="6465" applyFont="1" applyBorder="1" applyAlignment="1" applyProtection="1">
      <alignment horizontal="center"/>
      <protection hidden="1"/>
    </xf>
    <xf numFmtId="0" fontId="127" fillId="0" borderId="367" xfId="6465" applyFont="1" applyBorder="1" applyAlignment="1" applyProtection="1">
      <alignment horizontal="center"/>
      <protection hidden="1"/>
    </xf>
    <xf numFmtId="0" fontId="94" fillId="3" borderId="30" xfId="6465" applyFont="1" applyFill="1" applyBorder="1" applyAlignment="1" applyProtection="1">
      <alignment horizontal="center" vertical="top" wrapText="1"/>
      <protection hidden="1"/>
    </xf>
    <xf numFmtId="0" fontId="76" fillId="3" borderId="30" xfId="6465" applyFont="1" applyFill="1" applyBorder="1" applyAlignment="1" applyProtection="1">
      <alignment horizontal="center" vertical="top" wrapText="1"/>
      <protection hidden="1"/>
    </xf>
    <xf numFmtId="0" fontId="17" fillId="4" borderId="350" xfId="16065" applyFont="1" applyFill="1" applyBorder="1" applyAlignment="1" applyProtection="1">
      <alignment horizontal="left"/>
      <protection hidden="1"/>
    </xf>
    <xf numFmtId="0" fontId="123" fillId="4" borderId="351" xfId="16065" applyFont="1" applyFill="1" applyBorder="1" applyAlignment="1" applyProtection="1">
      <alignment horizontal="center"/>
      <protection hidden="1"/>
    </xf>
    <xf numFmtId="166" fontId="45" fillId="4" borderId="351" xfId="6465" applyNumberFormat="1" applyFont="1" applyFill="1" applyBorder="1" applyAlignment="1" applyProtection="1">
      <alignment horizontal="right"/>
      <protection hidden="1"/>
    </xf>
    <xf numFmtId="166" fontId="45" fillId="4" borderId="352" xfId="6465" applyNumberFormat="1" applyFont="1" applyFill="1" applyBorder="1" applyAlignment="1" applyProtection="1">
      <alignment horizontal="right"/>
      <protection hidden="1"/>
    </xf>
    <xf numFmtId="0" fontId="148" fillId="4" borderId="351" xfId="16065" applyFont="1" applyFill="1" applyBorder="1" applyAlignment="1" applyProtection="1">
      <alignment horizontal="center"/>
      <protection hidden="1"/>
    </xf>
    <xf numFmtId="0" fontId="130" fillId="3" borderId="351" xfId="16065" applyFont="1" applyFill="1" applyBorder="1" applyAlignment="1" applyProtection="1">
      <alignment horizontal="center"/>
      <protection hidden="1"/>
    </xf>
    <xf numFmtId="166" fontId="45" fillId="2" borderId="351" xfId="6465" applyNumberFormat="1" applyFont="1" applyFill="1" applyBorder="1" applyAlignment="1" applyProtection="1">
      <alignment horizontal="right"/>
      <protection hidden="1"/>
    </xf>
    <xf numFmtId="166" fontId="45" fillId="2" borderId="352" xfId="6465" applyNumberFormat="1" applyFont="1" applyFill="1" applyBorder="1" applyAlignment="1" applyProtection="1">
      <alignment horizontal="right"/>
      <protection hidden="1"/>
    </xf>
    <xf numFmtId="0" fontId="0" fillId="0" borderId="0" xfId="0" applyAlignment="1" applyProtection="1">
      <alignment horizontal="left" vertical="top"/>
      <protection hidden="1"/>
    </xf>
    <xf numFmtId="0" fontId="0" fillId="0" borderId="18" xfId="0" applyBorder="1" applyAlignment="1" applyProtection="1">
      <alignment horizontal="left" vertical="top"/>
      <protection hidden="1"/>
    </xf>
    <xf numFmtId="0" fontId="7" fillId="0" borderId="0" xfId="6465" applyAlignment="1" applyProtection="1">
      <alignment horizontal="right"/>
      <protection hidden="1"/>
    </xf>
    <xf numFmtId="0" fontId="7" fillId="0" borderId="18" xfId="6465" applyBorder="1" applyAlignment="1" applyProtection="1">
      <alignment horizontal="right"/>
      <protection hidden="1"/>
    </xf>
    <xf numFmtId="0" fontId="63" fillId="0" borderId="27" xfId="17414" applyFont="1" applyBorder="1" applyAlignment="1" applyProtection="1">
      <alignment horizontal="left"/>
      <protection hidden="1"/>
    </xf>
    <xf numFmtId="0" fontId="63" fillId="0" borderId="28" xfId="17414" applyFont="1" applyBorder="1" applyAlignment="1" applyProtection="1">
      <alignment horizontal="left"/>
      <protection hidden="1"/>
    </xf>
    <xf numFmtId="0" fontId="7" fillId="4" borderId="30" xfId="16065" applyFont="1" applyFill="1" applyBorder="1" applyAlignment="1" applyProtection="1">
      <alignment horizontal="left"/>
      <protection hidden="1"/>
    </xf>
    <xf numFmtId="0" fontId="7" fillId="4" borderId="27" xfId="16065" applyFont="1" applyFill="1" applyBorder="1" applyAlignment="1" applyProtection="1">
      <alignment horizontal="center"/>
      <protection hidden="1"/>
    </xf>
    <xf numFmtId="0" fontId="7" fillId="4" borderId="17" xfId="16065" applyFont="1" applyFill="1" applyBorder="1" applyAlignment="1" applyProtection="1">
      <alignment horizontal="center"/>
      <protection hidden="1"/>
    </xf>
    <xf numFmtId="0" fontId="7" fillId="4" borderId="0" xfId="16065" applyFont="1" applyFill="1" applyAlignment="1" applyProtection="1">
      <alignment horizontal="center"/>
      <protection hidden="1"/>
    </xf>
    <xf numFmtId="0" fontId="94" fillId="0" borderId="30" xfId="17414" applyFont="1" applyBorder="1" applyAlignment="1" applyProtection="1">
      <alignment horizontal="center" vertical="center" wrapText="1"/>
      <protection hidden="1"/>
    </xf>
    <xf numFmtId="0" fontId="76" fillId="0" borderId="30" xfId="17414" applyFont="1" applyBorder="1" applyAlignment="1" applyProtection="1">
      <alignment horizontal="center" vertical="center" wrapText="1"/>
      <protection hidden="1"/>
    </xf>
    <xf numFmtId="168" fontId="103" fillId="0" borderId="30" xfId="6465" applyNumberFormat="1" applyFont="1" applyBorder="1" applyAlignment="1" applyProtection="1">
      <alignment horizontal="center" vertical="center" wrapText="1"/>
      <protection hidden="1"/>
    </xf>
    <xf numFmtId="0" fontId="104" fillId="4" borderId="234" xfId="6465" applyFont="1" applyFill="1" applyBorder="1" applyAlignment="1" applyProtection="1">
      <alignment horizontal="left"/>
      <protection hidden="1"/>
    </xf>
    <xf numFmtId="0" fontId="104" fillId="4" borderId="235" xfId="6465" applyFont="1" applyFill="1" applyBorder="1" applyAlignment="1" applyProtection="1">
      <alignment horizontal="left"/>
      <protection hidden="1"/>
    </xf>
    <xf numFmtId="0" fontId="43" fillId="2" borderId="350" xfId="16065" applyFont="1" applyFill="1" applyBorder="1" applyAlignment="1" applyProtection="1">
      <alignment horizontal="left"/>
      <protection hidden="1"/>
    </xf>
    <xf numFmtId="0" fontId="63" fillId="0" borderId="30" xfId="16065" applyFont="1" applyBorder="1" applyAlignment="1" applyProtection="1">
      <alignment horizontal="left"/>
      <protection hidden="1"/>
    </xf>
    <xf numFmtId="0" fontId="7" fillId="0" borderId="482" xfId="17451" applyFont="1" applyBorder="1" applyAlignment="1" applyProtection="1">
      <alignment horizontal="center"/>
      <protection hidden="1"/>
    </xf>
    <xf numFmtId="0" fontId="7" fillId="0" borderId="423" xfId="17451" applyFont="1" applyBorder="1" applyAlignment="1" applyProtection="1">
      <alignment horizontal="center"/>
      <protection hidden="1"/>
    </xf>
    <xf numFmtId="0" fontId="55" fillId="9" borderId="17" xfId="0" applyFont="1" applyFill="1" applyBorder="1" applyAlignment="1" applyProtection="1">
      <alignment horizontal="left"/>
      <protection hidden="1"/>
    </xf>
    <xf numFmtId="0" fontId="7" fillId="4" borderId="482" xfId="6465" applyFill="1" applyBorder="1" applyAlignment="1" applyProtection="1">
      <alignment horizontal="center" wrapText="1"/>
      <protection hidden="1"/>
    </xf>
    <xf numFmtId="0" fontId="7" fillId="4" borderId="423" xfId="6465" applyFill="1" applyBorder="1" applyAlignment="1" applyProtection="1">
      <alignment horizontal="center" wrapText="1"/>
      <protection hidden="1"/>
    </xf>
    <xf numFmtId="0" fontId="55" fillId="9" borderId="0" xfId="0" applyFont="1" applyFill="1" applyAlignment="1" applyProtection="1">
      <alignment horizontal="left"/>
      <protection hidden="1"/>
    </xf>
    <xf numFmtId="0" fontId="123" fillId="4" borderId="27" xfId="6465" applyFont="1" applyFill="1" applyBorder="1" applyAlignment="1" applyProtection="1">
      <alignment horizontal="center"/>
      <protection hidden="1"/>
    </xf>
    <xf numFmtId="0" fontId="124" fillId="4" borderId="27" xfId="6465" applyFont="1" applyFill="1" applyBorder="1" applyAlignment="1" applyProtection="1">
      <alignment horizontal="center"/>
      <protection hidden="1"/>
    </xf>
    <xf numFmtId="0" fontId="17" fillId="0" borderId="0" xfId="16065" applyFont="1" applyAlignment="1" applyProtection="1">
      <alignment horizontal="center"/>
      <protection hidden="1"/>
    </xf>
    <xf numFmtId="0" fontId="104" fillId="4" borderId="186" xfId="6465" applyFont="1" applyFill="1" applyBorder="1" applyAlignment="1" applyProtection="1">
      <alignment horizontal="left"/>
      <protection hidden="1"/>
    </xf>
    <xf numFmtId="0" fontId="104" fillId="4" borderId="187" xfId="6465" applyFont="1" applyFill="1" applyBorder="1" applyAlignment="1" applyProtection="1">
      <alignment horizontal="left"/>
      <protection hidden="1"/>
    </xf>
    <xf numFmtId="0" fontId="7" fillId="4" borderId="307" xfId="16065" applyFont="1" applyFill="1" applyBorder="1" applyAlignment="1" applyProtection="1">
      <alignment horizontal="center" vertical="center" wrapText="1"/>
      <protection hidden="1"/>
    </xf>
    <xf numFmtId="0" fontId="7" fillId="4" borderId="308" xfId="16065" applyFont="1" applyFill="1" applyBorder="1" applyAlignment="1" applyProtection="1">
      <alignment horizontal="center" vertical="center" wrapText="1"/>
      <protection hidden="1"/>
    </xf>
    <xf numFmtId="0" fontId="7" fillId="4" borderId="0" xfId="16065" applyFont="1" applyFill="1" applyAlignment="1" applyProtection="1">
      <alignment horizontal="center" vertical="center" wrapText="1"/>
      <protection hidden="1"/>
    </xf>
    <xf numFmtId="0" fontId="7" fillId="4" borderId="87" xfId="16065" applyFont="1" applyFill="1" applyBorder="1" applyAlignment="1" applyProtection="1">
      <alignment horizontal="center" vertical="center" wrapText="1"/>
      <protection hidden="1"/>
    </xf>
    <xf numFmtId="0" fontId="7" fillId="4" borderId="309" xfId="16065" applyFont="1" applyFill="1" applyBorder="1" applyAlignment="1" applyProtection="1">
      <alignment horizontal="center" vertical="center" wrapText="1"/>
      <protection hidden="1"/>
    </xf>
    <xf numFmtId="0" fontId="7" fillId="4" borderId="44" xfId="16065" applyFont="1" applyFill="1" applyBorder="1" applyAlignment="1" applyProtection="1">
      <alignment horizontal="center" vertical="center" wrapText="1"/>
      <protection hidden="1"/>
    </xf>
    <xf numFmtId="0" fontId="7" fillId="4" borderId="193" xfId="6465" applyFill="1" applyBorder="1" applyAlignment="1" applyProtection="1">
      <alignment horizontal="left"/>
      <protection hidden="1"/>
    </xf>
    <xf numFmtId="0" fontId="75" fillId="4" borderId="194" xfId="6465" applyFont="1" applyFill="1" applyBorder="1" applyAlignment="1" applyProtection="1">
      <alignment horizontal="left"/>
      <protection hidden="1"/>
    </xf>
    <xf numFmtId="0" fontId="75" fillId="4" borderId="195" xfId="6465" applyFont="1" applyFill="1" applyBorder="1" applyAlignment="1" applyProtection="1">
      <alignment horizontal="left"/>
      <protection hidden="1"/>
    </xf>
    <xf numFmtId="168" fontId="7" fillId="4" borderId="27" xfId="6465" applyNumberFormat="1" applyFill="1" applyBorder="1" applyAlignment="1" applyProtection="1">
      <alignment horizontal="left"/>
      <protection hidden="1"/>
    </xf>
    <xf numFmtId="0" fontId="23" fillId="4" borderId="350" xfId="6465" applyFont="1" applyFill="1" applyBorder="1" applyAlignment="1" applyProtection="1">
      <alignment horizontal="left"/>
      <protection hidden="1"/>
    </xf>
    <xf numFmtId="0" fontId="204" fillId="4" borderId="30" xfId="16065" applyFont="1" applyFill="1" applyBorder="1" applyAlignment="1" applyProtection="1">
      <alignment horizontal="center"/>
      <protection hidden="1"/>
    </xf>
    <xf numFmtId="0" fontId="207" fillId="4" borderId="30" xfId="16065" applyFont="1" applyFill="1" applyBorder="1" applyAlignment="1" applyProtection="1">
      <alignment horizontal="center"/>
      <protection hidden="1"/>
    </xf>
    <xf numFmtId="0" fontId="102" fillId="0" borderId="322" xfId="69" applyFont="1" applyBorder="1" applyAlignment="1" applyProtection="1">
      <alignment horizontal="center" vertical="top" wrapText="1"/>
      <protection hidden="1"/>
    </xf>
    <xf numFmtId="0" fontId="307" fillId="0" borderId="328" xfId="69" applyFont="1" applyBorder="1" applyAlignment="1" applyProtection="1">
      <alignment horizontal="center" vertical="top" wrapText="1"/>
      <protection hidden="1"/>
    </xf>
    <xf numFmtId="2" fontId="14" fillId="4" borderId="0" xfId="16065" applyNumberFormat="1" applyFont="1" applyFill="1" applyAlignment="1" applyProtection="1">
      <alignment horizontal="right" textRotation="90"/>
      <protection hidden="1"/>
    </xf>
    <xf numFmtId="0" fontId="206" fillId="2" borderId="0" xfId="16065" applyFont="1" applyFill="1" applyAlignment="1" applyProtection="1">
      <alignment horizontal="center"/>
      <protection hidden="1"/>
    </xf>
    <xf numFmtId="168" fontId="7" fillId="4" borderId="389" xfId="6465" applyNumberFormat="1" applyFill="1" applyBorder="1" applyAlignment="1" applyProtection="1">
      <alignment horizontal="left" vertical="center"/>
      <protection hidden="1"/>
    </xf>
    <xf numFmtId="0" fontId="0" fillId="0" borderId="0" xfId="0" applyAlignment="1" applyProtection="1">
      <alignment vertical="center"/>
      <protection hidden="1"/>
    </xf>
    <xf numFmtId="0" fontId="116" fillId="4" borderId="84" xfId="6465" applyFont="1" applyFill="1" applyBorder="1" applyAlignment="1" applyProtection="1">
      <alignment horizontal="center"/>
      <protection hidden="1"/>
    </xf>
    <xf numFmtId="0" fontId="117" fillId="4" borderId="84" xfId="6465" applyFont="1" applyFill="1" applyBorder="1" applyAlignment="1" applyProtection="1">
      <alignment horizontal="center"/>
      <protection hidden="1"/>
    </xf>
    <xf numFmtId="0" fontId="118" fillId="4" borderId="84" xfId="6465" applyFont="1" applyFill="1" applyBorder="1" applyAlignment="1" applyProtection="1">
      <alignment horizontal="center"/>
      <protection hidden="1"/>
    </xf>
    <xf numFmtId="0" fontId="7" fillId="4" borderId="0" xfId="16065" applyFont="1" applyFill="1" applyAlignment="1" applyProtection="1">
      <alignment horizontal="left"/>
      <protection hidden="1"/>
    </xf>
    <xf numFmtId="0" fontId="97" fillId="5" borderId="350" xfId="17470" applyFont="1" applyFill="1" applyBorder="1" applyAlignment="1" applyProtection="1">
      <alignment horizontal="left"/>
      <protection locked="0"/>
    </xf>
    <xf numFmtId="0" fontId="97" fillId="5" borderId="351" xfId="17470" applyFont="1" applyFill="1" applyBorder="1" applyAlignment="1" applyProtection="1">
      <alignment horizontal="left"/>
      <protection locked="0"/>
    </xf>
    <xf numFmtId="0" fontId="97" fillId="5" borderId="352" xfId="17470" applyFont="1" applyFill="1" applyBorder="1" applyAlignment="1" applyProtection="1">
      <alignment horizontal="left"/>
      <protection locked="0"/>
    </xf>
    <xf numFmtId="0" fontId="52" fillId="4" borderId="350" xfId="6465" applyFont="1" applyFill="1" applyBorder="1" applyAlignment="1" applyProtection="1">
      <alignment horizontal="center" vertical="center" wrapText="1"/>
      <protection hidden="1"/>
    </xf>
    <xf numFmtId="0" fontId="7" fillId="0" borderId="351" xfId="0" applyFont="1" applyBorder="1" applyAlignment="1" applyProtection="1">
      <alignment horizontal="center" vertical="center"/>
      <protection hidden="1"/>
    </xf>
    <xf numFmtId="0" fontId="7" fillId="0" borderId="352" xfId="0" applyFont="1" applyBorder="1" applyAlignment="1" applyProtection="1">
      <alignment horizontal="center" vertical="center"/>
      <protection hidden="1"/>
    </xf>
    <xf numFmtId="168" fontId="7" fillId="4" borderId="388" xfId="6465" applyNumberFormat="1" applyFill="1" applyBorder="1" applyAlignment="1" applyProtection="1">
      <alignment horizontal="left" vertical="center"/>
      <protection hidden="1"/>
    </xf>
    <xf numFmtId="0" fontId="0" fillId="0" borderId="29" xfId="0" applyBorder="1" applyAlignment="1" applyProtection="1">
      <alignment vertical="center"/>
      <protection hidden="1"/>
    </xf>
    <xf numFmtId="0" fontId="63" fillId="4" borderId="30" xfId="16065" applyFont="1" applyFill="1" applyBorder="1" applyAlignment="1" applyProtection="1">
      <alignment horizontal="center"/>
      <protection hidden="1"/>
    </xf>
    <xf numFmtId="0" fontId="0" fillId="0" borderId="29" xfId="0" applyBorder="1" applyAlignment="1" applyProtection="1">
      <alignment horizontal="center"/>
      <protection hidden="1"/>
    </xf>
    <xf numFmtId="0" fontId="0" fillId="0" borderId="31" xfId="0" applyBorder="1" applyAlignment="1" applyProtection="1">
      <alignment horizontal="center"/>
      <protection hidden="1"/>
    </xf>
    <xf numFmtId="0" fontId="23" fillId="0" borderId="0" xfId="69" applyFont="1" applyAlignment="1" applyProtection="1">
      <alignment horizontal="center" vertical="top"/>
      <protection hidden="1"/>
    </xf>
    <xf numFmtId="2" fontId="23" fillId="4" borderId="0" xfId="16065" applyNumberFormat="1" applyFont="1" applyFill="1" applyAlignment="1" applyProtection="1">
      <alignment horizontal="center" vertical="top"/>
      <protection hidden="1"/>
    </xf>
    <xf numFmtId="0" fontId="17" fillId="4" borderId="350" xfId="6465" applyFont="1" applyFill="1" applyBorder="1" applyAlignment="1" applyProtection="1">
      <alignment horizontal="left"/>
      <protection hidden="1"/>
    </xf>
    <xf numFmtId="0" fontId="23" fillId="4" borderId="0" xfId="6465" applyFont="1" applyFill="1" applyAlignment="1" applyProtection="1">
      <alignment horizontal="left" vertical="top"/>
      <protection hidden="1"/>
    </xf>
    <xf numFmtId="0" fontId="23" fillId="2" borderId="0" xfId="6465" applyFont="1" applyFill="1" applyAlignment="1" applyProtection="1">
      <alignment horizontal="left" wrapText="1"/>
      <protection hidden="1"/>
    </xf>
    <xf numFmtId="0" fontId="103" fillId="2" borderId="186" xfId="6465" applyFont="1" applyFill="1" applyBorder="1" applyAlignment="1" applyProtection="1">
      <alignment horizontal="left" vertical="center"/>
      <protection hidden="1"/>
    </xf>
    <xf numFmtId="0" fontId="103" fillId="2" borderId="188" xfId="6465" applyFont="1" applyFill="1" applyBorder="1" applyAlignment="1" applyProtection="1">
      <alignment horizontal="left" vertical="center"/>
      <protection hidden="1"/>
    </xf>
    <xf numFmtId="0" fontId="7" fillId="4" borderId="185" xfId="0" applyFont="1" applyFill="1" applyBorder="1" applyAlignment="1" applyProtection="1">
      <alignment horizontal="left"/>
      <protection hidden="1"/>
    </xf>
    <xf numFmtId="1" fontId="7" fillId="4" borderId="30" xfId="6465" applyNumberFormat="1" applyFill="1" applyBorder="1" applyAlignment="1" applyProtection="1">
      <alignment horizontal="left"/>
      <protection hidden="1"/>
    </xf>
    <xf numFmtId="0" fontId="94" fillId="2" borderId="190" xfId="6465" applyFont="1" applyFill="1" applyBorder="1" applyAlignment="1" applyProtection="1">
      <alignment horizontal="left" vertical="center"/>
      <protection hidden="1"/>
    </xf>
    <xf numFmtId="0" fontId="94" fillId="2" borderId="192" xfId="6465" applyFont="1" applyFill="1" applyBorder="1" applyAlignment="1" applyProtection="1">
      <alignment horizontal="left" vertical="center"/>
      <protection hidden="1"/>
    </xf>
    <xf numFmtId="168" fontId="7" fillId="4" borderId="185" xfId="6465" applyNumberFormat="1" applyFill="1" applyBorder="1" applyAlignment="1" applyProtection="1">
      <alignment horizontal="left"/>
      <protection hidden="1"/>
    </xf>
    <xf numFmtId="0" fontId="76" fillId="2" borderId="0" xfId="6465" applyFont="1" applyFill="1" applyAlignment="1" applyProtection="1">
      <alignment horizontal="left" vertical="center"/>
      <protection hidden="1"/>
    </xf>
    <xf numFmtId="0" fontId="76" fillId="2" borderId="18" xfId="6465" applyFont="1" applyFill="1" applyBorder="1" applyAlignment="1" applyProtection="1">
      <alignment horizontal="left" vertical="center"/>
      <protection hidden="1"/>
    </xf>
    <xf numFmtId="1" fontId="17" fillId="4" borderId="189" xfId="6465" applyNumberFormat="1" applyFont="1" applyFill="1" applyBorder="1" applyAlignment="1" applyProtection="1">
      <alignment horizontal="left"/>
      <protection hidden="1"/>
    </xf>
    <xf numFmtId="0" fontId="62" fillId="3" borderId="0" xfId="6465" applyFont="1" applyFill="1" applyAlignment="1" applyProtection="1">
      <alignment horizontal="center"/>
      <protection hidden="1"/>
    </xf>
    <xf numFmtId="0" fontId="110" fillId="4" borderId="0" xfId="6465" applyFont="1" applyFill="1" applyAlignment="1" applyProtection="1">
      <alignment horizontal="right"/>
      <protection hidden="1"/>
    </xf>
    <xf numFmtId="0" fontId="111" fillId="50" borderId="0" xfId="6465" applyFont="1" applyFill="1" applyAlignment="1" applyProtection="1">
      <alignment horizontal="left" vertical="center" wrapText="1"/>
      <protection hidden="1"/>
    </xf>
    <xf numFmtId="0" fontId="291" fillId="4" borderId="0" xfId="16065" applyFont="1" applyFill="1" applyAlignment="1" applyProtection="1">
      <alignment horizontal="center" wrapText="1"/>
      <protection hidden="1"/>
    </xf>
    <xf numFmtId="0" fontId="7" fillId="4" borderId="0" xfId="16065" applyFont="1" applyFill="1" applyAlignment="1" applyProtection="1">
      <alignment horizontal="left" vertical="center"/>
      <protection hidden="1"/>
    </xf>
    <xf numFmtId="0" fontId="110" fillId="2" borderId="0" xfId="17436" applyFont="1" applyFill="1" applyAlignment="1" applyProtection="1">
      <alignment horizontal="center" vertical="top"/>
      <protection hidden="1"/>
    </xf>
    <xf numFmtId="0" fontId="25" fillId="0" borderId="0" xfId="69" applyFont="1" applyAlignment="1" applyProtection="1">
      <alignment horizontal="left"/>
    </xf>
    <xf numFmtId="0" fontId="310" fillId="50" borderId="0" xfId="17436" applyFont="1" applyFill="1" applyAlignment="1" applyProtection="1">
      <alignment horizontal="right" textRotation="90"/>
      <protection hidden="1"/>
    </xf>
    <xf numFmtId="0" fontId="61" fillId="3" borderId="0" xfId="6465" applyFont="1" applyFill="1" applyAlignment="1" applyProtection="1">
      <alignment horizontal="left"/>
      <protection hidden="1"/>
    </xf>
    <xf numFmtId="0" fontId="5" fillId="4" borderId="0" xfId="6465" applyFont="1" applyFill="1" applyAlignment="1" applyProtection="1">
      <alignment horizontal="center" vertical="top"/>
      <protection hidden="1"/>
    </xf>
    <xf numFmtId="0" fontId="55" fillId="9" borderId="17" xfId="17414" applyFont="1" applyFill="1" applyBorder="1" applyAlignment="1" applyProtection="1">
      <alignment horizontal="left"/>
      <protection hidden="1"/>
    </xf>
    <xf numFmtId="0" fontId="189" fillId="50" borderId="316" xfId="17436" applyFont="1" applyFill="1" applyBorder="1" applyAlignment="1" applyProtection="1">
      <alignment horizontal="left"/>
      <protection hidden="1"/>
    </xf>
    <xf numFmtId="0" fontId="111" fillId="50" borderId="323" xfId="6465" applyFont="1" applyFill="1" applyBorder="1" applyAlignment="1" applyProtection="1">
      <alignment horizontal="center" wrapText="1"/>
      <protection hidden="1"/>
    </xf>
    <xf numFmtId="0" fontId="111" fillId="50" borderId="324" xfId="6465" applyFont="1" applyFill="1" applyBorder="1" applyAlignment="1" applyProtection="1">
      <alignment horizontal="center" wrapText="1"/>
      <protection hidden="1"/>
    </xf>
    <xf numFmtId="0" fontId="111" fillId="0" borderId="323" xfId="17451" applyFont="1" applyBorder="1" applyAlignment="1" applyProtection="1">
      <alignment horizontal="center"/>
      <protection hidden="1"/>
    </xf>
    <xf numFmtId="0" fontId="111" fillId="0" borderId="324" xfId="17451" applyFont="1" applyBorder="1" applyAlignment="1" applyProtection="1">
      <alignment horizontal="center"/>
      <protection hidden="1"/>
    </xf>
    <xf numFmtId="1" fontId="111" fillId="50" borderId="314" xfId="17471" applyNumberFormat="1" applyFont="1" applyFill="1" applyBorder="1" applyAlignment="1" applyProtection="1">
      <alignment horizontal="left"/>
      <protection hidden="1"/>
    </xf>
    <xf numFmtId="1" fontId="111" fillId="50" borderId="319" xfId="17471" applyNumberFormat="1" applyFont="1" applyFill="1" applyBorder="1" applyAlignment="1" applyProtection="1">
      <alignment horizontal="left"/>
      <protection hidden="1"/>
    </xf>
    <xf numFmtId="1" fontId="111" fillId="50" borderId="317" xfId="17471" applyNumberFormat="1" applyFont="1" applyFill="1" applyBorder="1" applyAlignment="1" applyProtection="1">
      <alignment horizontal="left"/>
      <protection hidden="1"/>
    </xf>
    <xf numFmtId="0" fontId="111" fillId="50" borderId="319" xfId="6465" applyFont="1" applyFill="1" applyBorder="1" applyAlignment="1" applyProtection="1">
      <alignment horizontal="left"/>
      <protection hidden="1"/>
    </xf>
    <xf numFmtId="0" fontId="111" fillId="50" borderId="317" xfId="6465" applyFont="1" applyFill="1" applyBorder="1" applyAlignment="1" applyProtection="1">
      <alignment horizontal="left"/>
      <protection hidden="1"/>
    </xf>
    <xf numFmtId="0" fontId="7" fillId="42" borderId="367" xfId="17199" applyFont="1" applyFill="1" applyBorder="1" applyAlignment="1" applyProtection="1">
      <alignment horizontal="center" vertical="center" textRotation="90" wrapText="1"/>
      <protection hidden="1"/>
    </xf>
    <xf numFmtId="0" fontId="7" fillId="24" borderId="108" xfId="17436" applyFont="1" applyFill="1" applyBorder="1" applyAlignment="1" applyProtection="1">
      <alignment horizontal="center" vertical="center" textRotation="90" wrapText="1"/>
      <protection hidden="1"/>
    </xf>
    <xf numFmtId="0" fontId="7" fillId="25" borderId="108" xfId="17436" applyFont="1" applyFill="1" applyBorder="1" applyAlignment="1" applyProtection="1">
      <alignment horizontal="center" vertical="center" textRotation="90"/>
      <protection hidden="1"/>
    </xf>
    <xf numFmtId="0" fontId="94" fillId="0" borderId="29" xfId="17414" applyFont="1" applyBorder="1" applyAlignment="1" applyProtection="1">
      <alignment horizontal="center" vertical="center" wrapText="1"/>
      <protection hidden="1"/>
    </xf>
    <xf numFmtId="0" fontId="94" fillId="0" borderId="31" xfId="17414" applyFont="1" applyBorder="1" applyAlignment="1" applyProtection="1">
      <alignment horizontal="center" vertical="center" wrapText="1"/>
      <protection hidden="1"/>
    </xf>
    <xf numFmtId="0" fontId="94" fillId="0" borderId="27" xfId="17414" applyFont="1" applyBorder="1" applyAlignment="1" applyProtection="1">
      <alignment horizontal="center" vertical="center" wrapText="1"/>
      <protection hidden="1"/>
    </xf>
    <xf numFmtId="0" fontId="94" fillId="0" borderId="17" xfId="17414" applyFont="1" applyBorder="1" applyAlignment="1" applyProtection="1">
      <alignment horizontal="center" vertical="center" wrapText="1"/>
      <protection hidden="1"/>
    </xf>
    <xf numFmtId="0" fontId="94" fillId="0" borderId="28" xfId="17414" applyFont="1" applyBorder="1" applyAlignment="1" applyProtection="1">
      <alignment horizontal="center" vertical="center" wrapText="1"/>
      <protection hidden="1"/>
    </xf>
    <xf numFmtId="0" fontId="76" fillId="0" borderId="29" xfId="17414" applyFont="1" applyBorder="1" applyAlignment="1" applyProtection="1">
      <alignment horizontal="center" vertical="center" wrapText="1"/>
      <protection hidden="1"/>
    </xf>
    <xf numFmtId="0" fontId="76" fillId="0" borderId="31" xfId="17414" applyFont="1" applyBorder="1" applyAlignment="1" applyProtection="1">
      <alignment horizontal="center" vertical="center" wrapText="1"/>
      <protection hidden="1"/>
    </xf>
    <xf numFmtId="0" fontId="76" fillId="0" borderId="27" xfId="17414" applyFont="1" applyBorder="1" applyAlignment="1" applyProtection="1">
      <alignment horizontal="center" vertical="center" wrapText="1"/>
      <protection hidden="1"/>
    </xf>
    <xf numFmtId="0" fontId="76" fillId="0" borderId="17" xfId="17414" applyFont="1" applyBorder="1" applyAlignment="1" applyProtection="1">
      <alignment horizontal="center" vertical="center" wrapText="1"/>
      <protection hidden="1"/>
    </xf>
    <xf numFmtId="0" fontId="76" fillId="0" borderId="28" xfId="17414" applyFont="1" applyBorder="1" applyAlignment="1" applyProtection="1">
      <alignment horizontal="center" vertical="center" wrapText="1"/>
      <protection hidden="1"/>
    </xf>
    <xf numFmtId="0" fontId="94" fillId="0" borderId="30" xfId="6465" applyFont="1" applyBorder="1" applyAlignment="1" applyProtection="1">
      <alignment horizontal="center" vertical="top" wrapText="1"/>
      <protection hidden="1"/>
    </xf>
    <xf numFmtId="0" fontId="94" fillId="0" borderId="29" xfId="6465" applyFont="1" applyBorder="1" applyAlignment="1" applyProtection="1">
      <alignment horizontal="center" vertical="top" wrapText="1"/>
      <protection hidden="1"/>
    </xf>
    <xf numFmtId="0" fontId="94" fillId="0" borderId="31" xfId="6465" applyFont="1" applyBorder="1" applyAlignment="1" applyProtection="1">
      <alignment horizontal="center" vertical="top" wrapText="1"/>
      <protection hidden="1"/>
    </xf>
    <xf numFmtId="0" fontId="94" fillId="0" borderId="0" xfId="6465" applyFont="1" applyAlignment="1" applyProtection="1">
      <alignment horizontal="center" vertical="top" wrapText="1"/>
      <protection hidden="1"/>
    </xf>
    <xf numFmtId="0" fontId="94" fillId="0" borderId="18" xfId="6465" applyFont="1" applyBorder="1" applyAlignment="1" applyProtection="1">
      <alignment horizontal="center" vertical="top" wrapText="1"/>
      <protection hidden="1"/>
    </xf>
    <xf numFmtId="0" fontId="94" fillId="0" borderId="27" xfId="6465" applyFont="1" applyBorder="1" applyAlignment="1" applyProtection="1">
      <alignment horizontal="center" vertical="top" wrapText="1"/>
      <protection hidden="1"/>
    </xf>
    <xf numFmtId="0" fontId="94" fillId="0" borderId="17" xfId="6465" applyFont="1" applyBorder="1" applyAlignment="1" applyProtection="1">
      <alignment horizontal="center" vertical="top" wrapText="1"/>
      <protection hidden="1"/>
    </xf>
    <xf numFmtId="0" fontId="94" fillId="0" borderId="28" xfId="6465" applyFont="1" applyBorder="1" applyAlignment="1" applyProtection="1">
      <alignment horizontal="center" vertical="top" wrapText="1"/>
      <protection hidden="1"/>
    </xf>
    <xf numFmtId="0" fontId="76" fillId="0" borderId="30" xfId="6465" applyFont="1" applyBorder="1" applyAlignment="1" applyProtection="1">
      <alignment horizontal="center" vertical="top" wrapText="1"/>
      <protection hidden="1"/>
    </xf>
    <xf numFmtId="0" fontId="76" fillId="0" borderId="29" xfId="6465" applyFont="1" applyBorder="1" applyAlignment="1" applyProtection="1">
      <alignment horizontal="center" vertical="top" wrapText="1"/>
      <protection hidden="1"/>
    </xf>
    <xf numFmtId="0" fontId="76" fillId="0" borderId="31" xfId="6465" applyFont="1" applyBorder="1" applyAlignment="1" applyProtection="1">
      <alignment horizontal="center" vertical="top" wrapText="1"/>
      <protection hidden="1"/>
    </xf>
    <xf numFmtId="0" fontId="76" fillId="0" borderId="0" xfId="6465" applyFont="1" applyAlignment="1" applyProtection="1">
      <alignment horizontal="center" vertical="top" wrapText="1"/>
      <protection hidden="1"/>
    </xf>
    <xf numFmtId="0" fontId="76" fillId="0" borderId="18" xfId="6465" applyFont="1" applyBorder="1" applyAlignment="1" applyProtection="1">
      <alignment horizontal="center" vertical="top" wrapText="1"/>
      <protection hidden="1"/>
    </xf>
    <xf numFmtId="0" fontId="76" fillId="0" borderId="27" xfId="6465" applyFont="1" applyBorder="1" applyAlignment="1" applyProtection="1">
      <alignment horizontal="center" vertical="top" wrapText="1"/>
      <protection hidden="1"/>
    </xf>
    <xf numFmtId="0" fontId="76" fillId="0" borderId="17" xfId="6465" applyFont="1" applyBorder="1" applyAlignment="1" applyProtection="1">
      <alignment horizontal="center" vertical="top" wrapText="1"/>
      <protection hidden="1"/>
    </xf>
    <xf numFmtId="0" fontId="76" fillId="0" borderId="28" xfId="6465" applyFont="1" applyBorder="1" applyAlignment="1" applyProtection="1">
      <alignment horizontal="center" vertical="top" wrapText="1"/>
      <protection hidden="1"/>
    </xf>
    <xf numFmtId="0" fontId="7" fillId="4" borderId="18" xfId="6465" applyFill="1" applyBorder="1" applyAlignment="1" applyProtection="1">
      <alignment horizontal="left" wrapText="1"/>
      <protection hidden="1"/>
    </xf>
    <xf numFmtId="0" fontId="7" fillId="4" borderId="27" xfId="6465" applyFill="1" applyBorder="1" applyAlignment="1" applyProtection="1">
      <alignment horizontal="left" wrapText="1"/>
      <protection hidden="1"/>
    </xf>
    <xf numFmtId="0" fontId="7" fillId="4" borderId="17" xfId="6465" applyFill="1" applyBorder="1" applyAlignment="1" applyProtection="1">
      <alignment horizontal="left" wrapText="1"/>
      <protection hidden="1"/>
    </xf>
    <xf numFmtId="0" fontId="7" fillId="4" borderId="28" xfId="6465" applyFill="1" applyBorder="1" applyAlignment="1" applyProtection="1">
      <alignment horizontal="left" wrapText="1"/>
      <protection hidden="1"/>
    </xf>
    <xf numFmtId="0" fontId="17" fillId="3" borderId="27" xfId="6465" applyFont="1" applyFill="1" applyBorder="1" applyAlignment="1" applyProtection="1">
      <alignment horizontal="left"/>
      <protection hidden="1"/>
    </xf>
    <xf numFmtId="0" fontId="17" fillId="3" borderId="17" xfId="6465" applyFont="1" applyFill="1" applyBorder="1" applyAlignment="1" applyProtection="1">
      <alignment horizontal="left"/>
      <protection hidden="1"/>
    </xf>
    <xf numFmtId="0" fontId="17" fillId="3" borderId="28" xfId="6465" applyFont="1" applyFill="1" applyBorder="1" applyAlignment="1" applyProtection="1">
      <alignment horizontal="left"/>
      <protection hidden="1"/>
    </xf>
    <xf numFmtId="168" fontId="123" fillId="4" borderId="351" xfId="6465" applyNumberFormat="1" applyFont="1" applyFill="1" applyBorder="1" applyAlignment="1" applyProtection="1">
      <alignment horizontal="center"/>
      <protection hidden="1"/>
    </xf>
    <xf numFmtId="0" fontId="0" fillId="0" borderId="350" xfId="6465" applyFont="1" applyBorder="1" applyAlignment="1" applyProtection="1">
      <alignment horizontal="center"/>
      <protection hidden="1"/>
    </xf>
    <xf numFmtId="0" fontId="0" fillId="0" borderId="351" xfId="6465" applyFont="1" applyBorder="1" applyAlignment="1" applyProtection="1">
      <alignment horizontal="center"/>
      <protection hidden="1"/>
    </xf>
    <xf numFmtId="168" fontId="124" fillId="4" borderId="351" xfId="6465" applyNumberFormat="1" applyFont="1" applyFill="1" applyBorder="1" applyAlignment="1" applyProtection="1">
      <alignment horizontal="center"/>
      <protection hidden="1"/>
    </xf>
    <xf numFmtId="0" fontId="23" fillId="5" borderId="63" xfId="6465" applyFont="1" applyFill="1" applyBorder="1" applyAlignment="1" applyProtection="1">
      <alignment horizontal="left"/>
      <protection locked="0"/>
    </xf>
    <xf numFmtId="0" fontId="23" fillId="5" borderId="128" xfId="6465" applyFont="1" applyFill="1" applyBorder="1" applyAlignment="1" applyProtection="1">
      <alignment horizontal="left"/>
      <protection locked="0"/>
    </xf>
    <xf numFmtId="0" fontId="7" fillId="4" borderId="30" xfId="6465" applyFill="1" applyBorder="1" applyAlignment="1" applyProtection="1">
      <alignment horizontal="left"/>
      <protection hidden="1"/>
    </xf>
    <xf numFmtId="0" fontId="7" fillId="4" borderId="31" xfId="6465" applyFill="1" applyBorder="1" applyAlignment="1" applyProtection="1">
      <alignment horizontal="left"/>
      <protection hidden="1"/>
    </xf>
    <xf numFmtId="0" fontId="7" fillId="4" borderId="444" xfId="6465" applyFill="1" applyBorder="1" applyAlignment="1" applyProtection="1">
      <alignment horizontal="left"/>
      <protection hidden="1"/>
    </xf>
    <xf numFmtId="0" fontId="7" fillId="0" borderId="444" xfId="6465" applyBorder="1" applyAlignment="1" applyProtection="1">
      <alignment horizontal="left"/>
      <protection hidden="1"/>
    </xf>
    <xf numFmtId="0" fontId="141" fillId="3" borderId="27" xfId="69" applyFont="1" applyFill="1" applyBorder="1" applyAlignment="1" applyProtection="1">
      <alignment horizontal="left"/>
      <protection hidden="1"/>
    </xf>
    <xf numFmtId="0" fontId="141" fillId="3" borderId="28" xfId="69" applyFont="1" applyFill="1" applyBorder="1" applyAlignment="1" applyProtection="1">
      <alignment horizontal="left"/>
      <protection hidden="1"/>
    </xf>
    <xf numFmtId="0" fontId="145" fillId="0" borderId="0" xfId="69" applyFont="1" applyAlignment="1" applyProtection="1">
      <alignment vertical="center"/>
    </xf>
    <xf numFmtId="0" fontId="52" fillId="4" borderId="0" xfId="6465" applyFont="1" applyFill="1" applyAlignment="1" applyProtection="1">
      <alignment vertical="top" wrapText="1"/>
      <protection hidden="1"/>
    </xf>
    <xf numFmtId="0" fontId="52" fillId="3" borderId="17" xfId="17414" applyFont="1" applyFill="1" applyBorder="1" applyAlignment="1" applyProtection="1">
      <alignment horizontal="left"/>
      <protection hidden="1"/>
    </xf>
    <xf numFmtId="0" fontId="23" fillId="4" borderId="62" xfId="6465" applyFont="1" applyFill="1" applyBorder="1" applyAlignment="1" applyProtection="1">
      <alignment horizontal="left"/>
      <protection hidden="1"/>
    </xf>
    <xf numFmtId="0" fontId="23" fillId="4" borderId="63" xfId="6465" applyFont="1" applyFill="1" applyBorder="1" applyAlignment="1" applyProtection="1">
      <alignment horizontal="left"/>
      <protection hidden="1"/>
    </xf>
    <xf numFmtId="0" fontId="23" fillId="4" borderId="128" xfId="6465" applyFont="1" applyFill="1" applyBorder="1" applyAlignment="1" applyProtection="1">
      <alignment horizontal="left"/>
      <protection hidden="1"/>
    </xf>
    <xf numFmtId="0" fontId="33" fillId="4" borderId="0" xfId="17436" applyFont="1" applyFill="1" applyAlignment="1" applyProtection="1">
      <alignment horizontal="right"/>
      <protection hidden="1"/>
    </xf>
    <xf numFmtId="0" fontId="33" fillId="4" borderId="0" xfId="17436" applyFont="1" applyFill="1" applyAlignment="1" applyProtection="1">
      <alignment horizontal="center"/>
      <protection hidden="1"/>
    </xf>
    <xf numFmtId="0" fontId="305" fillId="0" borderId="0" xfId="6465" applyFont="1" applyAlignment="1" applyProtection="1">
      <alignment horizontal="left"/>
      <protection hidden="1"/>
    </xf>
    <xf numFmtId="0" fontId="7" fillId="4" borderId="0" xfId="6465" applyFill="1" applyAlignment="1" applyProtection="1">
      <alignment wrapText="1"/>
      <protection hidden="1"/>
    </xf>
    <xf numFmtId="0" fontId="23" fillId="4" borderId="1" xfId="6465" applyFont="1" applyFill="1" applyBorder="1" applyAlignment="1" applyProtection="1">
      <alignment horizontal="left"/>
      <protection hidden="1"/>
    </xf>
    <xf numFmtId="0" fontId="23" fillId="4" borderId="149" xfId="6465" applyFont="1" applyFill="1" applyBorder="1" applyAlignment="1" applyProtection="1">
      <alignment horizontal="left"/>
      <protection hidden="1"/>
    </xf>
    <xf numFmtId="0" fontId="23" fillId="4" borderId="96" xfId="6465" applyFont="1" applyFill="1" applyBorder="1" applyAlignment="1" applyProtection="1">
      <alignment horizontal="left"/>
      <protection hidden="1"/>
    </xf>
    <xf numFmtId="0" fontId="23" fillId="4" borderId="446" xfId="6465" applyFont="1" applyFill="1" applyBorder="1" applyAlignment="1" applyProtection="1">
      <alignment horizontal="left"/>
      <protection hidden="1"/>
    </xf>
    <xf numFmtId="0" fontId="23" fillId="4" borderId="447" xfId="6465" applyFont="1" applyFill="1" applyBorder="1" applyAlignment="1" applyProtection="1">
      <alignment horizontal="left"/>
      <protection hidden="1"/>
    </xf>
    <xf numFmtId="0" fontId="23" fillId="4" borderId="448" xfId="6465" applyFont="1" applyFill="1" applyBorder="1" applyAlignment="1" applyProtection="1">
      <alignment horizontal="left"/>
      <protection hidden="1"/>
    </xf>
    <xf numFmtId="0" fontId="55" fillId="2" borderId="0" xfId="16065" applyFont="1" applyFill="1" applyAlignment="1" applyProtection="1">
      <alignment horizontal="left" wrapText="1"/>
      <protection hidden="1"/>
    </xf>
    <xf numFmtId="0" fontId="25" fillId="0" borderId="29" xfId="69" applyFont="1" applyBorder="1" applyAlignment="1" applyProtection="1">
      <alignment horizontal="center" vertical="top" wrapText="1"/>
      <protection hidden="1"/>
    </xf>
    <xf numFmtId="0" fontId="25" fillId="0" borderId="0" xfId="69" applyFont="1" applyAlignment="1" applyProtection="1">
      <alignment horizontal="center" vertical="top" wrapText="1"/>
      <protection hidden="1"/>
    </xf>
    <xf numFmtId="0" fontId="305" fillId="4" borderId="0" xfId="6465" applyFont="1" applyFill="1" applyAlignment="1" applyProtection="1">
      <alignment horizontal="left" vertical="top" wrapText="1"/>
      <protection hidden="1"/>
    </xf>
    <xf numFmtId="0" fontId="0" fillId="3" borderId="0" xfId="17436" applyFont="1" applyFill="1" applyAlignment="1" applyProtection="1">
      <alignment horizontal="right"/>
      <protection hidden="1"/>
    </xf>
    <xf numFmtId="0" fontId="7" fillId="0" borderId="350" xfId="6465" applyBorder="1" applyAlignment="1" applyProtection="1">
      <alignment horizontal="right"/>
      <protection hidden="1"/>
    </xf>
    <xf numFmtId="0" fontId="7" fillId="0" borderId="351" xfId="6465" applyBorder="1" applyAlignment="1" applyProtection="1">
      <alignment horizontal="right"/>
      <protection hidden="1"/>
    </xf>
    <xf numFmtId="0" fontId="23" fillId="4" borderId="351" xfId="6465" applyFont="1" applyFill="1" applyBorder="1" applyAlignment="1" applyProtection="1">
      <alignment horizontal="left" wrapText="1"/>
      <protection hidden="1"/>
    </xf>
    <xf numFmtId="0" fontId="23" fillId="4" borderId="352" xfId="6465" applyFont="1" applyFill="1" applyBorder="1" applyAlignment="1" applyProtection="1">
      <alignment horizontal="left" wrapText="1"/>
      <protection hidden="1"/>
    </xf>
    <xf numFmtId="0" fontId="137" fillId="3" borderId="17" xfId="17436" applyFont="1" applyFill="1" applyBorder="1" applyAlignment="1" applyProtection="1">
      <alignment horizontal="left"/>
      <protection hidden="1"/>
    </xf>
    <xf numFmtId="0" fontId="137" fillId="3" borderId="0" xfId="17436" applyFont="1" applyFill="1" applyAlignment="1" applyProtection="1">
      <alignment horizontal="left"/>
      <protection hidden="1"/>
    </xf>
    <xf numFmtId="0" fontId="25" fillId="0" borderId="17" xfId="69" applyFont="1" applyBorder="1" applyAlignment="1" applyProtection="1">
      <alignment horizontal="center"/>
      <protection hidden="1"/>
    </xf>
    <xf numFmtId="0" fontId="141" fillId="3" borderId="0" xfId="6465" applyFont="1" applyFill="1" applyAlignment="1" applyProtection="1">
      <alignment horizontal="left" wrapText="1"/>
      <protection hidden="1"/>
    </xf>
    <xf numFmtId="0" fontId="7" fillId="2" borderId="351" xfId="16817" applyFont="1" applyFill="1" applyBorder="1" applyAlignment="1" applyProtection="1">
      <alignment horizontal="left"/>
      <protection hidden="1"/>
    </xf>
    <xf numFmtId="0" fontId="7" fillId="2" borderId="352" xfId="16817" applyFont="1" applyFill="1" applyBorder="1" applyAlignment="1" applyProtection="1">
      <alignment horizontal="left"/>
      <protection hidden="1"/>
    </xf>
    <xf numFmtId="2" fontId="7" fillId="3" borderId="351" xfId="6465" applyNumberFormat="1" applyFill="1" applyBorder="1" applyAlignment="1" applyProtection="1">
      <alignment horizontal="center"/>
      <protection hidden="1"/>
    </xf>
    <xf numFmtId="2" fontId="7" fillId="3" borderId="352" xfId="6465" applyNumberFormat="1" applyFill="1" applyBorder="1" applyAlignment="1" applyProtection="1">
      <alignment horizontal="center"/>
      <protection hidden="1"/>
    </xf>
    <xf numFmtId="0" fontId="52" fillId="3" borderId="0" xfId="6465" applyFont="1" applyFill="1" applyAlignment="1" applyProtection="1">
      <alignment horizontal="left"/>
      <protection hidden="1"/>
    </xf>
    <xf numFmtId="0" fontId="0" fillId="0" borderId="0" xfId="0" applyAlignment="1" applyProtection="1">
      <alignment horizontal="left"/>
      <protection hidden="1"/>
    </xf>
    <xf numFmtId="0" fontId="25" fillId="0" borderId="350" xfId="69" applyFont="1" applyBorder="1" applyAlignment="1" applyProtection="1">
      <alignment horizontal="left"/>
      <protection hidden="1"/>
    </xf>
    <xf numFmtId="0" fontId="25" fillId="0" borderId="351" xfId="69" applyFont="1" applyBorder="1" applyAlignment="1" applyProtection="1">
      <alignment horizontal="left"/>
      <protection hidden="1"/>
    </xf>
    <xf numFmtId="0" fontId="63" fillId="0" borderId="30" xfId="17436" applyFont="1" applyBorder="1" applyAlignment="1" applyProtection="1">
      <alignment horizontal="left"/>
      <protection hidden="1"/>
    </xf>
    <xf numFmtId="0" fontId="63" fillId="0" borderId="31" xfId="17436" applyFont="1" applyBorder="1" applyAlignment="1" applyProtection="1">
      <alignment horizontal="left"/>
      <protection hidden="1"/>
    </xf>
    <xf numFmtId="0" fontId="7" fillId="0" borderId="18" xfId="6465" applyBorder="1" applyAlignment="1" applyProtection="1">
      <alignment horizontal="left"/>
      <protection hidden="1"/>
    </xf>
    <xf numFmtId="0" fontId="17" fillId="14" borderId="30" xfId="6465" applyFont="1" applyFill="1" applyBorder="1" applyAlignment="1" applyProtection="1">
      <alignment horizontal="left"/>
      <protection hidden="1"/>
    </xf>
    <xf numFmtId="0" fontId="17" fillId="14" borderId="29" xfId="6465" applyFont="1" applyFill="1" applyBorder="1" applyAlignment="1" applyProtection="1">
      <alignment horizontal="left"/>
      <protection hidden="1"/>
    </xf>
    <xf numFmtId="0" fontId="17" fillId="14" borderId="31" xfId="6465" applyFont="1" applyFill="1" applyBorder="1" applyAlignment="1" applyProtection="1">
      <alignment horizontal="left"/>
      <protection hidden="1"/>
    </xf>
    <xf numFmtId="0" fontId="139" fillId="0" borderId="30" xfId="6465" applyFont="1" applyBorder="1" applyAlignment="1" applyProtection="1">
      <alignment horizontal="center"/>
      <protection hidden="1"/>
    </xf>
    <xf numFmtId="0" fontId="139" fillId="0" borderId="31" xfId="6465" applyFont="1" applyBorder="1" applyAlignment="1" applyProtection="1">
      <alignment horizontal="center"/>
      <protection hidden="1"/>
    </xf>
    <xf numFmtId="0" fontId="193" fillId="0" borderId="30" xfId="6465" applyFont="1" applyBorder="1" applyAlignment="1" applyProtection="1">
      <alignment horizontal="center"/>
      <protection hidden="1"/>
    </xf>
    <xf numFmtId="0" fontId="193" fillId="0" borderId="31" xfId="6465" applyFont="1" applyBorder="1" applyAlignment="1" applyProtection="1">
      <alignment horizontal="center"/>
      <protection hidden="1"/>
    </xf>
    <xf numFmtId="0" fontId="25" fillId="3" borderId="0" xfId="69" applyFont="1" applyFill="1" applyAlignment="1" applyProtection="1">
      <alignment horizontal="left"/>
      <protection hidden="1"/>
    </xf>
    <xf numFmtId="0" fontId="25" fillId="0" borderId="350" xfId="69" applyFont="1" applyBorder="1" applyAlignment="1" applyProtection="1"/>
    <xf numFmtId="0" fontId="25" fillId="0" borderId="351" xfId="69" applyFont="1" applyBorder="1" applyAlignment="1" applyProtection="1"/>
    <xf numFmtId="0" fontId="25" fillId="0" borderId="352" xfId="69" applyFont="1" applyBorder="1" applyAlignment="1" applyProtection="1"/>
    <xf numFmtId="0" fontId="7" fillId="4" borderId="27" xfId="6465" applyFill="1" applyBorder="1" applyAlignment="1" applyProtection="1">
      <alignment horizontal="left"/>
      <protection hidden="1"/>
    </xf>
    <xf numFmtId="0" fontId="7" fillId="4" borderId="28" xfId="6465" applyFill="1" applyBorder="1" applyAlignment="1" applyProtection="1">
      <alignment horizontal="left"/>
      <protection hidden="1"/>
    </xf>
    <xf numFmtId="168" fontId="7" fillId="0" borderId="0" xfId="6465" applyNumberFormat="1" applyAlignment="1" applyProtection="1">
      <alignment horizontal="center"/>
      <protection hidden="1"/>
    </xf>
    <xf numFmtId="168" fontId="7" fillId="0" borderId="18" xfId="6465" applyNumberFormat="1" applyBorder="1" applyAlignment="1" applyProtection="1">
      <alignment horizontal="center"/>
      <protection hidden="1"/>
    </xf>
    <xf numFmtId="0" fontId="7" fillId="0" borderId="17" xfId="6465" applyBorder="1" applyAlignment="1" applyProtection="1">
      <alignment horizontal="center"/>
      <protection hidden="1"/>
    </xf>
    <xf numFmtId="0" fontId="7" fillId="0" borderId="28" xfId="6465" applyBorder="1" applyAlignment="1" applyProtection="1">
      <alignment horizontal="center"/>
      <protection hidden="1"/>
    </xf>
    <xf numFmtId="0" fontId="92" fillId="3" borderId="350" xfId="17399" applyFont="1" applyFill="1" applyBorder="1" applyAlignment="1" applyProtection="1">
      <alignment horizontal="left"/>
      <protection hidden="1"/>
    </xf>
    <xf numFmtId="0" fontId="92" fillId="3" borderId="352" xfId="17399" applyFont="1" applyFill="1" applyBorder="1" applyAlignment="1" applyProtection="1">
      <alignment horizontal="left"/>
      <protection hidden="1"/>
    </xf>
    <xf numFmtId="0" fontId="52" fillId="4" borderId="30" xfId="6465" applyFont="1" applyFill="1" applyBorder="1" applyAlignment="1" applyProtection="1">
      <alignment horizontal="left"/>
      <protection hidden="1"/>
    </xf>
    <xf numFmtId="0" fontId="52" fillId="4" borderId="29" xfId="6465" applyFont="1" applyFill="1" applyBorder="1" applyAlignment="1" applyProtection="1">
      <alignment horizontal="left"/>
      <protection hidden="1"/>
    </xf>
    <xf numFmtId="0" fontId="52" fillId="4" borderId="31" xfId="6465" applyFont="1" applyFill="1" applyBorder="1" applyAlignment="1" applyProtection="1">
      <alignment horizontal="left"/>
      <protection hidden="1"/>
    </xf>
    <xf numFmtId="0" fontId="7" fillId="0" borderId="0" xfId="17436" applyFont="1" applyAlignment="1" applyProtection="1">
      <alignment horizontal="left"/>
      <protection hidden="1"/>
    </xf>
    <xf numFmtId="0" fontId="17" fillId="4" borderId="351" xfId="6465" applyFont="1" applyFill="1" applyBorder="1" applyAlignment="1" applyProtection="1">
      <alignment horizontal="left"/>
      <protection hidden="1"/>
    </xf>
    <xf numFmtId="0" fontId="17" fillId="4" borderId="352" xfId="6465" applyFont="1" applyFill="1" applyBorder="1" applyAlignment="1" applyProtection="1">
      <alignment horizontal="left"/>
      <protection hidden="1"/>
    </xf>
    <xf numFmtId="1" fontId="7" fillId="4" borderId="29" xfId="6465" applyNumberFormat="1" applyFill="1" applyBorder="1" applyAlignment="1" applyProtection="1">
      <alignment horizontal="left"/>
      <protection hidden="1"/>
    </xf>
    <xf numFmtId="1" fontId="7" fillId="4" borderId="31" xfId="6465" applyNumberFormat="1" applyFill="1" applyBorder="1" applyAlignment="1" applyProtection="1">
      <alignment horizontal="left"/>
      <protection hidden="1"/>
    </xf>
    <xf numFmtId="0" fontId="7" fillId="4" borderId="30" xfId="8678" applyFont="1" applyFill="1" applyBorder="1" applyAlignment="1" applyProtection="1">
      <alignment horizontal="left" vertical="top" wrapText="1"/>
      <protection hidden="1"/>
    </xf>
    <xf numFmtId="0" fontId="7" fillId="4" borderId="29" xfId="8678" applyFont="1" applyFill="1" applyBorder="1" applyAlignment="1" applyProtection="1">
      <alignment horizontal="left" vertical="top" wrapText="1"/>
      <protection hidden="1"/>
    </xf>
    <xf numFmtId="0" fontId="7" fillId="4" borderId="31" xfId="8678" applyFont="1" applyFill="1" applyBorder="1" applyAlignment="1" applyProtection="1">
      <alignment horizontal="left" vertical="top" wrapText="1"/>
      <protection hidden="1"/>
    </xf>
    <xf numFmtId="0" fontId="7" fillId="4" borderId="0" xfId="8678" applyFont="1" applyFill="1" applyAlignment="1" applyProtection="1">
      <alignment horizontal="left" vertical="top" wrapText="1"/>
      <protection hidden="1"/>
    </xf>
    <xf numFmtId="0" fontId="7" fillId="4" borderId="18" xfId="8678" applyFont="1" applyFill="1" applyBorder="1" applyAlignment="1" applyProtection="1">
      <alignment horizontal="left" vertical="top" wrapText="1"/>
      <protection hidden="1"/>
    </xf>
    <xf numFmtId="0" fontId="7" fillId="4" borderId="27" xfId="8678" applyFont="1" applyFill="1" applyBorder="1" applyAlignment="1" applyProtection="1">
      <alignment horizontal="left" vertical="top" wrapText="1"/>
      <protection hidden="1"/>
    </xf>
    <xf numFmtId="0" fontId="7" fillId="4" borderId="17" xfId="8678" applyFont="1" applyFill="1" applyBorder="1" applyAlignment="1" applyProtection="1">
      <alignment horizontal="left" vertical="top" wrapText="1"/>
      <protection hidden="1"/>
    </xf>
    <xf numFmtId="0" fontId="7" fillId="4" borderId="28" xfId="8678" applyFont="1" applyFill="1" applyBorder="1" applyAlignment="1" applyProtection="1">
      <alignment horizontal="left" vertical="top" wrapText="1"/>
      <protection hidden="1"/>
    </xf>
    <xf numFmtId="0" fontId="7" fillId="4" borderId="18" xfId="6465" applyFill="1" applyBorder="1" applyAlignment="1" applyProtection="1">
      <alignment horizontal="center"/>
      <protection hidden="1"/>
    </xf>
    <xf numFmtId="0" fontId="7" fillId="4" borderId="28" xfId="6465" applyFill="1" applyBorder="1" applyAlignment="1" applyProtection="1">
      <alignment horizontal="center"/>
      <protection hidden="1"/>
    </xf>
    <xf numFmtId="0" fontId="182" fillId="4" borderId="30" xfId="16065" applyFont="1" applyFill="1" applyBorder="1" applyAlignment="1" applyProtection="1">
      <alignment horizontal="center" vertical="center"/>
      <protection hidden="1"/>
    </xf>
    <xf numFmtId="0" fontId="182" fillId="4" borderId="29" xfId="16065" applyFont="1" applyFill="1" applyBorder="1" applyAlignment="1" applyProtection="1">
      <alignment horizontal="center" vertical="center"/>
      <protection hidden="1"/>
    </xf>
    <xf numFmtId="0" fontId="182" fillId="4" borderId="0" xfId="16065" applyFont="1" applyFill="1" applyAlignment="1" applyProtection="1">
      <alignment horizontal="center" vertical="center"/>
      <protection hidden="1"/>
    </xf>
    <xf numFmtId="0" fontId="183" fillId="2" borderId="30" xfId="16065" applyFont="1" applyFill="1" applyBorder="1" applyAlignment="1" applyProtection="1">
      <alignment horizontal="center" vertical="center"/>
      <protection hidden="1"/>
    </xf>
    <xf numFmtId="0" fontId="183" fillId="2" borderId="29" xfId="16065" applyFont="1" applyFill="1" applyBorder="1" applyAlignment="1" applyProtection="1">
      <alignment horizontal="center" vertical="center"/>
      <protection hidden="1"/>
    </xf>
    <xf numFmtId="0" fontId="183" fillId="2" borderId="31" xfId="16065" applyFont="1" applyFill="1" applyBorder="1" applyAlignment="1" applyProtection="1">
      <alignment horizontal="center" vertical="center"/>
      <protection hidden="1"/>
    </xf>
    <xf numFmtId="0" fontId="183" fillId="2" borderId="0" xfId="16065" applyFont="1" applyFill="1" applyAlignment="1" applyProtection="1">
      <alignment horizontal="center" vertical="center"/>
      <protection hidden="1"/>
    </xf>
    <xf numFmtId="0" fontId="183" fillId="2" borderId="18" xfId="16065" applyFont="1" applyFill="1" applyBorder="1" applyAlignment="1" applyProtection="1">
      <alignment horizontal="center" vertical="center"/>
      <protection hidden="1"/>
    </xf>
    <xf numFmtId="0" fontId="94" fillId="2" borderId="58" xfId="6465" applyFont="1" applyFill="1" applyBorder="1" applyAlignment="1" applyProtection="1">
      <alignment horizontal="left"/>
      <protection hidden="1"/>
    </xf>
    <xf numFmtId="0" fontId="94" fillId="2" borderId="59" xfId="6465" applyFont="1" applyFill="1" applyBorder="1" applyAlignment="1" applyProtection="1">
      <alignment horizontal="left"/>
      <protection hidden="1"/>
    </xf>
    <xf numFmtId="168" fontId="7" fillId="4" borderId="15" xfId="6465" applyNumberFormat="1" applyFill="1" applyBorder="1" applyAlignment="1" applyProtection="1">
      <alignment horizontal="left"/>
      <protection hidden="1"/>
    </xf>
    <xf numFmtId="168" fontId="7" fillId="4" borderId="39" xfId="6465" applyNumberFormat="1" applyFill="1" applyBorder="1" applyAlignment="1" applyProtection="1">
      <alignment horizontal="left"/>
      <protection hidden="1"/>
    </xf>
    <xf numFmtId="168" fontId="7" fillId="4" borderId="41" xfId="6465" applyNumberFormat="1" applyFill="1" applyBorder="1" applyAlignment="1" applyProtection="1">
      <alignment horizontal="left"/>
      <protection hidden="1"/>
    </xf>
    <xf numFmtId="0" fontId="76" fillId="2" borderId="0" xfId="6465" applyFont="1" applyFill="1" applyAlignment="1" applyProtection="1">
      <alignment horizontal="left"/>
      <protection hidden="1"/>
    </xf>
    <xf numFmtId="0" fontId="76" fillId="2" borderId="18" xfId="6465" applyFont="1" applyFill="1" applyBorder="1" applyAlignment="1" applyProtection="1">
      <alignment horizontal="left"/>
      <protection hidden="1"/>
    </xf>
    <xf numFmtId="1" fontId="17" fillId="4" borderId="9" xfId="6465" applyNumberFormat="1" applyFont="1" applyFill="1" applyBorder="1" applyAlignment="1" applyProtection="1">
      <alignment horizontal="left"/>
      <protection hidden="1"/>
    </xf>
    <xf numFmtId="1" fontId="17" fillId="4" borderId="58" xfId="6465" applyNumberFormat="1" applyFont="1" applyFill="1" applyBorder="1" applyAlignment="1" applyProtection="1">
      <alignment horizontal="left"/>
      <protection hidden="1"/>
    </xf>
    <xf numFmtId="1" fontId="17" fillId="4" borderId="59" xfId="6465" applyNumberFormat="1" applyFont="1" applyFill="1" applyBorder="1" applyAlignment="1" applyProtection="1">
      <alignment horizontal="left"/>
      <protection hidden="1"/>
    </xf>
    <xf numFmtId="0" fontId="164" fillId="21" borderId="15" xfId="6465" applyFont="1" applyFill="1" applyBorder="1" applyAlignment="1">
      <alignment horizontal="center"/>
    </xf>
    <xf numFmtId="0" fontId="164" fillId="21" borderId="39" xfId="6465" applyFont="1" applyFill="1" applyBorder="1" applyAlignment="1">
      <alignment horizontal="center"/>
    </xf>
    <xf numFmtId="0" fontId="164" fillId="21" borderId="41" xfId="6465" applyFont="1" applyFill="1" applyBorder="1" applyAlignment="1">
      <alignment horizontal="center"/>
    </xf>
    <xf numFmtId="168" fontId="7" fillId="4" borderId="0" xfId="6465" applyNumberFormat="1" applyFill="1" applyAlignment="1" applyProtection="1">
      <alignment horizontal="left"/>
      <protection hidden="1"/>
    </xf>
    <xf numFmtId="168" fontId="7" fillId="4" borderId="18" xfId="6465" applyNumberFormat="1" applyFill="1" applyBorder="1" applyAlignment="1" applyProtection="1">
      <alignment horizontal="left"/>
      <protection hidden="1"/>
    </xf>
    <xf numFmtId="0" fontId="102" fillId="0" borderId="61" xfId="69" applyFont="1" applyBorder="1" applyAlignment="1" applyProtection="1">
      <alignment horizontal="center" wrapText="1"/>
      <protection hidden="1"/>
    </xf>
    <xf numFmtId="0" fontId="77" fillId="3" borderId="159" xfId="6465" applyFont="1" applyFill="1" applyBorder="1" applyAlignment="1" applyProtection="1">
      <alignment horizontal="left"/>
      <protection hidden="1"/>
    </xf>
    <xf numFmtId="0" fontId="77" fillId="3" borderId="160" xfId="6465" applyFont="1" applyFill="1" applyBorder="1" applyAlignment="1" applyProtection="1">
      <alignment horizontal="left"/>
      <protection hidden="1"/>
    </xf>
    <xf numFmtId="168" fontId="7" fillId="4" borderId="17" xfId="6465" applyNumberFormat="1" applyFill="1" applyBorder="1" applyAlignment="1" applyProtection="1">
      <alignment horizontal="left"/>
      <protection hidden="1"/>
    </xf>
    <xf numFmtId="168" fontId="7" fillId="4" borderId="28" xfId="6465" applyNumberFormat="1" applyFill="1" applyBorder="1" applyAlignment="1" applyProtection="1">
      <alignment horizontal="left"/>
      <protection hidden="1"/>
    </xf>
    <xf numFmtId="0" fontId="32" fillId="3" borderId="17" xfId="6465" applyFont="1" applyFill="1" applyBorder="1" applyAlignment="1">
      <alignment horizontal="center"/>
    </xf>
    <xf numFmtId="0" fontId="110" fillId="2" borderId="0" xfId="6465" applyFont="1" applyFill="1" applyAlignment="1" applyProtection="1">
      <alignment horizontal="right"/>
      <protection hidden="1"/>
    </xf>
    <xf numFmtId="0" fontId="96" fillId="4" borderId="0" xfId="6465" applyFont="1" applyFill="1" applyAlignment="1" applyProtection="1">
      <alignment horizontal="left"/>
      <protection hidden="1"/>
    </xf>
    <xf numFmtId="0" fontId="232" fillId="50" borderId="316" xfId="4660" applyFont="1" applyFill="1" applyBorder="1" applyAlignment="1" applyProtection="1">
      <alignment horizontal="left" vertical="top"/>
      <protection hidden="1"/>
    </xf>
    <xf numFmtId="0" fontId="52" fillId="0" borderId="0" xfId="17436" applyFont="1" applyAlignment="1" applyProtection="1">
      <alignment horizontal="center"/>
      <protection hidden="1"/>
    </xf>
    <xf numFmtId="0" fontId="111" fillId="0" borderId="314" xfId="4660" applyFont="1" applyBorder="1" applyAlignment="1" applyProtection="1">
      <alignment horizontal="left"/>
      <protection hidden="1"/>
    </xf>
    <xf numFmtId="0" fontId="111" fillId="0" borderId="317" xfId="4660" applyFont="1" applyBorder="1" applyAlignment="1" applyProtection="1">
      <alignment horizontal="left"/>
      <protection hidden="1"/>
    </xf>
    <xf numFmtId="0" fontId="76" fillId="50" borderId="314" xfId="4660" applyFont="1" applyFill="1" applyBorder="1" applyAlignment="1" applyProtection="1">
      <alignment horizontal="left"/>
      <protection hidden="1"/>
    </xf>
    <xf numFmtId="0" fontId="76" fillId="50" borderId="319" xfId="4660" applyFont="1" applyFill="1" applyBorder="1" applyAlignment="1" applyProtection="1">
      <alignment horizontal="left"/>
      <protection hidden="1"/>
    </xf>
    <xf numFmtId="0" fontId="76" fillId="50" borderId="317" xfId="4660" applyFont="1" applyFill="1" applyBorder="1" applyAlignment="1" applyProtection="1">
      <alignment horizontal="left"/>
      <protection hidden="1"/>
    </xf>
    <xf numFmtId="0" fontId="339" fillId="2" borderId="0" xfId="6465" applyFont="1" applyFill="1" applyAlignment="1" applyProtection="1">
      <alignment horizontal="center" wrapText="1"/>
      <protection hidden="1"/>
    </xf>
    <xf numFmtId="0" fontId="7" fillId="3" borderId="29" xfId="17436" applyFont="1" applyFill="1" applyBorder="1" applyAlignment="1" applyProtection="1">
      <alignment horizontal="left"/>
      <protection hidden="1"/>
    </xf>
    <xf numFmtId="0" fontId="63" fillId="4" borderId="30" xfId="16065" applyFont="1" applyFill="1" applyBorder="1" applyAlignment="1" applyProtection="1">
      <alignment horizontal="left" wrapText="1"/>
      <protection hidden="1"/>
    </xf>
    <xf numFmtId="0" fontId="63" fillId="4" borderId="29" xfId="16065" applyFont="1" applyFill="1" applyBorder="1" applyAlignment="1" applyProtection="1">
      <alignment horizontal="left" wrapText="1"/>
      <protection hidden="1"/>
    </xf>
    <xf numFmtId="0" fontId="63" fillId="4" borderId="31" xfId="16065" applyFont="1" applyFill="1" applyBorder="1" applyAlignment="1" applyProtection="1">
      <alignment horizontal="left" wrapText="1"/>
      <protection hidden="1"/>
    </xf>
    <xf numFmtId="0" fontId="111" fillId="50" borderId="314" xfId="16065" applyFont="1" applyFill="1" applyBorder="1" applyAlignment="1" applyProtection="1">
      <alignment horizontal="left"/>
      <protection hidden="1"/>
    </xf>
    <xf numFmtId="0" fontId="111" fillId="50" borderId="317" xfId="16065" applyFont="1" applyFill="1" applyBorder="1" applyAlignment="1" applyProtection="1">
      <alignment horizontal="left"/>
      <protection hidden="1"/>
    </xf>
    <xf numFmtId="0" fontId="7" fillId="3" borderId="0" xfId="17436" applyFont="1" applyFill="1" applyAlignment="1" applyProtection="1">
      <alignment horizontal="left"/>
      <protection hidden="1"/>
    </xf>
    <xf numFmtId="0" fontId="116" fillId="4" borderId="27" xfId="6465" applyFont="1" applyFill="1" applyBorder="1" applyAlignment="1" applyProtection="1">
      <alignment horizontal="center"/>
      <protection hidden="1"/>
    </xf>
    <xf numFmtId="0" fontId="116" fillId="4" borderId="28" xfId="6465" applyFont="1" applyFill="1" applyBorder="1" applyAlignment="1" applyProtection="1">
      <alignment horizontal="center"/>
      <protection hidden="1"/>
    </xf>
    <xf numFmtId="0" fontId="117" fillId="4" borderId="27" xfId="6465" applyFont="1" applyFill="1" applyBorder="1" applyAlignment="1" applyProtection="1">
      <alignment horizontal="center"/>
      <protection hidden="1"/>
    </xf>
    <xf numFmtId="0" fontId="117" fillId="4" borderId="17" xfId="6465" applyFont="1" applyFill="1" applyBorder="1" applyAlignment="1" applyProtection="1">
      <alignment horizontal="center"/>
      <protection hidden="1"/>
    </xf>
    <xf numFmtId="0" fontId="118" fillId="4" borderId="17" xfId="6465" applyFont="1" applyFill="1" applyBorder="1" applyAlignment="1" applyProtection="1">
      <alignment horizontal="center"/>
      <protection hidden="1"/>
    </xf>
    <xf numFmtId="0" fontId="118" fillId="4" borderId="28" xfId="6465" applyFont="1" applyFill="1" applyBorder="1" applyAlignment="1" applyProtection="1">
      <alignment horizontal="center"/>
      <protection hidden="1"/>
    </xf>
    <xf numFmtId="2" fontId="16" fillId="2" borderId="0" xfId="16065" applyNumberFormat="1" applyFont="1" applyFill="1" applyAlignment="1" applyProtection="1">
      <alignment horizontal="center" vertical="top"/>
      <protection hidden="1"/>
    </xf>
    <xf numFmtId="1" fontId="111" fillId="50" borderId="314" xfId="16065" applyNumberFormat="1" applyFont="1" applyFill="1" applyBorder="1" applyAlignment="1" applyProtection="1">
      <alignment horizontal="left"/>
      <protection hidden="1"/>
    </xf>
    <xf numFmtId="1" fontId="111" fillId="50" borderId="319" xfId="16065" applyNumberFormat="1" applyFont="1" applyFill="1" applyBorder="1" applyAlignment="1" applyProtection="1">
      <alignment horizontal="left"/>
      <protection hidden="1"/>
    </xf>
    <xf numFmtId="0" fontId="23" fillId="4" borderId="0" xfId="17436" applyFont="1" applyFill="1" applyAlignment="1" applyProtection="1">
      <alignment horizontal="right"/>
      <protection hidden="1"/>
    </xf>
    <xf numFmtId="1" fontId="111" fillId="50" borderId="317" xfId="16065" applyNumberFormat="1" applyFont="1" applyFill="1" applyBorder="1" applyAlignment="1" applyProtection="1">
      <alignment horizontal="left"/>
      <protection hidden="1"/>
    </xf>
    <xf numFmtId="0" fontId="0" fillId="0" borderId="351" xfId="0" applyBorder="1" applyAlignment="1" applyProtection="1">
      <alignment horizontal="left"/>
      <protection locked="0"/>
    </xf>
    <xf numFmtId="0" fontId="0" fillId="0" borderId="352" xfId="0" applyBorder="1" applyAlignment="1" applyProtection="1">
      <alignment horizontal="left"/>
      <protection locked="0"/>
    </xf>
    <xf numFmtId="0" fontId="55" fillId="4" borderId="350" xfId="6465" applyFont="1" applyFill="1" applyBorder="1" applyAlignment="1" applyProtection="1">
      <alignment horizontal="center" wrapText="1"/>
      <protection hidden="1"/>
    </xf>
    <xf numFmtId="0" fontId="55" fillId="4" borderId="351" xfId="6465" applyFont="1" applyFill="1" applyBorder="1" applyAlignment="1" applyProtection="1">
      <alignment horizontal="center" wrapText="1"/>
      <protection hidden="1"/>
    </xf>
    <xf numFmtId="0" fontId="55" fillId="4" borderId="352" xfId="6465" applyFont="1" applyFill="1" applyBorder="1" applyAlignment="1" applyProtection="1">
      <alignment horizontal="center" wrapText="1"/>
      <protection hidden="1"/>
    </xf>
    <xf numFmtId="168" fontId="7" fillId="4" borderId="0" xfId="6465" applyNumberFormat="1" applyFill="1" applyAlignment="1" applyProtection="1">
      <alignment horizontal="left" wrapText="1"/>
      <protection hidden="1"/>
    </xf>
    <xf numFmtId="0" fontId="45" fillId="2" borderId="0" xfId="6465" applyFont="1" applyFill="1" applyAlignment="1" applyProtection="1">
      <alignment horizontal="left" vertical="center"/>
      <protection hidden="1"/>
    </xf>
    <xf numFmtId="0" fontId="45" fillId="2" borderId="0" xfId="4660" applyFont="1" applyFill="1" applyAlignment="1" applyProtection="1">
      <alignment horizontal="right" vertical="center"/>
      <protection hidden="1"/>
    </xf>
    <xf numFmtId="0" fontId="45" fillId="2" borderId="0" xfId="6465" applyFont="1" applyFill="1" applyAlignment="1" applyProtection="1">
      <alignment horizontal="right" vertical="center"/>
      <protection hidden="1"/>
    </xf>
    <xf numFmtId="0" fontId="305" fillId="4" borderId="0" xfId="6465" applyFont="1" applyFill="1" applyAlignment="1" applyProtection="1">
      <alignment horizontal="center"/>
      <protection hidden="1"/>
    </xf>
    <xf numFmtId="0" fontId="311" fillId="2" borderId="0" xfId="17436" applyFont="1" applyFill="1" applyAlignment="1" applyProtection="1">
      <alignment horizontal="left"/>
      <protection hidden="1"/>
    </xf>
    <xf numFmtId="0" fontId="7" fillId="4" borderId="0" xfId="12913" applyNumberFormat="1" applyFont="1" applyFill="1" applyAlignment="1" applyProtection="1">
      <alignment vertical="center" wrapText="1"/>
      <protection hidden="1"/>
    </xf>
    <xf numFmtId="2" fontId="23" fillId="4" borderId="17" xfId="6465" applyNumberFormat="1" applyFont="1" applyFill="1" applyBorder="1" applyAlignment="1" applyProtection="1">
      <alignment horizontal="left"/>
      <protection hidden="1"/>
    </xf>
    <xf numFmtId="0" fontId="123" fillId="4" borderId="17" xfId="6465" applyFont="1" applyFill="1" applyBorder="1" applyAlignment="1" applyProtection="1">
      <alignment horizontal="center"/>
      <protection hidden="1"/>
    </xf>
    <xf numFmtId="0" fontId="124" fillId="4" borderId="17" xfId="6465" applyFont="1" applyFill="1" applyBorder="1" applyAlignment="1" applyProtection="1">
      <alignment horizontal="center"/>
      <protection hidden="1"/>
    </xf>
    <xf numFmtId="0" fontId="124" fillId="4" borderId="28" xfId="6465" applyFont="1" applyFill="1" applyBorder="1" applyAlignment="1" applyProtection="1">
      <alignment horizontal="center"/>
      <protection hidden="1"/>
    </xf>
    <xf numFmtId="0" fontId="17" fillId="0" borderId="0" xfId="6465" applyFont="1" applyAlignment="1" applyProtection="1">
      <alignment horizontal="center"/>
      <protection hidden="1"/>
    </xf>
    <xf numFmtId="0" fontId="5" fillId="3" borderId="367" xfId="17436" applyFont="1" applyFill="1" applyBorder="1" applyAlignment="1" applyProtection="1">
      <alignment horizontal="center" wrapText="1"/>
      <protection hidden="1"/>
    </xf>
    <xf numFmtId="0" fontId="111" fillId="50" borderId="310" xfId="17436" applyFont="1" applyFill="1" applyBorder="1" applyAlignment="1" applyProtection="1">
      <alignment horizontal="center" vertical="center" wrapText="1"/>
      <protection hidden="1"/>
    </xf>
    <xf numFmtId="0" fontId="111" fillId="50" borderId="0" xfId="17436" applyFont="1" applyFill="1" applyAlignment="1" applyProtection="1">
      <alignment horizontal="center" vertical="center" wrapText="1"/>
      <protection hidden="1"/>
    </xf>
    <xf numFmtId="0" fontId="111" fillId="50" borderId="306" xfId="6465" applyFont="1" applyFill="1" applyBorder="1" applyAlignment="1" applyProtection="1">
      <alignment horizontal="left" wrapText="1"/>
      <protection hidden="1"/>
    </xf>
    <xf numFmtId="0" fontId="7" fillId="4" borderId="350" xfId="6465" applyFill="1" applyBorder="1" applyAlignment="1" applyProtection="1">
      <alignment horizontal="left" wrapText="1"/>
      <protection hidden="1"/>
    </xf>
    <xf numFmtId="0" fontId="309" fillId="50" borderId="311" xfId="6465" applyFont="1" applyFill="1" applyBorder="1" applyAlignment="1" applyProtection="1">
      <alignment horizontal="center" vertical="center"/>
      <protection hidden="1"/>
    </xf>
    <xf numFmtId="0" fontId="309" fillId="50" borderId="346" xfId="6465" applyFont="1" applyFill="1" applyBorder="1" applyAlignment="1" applyProtection="1">
      <alignment horizontal="center" vertical="center"/>
      <protection hidden="1"/>
    </xf>
    <xf numFmtId="0" fontId="309" fillId="50" borderId="312" xfId="6465" applyFont="1" applyFill="1" applyBorder="1" applyAlignment="1" applyProtection="1">
      <alignment horizontal="center" vertical="center"/>
      <protection hidden="1"/>
    </xf>
    <xf numFmtId="0" fontId="309" fillId="50" borderId="0" xfId="6465" applyFont="1" applyFill="1" applyAlignment="1" applyProtection="1">
      <alignment horizontal="center" vertical="center"/>
      <protection hidden="1"/>
    </xf>
    <xf numFmtId="0" fontId="32" fillId="3" borderId="351" xfId="6465" applyFont="1" applyFill="1" applyBorder="1" applyAlignment="1">
      <alignment horizontal="center"/>
    </xf>
    <xf numFmtId="0" fontId="7" fillId="3" borderId="0" xfId="17414" applyFont="1" applyFill="1" applyAlignment="1" applyProtection="1">
      <alignment horizontal="left" vertical="top" wrapText="1"/>
      <protection hidden="1"/>
    </xf>
    <xf numFmtId="0" fontId="98" fillId="3" borderId="60" xfId="17414" applyFont="1" applyFill="1" applyBorder="1" applyAlignment="1" applyProtection="1">
      <alignment horizontal="center" vertical="center"/>
      <protection hidden="1"/>
    </xf>
    <xf numFmtId="0" fontId="98" fillId="3" borderId="61" xfId="17414" applyFont="1" applyFill="1" applyBorder="1" applyAlignment="1" applyProtection="1">
      <alignment horizontal="center" vertical="center"/>
      <protection hidden="1"/>
    </xf>
    <xf numFmtId="0" fontId="172" fillId="3" borderId="59" xfId="17414" applyFont="1" applyFill="1" applyBorder="1" applyAlignment="1" applyProtection="1">
      <alignment horizontal="center" vertical="center"/>
      <protection hidden="1"/>
    </xf>
    <xf numFmtId="0" fontId="172" fillId="3" borderId="41" xfId="17414" applyFont="1" applyFill="1" applyBorder="1" applyAlignment="1" applyProtection="1">
      <alignment horizontal="center" vertical="center"/>
      <protection hidden="1"/>
    </xf>
    <xf numFmtId="2" fontId="32" fillId="7" borderId="31" xfId="17414" applyNumberFormat="1" applyFont="1" applyFill="1" applyBorder="1" applyAlignment="1">
      <alignment horizontal="center"/>
    </xf>
    <xf numFmtId="2" fontId="32" fillId="7" borderId="18" xfId="17414" applyNumberFormat="1" applyFont="1" applyFill="1" applyBorder="1" applyAlignment="1">
      <alignment horizontal="center"/>
    </xf>
    <xf numFmtId="2" fontId="32" fillId="7" borderId="28" xfId="17414" applyNumberFormat="1" applyFont="1" applyFill="1" applyBorder="1" applyAlignment="1">
      <alignment horizontal="center"/>
    </xf>
    <xf numFmtId="0" fontId="166" fillId="0" borderId="30" xfId="17414" applyFont="1" applyBorder="1" applyAlignment="1" applyProtection="1">
      <alignment horizontal="center" vertical="center"/>
      <protection hidden="1"/>
    </xf>
    <xf numFmtId="0" fontId="166" fillId="0" borderId="29" xfId="17414" applyFont="1" applyBorder="1" applyAlignment="1" applyProtection="1">
      <alignment horizontal="center" vertical="center"/>
      <protection hidden="1"/>
    </xf>
    <xf numFmtId="0" fontId="166" fillId="0" borderId="31" xfId="17414" applyFont="1" applyBorder="1" applyAlignment="1" applyProtection="1">
      <alignment horizontal="center" vertical="center"/>
      <protection hidden="1"/>
    </xf>
    <xf numFmtId="0" fontId="166" fillId="0" borderId="27" xfId="17414" applyFont="1" applyBorder="1" applyAlignment="1" applyProtection="1">
      <alignment horizontal="center" vertical="center"/>
      <protection hidden="1"/>
    </xf>
    <xf numFmtId="0" fontId="166" fillId="0" borderId="17" xfId="17414" applyFont="1" applyBorder="1" applyAlignment="1" applyProtection="1">
      <alignment horizontal="center" vertical="center"/>
      <protection hidden="1"/>
    </xf>
    <xf numFmtId="0" fontId="166" fillId="0" borderId="28" xfId="17414" applyFont="1" applyBorder="1" applyAlignment="1" applyProtection="1">
      <alignment horizontal="center" vertical="center"/>
      <protection hidden="1"/>
    </xf>
    <xf numFmtId="0" fontId="7" fillId="4" borderId="0" xfId="8678" applyFont="1" applyFill="1" applyAlignment="1" applyProtection="1">
      <alignment horizontal="left" wrapText="1"/>
      <protection hidden="1"/>
    </xf>
    <xf numFmtId="0" fontId="5" fillId="4" borderId="334" xfId="6465" applyFont="1" applyFill="1" applyBorder="1" applyAlignment="1" applyProtection="1">
      <alignment horizontal="left" vertical="center" wrapText="1"/>
      <protection hidden="1"/>
    </xf>
    <xf numFmtId="0" fontId="147" fillId="0" borderId="30" xfId="17414" applyFont="1" applyBorder="1" applyAlignment="1" applyProtection="1">
      <alignment horizontal="center" vertical="center" wrapText="1"/>
      <protection hidden="1"/>
    </xf>
    <xf numFmtId="0" fontId="147" fillId="0" borderId="29" xfId="17414" applyFont="1" applyBorder="1" applyAlignment="1" applyProtection="1">
      <alignment horizontal="center" vertical="center" wrapText="1"/>
      <protection hidden="1"/>
    </xf>
    <xf numFmtId="0" fontId="147" fillId="0" borderId="31" xfId="17414" applyFont="1" applyBorder="1" applyAlignment="1" applyProtection="1">
      <alignment horizontal="center" vertical="center" wrapText="1"/>
      <protection hidden="1"/>
    </xf>
    <xf numFmtId="0" fontId="147" fillId="0" borderId="0" xfId="17414" applyFont="1" applyAlignment="1" applyProtection="1">
      <alignment horizontal="center" vertical="center" wrapText="1"/>
      <protection hidden="1"/>
    </xf>
    <xf numFmtId="0" fontId="147" fillId="0" borderId="18" xfId="17414" applyFont="1" applyBorder="1" applyAlignment="1" applyProtection="1">
      <alignment horizontal="center" vertical="center" wrapText="1"/>
      <protection hidden="1"/>
    </xf>
    <xf numFmtId="0" fontId="147" fillId="0" borderId="27" xfId="17414" applyFont="1" applyBorder="1" applyAlignment="1" applyProtection="1">
      <alignment horizontal="center" vertical="center" wrapText="1"/>
      <protection hidden="1"/>
    </xf>
    <xf numFmtId="0" fontId="147" fillId="0" borderId="17" xfId="17414" applyFont="1" applyBorder="1" applyAlignment="1" applyProtection="1">
      <alignment horizontal="center" vertical="center" wrapText="1"/>
      <protection hidden="1"/>
    </xf>
    <xf numFmtId="0" fontId="147" fillId="0" borderId="28" xfId="17414" applyFont="1" applyBorder="1" applyAlignment="1" applyProtection="1">
      <alignment horizontal="center" vertical="center" wrapText="1"/>
      <protection hidden="1"/>
    </xf>
    <xf numFmtId="0" fontId="305" fillId="4" borderId="0" xfId="17414" applyFill="1" applyAlignment="1" applyProtection="1">
      <alignment horizontal="left" wrapText="1"/>
      <protection hidden="1"/>
    </xf>
    <xf numFmtId="0" fontId="305" fillId="4" borderId="17" xfId="17414" applyFill="1" applyBorder="1" applyAlignment="1" applyProtection="1">
      <alignment horizontal="left" wrapText="1"/>
      <protection hidden="1"/>
    </xf>
    <xf numFmtId="0" fontId="166" fillId="3" borderId="30" xfId="17414" applyFont="1" applyFill="1" applyBorder="1" applyAlignment="1" applyProtection="1">
      <alignment horizontal="center" vertical="center" wrapText="1"/>
      <protection hidden="1"/>
    </xf>
    <xf numFmtId="0" fontId="166" fillId="3" borderId="31" xfId="17414" applyFont="1" applyFill="1" applyBorder="1" applyAlignment="1" applyProtection="1">
      <alignment horizontal="center" vertical="center" wrapText="1"/>
      <protection hidden="1"/>
    </xf>
    <xf numFmtId="0" fontId="166" fillId="3" borderId="18" xfId="17414" applyFont="1" applyFill="1" applyBorder="1" applyAlignment="1" applyProtection="1">
      <alignment horizontal="center" vertical="center" wrapText="1"/>
      <protection hidden="1"/>
    </xf>
    <xf numFmtId="0" fontId="96" fillId="5" borderId="461" xfId="17414" applyFont="1" applyFill="1" applyBorder="1" applyAlignment="1" applyProtection="1">
      <alignment horizontal="center"/>
      <protection locked="0"/>
    </xf>
    <xf numFmtId="0" fontId="96" fillId="5" borderId="462" xfId="17414" applyFont="1" applyFill="1" applyBorder="1" applyAlignment="1" applyProtection="1">
      <alignment horizontal="center"/>
      <protection locked="0"/>
    </xf>
    <xf numFmtId="0" fontId="171" fillId="26" borderId="461" xfId="17414" applyFont="1" applyFill="1" applyBorder="1" applyAlignment="1" applyProtection="1">
      <alignment horizontal="center"/>
      <protection locked="0"/>
    </xf>
    <xf numFmtId="0" fontId="171" fillId="26" borderId="462" xfId="17414" applyFont="1" applyFill="1" applyBorder="1" applyAlignment="1" applyProtection="1">
      <alignment horizontal="center"/>
      <protection locked="0"/>
    </xf>
    <xf numFmtId="2" fontId="63" fillId="18" borderId="350" xfId="17474" applyNumberFormat="1" applyFont="1" applyFill="1" applyBorder="1" applyAlignment="1" applyProtection="1">
      <alignment horizontal="center"/>
      <protection locked="0"/>
    </xf>
    <xf numFmtId="2" fontId="63" fillId="18" borderId="352" xfId="17474" applyNumberFormat="1" applyFont="1" applyFill="1" applyBorder="1" applyAlignment="1" applyProtection="1">
      <alignment horizontal="center"/>
      <protection locked="0"/>
    </xf>
    <xf numFmtId="2" fontId="63" fillId="30" borderId="350" xfId="17474" applyNumberFormat="1" applyFont="1" applyFill="1" applyBorder="1" applyAlignment="1" applyProtection="1">
      <alignment horizontal="center"/>
      <protection locked="0"/>
    </xf>
    <xf numFmtId="2" fontId="63" fillId="30" borderId="352" xfId="17474" applyNumberFormat="1" applyFont="1" applyFill="1" applyBorder="1" applyAlignment="1" applyProtection="1">
      <alignment horizontal="center"/>
      <protection locked="0"/>
    </xf>
    <xf numFmtId="0" fontId="52" fillId="3" borderId="0" xfId="17414" applyFont="1" applyFill="1" applyAlignment="1" applyProtection="1">
      <alignment horizontal="left"/>
      <protection hidden="1"/>
    </xf>
    <xf numFmtId="0" fontId="23" fillId="0" borderId="30" xfId="15827" applyFont="1" applyBorder="1" applyAlignment="1" applyProtection="1">
      <alignment horizontal="left"/>
      <protection hidden="1"/>
    </xf>
    <xf numFmtId="0" fontId="23" fillId="0" borderId="31" xfId="15827" applyFont="1" applyBorder="1" applyAlignment="1" applyProtection="1">
      <alignment horizontal="left"/>
      <protection hidden="1"/>
    </xf>
    <xf numFmtId="168" fontId="23" fillId="0" borderId="0" xfId="15827" applyNumberFormat="1" applyFont="1" applyAlignment="1" applyProtection="1">
      <alignment horizontal="center"/>
      <protection hidden="1"/>
    </xf>
    <xf numFmtId="0" fontId="7" fillId="3" borderId="15" xfId="17414" applyFont="1" applyFill="1" applyBorder="1" applyAlignment="1" applyProtection="1">
      <alignment horizontal="left"/>
      <protection hidden="1"/>
    </xf>
    <xf numFmtId="0" fontId="7" fillId="3" borderId="39" xfId="17414" applyFont="1" applyFill="1" applyBorder="1" applyAlignment="1" applyProtection="1">
      <alignment horizontal="left"/>
      <protection hidden="1"/>
    </xf>
    <xf numFmtId="0" fontId="7" fillId="3" borderId="41" xfId="17414" applyFont="1" applyFill="1" applyBorder="1" applyAlignment="1" applyProtection="1">
      <alignment horizontal="left"/>
      <protection hidden="1"/>
    </xf>
    <xf numFmtId="1" fontId="17" fillId="3" borderId="0" xfId="6465" applyNumberFormat="1" applyFont="1" applyFill="1" applyAlignment="1" applyProtection="1">
      <alignment horizontal="left"/>
      <protection hidden="1"/>
    </xf>
    <xf numFmtId="1" fontId="17" fillId="3" borderId="18" xfId="6465" applyNumberFormat="1" applyFont="1" applyFill="1" applyBorder="1" applyAlignment="1" applyProtection="1">
      <alignment horizontal="left"/>
      <protection hidden="1"/>
    </xf>
    <xf numFmtId="168" fontId="23" fillId="0" borderId="1" xfId="15827" applyNumberFormat="1" applyFont="1" applyBorder="1" applyAlignment="1" applyProtection="1">
      <alignment horizontal="center"/>
      <protection hidden="1"/>
    </xf>
    <xf numFmtId="168" fontId="23" fillId="0" borderId="96" xfId="15827" applyNumberFormat="1" applyFont="1" applyBorder="1" applyAlignment="1" applyProtection="1">
      <alignment horizontal="center"/>
      <protection hidden="1"/>
    </xf>
    <xf numFmtId="0" fontId="177" fillId="2" borderId="30" xfId="6465" applyFont="1" applyFill="1" applyBorder="1" applyAlignment="1" applyProtection="1">
      <alignment horizontal="center" wrapText="1"/>
      <protection hidden="1"/>
    </xf>
    <xf numFmtId="0" fontId="177" fillId="2" borderId="29" xfId="6465" applyFont="1" applyFill="1" applyBorder="1" applyAlignment="1" applyProtection="1">
      <alignment horizontal="center" wrapText="1"/>
      <protection hidden="1"/>
    </xf>
    <xf numFmtId="0" fontId="177" fillId="2" borderId="31" xfId="6465" applyFont="1" applyFill="1" applyBorder="1" applyAlignment="1" applyProtection="1">
      <alignment horizontal="center" wrapText="1"/>
      <protection hidden="1"/>
    </xf>
    <xf numFmtId="0" fontId="177" fillId="2" borderId="0" xfId="6465" applyFont="1" applyFill="1" applyAlignment="1" applyProtection="1">
      <alignment horizontal="center" wrapText="1"/>
      <protection hidden="1"/>
    </xf>
    <xf numFmtId="0" fontId="177" fillId="2" borderId="18" xfId="6465" applyFont="1" applyFill="1" applyBorder="1" applyAlignment="1" applyProtection="1">
      <alignment horizontal="center" wrapText="1"/>
      <protection hidden="1"/>
    </xf>
    <xf numFmtId="0" fontId="177" fillId="2" borderId="27" xfId="6465" applyFont="1" applyFill="1" applyBorder="1" applyAlignment="1" applyProtection="1">
      <alignment horizontal="center" wrapText="1"/>
      <protection hidden="1"/>
    </xf>
    <xf numFmtId="0" fontId="177" fillId="2" borderId="17" xfId="6465" applyFont="1" applyFill="1" applyBorder="1" applyAlignment="1" applyProtection="1">
      <alignment horizontal="center" wrapText="1"/>
      <protection hidden="1"/>
    </xf>
    <xf numFmtId="0" fontId="177" fillId="2" borderId="28" xfId="6465" applyFont="1" applyFill="1" applyBorder="1" applyAlignment="1" applyProtection="1">
      <alignment horizontal="center" wrapText="1"/>
      <protection hidden="1"/>
    </xf>
    <xf numFmtId="0" fontId="168" fillId="14" borderId="30" xfId="17414" applyFont="1" applyFill="1" applyBorder="1" applyAlignment="1" applyProtection="1">
      <alignment horizontal="center"/>
      <protection hidden="1"/>
    </xf>
    <xf numFmtId="0" fontId="168" fillId="14" borderId="31" xfId="17414" applyFont="1" applyFill="1" applyBorder="1" applyAlignment="1" applyProtection="1">
      <alignment horizontal="center"/>
      <protection hidden="1"/>
    </xf>
    <xf numFmtId="0" fontId="43" fillId="14" borderId="30" xfId="17414" applyFont="1" applyFill="1" applyBorder="1" applyAlignment="1" applyProtection="1">
      <alignment horizontal="center"/>
      <protection hidden="1"/>
    </xf>
    <xf numFmtId="0" fontId="43" fillId="14" borderId="31" xfId="17414" applyFont="1" applyFill="1" applyBorder="1" applyAlignment="1" applyProtection="1">
      <alignment horizontal="center"/>
      <protection hidden="1"/>
    </xf>
    <xf numFmtId="0" fontId="52" fillId="3" borderId="0" xfId="17414" applyFont="1" applyFill="1" applyAlignment="1" applyProtection="1">
      <alignment horizontal="left" vertical="top"/>
      <protection hidden="1"/>
    </xf>
    <xf numFmtId="0" fontId="25" fillId="0" borderId="132" xfId="69" applyFont="1" applyBorder="1" applyAlignment="1" applyProtection="1">
      <alignment horizontal="left"/>
      <protection hidden="1"/>
    </xf>
    <xf numFmtId="0" fontId="25" fillId="0" borderId="114" xfId="69" applyFont="1" applyBorder="1" applyAlignment="1" applyProtection="1">
      <alignment horizontal="left"/>
      <protection hidden="1"/>
    </xf>
    <xf numFmtId="0" fontId="17" fillId="0" borderId="350" xfId="17414" applyFont="1" applyBorder="1" applyAlignment="1" applyProtection="1">
      <alignment horizontal="left"/>
      <protection hidden="1"/>
    </xf>
    <xf numFmtId="0" fontId="17" fillId="0" borderId="352" xfId="17414" applyFont="1" applyBorder="1" applyAlignment="1" applyProtection="1">
      <alignment horizontal="left"/>
      <protection hidden="1"/>
    </xf>
    <xf numFmtId="1" fontId="23" fillId="27" borderId="350" xfId="17436" applyNumberFormat="1" applyFont="1" applyFill="1" applyBorder="1" applyAlignment="1" applyProtection="1">
      <alignment horizontal="center"/>
      <protection hidden="1"/>
    </xf>
    <xf numFmtId="1" fontId="23" fillId="27" borderId="352" xfId="17436" applyNumberFormat="1" applyFont="1" applyFill="1" applyBorder="1" applyAlignment="1" applyProtection="1">
      <alignment horizontal="center"/>
      <protection hidden="1"/>
    </xf>
    <xf numFmtId="0" fontId="23" fillId="0" borderId="350" xfId="17474" applyFont="1" applyBorder="1" applyAlignment="1" applyProtection="1">
      <alignment horizontal="left"/>
      <protection hidden="1"/>
    </xf>
    <xf numFmtId="0" fontId="23" fillId="0" borderId="352" xfId="17474" applyFont="1" applyBorder="1" applyAlignment="1" applyProtection="1">
      <alignment horizontal="left"/>
      <protection hidden="1"/>
    </xf>
    <xf numFmtId="1" fontId="23" fillId="0" borderId="350" xfId="15827" applyNumberFormat="1" applyFont="1" applyBorder="1" applyAlignment="1" applyProtection="1">
      <alignment horizontal="left"/>
      <protection hidden="1"/>
    </xf>
    <xf numFmtId="1" fontId="23" fillId="0" borderId="352" xfId="15827" applyNumberFormat="1" applyFont="1" applyBorder="1" applyAlignment="1" applyProtection="1">
      <alignment horizontal="left"/>
      <protection hidden="1"/>
    </xf>
    <xf numFmtId="1" fontId="7" fillId="3" borderId="30" xfId="6465" applyNumberFormat="1" applyFill="1" applyBorder="1" applyAlignment="1" applyProtection="1">
      <alignment horizontal="left"/>
      <protection hidden="1"/>
    </xf>
    <xf numFmtId="1" fontId="7" fillId="3" borderId="29" xfId="6465" applyNumberFormat="1" applyFill="1" applyBorder="1" applyAlignment="1" applyProtection="1">
      <alignment horizontal="left"/>
      <protection hidden="1"/>
    </xf>
    <xf numFmtId="1" fontId="7" fillId="3" borderId="31" xfId="6465" applyNumberFormat="1" applyFill="1" applyBorder="1" applyAlignment="1" applyProtection="1">
      <alignment horizontal="left"/>
      <protection hidden="1"/>
    </xf>
    <xf numFmtId="168" fontId="23" fillId="0" borderId="446" xfId="15827" applyNumberFormat="1" applyFont="1" applyBorder="1" applyAlignment="1" applyProtection="1">
      <alignment horizontal="center"/>
      <protection hidden="1"/>
    </xf>
    <xf numFmtId="0" fontId="0" fillId="0" borderId="448" xfId="0" applyBorder="1" applyAlignment="1" applyProtection="1">
      <alignment horizontal="center"/>
      <protection hidden="1"/>
    </xf>
    <xf numFmtId="168" fontId="23" fillId="0" borderId="30" xfId="15827" applyNumberFormat="1" applyFont="1" applyBorder="1" applyAlignment="1" applyProtection="1">
      <alignment horizontal="center"/>
      <protection hidden="1"/>
    </xf>
    <xf numFmtId="168" fontId="23" fillId="0" borderId="31" xfId="15827" applyNumberFormat="1" applyFont="1" applyBorder="1" applyAlignment="1" applyProtection="1">
      <alignment horizontal="center"/>
      <protection hidden="1"/>
    </xf>
    <xf numFmtId="168" fontId="23" fillId="0" borderId="448" xfId="15827" applyNumberFormat="1" applyFont="1" applyBorder="1" applyAlignment="1" applyProtection="1">
      <alignment horizontal="center"/>
      <protection hidden="1"/>
    </xf>
    <xf numFmtId="168" fontId="7" fillId="3" borderId="0" xfId="6465" applyNumberFormat="1" applyFill="1" applyAlignment="1" applyProtection="1">
      <alignment horizontal="left"/>
      <protection hidden="1"/>
    </xf>
    <xf numFmtId="168" fontId="7" fillId="3" borderId="18" xfId="6465" applyNumberFormat="1" applyFill="1" applyBorder="1" applyAlignment="1" applyProtection="1">
      <alignment horizontal="left"/>
      <protection hidden="1"/>
    </xf>
    <xf numFmtId="0" fontId="95" fillId="2" borderId="0" xfId="6465" applyFont="1" applyFill="1" applyAlignment="1" applyProtection="1">
      <alignment horizontal="right"/>
      <protection hidden="1"/>
    </xf>
    <xf numFmtId="0" fontId="5" fillId="25" borderId="105" xfId="17414" applyFont="1" applyFill="1" applyBorder="1" applyAlignment="1" applyProtection="1">
      <alignment horizontal="center" vertical="center" textRotation="90" wrapText="1"/>
      <protection hidden="1"/>
    </xf>
    <xf numFmtId="0" fontId="5" fillId="25" borderId="142" xfId="17414" applyFont="1" applyFill="1" applyBorder="1" applyAlignment="1" applyProtection="1">
      <alignment horizontal="center" vertical="center" textRotation="90" wrapText="1"/>
      <protection hidden="1"/>
    </xf>
    <xf numFmtId="0" fontId="5" fillId="26" borderId="104" xfId="17414" applyFont="1" applyFill="1" applyBorder="1" applyAlignment="1" applyProtection="1">
      <alignment horizontal="center" vertical="center" textRotation="90"/>
      <protection hidden="1"/>
    </xf>
    <xf numFmtId="0" fontId="5" fillId="26" borderId="105" xfId="17414" applyFont="1" applyFill="1" applyBorder="1" applyAlignment="1" applyProtection="1">
      <alignment horizontal="center" vertical="center" textRotation="90"/>
      <protection hidden="1"/>
    </xf>
    <xf numFmtId="0" fontId="5" fillId="26" borderId="143" xfId="17414" applyFont="1" applyFill="1" applyBorder="1" applyAlignment="1" applyProtection="1">
      <alignment horizontal="center" vertical="center" textRotation="90"/>
      <protection hidden="1"/>
    </xf>
    <xf numFmtId="0" fontId="5" fillId="26" borderId="144" xfId="17414" applyFont="1" applyFill="1" applyBorder="1" applyAlignment="1" applyProtection="1">
      <alignment horizontal="center" vertical="center" textRotation="90"/>
      <protection hidden="1"/>
    </xf>
    <xf numFmtId="0" fontId="96" fillId="7" borderId="367" xfId="17414" applyFont="1" applyFill="1" applyBorder="1" applyAlignment="1" applyProtection="1">
      <alignment horizontal="left" wrapText="1"/>
      <protection hidden="1"/>
    </xf>
    <xf numFmtId="0" fontId="98" fillId="3" borderId="60" xfId="17414" applyFont="1" applyFill="1" applyBorder="1" applyAlignment="1" applyProtection="1">
      <alignment horizontal="center"/>
      <protection hidden="1"/>
    </xf>
    <xf numFmtId="0" fontId="98" fillId="3" borderId="61" xfId="17414" applyFont="1" applyFill="1" applyBorder="1" applyAlignment="1" applyProtection="1">
      <alignment horizontal="center"/>
      <protection hidden="1"/>
    </xf>
    <xf numFmtId="2" fontId="32" fillId="7" borderId="437" xfId="17414" applyNumberFormat="1" applyFont="1" applyFill="1" applyBorder="1" applyAlignment="1">
      <alignment horizontal="center" wrapText="1"/>
    </xf>
    <xf numFmtId="2" fontId="32" fillId="7" borderId="154" xfId="17414" applyNumberFormat="1" applyFont="1" applyFill="1" applyBorder="1" applyAlignment="1">
      <alignment horizontal="center" wrapText="1"/>
    </xf>
    <xf numFmtId="0" fontId="23" fillId="0" borderId="18" xfId="15827" applyFont="1" applyBorder="1" applyAlignment="1" applyProtection="1">
      <alignment horizontal="left" wrapText="1"/>
      <protection hidden="1"/>
    </xf>
    <xf numFmtId="0" fontId="61" fillId="0" borderId="18" xfId="6465" applyFont="1" applyBorder="1" applyAlignment="1" applyProtection="1">
      <alignment horizontal="left"/>
      <protection hidden="1"/>
    </xf>
    <xf numFmtId="0" fontId="150" fillId="19" borderId="367" xfId="17414" applyFont="1" applyFill="1" applyBorder="1" applyAlignment="1" applyProtection="1">
      <alignment horizontal="center" vertical="center" textRotation="90" wrapText="1"/>
      <protection hidden="1"/>
    </xf>
    <xf numFmtId="0" fontId="150" fillId="19" borderId="104" xfId="17414" applyFont="1" applyFill="1" applyBorder="1" applyAlignment="1" applyProtection="1">
      <alignment horizontal="center" vertical="center" textRotation="90" wrapText="1"/>
      <protection hidden="1"/>
    </xf>
    <xf numFmtId="0" fontId="150" fillId="24" borderId="105" xfId="17414" applyFont="1" applyFill="1" applyBorder="1" applyAlignment="1" applyProtection="1">
      <alignment horizontal="center" vertical="center" textRotation="90" wrapText="1"/>
      <protection hidden="1"/>
    </xf>
    <xf numFmtId="0" fontId="150" fillId="25" borderId="105" xfId="17414" applyFont="1" applyFill="1" applyBorder="1" applyAlignment="1" applyProtection="1">
      <alignment horizontal="center" vertical="center" textRotation="90" wrapText="1"/>
      <protection hidden="1"/>
    </xf>
    <xf numFmtId="0" fontId="7" fillId="19" borderId="367" xfId="17414" applyFont="1" applyFill="1" applyBorder="1" applyAlignment="1" applyProtection="1">
      <alignment horizontal="center" vertical="center" textRotation="90" wrapText="1"/>
      <protection hidden="1"/>
    </xf>
    <xf numFmtId="0" fontId="7" fillId="24" borderId="108" xfId="17414" applyFont="1" applyFill="1" applyBorder="1" applyAlignment="1" applyProtection="1">
      <alignment horizontal="center" vertical="center" textRotation="90" wrapText="1"/>
      <protection hidden="1"/>
    </xf>
    <xf numFmtId="0" fontId="7" fillId="25" borderId="108" xfId="17414" applyFont="1" applyFill="1" applyBorder="1" applyAlignment="1" applyProtection="1">
      <alignment horizontal="center" vertical="center" textRotation="90" wrapText="1"/>
      <protection hidden="1"/>
    </xf>
    <xf numFmtId="0" fontId="5" fillId="24" borderId="367" xfId="17414" applyFont="1" applyFill="1" applyBorder="1" applyAlignment="1" applyProtection="1">
      <alignment horizontal="center" vertical="center" textRotation="90" wrapText="1"/>
      <protection hidden="1"/>
    </xf>
    <xf numFmtId="0" fontId="5" fillId="24" borderId="104" xfId="17414" applyFont="1" applyFill="1" applyBorder="1" applyAlignment="1" applyProtection="1">
      <alignment horizontal="center" vertical="center" textRotation="90" wrapText="1"/>
      <protection hidden="1"/>
    </xf>
    <xf numFmtId="0" fontId="45" fillId="4" borderId="0" xfId="6465" applyFont="1" applyFill="1" applyAlignment="1" applyProtection="1">
      <alignment horizontal="left"/>
      <protection hidden="1"/>
    </xf>
    <xf numFmtId="0" fontId="95" fillId="2" borderId="0" xfId="4660" applyFont="1" applyFill="1" applyAlignment="1" applyProtection="1">
      <alignment horizontal="right"/>
      <protection hidden="1"/>
    </xf>
    <xf numFmtId="0" fontId="145" fillId="2" borderId="0" xfId="69" applyFont="1" applyFill="1" applyAlignment="1" applyProtection="1">
      <alignment horizontal="left"/>
      <protection hidden="1"/>
    </xf>
    <xf numFmtId="1" fontId="17" fillId="3" borderId="9" xfId="6465" applyNumberFormat="1" applyFont="1" applyFill="1" applyBorder="1" applyAlignment="1" applyProtection="1">
      <alignment horizontal="left"/>
      <protection hidden="1"/>
    </xf>
    <xf numFmtId="1" fontId="17" fillId="3" borderId="58" xfId="6465" applyNumberFormat="1" applyFont="1" applyFill="1" applyBorder="1" applyAlignment="1" applyProtection="1">
      <alignment horizontal="left"/>
      <protection hidden="1"/>
    </xf>
    <xf numFmtId="1" fontId="17" fillId="3" borderId="59" xfId="6465" applyNumberFormat="1" applyFont="1" applyFill="1" applyBorder="1" applyAlignment="1" applyProtection="1">
      <alignment horizontal="left"/>
      <protection hidden="1"/>
    </xf>
    <xf numFmtId="0" fontId="63" fillId="0" borderId="18" xfId="6465" applyFont="1" applyBorder="1" applyAlignment="1" applyProtection="1">
      <alignment horizontal="left"/>
      <protection hidden="1"/>
    </xf>
    <xf numFmtId="0" fontId="23" fillId="0" borderId="27" xfId="15827" applyFont="1" applyBorder="1" applyAlignment="1" applyProtection="1">
      <alignment horizontal="left"/>
      <protection hidden="1"/>
    </xf>
    <xf numFmtId="0" fontId="23" fillId="0" borderId="28" xfId="15827" applyFont="1" applyBorder="1" applyAlignment="1" applyProtection="1">
      <alignment horizontal="left"/>
      <protection hidden="1"/>
    </xf>
    <xf numFmtId="0" fontId="23" fillId="0" borderId="350" xfId="15827" applyFont="1" applyBorder="1" applyAlignment="1" applyProtection="1">
      <alignment horizontal="left" wrapText="1"/>
      <protection hidden="1"/>
    </xf>
    <xf numFmtId="0" fontId="23" fillId="0" borderId="352" xfId="15827" applyFont="1" applyBorder="1" applyAlignment="1" applyProtection="1">
      <alignment horizontal="left" wrapText="1"/>
      <protection hidden="1"/>
    </xf>
    <xf numFmtId="0" fontId="7" fillId="0" borderId="27" xfId="6465" applyBorder="1" applyAlignment="1" applyProtection="1">
      <alignment horizontal="left"/>
      <protection hidden="1"/>
    </xf>
    <xf numFmtId="0" fontId="7" fillId="0" borderId="17" xfId="6465" applyBorder="1" applyAlignment="1" applyProtection="1">
      <alignment horizontal="left"/>
      <protection hidden="1"/>
    </xf>
    <xf numFmtId="0" fontId="7" fillId="0" borderId="28" xfId="6465" applyBorder="1" applyAlignment="1" applyProtection="1">
      <alignment horizontal="left"/>
      <protection hidden="1"/>
    </xf>
    <xf numFmtId="0" fontId="7" fillId="0" borderId="0" xfId="17414" applyFont="1" applyAlignment="1" applyProtection="1">
      <alignment horizontal="center"/>
      <protection hidden="1"/>
    </xf>
    <xf numFmtId="0" fontId="63" fillId="3" borderId="15" xfId="17414" applyFont="1" applyFill="1" applyBorder="1" applyAlignment="1" applyProtection="1">
      <alignment horizontal="left"/>
      <protection hidden="1"/>
    </xf>
    <xf numFmtId="0" fontId="63" fillId="3" borderId="39" xfId="17414" applyFont="1" applyFill="1" applyBorder="1" applyAlignment="1" applyProtection="1">
      <alignment horizontal="left"/>
      <protection hidden="1"/>
    </xf>
    <xf numFmtId="0" fontId="63" fillId="3" borderId="41" xfId="17414" applyFont="1" applyFill="1" applyBorder="1" applyAlignment="1" applyProtection="1">
      <alignment horizontal="left"/>
      <protection hidden="1"/>
    </xf>
    <xf numFmtId="0" fontId="23" fillId="13" borderId="27" xfId="69" applyFont="1" applyFill="1" applyBorder="1" applyAlignment="1">
      <alignment horizontal="right"/>
      <protection locked="0"/>
    </xf>
    <xf numFmtId="0" fontId="23" fillId="13" borderId="130" xfId="69" applyFont="1" applyFill="1" applyBorder="1" applyAlignment="1">
      <alignment horizontal="right"/>
      <protection locked="0"/>
    </xf>
    <xf numFmtId="0" fontId="23" fillId="3" borderId="350" xfId="17399" applyFont="1" applyFill="1" applyBorder="1" applyAlignment="1" applyProtection="1">
      <alignment horizontal="left"/>
      <protection hidden="1"/>
    </xf>
    <xf numFmtId="0" fontId="23" fillId="3" borderId="434" xfId="17399" applyFont="1" applyFill="1" applyBorder="1" applyAlignment="1" applyProtection="1">
      <alignment horizontal="left"/>
      <protection hidden="1"/>
    </xf>
    <xf numFmtId="0" fontId="17" fillId="4" borderId="350" xfId="17414" applyFont="1" applyFill="1" applyBorder="1" applyAlignment="1" applyProtection="1">
      <alignment horizontal="center" wrapText="1"/>
      <protection hidden="1"/>
    </xf>
    <xf numFmtId="0" fontId="17" fillId="4" borderId="351" xfId="17414" applyFont="1" applyFill="1" applyBorder="1" applyAlignment="1" applyProtection="1">
      <alignment horizontal="center" wrapText="1"/>
      <protection hidden="1"/>
    </xf>
    <xf numFmtId="0" fontId="17" fillId="4" borderId="352" xfId="17414" applyFont="1" applyFill="1" applyBorder="1" applyAlignment="1" applyProtection="1">
      <alignment horizontal="center" wrapText="1"/>
      <protection hidden="1"/>
    </xf>
    <xf numFmtId="0" fontId="351" fillId="7" borderId="350" xfId="17414" applyFont="1" applyFill="1" applyBorder="1" applyAlignment="1">
      <alignment horizontal="center" vertical="center" wrapText="1"/>
    </xf>
    <xf numFmtId="0" fontId="351" fillId="7" borderId="351" xfId="17414" applyFont="1" applyFill="1" applyBorder="1" applyAlignment="1">
      <alignment horizontal="center" vertical="center" wrapText="1"/>
    </xf>
    <xf numFmtId="0" fontId="351" fillId="7" borderId="352" xfId="17414" applyFont="1" applyFill="1" applyBorder="1" applyAlignment="1">
      <alignment horizontal="center" vertical="center" wrapText="1"/>
    </xf>
    <xf numFmtId="0" fontId="17" fillId="0" borderId="351" xfId="17414" applyFont="1" applyBorder="1" applyAlignment="1" applyProtection="1">
      <alignment horizontal="left"/>
      <protection hidden="1"/>
    </xf>
    <xf numFmtId="0" fontId="23" fillId="0" borderId="18" xfId="15827" applyFont="1" applyBorder="1" applyAlignment="1" applyProtection="1">
      <alignment horizontal="left"/>
      <protection hidden="1"/>
    </xf>
    <xf numFmtId="0" fontId="7" fillId="0" borderId="482" xfId="17452" applyFont="1" applyBorder="1" applyAlignment="1" applyProtection="1">
      <alignment horizontal="center"/>
      <protection hidden="1"/>
    </xf>
    <xf numFmtId="0" fontId="7" fillId="0" borderId="423" xfId="17452" applyFont="1" applyBorder="1" applyAlignment="1" applyProtection="1">
      <alignment horizontal="center"/>
      <protection hidden="1"/>
    </xf>
    <xf numFmtId="0" fontId="23" fillId="0" borderId="27" xfId="15827" applyFont="1" applyBorder="1" applyAlignment="1" applyProtection="1">
      <alignment horizontal="left" wrapText="1"/>
      <protection hidden="1"/>
    </xf>
    <xf numFmtId="0" fontId="23" fillId="0" borderId="28" xfId="15827" applyFont="1" applyBorder="1" applyAlignment="1" applyProtection="1">
      <alignment horizontal="left" wrapText="1"/>
      <protection hidden="1"/>
    </xf>
    <xf numFmtId="168" fontId="23" fillId="27" borderId="350" xfId="17436" applyNumberFormat="1" applyFont="1" applyFill="1" applyBorder="1" applyAlignment="1" applyProtection="1">
      <alignment horizontal="center"/>
      <protection hidden="1"/>
    </xf>
    <xf numFmtId="0" fontId="7" fillId="0" borderId="334" xfId="17414" applyFont="1" applyBorder="1" applyAlignment="1" applyProtection="1">
      <alignment horizontal="left"/>
      <protection hidden="1"/>
    </xf>
    <xf numFmtId="0" fontId="168" fillId="3" borderId="30" xfId="17414" applyFont="1" applyFill="1" applyBorder="1" applyAlignment="1" applyProtection="1">
      <alignment horizontal="center"/>
      <protection hidden="1"/>
    </xf>
    <xf numFmtId="0" fontId="168" fillId="3" borderId="18" xfId="17414" applyFont="1" applyFill="1" applyBorder="1" applyAlignment="1" applyProtection="1">
      <alignment horizontal="center"/>
      <protection hidden="1"/>
    </xf>
    <xf numFmtId="0" fontId="17" fillId="0" borderId="334" xfId="17414" applyFont="1" applyBorder="1" applyAlignment="1" applyProtection="1">
      <alignment horizontal="left" vertical="top"/>
      <protection hidden="1"/>
    </xf>
    <xf numFmtId="1" fontId="23" fillId="0" borderId="18" xfId="15827" applyNumberFormat="1" applyFont="1" applyBorder="1" applyAlignment="1" applyProtection="1">
      <alignment horizontal="left"/>
      <protection hidden="1"/>
    </xf>
    <xf numFmtId="0" fontId="102" fillId="0" borderId="113" xfId="69" applyFont="1" applyBorder="1" applyAlignment="1" applyProtection="1">
      <alignment horizontal="left"/>
      <protection hidden="1"/>
    </xf>
    <xf numFmtId="0" fontId="164" fillId="21" borderId="350" xfId="17414" applyFont="1" applyFill="1" applyBorder="1" applyAlignment="1">
      <alignment horizontal="left"/>
    </xf>
    <xf numFmtId="0" fontId="164" fillId="21" borderId="351" xfId="17414" applyFont="1" applyFill="1" applyBorder="1" applyAlignment="1">
      <alignment horizontal="left"/>
    </xf>
    <xf numFmtId="0" fontId="164" fillId="21" borderId="352" xfId="17414" applyFont="1" applyFill="1" applyBorder="1" applyAlignment="1">
      <alignment horizontal="left"/>
    </xf>
    <xf numFmtId="0" fontId="63" fillId="2" borderId="351" xfId="17414" applyFont="1" applyFill="1" applyBorder="1" applyAlignment="1" applyProtection="1">
      <alignment horizontal="center"/>
      <protection hidden="1"/>
    </xf>
    <xf numFmtId="0" fontId="63" fillId="2" borderId="352" xfId="17414" applyFont="1" applyFill="1" applyBorder="1" applyAlignment="1" applyProtection="1">
      <alignment horizontal="center"/>
      <protection hidden="1"/>
    </xf>
    <xf numFmtId="0" fontId="7" fillId="4" borderId="482" xfId="6465" applyFill="1" applyBorder="1" applyAlignment="1" applyProtection="1">
      <alignment horizontal="center"/>
      <protection hidden="1"/>
    </xf>
    <xf numFmtId="0" fontId="7" fillId="4" borderId="423" xfId="6465" applyFill="1" applyBorder="1" applyAlignment="1" applyProtection="1">
      <alignment horizontal="center"/>
      <protection hidden="1"/>
    </xf>
    <xf numFmtId="0" fontId="96" fillId="5" borderId="350" xfId="0" applyFont="1" applyFill="1" applyBorder="1" applyAlignment="1" applyProtection="1">
      <alignment horizontal="center"/>
      <protection locked="0"/>
    </xf>
    <xf numFmtId="0" fontId="96" fillId="5" borderId="351" xfId="0" applyFont="1" applyFill="1" applyBorder="1" applyAlignment="1" applyProtection="1">
      <alignment horizontal="center"/>
      <protection locked="0"/>
    </xf>
    <xf numFmtId="0" fontId="96" fillId="5" borderId="352" xfId="0" applyFont="1" applyFill="1" applyBorder="1" applyAlignment="1" applyProtection="1">
      <alignment horizontal="center"/>
      <protection locked="0"/>
    </xf>
    <xf numFmtId="0" fontId="121" fillId="0" borderId="0" xfId="17414" applyFont="1" applyAlignment="1" applyProtection="1">
      <alignment horizontal="center"/>
      <protection hidden="1"/>
    </xf>
    <xf numFmtId="0" fontId="156" fillId="0" borderId="0" xfId="17414" applyFont="1" applyAlignment="1" applyProtection="1">
      <alignment horizontal="center"/>
      <protection hidden="1"/>
    </xf>
    <xf numFmtId="168" fontId="23" fillId="27" borderId="352" xfId="17436" applyNumberFormat="1" applyFont="1" applyFill="1" applyBorder="1" applyAlignment="1" applyProtection="1">
      <alignment horizontal="center"/>
      <protection hidden="1"/>
    </xf>
    <xf numFmtId="0" fontId="7" fillId="4" borderId="350" xfId="16065" applyFont="1" applyFill="1" applyBorder="1" applyAlignment="1" applyProtection="1">
      <alignment horizontal="left"/>
      <protection hidden="1"/>
    </xf>
    <xf numFmtId="0" fontId="7" fillId="4" borderId="352" xfId="16065" applyFont="1" applyFill="1" applyBorder="1" applyAlignment="1" applyProtection="1">
      <alignment horizontal="left"/>
      <protection hidden="1"/>
    </xf>
    <xf numFmtId="0" fontId="96" fillId="5" borderId="350" xfId="0" applyFont="1" applyFill="1" applyBorder="1" applyAlignment="1" applyProtection="1">
      <alignment horizontal="center" wrapText="1"/>
      <protection locked="0"/>
    </xf>
    <xf numFmtId="0" fontId="96" fillId="5" borderId="351" xfId="0" applyFont="1" applyFill="1" applyBorder="1" applyAlignment="1" applyProtection="1">
      <alignment horizontal="center" wrapText="1"/>
      <protection locked="0"/>
    </xf>
    <xf numFmtId="0" fontId="96" fillId="5" borderId="352" xfId="0" applyFont="1" applyFill="1" applyBorder="1" applyAlignment="1" applyProtection="1">
      <alignment horizontal="center" wrapText="1"/>
      <protection locked="0"/>
    </xf>
    <xf numFmtId="0" fontId="137" fillId="0" borderId="350" xfId="17414" applyFont="1" applyBorder="1" applyAlignment="1" applyProtection="1">
      <alignment horizontal="left"/>
      <protection hidden="1"/>
    </xf>
    <xf numFmtId="0" fontId="137" fillId="0" borderId="351" xfId="17414" applyFont="1" applyBorder="1" applyAlignment="1" applyProtection="1">
      <alignment horizontal="left"/>
      <protection hidden="1"/>
    </xf>
    <xf numFmtId="0" fontId="137" fillId="0" borderId="352" xfId="17414" applyFont="1" applyBorder="1" applyAlignment="1" applyProtection="1">
      <alignment horizontal="left"/>
      <protection hidden="1"/>
    </xf>
    <xf numFmtId="0" fontId="7" fillId="3" borderId="30" xfId="17414" applyFont="1" applyFill="1" applyBorder="1" applyAlignment="1" applyProtection="1">
      <alignment horizontal="left"/>
      <protection hidden="1"/>
    </xf>
    <xf numFmtId="0" fontId="7" fillId="3" borderId="29" xfId="17414" applyFont="1" applyFill="1" applyBorder="1" applyAlignment="1" applyProtection="1">
      <alignment horizontal="left"/>
      <protection hidden="1"/>
    </xf>
    <xf numFmtId="0" fontId="7" fillId="3" borderId="31" xfId="17414" applyFont="1" applyFill="1" applyBorder="1" applyAlignment="1" applyProtection="1">
      <alignment horizontal="left"/>
      <protection hidden="1"/>
    </xf>
    <xf numFmtId="2" fontId="63" fillId="18" borderId="30" xfId="17474" applyNumberFormat="1" applyFont="1" applyFill="1" applyBorder="1" applyAlignment="1" applyProtection="1">
      <alignment horizontal="center"/>
      <protection locked="0"/>
    </xf>
    <xf numFmtId="2" fontId="63" fillId="18" borderId="31" xfId="17474" applyNumberFormat="1" applyFont="1" applyFill="1" applyBorder="1" applyAlignment="1" applyProtection="1">
      <alignment horizontal="center"/>
      <protection locked="0"/>
    </xf>
    <xf numFmtId="2" fontId="63" fillId="30" borderId="30" xfId="17474" applyNumberFormat="1" applyFont="1" applyFill="1" applyBorder="1" applyAlignment="1" applyProtection="1">
      <alignment horizontal="center"/>
      <protection locked="0"/>
    </xf>
    <xf numFmtId="2" fontId="63" fillId="30" borderId="31" xfId="17474" applyNumberFormat="1" applyFont="1" applyFill="1" applyBorder="1" applyAlignment="1" applyProtection="1">
      <alignment horizontal="center"/>
      <protection locked="0"/>
    </xf>
    <xf numFmtId="2" fontId="23" fillId="12" borderId="30" xfId="17474" applyNumberFormat="1" applyFont="1" applyFill="1" applyBorder="1" applyAlignment="1" applyProtection="1">
      <alignment horizontal="center"/>
      <protection locked="0"/>
    </xf>
    <xf numFmtId="2" fontId="23" fillId="12" borderId="29" xfId="17474" applyNumberFormat="1" applyFont="1" applyFill="1" applyBorder="1" applyAlignment="1" applyProtection="1">
      <alignment horizontal="center"/>
      <protection locked="0"/>
    </xf>
    <xf numFmtId="168" fontId="7" fillId="3" borderId="15" xfId="6465" applyNumberFormat="1" applyFill="1" applyBorder="1" applyAlignment="1" applyProtection="1">
      <alignment horizontal="left"/>
      <protection hidden="1"/>
    </xf>
    <xf numFmtId="168" fontId="7" fillId="3" borderId="39" xfId="6465" applyNumberFormat="1" applyFill="1" applyBorder="1" applyAlignment="1" applyProtection="1">
      <alignment horizontal="left"/>
      <protection hidden="1"/>
    </xf>
    <xf numFmtId="168" fontId="7" fillId="3" borderId="41" xfId="6465" applyNumberFormat="1" applyFill="1" applyBorder="1" applyAlignment="1" applyProtection="1">
      <alignment horizontal="left"/>
      <protection hidden="1"/>
    </xf>
    <xf numFmtId="1" fontId="61" fillId="4" borderId="350" xfId="16065" applyNumberFormat="1" applyFont="1" applyFill="1" applyBorder="1" applyAlignment="1" applyProtection="1">
      <alignment horizontal="left"/>
      <protection hidden="1"/>
    </xf>
    <xf numFmtId="1" fontId="61" fillId="4" borderId="351" xfId="16065" applyNumberFormat="1" applyFont="1" applyFill="1" applyBorder="1" applyAlignment="1" applyProtection="1">
      <alignment horizontal="left"/>
      <protection hidden="1"/>
    </xf>
    <xf numFmtId="1" fontId="61" fillId="4" borderId="352" xfId="16065" applyNumberFormat="1" applyFont="1" applyFill="1" applyBorder="1" applyAlignment="1" applyProtection="1">
      <alignment horizontal="left"/>
      <protection hidden="1"/>
    </xf>
    <xf numFmtId="0" fontId="5" fillId="4" borderId="0" xfId="6465" applyFont="1" applyFill="1" applyAlignment="1" applyProtection="1">
      <alignment horizontal="center"/>
      <protection hidden="1"/>
    </xf>
    <xf numFmtId="1" fontId="7" fillId="23" borderId="470" xfId="17471" applyNumberFormat="1" applyFont="1" applyFill="1" applyBorder="1" applyAlignment="1" applyProtection="1">
      <alignment horizontal="left" wrapText="1"/>
      <protection hidden="1"/>
    </xf>
    <xf numFmtId="1" fontId="7" fillId="23" borderId="471" xfId="17471" applyNumberFormat="1" applyFont="1" applyFill="1" applyBorder="1" applyAlignment="1" applyProtection="1">
      <alignment horizontal="left" wrapText="1"/>
      <protection hidden="1"/>
    </xf>
    <xf numFmtId="1" fontId="7" fillId="23" borderId="472" xfId="17471" applyNumberFormat="1" applyFont="1" applyFill="1" applyBorder="1" applyAlignment="1" applyProtection="1">
      <alignment horizontal="left" wrapText="1"/>
      <protection hidden="1"/>
    </xf>
    <xf numFmtId="2" fontId="7" fillId="0" borderId="351" xfId="6465" applyNumberFormat="1" applyBorder="1" applyAlignment="1" applyProtection="1">
      <alignment horizontal="center"/>
      <protection hidden="1"/>
    </xf>
    <xf numFmtId="2" fontId="7" fillId="0" borderId="352" xfId="6465" applyNumberFormat="1" applyBorder="1" applyAlignment="1" applyProtection="1">
      <alignment horizontal="center"/>
      <protection hidden="1"/>
    </xf>
    <xf numFmtId="0" fontId="74" fillId="2" borderId="17" xfId="4660" applyFont="1" applyFill="1" applyBorder="1" applyAlignment="1" applyProtection="1">
      <alignment horizontal="left"/>
      <protection hidden="1"/>
    </xf>
    <xf numFmtId="0" fontId="7" fillId="4" borderId="28" xfId="17475" applyFill="1" applyBorder="1" applyAlignment="1" applyProtection="1">
      <alignment horizontal="left"/>
      <protection hidden="1"/>
    </xf>
    <xf numFmtId="0" fontId="23" fillId="4" borderId="471" xfId="6465" applyFont="1" applyFill="1" applyBorder="1" applyAlignment="1" applyProtection="1">
      <alignment horizontal="left"/>
      <protection hidden="1"/>
    </xf>
    <xf numFmtId="0" fontId="23" fillId="4" borderId="472" xfId="6465" applyFont="1" applyFill="1" applyBorder="1" applyAlignment="1" applyProtection="1">
      <alignment horizontal="left"/>
      <protection hidden="1"/>
    </xf>
    <xf numFmtId="0" fontId="7" fillId="4" borderId="0" xfId="17414" applyFont="1" applyFill="1" applyAlignment="1" applyProtection="1">
      <alignment horizontal="left"/>
      <protection hidden="1"/>
    </xf>
    <xf numFmtId="1" fontId="23" fillId="4" borderId="350" xfId="16065" applyNumberFormat="1" applyFont="1" applyFill="1" applyBorder="1" applyAlignment="1" applyProtection="1">
      <alignment horizontal="left"/>
      <protection hidden="1"/>
    </xf>
    <xf numFmtId="1" fontId="23" fillId="4" borderId="351" xfId="16065" applyNumberFormat="1" applyFont="1" applyFill="1" applyBorder="1" applyAlignment="1" applyProtection="1">
      <alignment horizontal="left"/>
      <protection hidden="1"/>
    </xf>
    <xf numFmtId="0" fontId="7" fillId="2" borderId="0" xfId="8678" applyFont="1" applyFill="1" applyAlignment="1" applyProtection="1">
      <alignment horizontal="right"/>
      <protection hidden="1"/>
    </xf>
    <xf numFmtId="0" fontId="7" fillId="2" borderId="83" xfId="8678" applyFont="1" applyFill="1" applyBorder="1" applyAlignment="1" applyProtection="1">
      <alignment horizontal="right"/>
      <protection hidden="1"/>
    </xf>
    <xf numFmtId="0" fontId="17" fillId="3" borderId="17" xfId="17414" applyFont="1" applyFill="1" applyBorder="1" applyAlignment="1" applyProtection="1">
      <alignment horizontal="left"/>
      <protection hidden="1"/>
    </xf>
    <xf numFmtId="0" fontId="17" fillId="3" borderId="0" xfId="17414" applyFont="1" applyFill="1" applyAlignment="1" applyProtection="1">
      <alignment horizontal="left"/>
      <protection hidden="1"/>
    </xf>
    <xf numFmtId="2" fontId="7" fillId="0" borderId="350" xfId="17414" applyNumberFormat="1" applyFont="1" applyBorder="1" applyAlignment="1" applyProtection="1">
      <alignment horizontal="center"/>
      <protection hidden="1"/>
    </xf>
    <xf numFmtId="2" fontId="7" fillId="0" borderId="352" xfId="17414" applyNumberFormat="1" applyFont="1" applyBorder="1" applyAlignment="1" applyProtection="1">
      <alignment horizontal="center"/>
      <protection hidden="1"/>
    </xf>
    <xf numFmtId="0" fontId="7" fillId="3" borderId="0" xfId="17414" applyFont="1" applyFill="1" applyAlignment="1" applyProtection="1">
      <alignment horizontal="left"/>
      <protection hidden="1"/>
    </xf>
    <xf numFmtId="0" fontId="145" fillId="0" borderId="29" xfId="69" applyFont="1" applyBorder="1" applyAlignment="1" applyProtection="1">
      <alignment horizontal="center"/>
      <protection hidden="1"/>
    </xf>
    <xf numFmtId="0" fontId="23" fillId="27" borderId="350" xfId="17436" applyFont="1" applyFill="1" applyBorder="1" applyAlignment="1" applyProtection="1">
      <alignment horizontal="center"/>
      <protection hidden="1"/>
    </xf>
    <xf numFmtId="0" fontId="23" fillId="27" borderId="351" xfId="17436" applyFont="1" applyFill="1" applyBorder="1" applyAlignment="1" applyProtection="1">
      <alignment horizontal="center"/>
      <protection hidden="1"/>
    </xf>
    <xf numFmtId="0" fontId="23" fillId="27" borderId="352" xfId="17436" applyFont="1" applyFill="1" applyBorder="1" applyAlignment="1" applyProtection="1">
      <alignment horizontal="center"/>
      <protection hidden="1"/>
    </xf>
    <xf numFmtId="0" fontId="110" fillId="3" borderId="0" xfId="6465" applyFont="1" applyFill="1" applyAlignment="1" applyProtection="1">
      <alignment horizontal="right"/>
      <protection hidden="1"/>
    </xf>
    <xf numFmtId="0" fontId="17" fillId="4" borderId="0" xfId="17414" applyFont="1" applyFill="1" applyAlignment="1" applyProtection="1">
      <alignment horizontal="left"/>
      <protection hidden="1"/>
    </xf>
    <xf numFmtId="0" fontId="17" fillId="3" borderId="0" xfId="17414" applyFont="1" applyFill="1" applyAlignment="1" applyProtection="1">
      <alignment horizontal="center"/>
      <protection hidden="1"/>
    </xf>
    <xf numFmtId="0" fontId="137" fillId="3" borderId="17" xfId="17414" applyFont="1" applyFill="1" applyBorder="1" applyAlignment="1" applyProtection="1">
      <alignment horizontal="left"/>
      <protection hidden="1"/>
    </xf>
    <xf numFmtId="0" fontId="7" fillId="3" borderId="0" xfId="17414" applyFont="1" applyFill="1" applyAlignment="1" applyProtection="1">
      <alignment horizontal="right" wrapText="1"/>
      <protection hidden="1"/>
    </xf>
    <xf numFmtId="0" fontId="7" fillId="3" borderId="83" xfId="17414" applyFont="1" applyFill="1" applyBorder="1" applyAlignment="1" applyProtection="1">
      <alignment horizontal="right" wrapText="1"/>
      <protection hidden="1"/>
    </xf>
    <xf numFmtId="2" fontId="7" fillId="4" borderId="0" xfId="17414" applyNumberFormat="1" applyFont="1" applyFill="1" applyAlignment="1" applyProtection="1">
      <alignment horizontal="left"/>
      <protection hidden="1"/>
    </xf>
    <xf numFmtId="0" fontId="23" fillId="3" borderId="350" xfId="4660" applyFont="1" applyFill="1" applyBorder="1" applyAlignment="1" applyProtection="1">
      <alignment horizontal="center"/>
      <protection hidden="1"/>
    </xf>
    <xf numFmtId="0" fontId="23" fillId="3" borderId="352" xfId="4660" applyFont="1" applyFill="1" applyBorder="1" applyAlignment="1" applyProtection="1">
      <alignment horizontal="center"/>
      <protection hidden="1"/>
    </xf>
    <xf numFmtId="0" fontId="339" fillId="4" borderId="0" xfId="17414" applyFont="1" applyFill="1" applyAlignment="1" applyProtection="1">
      <alignment horizontal="center"/>
      <protection hidden="1"/>
    </xf>
    <xf numFmtId="0" fontId="7" fillId="0" borderId="0" xfId="17436" applyFont="1" applyAlignment="1" applyProtection="1">
      <alignment horizontal="left" vertical="top" wrapText="1"/>
      <protection hidden="1"/>
    </xf>
    <xf numFmtId="0" fontId="7" fillId="0" borderId="39" xfId="17436" applyFont="1" applyBorder="1" applyAlignment="1" applyProtection="1">
      <alignment horizontal="left" vertical="top" wrapText="1"/>
      <protection hidden="1"/>
    </xf>
    <xf numFmtId="0" fontId="12" fillId="0" borderId="36" xfId="17436" applyFont="1" applyBorder="1" applyAlignment="1" applyProtection="1">
      <alignment horizontal="center" vertical="top" wrapText="1"/>
      <protection hidden="1"/>
    </xf>
    <xf numFmtId="0" fontId="12" fillId="0" borderId="40" xfId="17436" applyFont="1" applyBorder="1" applyAlignment="1" applyProtection="1">
      <alignment horizontal="center" vertical="top" wrapText="1"/>
      <protection hidden="1"/>
    </xf>
    <xf numFmtId="0" fontId="68" fillId="0" borderId="18" xfId="17436" applyFont="1" applyBorder="1" applyAlignment="1" applyProtection="1">
      <alignment horizontal="center" vertical="top" wrapText="1"/>
      <protection hidden="1"/>
    </xf>
    <xf numFmtId="0" fontId="68" fillId="0" borderId="41" xfId="17436" applyFont="1" applyBorder="1" applyAlignment="1" applyProtection="1">
      <alignment horizontal="center" vertical="top" wrapText="1"/>
      <protection hidden="1"/>
    </xf>
    <xf numFmtId="0" fontId="12" fillId="0" borderId="37" xfId="17436" applyFont="1" applyBorder="1" applyAlignment="1" applyProtection="1">
      <alignment horizontal="center" vertical="top" wrapText="1"/>
      <protection hidden="1"/>
    </xf>
    <xf numFmtId="0" fontId="12" fillId="3" borderId="38" xfId="17436" applyFont="1" applyFill="1" applyBorder="1" applyAlignment="1" applyProtection="1">
      <alignment horizontal="center" vertical="top" wrapText="1"/>
      <protection hidden="1"/>
    </xf>
    <xf numFmtId="0" fontId="12" fillId="3" borderId="16" xfId="17436" applyFont="1" applyFill="1" applyBorder="1" applyAlignment="1" applyProtection="1">
      <alignment horizontal="center" vertical="top" wrapText="1"/>
      <protection hidden="1"/>
    </xf>
    <xf numFmtId="0" fontId="12" fillId="0" borderId="0" xfId="17436" applyFont="1" applyAlignment="1" applyProtection="1">
      <alignment horizontal="center" vertical="top" wrapText="1"/>
      <protection hidden="1"/>
    </xf>
    <xf numFmtId="0" fontId="89" fillId="0" borderId="350" xfId="17437" applyFont="1" applyBorder="1" applyAlignment="1" applyProtection="1">
      <alignment horizontal="left" wrapText="1"/>
      <protection hidden="1"/>
    </xf>
    <xf numFmtId="0" fontId="89" fillId="0" borderId="352" xfId="17437" applyFont="1" applyBorder="1" applyAlignment="1" applyProtection="1">
      <alignment horizontal="left" wrapText="1"/>
      <protection hidden="1"/>
    </xf>
    <xf numFmtId="0" fontId="87" fillId="0" borderId="30" xfId="17437" applyFont="1" applyBorder="1" applyAlignment="1" applyProtection="1">
      <alignment horizontal="left" wrapText="1"/>
      <protection hidden="1"/>
    </xf>
    <xf numFmtId="0" fontId="87" fillId="0" borderId="31" xfId="17437" applyFont="1" applyBorder="1" applyAlignment="1" applyProtection="1">
      <alignment horizontal="left" wrapText="1"/>
      <protection hidden="1"/>
    </xf>
    <xf numFmtId="0" fontId="87" fillId="0" borderId="18" xfId="17437" applyFont="1" applyBorder="1" applyAlignment="1" applyProtection="1">
      <alignment horizontal="left" wrapText="1"/>
      <protection hidden="1"/>
    </xf>
    <xf numFmtId="0" fontId="87" fillId="0" borderId="18" xfId="17437" applyFont="1" applyBorder="1" applyAlignment="1" applyProtection="1">
      <alignment horizontal="left"/>
      <protection hidden="1"/>
    </xf>
    <xf numFmtId="0" fontId="87" fillId="0" borderId="27" xfId="17437" applyFont="1" applyBorder="1" applyAlignment="1" applyProtection="1">
      <alignment horizontal="left" wrapText="1"/>
      <protection hidden="1"/>
    </xf>
    <xf numFmtId="0" fontId="87" fillId="0" borderId="28" xfId="17437" applyFont="1" applyBorder="1" applyAlignment="1" applyProtection="1">
      <alignment horizontal="left" wrapText="1"/>
      <protection hidden="1"/>
    </xf>
    <xf numFmtId="0" fontId="87" fillId="0" borderId="350" xfId="17437" applyFont="1" applyBorder="1" applyAlignment="1" applyProtection="1">
      <alignment horizontal="left" wrapText="1"/>
      <protection hidden="1"/>
    </xf>
    <xf numFmtId="0" fontId="87" fillId="0" borderId="352" xfId="17437" applyFont="1" applyBorder="1" applyAlignment="1" applyProtection="1">
      <alignment horizontal="left" wrapText="1"/>
      <protection hidden="1"/>
    </xf>
    <xf numFmtId="0" fontId="94" fillId="0" borderId="367" xfId="17437" applyFont="1" applyBorder="1" applyAlignment="1" applyProtection="1">
      <alignment horizontal="left"/>
      <protection hidden="1"/>
    </xf>
    <xf numFmtId="0" fontId="7" fillId="0" borderId="0" xfId="17436" applyFont="1" applyAlignment="1" applyProtection="1">
      <alignment horizontal="left" vertical="center" wrapText="1"/>
      <protection hidden="1"/>
    </xf>
    <xf numFmtId="0" fontId="7" fillId="0" borderId="18" xfId="17436" applyFont="1" applyBorder="1" applyAlignment="1" applyProtection="1">
      <alignment horizontal="left" vertical="center" wrapText="1"/>
      <protection hidden="1"/>
    </xf>
    <xf numFmtId="0" fontId="7" fillId="0" borderId="350" xfId="17437" applyFont="1" applyBorder="1" applyAlignment="1" applyProtection="1">
      <alignment horizontal="right"/>
      <protection hidden="1"/>
    </xf>
    <xf numFmtId="0" fontId="7" fillId="0" borderId="352" xfId="17437" applyFont="1" applyBorder="1" applyAlignment="1" applyProtection="1">
      <alignment horizontal="right"/>
      <protection hidden="1"/>
    </xf>
    <xf numFmtId="0" fontId="23" fillId="0" borderId="0" xfId="6465" applyFont="1" applyAlignment="1" applyProtection="1">
      <alignment horizontal="left"/>
      <protection hidden="1"/>
    </xf>
    <xf numFmtId="0" fontId="77" fillId="0" borderId="0" xfId="6465" applyFont="1" applyAlignment="1" applyProtection="1">
      <alignment horizontal="left"/>
      <protection hidden="1"/>
    </xf>
    <xf numFmtId="0" fontId="86" fillId="0" borderId="0" xfId="17436" applyFont="1" applyAlignment="1" applyProtection="1">
      <alignment horizontal="left"/>
      <protection hidden="1"/>
    </xf>
    <xf numFmtId="0" fontId="36" fillId="2" borderId="0" xfId="6465" applyFont="1" applyFill="1" applyAlignment="1" applyProtection="1">
      <alignment horizontal="left" wrapText="1"/>
      <protection hidden="1"/>
    </xf>
    <xf numFmtId="0" fontId="45" fillId="2" borderId="0" xfId="6465" applyFont="1" applyFill="1" applyAlignment="1" applyProtection="1">
      <alignment horizontal="left"/>
      <protection hidden="1"/>
    </xf>
    <xf numFmtId="0" fontId="7" fillId="0" borderId="351" xfId="17437" applyFont="1" applyBorder="1" applyAlignment="1" applyProtection="1">
      <alignment horizontal="right"/>
      <protection hidden="1"/>
    </xf>
    <xf numFmtId="0" fontId="0" fillId="0" borderId="0" xfId="6465" applyFont="1" applyAlignment="1" applyProtection="1">
      <alignment horizontal="left" vertical="top" wrapText="1"/>
      <protection hidden="1"/>
    </xf>
    <xf numFmtId="0" fontId="0" fillId="0" borderId="0" xfId="17436" applyFont="1" applyAlignment="1" applyProtection="1">
      <alignment horizontal="left"/>
      <protection hidden="1"/>
    </xf>
    <xf numFmtId="0" fontId="24" fillId="0" borderId="0" xfId="6465" applyFont="1" applyAlignment="1" applyProtection="1">
      <alignment horizontal="center"/>
      <protection hidden="1"/>
    </xf>
    <xf numFmtId="0" fontId="68" fillId="0" borderId="0" xfId="17436" applyFont="1" applyAlignment="1" applyProtection="1">
      <alignment horizontal="center" vertical="top" wrapText="1"/>
      <protection hidden="1"/>
    </xf>
    <xf numFmtId="0" fontId="7" fillId="0" borderId="351" xfId="4660" applyFont="1" applyBorder="1" applyAlignment="1" applyProtection="1">
      <alignment horizontal="left"/>
      <protection hidden="1"/>
    </xf>
    <xf numFmtId="0" fontId="7" fillId="0" borderId="352" xfId="4660" applyFont="1" applyBorder="1" applyAlignment="1" applyProtection="1">
      <alignment horizontal="left"/>
      <protection hidden="1"/>
    </xf>
    <xf numFmtId="0" fontId="7" fillId="4" borderId="351" xfId="16065" applyFont="1" applyFill="1" applyBorder="1" applyAlignment="1" applyProtection="1">
      <alignment horizontal="left"/>
      <protection hidden="1"/>
    </xf>
    <xf numFmtId="0" fontId="7" fillId="4" borderId="351" xfId="6465" applyFill="1" applyBorder="1" applyAlignment="1" applyProtection="1">
      <alignment horizontal="left" wrapText="1"/>
      <protection hidden="1"/>
    </xf>
    <xf numFmtId="0" fontId="7" fillId="4" borderId="352" xfId="6465" applyFill="1" applyBorder="1" applyAlignment="1" applyProtection="1">
      <alignment horizontal="left" wrapText="1"/>
      <protection hidden="1"/>
    </xf>
    <xf numFmtId="0" fontId="7" fillId="21" borderId="350" xfId="6465" applyFill="1" applyBorder="1" applyAlignment="1" applyProtection="1">
      <alignment horizontal="left" wrapText="1"/>
      <protection hidden="1"/>
    </xf>
    <xf numFmtId="0" fontId="7" fillId="21" borderId="351" xfId="6465" applyFill="1" applyBorder="1" applyAlignment="1" applyProtection="1">
      <alignment horizontal="left" wrapText="1"/>
      <protection hidden="1"/>
    </xf>
    <xf numFmtId="0" fontId="7" fillId="21" borderId="352" xfId="6465" applyFill="1" applyBorder="1" applyAlignment="1" applyProtection="1">
      <alignment horizontal="left" wrapText="1"/>
      <protection hidden="1"/>
    </xf>
    <xf numFmtId="0" fontId="23" fillId="3" borderId="43" xfId="4660" applyFont="1" applyFill="1" applyBorder="1" applyAlignment="1" applyProtection="1">
      <alignment horizontal="center" vertical="center"/>
      <protection hidden="1"/>
    </xf>
    <xf numFmtId="0" fontId="23" fillId="3" borderId="44" xfId="4660" applyFont="1" applyFill="1" applyBorder="1" applyAlignment="1" applyProtection="1">
      <alignment horizontal="center" vertical="center"/>
      <protection hidden="1"/>
    </xf>
    <xf numFmtId="0" fontId="76" fillId="4" borderId="351" xfId="6465" applyFont="1" applyFill="1" applyBorder="1" applyAlignment="1" applyProtection="1">
      <alignment horizontal="left"/>
      <protection hidden="1"/>
    </xf>
    <xf numFmtId="0" fontId="76" fillId="4" borderId="352" xfId="6465" applyFont="1" applyFill="1" applyBorder="1" applyAlignment="1" applyProtection="1">
      <alignment horizontal="left"/>
      <protection hidden="1"/>
    </xf>
    <xf numFmtId="0" fontId="76" fillId="4" borderId="17" xfId="6465" applyFont="1" applyFill="1" applyBorder="1" applyAlignment="1" applyProtection="1">
      <alignment horizontal="left"/>
      <protection hidden="1"/>
    </xf>
    <xf numFmtId="0" fontId="76" fillId="4" borderId="28" xfId="6465" applyFont="1" applyFill="1" applyBorder="1" applyAlignment="1" applyProtection="1">
      <alignment horizontal="left"/>
      <protection hidden="1"/>
    </xf>
    <xf numFmtId="0" fontId="23" fillId="0" borderId="350" xfId="4660" applyFont="1" applyBorder="1" applyAlignment="1" applyProtection="1">
      <alignment horizontal="left"/>
      <protection hidden="1"/>
    </xf>
    <xf numFmtId="0" fontId="23" fillId="0" borderId="351" xfId="4660" applyFont="1" applyBorder="1" applyAlignment="1" applyProtection="1">
      <alignment horizontal="left"/>
      <protection hidden="1"/>
    </xf>
    <xf numFmtId="0" fontId="23" fillId="0" borderId="352" xfId="4660" applyFont="1" applyBorder="1" applyAlignment="1" applyProtection="1">
      <alignment horizontal="left"/>
      <protection hidden="1"/>
    </xf>
    <xf numFmtId="1" fontId="23" fillId="4" borderId="352" xfId="16065" applyNumberFormat="1" applyFont="1" applyFill="1" applyBorder="1" applyAlignment="1" applyProtection="1">
      <alignment horizontal="left"/>
      <protection hidden="1"/>
    </xf>
    <xf numFmtId="0" fontId="7" fillId="7" borderId="350" xfId="4660" applyFont="1" applyFill="1" applyBorder="1" applyAlignment="1" applyProtection="1">
      <alignment horizontal="left"/>
      <protection hidden="1"/>
    </xf>
    <xf numFmtId="0" fontId="7" fillId="7" borderId="351" xfId="4660" applyFont="1" applyFill="1" applyBorder="1" applyAlignment="1" applyProtection="1">
      <alignment horizontal="left"/>
      <protection hidden="1"/>
    </xf>
    <xf numFmtId="0" fontId="7" fillId="7" borderId="352" xfId="4660" applyFont="1" applyFill="1" applyBorder="1" applyAlignment="1" applyProtection="1">
      <alignment horizontal="left"/>
      <protection hidden="1"/>
    </xf>
    <xf numFmtId="1" fontId="61" fillId="21" borderId="350" xfId="16065" applyNumberFormat="1" applyFont="1" applyFill="1" applyBorder="1" applyAlignment="1" applyProtection="1">
      <alignment horizontal="left"/>
      <protection hidden="1"/>
    </xf>
    <xf numFmtId="1" fontId="61" fillId="21" borderId="351" xfId="16065" applyNumberFormat="1" applyFont="1" applyFill="1" applyBorder="1" applyAlignment="1" applyProtection="1">
      <alignment horizontal="left"/>
      <protection hidden="1"/>
    </xf>
    <xf numFmtId="1" fontId="61" fillId="21" borderId="352" xfId="16065" applyNumberFormat="1" applyFont="1" applyFill="1" applyBorder="1" applyAlignment="1" applyProtection="1">
      <alignment horizontal="left"/>
      <protection hidden="1"/>
    </xf>
    <xf numFmtId="0" fontId="7" fillId="0" borderId="334" xfId="6465" applyBorder="1" applyAlignment="1" applyProtection="1">
      <alignment horizontal="left"/>
      <protection hidden="1"/>
    </xf>
    <xf numFmtId="0" fontId="7" fillId="0" borderId="334" xfId="6465" applyBorder="1" applyAlignment="1" applyProtection="1">
      <alignment horizontal="center"/>
      <protection hidden="1"/>
    </xf>
    <xf numFmtId="0" fontId="7" fillId="4" borderId="334" xfId="17436" applyFont="1" applyFill="1" applyBorder="1" applyAlignment="1" applyProtection="1">
      <alignment horizontal="center" vertical="top" wrapText="1"/>
      <protection hidden="1"/>
    </xf>
    <xf numFmtId="0" fontId="7" fillId="0" borderId="0" xfId="6465" applyAlignment="1" applyProtection="1">
      <alignment horizontal="right" wrapText="1"/>
      <protection hidden="1"/>
    </xf>
    <xf numFmtId="0" fontId="74" fillId="4" borderId="0" xfId="4660" applyFont="1" applyFill="1" applyAlignment="1" applyProtection="1">
      <alignment horizontal="left"/>
      <protection hidden="1"/>
    </xf>
    <xf numFmtId="0" fontId="0" fillId="0" borderId="350" xfId="17436" applyFont="1" applyBorder="1" applyAlignment="1">
      <alignment horizontal="center"/>
    </xf>
    <xf numFmtId="0" fontId="0" fillId="0" borderId="351" xfId="17436" applyFont="1" applyBorder="1" applyAlignment="1">
      <alignment horizontal="center"/>
    </xf>
    <xf numFmtId="0" fontId="0" fillId="0" borderId="352" xfId="17436" applyFont="1" applyBorder="1" applyAlignment="1">
      <alignment horizontal="center"/>
    </xf>
    <xf numFmtId="172" fontId="79" fillId="4" borderId="0" xfId="6465" applyNumberFormat="1" applyFont="1" applyFill="1" applyAlignment="1" applyProtection="1">
      <alignment horizontal="center" vertical="center" wrapText="1"/>
      <protection hidden="1"/>
    </xf>
    <xf numFmtId="0" fontId="64" fillId="3" borderId="0" xfId="69" applyFont="1" applyFill="1" applyAlignment="1" applyProtection="1">
      <alignment horizontal="center"/>
    </xf>
    <xf numFmtId="0" fontId="64" fillId="3" borderId="18" xfId="69" applyFont="1" applyFill="1" applyBorder="1" applyAlignment="1" applyProtection="1">
      <alignment horizontal="center"/>
    </xf>
    <xf numFmtId="0" fontId="46" fillId="2" borderId="17" xfId="17436" applyFont="1" applyFill="1" applyBorder="1" applyAlignment="1" applyProtection="1">
      <alignment horizontal="right"/>
      <protection hidden="1"/>
    </xf>
    <xf numFmtId="0" fontId="110" fillId="2" borderId="0" xfId="17436" applyFont="1" applyFill="1" applyAlignment="1" applyProtection="1">
      <alignment horizontal="right"/>
      <protection hidden="1"/>
    </xf>
    <xf numFmtId="0" fontId="225" fillId="4" borderId="17" xfId="17488" applyFont="1" applyFill="1" applyBorder="1" applyAlignment="1" applyProtection="1">
      <alignment horizontal="center" vertical="center"/>
      <protection hidden="1"/>
    </xf>
    <xf numFmtId="172" fontId="79" fillId="4" borderId="29" xfId="6465" applyNumberFormat="1" applyFont="1" applyFill="1" applyBorder="1" applyAlignment="1" applyProtection="1">
      <alignment horizontal="center" vertical="center" wrapText="1"/>
      <protection hidden="1"/>
    </xf>
    <xf numFmtId="1" fontId="78" fillId="4" borderId="367" xfId="6465" applyNumberFormat="1" applyFont="1" applyFill="1" applyBorder="1" applyAlignment="1" applyProtection="1">
      <alignment horizontal="center" vertical="center" wrapText="1"/>
      <protection hidden="1"/>
    </xf>
    <xf numFmtId="1" fontId="83" fillId="4" borderId="367" xfId="6465" applyNumberFormat="1" applyFont="1" applyFill="1" applyBorder="1" applyAlignment="1" applyProtection="1">
      <alignment horizontal="center" vertical="center" wrapText="1"/>
      <protection hidden="1"/>
    </xf>
    <xf numFmtId="0" fontId="339" fillId="3" borderId="17" xfId="17436" applyFont="1" applyFill="1" applyBorder="1" applyAlignment="1" applyProtection="1">
      <alignment horizontal="center"/>
      <protection hidden="1"/>
    </xf>
    <xf numFmtId="0" fontId="355" fillId="4" borderId="0" xfId="6465" applyFont="1" applyFill="1" applyAlignment="1" applyProtection="1">
      <alignment horizontal="center" vertical="center" wrapText="1"/>
      <protection hidden="1"/>
    </xf>
    <xf numFmtId="0" fontId="0" fillId="3" borderId="0" xfId="17451" applyFont="1" applyFill="1" applyAlignment="1" applyProtection="1">
      <alignment horizontal="center" vertical="center"/>
      <protection hidden="1"/>
    </xf>
    <xf numFmtId="0" fontId="5" fillId="3" borderId="0" xfId="6465" applyFont="1" applyFill="1" applyAlignment="1" applyProtection="1">
      <alignment horizontal="center"/>
      <protection hidden="1"/>
    </xf>
    <xf numFmtId="0" fontId="122" fillId="2" borderId="0" xfId="6465" applyFont="1" applyFill="1" applyAlignment="1" applyProtection="1">
      <alignment horizontal="center" wrapText="1"/>
      <protection hidden="1"/>
    </xf>
    <xf numFmtId="0" fontId="122" fillId="2" borderId="18" xfId="6465" applyFont="1" applyFill="1" applyBorder="1" applyAlignment="1" applyProtection="1">
      <alignment horizontal="center" wrapText="1"/>
      <protection hidden="1"/>
    </xf>
    <xf numFmtId="0" fontId="122" fillId="2" borderId="27" xfId="6465" applyFont="1" applyFill="1" applyBorder="1" applyAlignment="1" applyProtection="1">
      <alignment horizontal="center" wrapText="1"/>
      <protection hidden="1"/>
    </xf>
    <xf numFmtId="0" fontId="122" fillId="2" borderId="17" xfId="6465" applyFont="1" applyFill="1" applyBorder="1" applyAlignment="1" applyProtection="1">
      <alignment horizontal="center" wrapText="1"/>
      <protection hidden="1"/>
    </xf>
    <xf numFmtId="0" fontId="122" fillId="2" borderId="28" xfId="6465" applyFont="1" applyFill="1" applyBorder="1" applyAlignment="1" applyProtection="1">
      <alignment horizontal="center" wrapText="1"/>
      <protection hidden="1"/>
    </xf>
    <xf numFmtId="0" fontId="125" fillId="0" borderId="30" xfId="17451" applyFont="1" applyBorder="1" applyAlignment="1" applyProtection="1">
      <alignment horizontal="center" vertical="center" wrapText="1"/>
      <protection hidden="1"/>
    </xf>
    <xf numFmtId="0" fontId="125" fillId="0" borderId="31" xfId="17451" applyFont="1" applyBorder="1" applyAlignment="1" applyProtection="1">
      <alignment horizontal="center" vertical="center" wrapText="1"/>
      <protection hidden="1"/>
    </xf>
    <xf numFmtId="0" fontId="125" fillId="0" borderId="18" xfId="17451" applyFont="1" applyBorder="1" applyAlignment="1" applyProtection="1">
      <alignment horizontal="center" vertical="center" wrapText="1"/>
      <protection hidden="1"/>
    </xf>
    <xf numFmtId="0" fontId="128" fillId="0" borderId="30" xfId="6465" applyFont="1" applyBorder="1" applyAlignment="1" applyProtection="1">
      <alignment horizontal="center" vertical="center" wrapText="1"/>
      <protection hidden="1"/>
    </xf>
    <xf numFmtId="0" fontId="128" fillId="0" borderId="31" xfId="6465" applyFont="1" applyBorder="1" applyAlignment="1" applyProtection="1">
      <alignment horizontal="center" vertical="center" wrapText="1"/>
      <protection hidden="1"/>
    </xf>
    <xf numFmtId="0" fontId="128" fillId="0" borderId="18" xfId="6465" applyFont="1" applyBorder="1" applyAlignment="1" applyProtection="1">
      <alignment horizontal="center" vertical="center" wrapText="1"/>
      <protection hidden="1"/>
    </xf>
    <xf numFmtId="0" fontId="55" fillId="9" borderId="0" xfId="17451" applyFont="1" applyFill="1" applyAlignment="1" applyProtection="1">
      <alignment horizontal="left" vertical="top"/>
      <protection hidden="1"/>
    </xf>
    <xf numFmtId="0" fontId="120" fillId="4" borderId="30" xfId="16065" applyFont="1" applyFill="1" applyBorder="1" applyAlignment="1" applyProtection="1">
      <alignment horizontal="center"/>
      <protection hidden="1"/>
    </xf>
    <xf numFmtId="0" fontId="120" fillId="4" borderId="29" xfId="16065" applyFont="1" applyFill="1" applyBorder="1" applyAlignment="1" applyProtection="1">
      <alignment horizontal="center"/>
      <protection hidden="1"/>
    </xf>
    <xf numFmtId="0" fontId="120" fillId="4" borderId="31" xfId="16065" applyFont="1" applyFill="1" applyBorder="1" applyAlignment="1" applyProtection="1">
      <alignment horizontal="center"/>
      <protection hidden="1"/>
    </xf>
    <xf numFmtId="0" fontId="7" fillId="0" borderId="27" xfId="17451" applyFont="1" applyBorder="1" applyAlignment="1" applyProtection="1">
      <alignment horizontal="center"/>
      <protection hidden="1"/>
    </xf>
    <xf numFmtId="0" fontId="7" fillId="0" borderId="17" xfId="17451" applyFont="1" applyBorder="1" applyAlignment="1" applyProtection="1">
      <alignment horizontal="center"/>
      <protection hidden="1"/>
    </xf>
    <xf numFmtId="0" fontId="7" fillId="0" borderId="28" xfId="17451" applyFont="1" applyBorder="1" applyAlignment="1" applyProtection="1">
      <alignment horizontal="center"/>
      <protection hidden="1"/>
    </xf>
    <xf numFmtId="0" fontId="121" fillId="3" borderId="334" xfId="6465" applyFont="1" applyFill="1" applyBorder="1" applyAlignment="1" applyProtection="1">
      <alignment horizontal="center" vertical="center" wrapText="1"/>
      <protection hidden="1"/>
    </xf>
    <xf numFmtId="0" fontId="139" fillId="0" borderId="367" xfId="6465" applyFont="1" applyBorder="1" applyAlignment="1" applyProtection="1">
      <alignment horizontal="center"/>
      <protection hidden="1"/>
    </xf>
    <xf numFmtId="0" fontId="140" fillId="0" borderId="29" xfId="6465" applyFont="1" applyBorder="1" applyAlignment="1" applyProtection="1">
      <alignment horizontal="center"/>
      <protection hidden="1"/>
    </xf>
    <xf numFmtId="0" fontId="129" fillId="0" borderId="367" xfId="6465" applyFont="1" applyBorder="1" applyAlignment="1" applyProtection="1">
      <alignment horizontal="center"/>
      <protection hidden="1"/>
    </xf>
    <xf numFmtId="0" fontId="61" fillId="0" borderId="79" xfId="17451" applyFont="1" applyBorder="1" applyAlignment="1" applyProtection="1">
      <alignment horizontal="left"/>
      <protection hidden="1"/>
    </xf>
    <xf numFmtId="0" fontId="61" fillId="0" borderId="18" xfId="17451" applyFont="1" applyBorder="1" applyAlignment="1" applyProtection="1">
      <alignment horizontal="left"/>
      <protection hidden="1"/>
    </xf>
    <xf numFmtId="0" fontId="17" fillId="4" borderId="17" xfId="8678" applyFont="1" applyFill="1" applyBorder="1" applyAlignment="1" applyProtection="1">
      <alignment horizontal="left"/>
      <protection hidden="1"/>
    </xf>
    <xf numFmtId="0" fontId="141" fillId="3" borderId="0" xfId="6465" applyFont="1" applyFill="1" applyAlignment="1" applyProtection="1">
      <alignment horizontal="right" wrapText="1"/>
      <protection hidden="1"/>
    </xf>
    <xf numFmtId="0" fontId="23" fillId="3" borderId="0" xfId="6465" applyFont="1" applyFill="1" applyAlignment="1" applyProtection="1">
      <alignment horizontal="left" vertical="center"/>
      <protection hidden="1"/>
    </xf>
    <xf numFmtId="0" fontId="23" fillId="3" borderId="0" xfId="17451" applyFont="1" applyFill="1" applyAlignment="1" applyProtection="1">
      <alignment horizontal="left" vertical="center" wrapText="1"/>
      <protection hidden="1"/>
    </xf>
    <xf numFmtId="0" fontId="23" fillId="3" borderId="0" xfId="17451" applyFont="1" applyFill="1" applyAlignment="1" applyProtection="1">
      <alignment horizontal="left" vertical="top" wrapText="1"/>
      <protection hidden="1"/>
    </xf>
    <xf numFmtId="2" fontId="14" fillId="2" borderId="0" xfId="16065" applyNumberFormat="1" applyFont="1" applyFill="1" applyAlignment="1" applyProtection="1">
      <alignment vertical="center" textRotation="90"/>
      <protection hidden="1"/>
    </xf>
    <xf numFmtId="0" fontId="94" fillId="4" borderId="367" xfId="6465" applyFont="1" applyFill="1" applyBorder="1" applyAlignment="1" applyProtection="1">
      <alignment horizontal="center" vertical="top" wrapText="1"/>
      <protection hidden="1"/>
    </xf>
    <xf numFmtId="0" fontId="76" fillId="4" borderId="367" xfId="6465" applyFont="1" applyFill="1" applyBorder="1" applyAlignment="1" applyProtection="1">
      <alignment horizontal="center" vertical="top" wrapText="1"/>
      <protection hidden="1"/>
    </xf>
    <xf numFmtId="0" fontId="103" fillId="0" borderId="367" xfId="17451" applyFont="1" applyBorder="1" applyAlignment="1" applyProtection="1">
      <alignment horizontal="center" vertical="top" wrapText="1"/>
      <protection hidden="1"/>
    </xf>
    <xf numFmtId="0" fontId="19" fillId="4" borderId="0" xfId="69" applyFont="1" applyFill="1" applyAlignment="1" applyProtection="1">
      <alignment horizontal="left"/>
      <protection hidden="1"/>
    </xf>
    <xf numFmtId="0" fontId="61" fillId="3" borderId="29" xfId="0" applyFont="1" applyFill="1" applyBorder="1" applyAlignment="1" applyProtection="1">
      <alignment horizontal="center"/>
      <protection hidden="1"/>
    </xf>
    <xf numFmtId="0" fontId="61" fillId="3" borderId="0" xfId="0" applyFont="1" applyFill="1" applyAlignment="1" applyProtection="1">
      <alignment horizontal="center"/>
      <protection hidden="1"/>
    </xf>
    <xf numFmtId="0" fontId="23" fillId="4" borderId="391" xfId="6465" applyFont="1" applyFill="1" applyBorder="1" applyAlignment="1" applyProtection="1">
      <alignment horizontal="left"/>
      <protection hidden="1"/>
    </xf>
    <xf numFmtId="0" fontId="23" fillId="4" borderId="465" xfId="6465" applyFont="1" applyFill="1" applyBorder="1" applyAlignment="1" applyProtection="1">
      <alignment horizontal="left"/>
      <protection hidden="1"/>
    </xf>
    <xf numFmtId="0" fontId="23" fillId="4" borderId="91" xfId="6465" applyFont="1" applyFill="1" applyBorder="1" applyAlignment="1" applyProtection="1">
      <alignment horizontal="left"/>
      <protection hidden="1"/>
    </xf>
    <xf numFmtId="0" fontId="23" fillId="4" borderId="98" xfId="6465" applyFont="1" applyFill="1" applyBorder="1" applyAlignment="1" applyProtection="1">
      <alignment horizontal="left"/>
      <protection hidden="1"/>
    </xf>
    <xf numFmtId="0" fontId="7" fillId="0" borderId="350" xfId="17451" applyFont="1" applyBorder="1" applyAlignment="1" applyProtection="1">
      <alignment horizontal="left"/>
      <protection hidden="1"/>
    </xf>
    <xf numFmtId="0" fontId="7" fillId="0" borderId="352" xfId="17451" applyFont="1" applyBorder="1" applyAlignment="1" applyProtection="1">
      <alignment horizontal="left"/>
      <protection hidden="1"/>
    </xf>
    <xf numFmtId="2" fontId="7" fillId="0" borderId="350" xfId="6465" applyNumberFormat="1" applyBorder="1" applyAlignment="1" applyProtection="1">
      <alignment horizontal="left" wrapText="1"/>
      <protection hidden="1"/>
    </xf>
    <xf numFmtId="2" fontId="7" fillId="0" borderId="352" xfId="6465" applyNumberFormat="1" applyBorder="1" applyAlignment="1" applyProtection="1">
      <alignment horizontal="left" wrapText="1"/>
      <protection hidden="1"/>
    </xf>
    <xf numFmtId="0" fontId="52" fillId="3" borderId="0" xfId="17451" applyFont="1" applyFill="1" applyAlignment="1" applyProtection="1">
      <alignment horizontal="left"/>
      <protection hidden="1"/>
    </xf>
    <xf numFmtId="0" fontId="23" fillId="4" borderId="30" xfId="6465" applyFont="1" applyFill="1" applyBorder="1" applyAlignment="1" applyProtection="1">
      <alignment horizontal="left"/>
      <protection hidden="1"/>
    </xf>
    <xf numFmtId="0" fontId="23" fillId="4" borderId="31" xfId="6465" applyFont="1" applyFill="1" applyBorder="1" applyAlignment="1" applyProtection="1">
      <alignment horizontal="left"/>
      <protection hidden="1"/>
    </xf>
    <xf numFmtId="0" fontId="23" fillId="4" borderId="18" xfId="6465" applyFont="1" applyFill="1" applyBorder="1" applyAlignment="1" applyProtection="1">
      <alignment horizontal="left"/>
      <protection hidden="1"/>
    </xf>
    <xf numFmtId="0" fontId="55" fillId="9" borderId="17" xfId="17451" applyFont="1" applyFill="1" applyBorder="1" applyAlignment="1" applyProtection="1">
      <alignment horizontal="left"/>
      <protection hidden="1"/>
    </xf>
    <xf numFmtId="0" fontId="7" fillId="0" borderId="18" xfId="16065" applyFont="1" applyBorder="1" applyAlignment="1" applyProtection="1">
      <alignment horizontal="left"/>
      <protection hidden="1"/>
    </xf>
    <xf numFmtId="0" fontId="126" fillId="0" borderId="30" xfId="17451" applyFont="1" applyBorder="1" applyAlignment="1" applyProtection="1">
      <alignment horizontal="center" vertical="center" wrapText="1"/>
      <protection hidden="1"/>
    </xf>
    <xf numFmtId="0" fontId="126" fillId="0" borderId="31" xfId="17451" applyFont="1" applyBorder="1" applyAlignment="1" applyProtection="1">
      <alignment horizontal="center" vertical="center" wrapText="1"/>
      <protection hidden="1"/>
    </xf>
    <xf numFmtId="0" fontId="126" fillId="0" borderId="18" xfId="17451" applyFont="1" applyBorder="1" applyAlignment="1" applyProtection="1">
      <alignment horizontal="center" vertical="center" wrapText="1"/>
      <protection hidden="1"/>
    </xf>
    <xf numFmtId="0" fontId="17" fillId="4" borderId="352" xfId="16065" applyFont="1" applyFill="1" applyBorder="1" applyAlignment="1" applyProtection="1">
      <alignment horizontal="left"/>
      <protection hidden="1"/>
    </xf>
    <xf numFmtId="0" fontId="17" fillId="4" borderId="334" xfId="16065" applyFont="1" applyFill="1" applyBorder="1" applyAlignment="1" applyProtection="1">
      <alignment horizontal="left"/>
      <protection hidden="1"/>
    </xf>
    <xf numFmtId="0" fontId="23" fillId="27" borderId="334" xfId="17436" applyFont="1" applyFill="1" applyBorder="1" applyAlignment="1" applyProtection="1">
      <alignment horizontal="left"/>
      <protection hidden="1"/>
    </xf>
    <xf numFmtId="0" fontId="7" fillId="3" borderId="334" xfId="17399" applyFont="1" applyFill="1" applyBorder="1" applyAlignment="1" applyProtection="1">
      <alignment horizontal="left"/>
      <protection hidden="1"/>
    </xf>
    <xf numFmtId="0" fontId="52" fillId="4" borderId="0" xfId="16065" applyFont="1" applyFill="1" applyAlignment="1" applyProtection="1">
      <alignment horizontal="left"/>
      <protection hidden="1"/>
    </xf>
    <xf numFmtId="0" fontId="43" fillId="4" borderId="0" xfId="16065" applyFont="1" applyFill="1" applyAlignment="1" applyProtection="1">
      <alignment horizontal="left"/>
      <protection hidden="1"/>
    </xf>
    <xf numFmtId="0" fontId="43" fillId="4" borderId="18" xfId="16065" applyFont="1" applyFill="1" applyBorder="1" applyAlignment="1" applyProtection="1">
      <alignment horizontal="left"/>
      <protection hidden="1"/>
    </xf>
    <xf numFmtId="0" fontId="25" fillId="0" borderId="27" xfId="69" applyFont="1" applyBorder="1" applyAlignment="1" applyProtection="1">
      <alignment horizontal="left"/>
      <protection hidden="1"/>
    </xf>
    <xf numFmtId="0" fontId="25" fillId="0" borderId="17" xfId="69" applyFont="1" applyBorder="1" applyAlignment="1" applyProtection="1">
      <alignment horizontal="left"/>
      <protection hidden="1"/>
    </xf>
    <xf numFmtId="0" fontId="25" fillId="0" borderId="28" xfId="69" applyFont="1" applyBorder="1" applyAlignment="1" applyProtection="1">
      <alignment horizontal="left"/>
      <protection hidden="1"/>
    </xf>
    <xf numFmtId="0" fontId="25" fillId="0" borderId="50" xfId="69" applyFont="1" applyBorder="1" applyAlignment="1" applyProtection="1">
      <alignment horizontal="left"/>
    </xf>
    <xf numFmtId="0" fontId="112" fillId="0" borderId="79" xfId="6465" applyFont="1" applyBorder="1" applyAlignment="1" applyProtection="1">
      <alignment horizontal="center"/>
      <protection hidden="1"/>
    </xf>
    <xf numFmtId="0" fontId="112" fillId="0" borderId="18" xfId="6465" applyFont="1" applyBorder="1" applyAlignment="1" applyProtection="1">
      <alignment horizontal="center"/>
      <protection hidden="1"/>
    </xf>
    <xf numFmtId="0" fontId="119" fillId="4" borderId="29" xfId="16065" applyFont="1" applyFill="1" applyBorder="1" applyAlignment="1" applyProtection="1">
      <alignment horizontal="center"/>
      <protection hidden="1"/>
    </xf>
    <xf numFmtId="0" fontId="119" fillId="4" borderId="31" xfId="16065" applyFont="1" applyFill="1" applyBorder="1" applyAlignment="1" applyProtection="1">
      <alignment horizontal="center"/>
      <protection hidden="1"/>
    </xf>
    <xf numFmtId="0" fontId="121" fillId="4" borderId="0" xfId="16065" applyFont="1" applyFill="1" applyAlignment="1" applyProtection="1">
      <alignment horizontal="center"/>
      <protection hidden="1"/>
    </xf>
    <xf numFmtId="0" fontId="123" fillId="4" borderId="28" xfId="6465" applyFont="1" applyFill="1" applyBorder="1" applyAlignment="1" applyProtection="1">
      <alignment horizontal="center"/>
      <protection hidden="1"/>
    </xf>
    <xf numFmtId="0" fontId="100" fillId="2" borderId="0" xfId="17451" applyFont="1" applyFill="1" applyAlignment="1" applyProtection="1">
      <alignment horizontal="left"/>
      <protection hidden="1"/>
    </xf>
    <xf numFmtId="0" fontId="76" fillId="3" borderId="0" xfId="17451" applyFont="1" applyFill="1" applyAlignment="1" applyProtection="1">
      <alignment horizontal="left"/>
      <protection hidden="1"/>
    </xf>
    <xf numFmtId="0" fontId="76" fillId="3" borderId="18" xfId="17451" applyFont="1" applyFill="1" applyBorder="1" applyAlignment="1" applyProtection="1">
      <alignment horizontal="left"/>
      <protection hidden="1"/>
    </xf>
    <xf numFmtId="0" fontId="101" fillId="2" borderId="15" xfId="17451" applyFont="1" applyFill="1" applyBorder="1" applyAlignment="1" applyProtection="1">
      <alignment horizontal="left"/>
      <protection hidden="1"/>
    </xf>
    <xf numFmtId="0" fontId="101" fillId="2" borderId="39" xfId="17451" applyFont="1" applyFill="1" applyBorder="1" applyAlignment="1" applyProtection="1">
      <alignment horizontal="left"/>
      <protection hidden="1"/>
    </xf>
    <xf numFmtId="0" fontId="103" fillId="3" borderId="0" xfId="17451" applyFont="1" applyFill="1" applyAlignment="1" applyProtection="1">
      <alignment horizontal="left"/>
      <protection hidden="1"/>
    </xf>
    <xf numFmtId="0" fontId="103" fillId="3" borderId="41" xfId="17451" applyFont="1" applyFill="1" applyBorder="1" applyAlignment="1" applyProtection="1">
      <alignment horizontal="left"/>
      <protection hidden="1"/>
    </xf>
    <xf numFmtId="0" fontId="104" fillId="14" borderId="64" xfId="17451" applyFont="1" applyFill="1" applyBorder="1" applyAlignment="1" applyProtection="1">
      <alignment horizontal="left"/>
      <protection hidden="1"/>
    </xf>
    <xf numFmtId="0" fontId="104" fillId="14" borderId="65" xfId="17451" applyFont="1" applyFill="1" applyBorder="1" applyAlignment="1" applyProtection="1">
      <alignment horizontal="left"/>
      <protection hidden="1"/>
    </xf>
    <xf numFmtId="0" fontId="104" fillId="14" borderId="66" xfId="17451" applyFont="1" applyFill="1" applyBorder="1" applyAlignment="1" applyProtection="1">
      <alignment horizontal="left"/>
      <protection hidden="1"/>
    </xf>
    <xf numFmtId="0" fontId="25" fillId="0" borderId="61" xfId="69" applyFont="1" applyBorder="1" applyAlignment="1" applyProtection="1">
      <alignment horizontal="center" vertical="center" wrapText="1"/>
      <protection hidden="1"/>
    </xf>
    <xf numFmtId="0" fontId="94" fillId="2" borderId="9" xfId="17451" applyFont="1" applyFill="1" applyBorder="1" applyAlignment="1" applyProtection="1">
      <alignment horizontal="left"/>
      <protection hidden="1"/>
    </xf>
    <xf numFmtId="0" fontId="94" fillId="2" borderId="58" xfId="17451" applyFont="1" applyFill="1" applyBorder="1" applyAlignment="1" applyProtection="1">
      <alignment horizontal="left"/>
      <protection hidden="1"/>
    </xf>
    <xf numFmtId="0" fontId="94" fillId="3" borderId="58" xfId="17451" applyFont="1" applyFill="1" applyBorder="1" applyAlignment="1" applyProtection="1">
      <alignment horizontal="left"/>
      <protection hidden="1"/>
    </xf>
    <xf numFmtId="0" fontId="94" fillId="3" borderId="59" xfId="17451" applyFont="1" applyFill="1" applyBorder="1" applyAlignment="1" applyProtection="1">
      <alignment horizontal="left"/>
      <protection hidden="1"/>
    </xf>
    <xf numFmtId="0" fontId="63" fillId="4" borderId="367" xfId="16065" applyFont="1" applyFill="1" applyBorder="1" applyAlignment="1" applyProtection="1">
      <alignment wrapText="1"/>
      <protection hidden="1"/>
    </xf>
    <xf numFmtId="168" fontId="7" fillId="23" borderId="51" xfId="6465" applyNumberFormat="1" applyFill="1" applyBorder="1" applyAlignment="1" applyProtection="1">
      <alignment horizontal="left"/>
      <protection hidden="1"/>
    </xf>
    <xf numFmtId="168" fontId="7" fillId="23" borderId="52" xfId="6465" applyNumberFormat="1" applyFill="1" applyBorder="1" applyAlignment="1" applyProtection="1">
      <alignment horizontal="left"/>
      <protection hidden="1"/>
    </xf>
    <xf numFmtId="168" fontId="7" fillId="23" borderId="53" xfId="6465" applyNumberFormat="1" applyFill="1" applyBorder="1" applyAlignment="1" applyProtection="1">
      <alignment horizontal="left"/>
      <protection hidden="1"/>
    </xf>
    <xf numFmtId="0" fontId="115" fillId="4" borderId="27" xfId="6465" applyFont="1" applyFill="1" applyBorder="1" applyAlignment="1" applyProtection="1">
      <alignment horizontal="right"/>
      <protection hidden="1"/>
    </xf>
    <xf numFmtId="0" fontId="115" fillId="4" borderId="17" xfId="6465" applyFont="1" applyFill="1" applyBorder="1" applyAlignment="1" applyProtection="1">
      <alignment horizontal="right"/>
      <protection hidden="1"/>
    </xf>
    <xf numFmtId="0" fontId="116" fillId="4" borderId="85" xfId="6465" applyFont="1" applyFill="1" applyBorder="1" applyAlignment="1" applyProtection="1">
      <alignment horizontal="center"/>
      <protection hidden="1"/>
    </xf>
    <xf numFmtId="0" fontId="55" fillId="0" borderId="28" xfId="17451" applyFont="1" applyBorder="1" applyAlignment="1" applyProtection="1">
      <alignment horizontal="center"/>
      <protection hidden="1"/>
    </xf>
    <xf numFmtId="0" fontId="121" fillId="0" borderId="0" xfId="6465" applyFont="1" applyAlignment="1" applyProtection="1">
      <alignment horizontal="center"/>
      <protection hidden="1"/>
    </xf>
    <xf numFmtId="0" fontId="95" fillId="3" borderId="0" xfId="17451" applyFont="1" applyFill="1" applyAlignment="1" applyProtection="1">
      <alignment horizontal="center"/>
      <protection hidden="1"/>
    </xf>
    <xf numFmtId="0" fontId="110" fillId="4" borderId="0" xfId="17451" applyFont="1" applyFill="1" applyAlignment="1" applyProtection="1">
      <alignment horizontal="right" vertical="top"/>
      <protection hidden="1"/>
    </xf>
    <xf numFmtId="0" fontId="55" fillId="4" borderId="350" xfId="16065" applyFont="1" applyFill="1" applyBorder="1" applyAlignment="1" applyProtection="1">
      <alignment horizontal="right"/>
      <protection hidden="1"/>
    </xf>
    <xf numFmtId="0" fontId="55" fillId="4" borderId="334" xfId="6465" applyFont="1" applyFill="1" applyBorder="1" applyAlignment="1" applyProtection="1">
      <alignment horizontal="left" wrapText="1"/>
      <protection hidden="1"/>
    </xf>
    <xf numFmtId="0" fontId="55" fillId="4" borderId="352" xfId="6465" applyFont="1" applyFill="1" applyBorder="1" applyAlignment="1" applyProtection="1">
      <alignment horizontal="left" wrapText="1"/>
      <protection hidden="1"/>
    </xf>
    <xf numFmtId="0" fontId="339" fillId="4" borderId="0" xfId="16065" applyFont="1" applyFill="1" applyAlignment="1" applyProtection="1">
      <alignment horizontal="center"/>
      <protection hidden="1"/>
    </xf>
    <xf numFmtId="0" fontId="0" fillId="0" borderId="334" xfId="4660" applyFont="1" applyBorder="1" applyAlignment="1" applyProtection="1">
      <alignment horizontal="center" vertical="top"/>
      <protection hidden="1"/>
    </xf>
    <xf numFmtId="2" fontId="0" fillId="0" borderId="350" xfId="17475" applyNumberFormat="1" applyFont="1" applyBorder="1" applyAlignment="1" applyProtection="1">
      <alignment horizontal="center" vertical="top"/>
      <protection hidden="1"/>
    </xf>
    <xf numFmtId="2" fontId="0" fillId="0" borderId="334" xfId="17475" applyNumberFormat="1" applyFont="1" applyBorder="1" applyAlignment="1" applyProtection="1">
      <alignment horizontal="center" vertical="top"/>
      <protection hidden="1"/>
    </xf>
    <xf numFmtId="0" fontId="1" fillId="3" borderId="0" xfId="4660" applyFont="1" applyFill="1" applyAlignment="1" applyProtection="1">
      <alignment horizontal="left"/>
      <protection hidden="1"/>
    </xf>
    <xf numFmtId="0" fontId="25" fillId="3" borderId="0" xfId="69" applyFont="1" applyFill="1" applyAlignment="1" applyProtection="1">
      <alignment horizontal="right"/>
      <protection hidden="1"/>
    </xf>
    <xf numFmtId="0" fontId="17" fillId="2" borderId="0" xfId="4660" applyFont="1" applyFill="1" applyAlignment="1" applyProtection="1">
      <alignment horizontal="left"/>
      <protection hidden="1"/>
    </xf>
    <xf numFmtId="169" fontId="0" fillId="3" borderId="0" xfId="17475" applyNumberFormat="1" applyFont="1" applyFill="1" applyAlignment="1" applyProtection="1">
      <alignment horizontal="left"/>
      <protection hidden="1"/>
    </xf>
    <xf numFmtId="0" fontId="0" fillId="3" borderId="0" xfId="4660" applyFont="1" applyFill="1" applyAlignment="1" applyProtection="1">
      <alignment horizontal="left"/>
      <protection hidden="1"/>
    </xf>
    <xf numFmtId="0" fontId="0" fillId="3" borderId="0" xfId="17475" applyFont="1" applyFill="1" applyAlignment="1" applyProtection="1">
      <alignment horizontal="left"/>
      <protection hidden="1"/>
    </xf>
    <xf numFmtId="0" fontId="0" fillId="2" borderId="0" xfId="17475" applyFont="1" applyFill="1" applyAlignment="1" applyProtection="1">
      <alignment horizontal="left"/>
      <protection hidden="1"/>
    </xf>
    <xf numFmtId="0" fontId="0" fillId="3" borderId="0" xfId="16067" applyFont="1" applyFill="1" applyAlignment="1" applyProtection="1">
      <alignment horizontal="left"/>
      <protection hidden="1"/>
    </xf>
    <xf numFmtId="0" fontId="0" fillId="2" borderId="0" xfId="4660" applyFont="1" applyFill="1" applyAlignment="1" applyProtection="1">
      <alignment horizontal="left" vertical="top" wrapText="1" shrinkToFit="1"/>
      <protection hidden="1"/>
    </xf>
    <xf numFmtId="0" fontId="57" fillId="3" borderId="0" xfId="4660" applyFont="1" applyFill="1" applyAlignment="1" applyProtection="1">
      <alignment vertical="center" wrapText="1"/>
      <protection hidden="1"/>
    </xf>
    <xf numFmtId="0" fontId="6" fillId="0" borderId="0" xfId="0" applyFont="1" applyAlignment="1" applyProtection="1">
      <alignment horizontal="left" vertical="top" wrapText="1"/>
      <protection hidden="1"/>
    </xf>
    <xf numFmtId="0" fontId="0" fillId="4" borderId="350" xfId="17475" applyFont="1" applyFill="1" applyBorder="1" applyAlignment="1" applyProtection="1">
      <alignment horizontal="right" vertical="top"/>
      <protection hidden="1"/>
    </xf>
    <xf numFmtId="0" fontId="0" fillId="4" borderId="352" xfId="17475" applyFont="1" applyFill="1" applyBorder="1" applyAlignment="1" applyProtection="1">
      <alignment horizontal="right" vertical="top"/>
      <protection hidden="1"/>
    </xf>
    <xf numFmtId="0" fontId="0" fillId="0" borderId="334" xfId="4660" applyFont="1" applyBorder="1" applyAlignment="1" applyProtection="1">
      <alignment horizontal="left"/>
      <protection hidden="1"/>
    </xf>
    <xf numFmtId="0" fontId="1" fillId="0" borderId="0" xfId="4660" applyFont="1" applyAlignment="1" applyProtection="1">
      <alignment horizontal="left"/>
      <protection hidden="1"/>
    </xf>
    <xf numFmtId="2" fontId="0" fillId="4" borderId="30" xfId="17475" applyNumberFormat="1" applyFont="1" applyFill="1" applyBorder="1" applyAlignment="1" applyProtection="1">
      <alignment horizontal="center" vertical="top"/>
      <protection hidden="1"/>
    </xf>
    <xf numFmtId="2" fontId="0" fillId="4" borderId="31" xfId="17475" applyNumberFormat="1" applyFont="1" applyFill="1" applyBorder="1" applyAlignment="1" applyProtection="1">
      <alignment horizontal="center" vertical="top"/>
      <protection hidden="1"/>
    </xf>
    <xf numFmtId="0" fontId="1" fillId="3" borderId="0" xfId="4660" applyFont="1" applyFill="1" applyAlignment="1" applyProtection="1">
      <alignment horizontal="left" vertical="top"/>
      <protection hidden="1"/>
    </xf>
    <xf numFmtId="0" fontId="0" fillId="2" borderId="350" xfId="17475" applyFont="1" applyFill="1" applyBorder="1" applyAlignment="1" applyProtection="1">
      <alignment horizontal="center" vertical="top"/>
      <protection hidden="1"/>
    </xf>
    <xf numFmtId="0" fontId="0" fillId="3" borderId="352" xfId="4660" applyFont="1" applyFill="1" applyBorder="1" applyAlignment="1" applyProtection="1">
      <alignment vertical="top"/>
      <protection hidden="1"/>
    </xf>
    <xf numFmtId="0" fontId="0" fillId="5" borderId="350" xfId="17475" applyFont="1" applyFill="1" applyBorder="1" applyAlignment="1" applyProtection="1">
      <alignment horizontal="center" vertical="top"/>
      <protection locked="0"/>
    </xf>
    <xf numFmtId="0" fontId="0" fillId="0" borderId="352" xfId="4660" applyFont="1" applyBorder="1" applyAlignment="1" applyProtection="1">
      <alignment vertical="top"/>
      <protection locked="0"/>
    </xf>
    <xf numFmtId="0" fontId="45" fillId="2" borderId="0" xfId="17475" applyFont="1" applyFill="1" applyAlignment="1" applyProtection="1">
      <alignment horizontal="right"/>
      <protection hidden="1"/>
    </xf>
    <xf numFmtId="0" fontId="10" fillId="3" borderId="0" xfId="4660" applyFont="1" applyFill="1" applyAlignment="1" applyProtection="1">
      <alignment horizontal="left" vertical="top" wrapText="1"/>
      <protection hidden="1"/>
    </xf>
    <xf numFmtId="2" fontId="6" fillId="3" borderId="350" xfId="4660" applyNumberFormat="1" applyFont="1" applyFill="1" applyBorder="1" applyAlignment="1" applyProtection="1">
      <alignment horizontal="left" vertical="top"/>
      <protection hidden="1"/>
    </xf>
    <xf numFmtId="2" fontId="6" fillId="3" borderId="351" xfId="4660" applyNumberFormat="1" applyFont="1" applyFill="1" applyBorder="1" applyAlignment="1" applyProtection="1">
      <alignment horizontal="left" vertical="top"/>
      <protection hidden="1"/>
    </xf>
    <xf numFmtId="2" fontId="6" fillId="3" borderId="352" xfId="4660" applyNumberFormat="1" applyFont="1" applyFill="1" applyBorder="1" applyAlignment="1" applyProtection="1">
      <alignment horizontal="left" vertical="top"/>
      <protection hidden="1"/>
    </xf>
    <xf numFmtId="0" fontId="305" fillId="4" borderId="0" xfId="17468" applyFill="1" applyAlignment="1" applyProtection="1">
      <alignment horizontal="center" vertical="center"/>
      <protection hidden="1"/>
    </xf>
    <xf numFmtId="0" fontId="305" fillId="2" borderId="0" xfId="17468" applyFill="1" applyAlignment="1" applyProtection="1">
      <alignment horizontal="left"/>
      <protection hidden="1"/>
    </xf>
    <xf numFmtId="0" fontId="62" fillId="2" borderId="0" xfId="8678" applyFont="1" applyFill="1" applyAlignment="1" applyProtection="1">
      <alignment horizontal="left" vertical="center"/>
      <protection hidden="1"/>
    </xf>
    <xf numFmtId="168" fontId="10" fillId="2" borderId="0" xfId="17468" applyNumberFormat="1" applyFont="1" applyFill="1" applyAlignment="1" applyProtection="1">
      <alignment horizontal="left" vertical="top" wrapText="1"/>
      <protection hidden="1"/>
    </xf>
    <xf numFmtId="0" fontId="305" fillId="4" borderId="0" xfId="17468" applyFill="1" applyAlignment="1" applyProtection="1">
      <alignment horizontal="center" vertical="top"/>
      <protection hidden="1"/>
    </xf>
    <xf numFmtId="0" fontId="52" fillId="3" borderId="0" xfId="6465" applyFont="1" applyFill="1" applyAlignment="1" applyProtection="1">
      <alignment horizontal="left" vertical="top" wrapText="1"/>
      <protection hidden="1"/>
    </xf>
    <xf numFmtId="0" fontId="6" fillId="2" borderId="350" xfId="8678" applyFont="1" applyFill="1" applyBorder="1" applyAlignment="1" applyProtection="1">
      <alignment horizontal="left" vertical="top"/>
      <protection hidden="1"/>
    </xf>
    <xf numFmtId="0" fontId="6" fillId="2" borderId="351" xfId="8678" applyFont="1" applyFill="1" applyBorder="1" applyAlignment="1" applyProtection="1">
      <alignment horizontal="left" vertical="top"/>
      <protection hidden="1"/>
    </xf>
    <xf numFmtId="0" fontId="6" fillId="2" borderId="352" xfId="8678" applyFont="1" applyFill="1" applyBorder="1" applyAlignment="1" applyProtection="1">
      <alignment horizontal="left" vertical="top"/>
      <protection hidden="1"/>
    </xf>
    <xf numFmtId="2" fontId="1" fillId="4" borderId="0" xfId="17468" applyNumberFormat="1" applyFont="1" applyFill="1" applyAlignment="1" applyProtection="1">
      <alignment horizontal="left" vertical="top"/>
      <protection hidden="1"/>
    </xf>
    <xf numFmtId="0" fontId="0" fillId="15" borderId="334" xfId="4660" applyFont="1" applyFill="1" applyBorder="1" applyAlignment="1" applyProtection="1">
      <alignment horizontal="left"/>
      <protection hidden="1"/>
    </xf>
    <xf numFmtId="2" fontId="1" fillId="4" borderId="17" xfId="17468" applyNumberFormat="1" applyFont="1" applyFill="1" applyBorder="1" applyAlignment="1" applyProtection="1">
      <alignment horizontal="center" vertical="top"/>
      <protection hidden="1"/>
    </xf>
    <xf numFmtId="0" fontId="57" fillId="3" borderId="334" xfId="4660" applyFont="1" applyFill="1" applyBorder="1" applyAlignment="1" applyProtection="1">
      <alignment horizontal="left"/>
      <protection hidden="1"/>
    </xf>
    <xf numFmtId="0" fontId="0" fillId="4" borderId="29" xfId="17475" applyFont="1" applyFill="1" applyBorder="1" applyAlignment="1" applyProtection="1">
      <alignment wrapText="1"/>
      <protection hidden="1"/>
    </xf>
    <xf numFmtId="0" fontId="0" fillId="4" borderId="0" xfId="17475" applyFont="1" applyFill="1" applyAlignment="1" applyProtection="1">
      <alignment vertical="top" wrapText="1"/>
      <protection hidden="1"/>
    </xf>
    <xf numFmtId="0" fontId="33" fillId="4" borderId="334" xfId="8678" applyFont="1" applyFill="1" applyBorder="1" applyAlignment="1" applyProtection="1">
      <alignment horizontal="right"/>
      <protection hidden="1"/>
    </xf>
    <xf numFmtId="0" fontId="0" fillId="0" borderId="334" xfId="17475" applyFont="1" applyBorder="1" applyAlignment="1" applyProtection="1">
      <alignment horizontal="left"/>
      <protection hidden="1"/>
    </xf>
    <xf numFmtId="0" fontId="31" fillId="3" borderId="0" xfId="4660" applyFont="1" applyFill="1" applyAlignment="1" applyProtection="1">
      <alignment horizontal="left"/>
      <protection hidden="1"/>
    </xf>
    <xf numFmtId="0" fontId="305" fillId="15" borderId="334" xfId="4660" applyFill="1" applyBorder="1" applyAlignment="1" applyProtection="1">
      <alignment horizontal="left"/>
      <protection hidden="1"/>
    </xf>
    <xf numFmtId="0" fontId="305" fillId="3" borderId="350" xfId="17475" applyFont="1" applyFill="1" applyBorder="1" applyAlignment="1" applyProtection="1">
      <alignment horizontal="center" vertical="top"/>
      <protection hidden="1"/>
    </xf>
    <xf numFmtId="0" fontId="305" fillId="0" borderId="351" xfId="0" applyFont="1" applyBorder="1" applyAlignment="1" applyProtection="1">
      <alignment vertical="top"/>
      <protection hidden="1"/>
    </xf>
    <xf numFmtId="0" fontId="305" fillId="0" borderId="352" xfId="0" applyFont="1" applyBorder="1" applyAlignment="1" applyProtection="1">
      <alignment vertical="top"/>
      <protection hidden="1"/>
    </xf>
    <xf numFmtId="0" fontId="33" fillId="3" borderId="350" xfId="4660" applyFont="1" applyFill="1" applyBorder="1" applyAlignment="1" applyProtection="1">
      <alignment horizontal="left" vertical="top"/>
      <protection hidden="1"/>
    </xf>
    <xf numFmtId="0" fontId="33" fillId="3" borderId="352" xfId="4660" applyFont="1" applyFill="1" applyBorder="1" applyAlignment="1" applyProtection="1">
      <alignment horizontal="left" vertical="top"/>
      <protection hidden="1"/>
    </xf>
    <xf numFmtId="0" fontId="0" fillId="2" borderId="350" xfId="17468" applyFont="1" applyFill="1" applyBorder="1" applyAlignment="1" applyProtection="1">
      <alignment horizontal="center" vertical="top"/>
      <protection hidden="1"/>
    </xf>
    <xf numFmtId="0" fontId="0" fillId="2" borderId="352" xfId="17468" applyFont="1" applyFill="1" applyBorder="1" applyAlignment="1" applyProtection="1">
      <alignment horizontal="center" vertical="top"/>
      <protection hidden="1"/>
    </xf>
    <xf numFmtId="168" fontId="305" fillId="4" borderId="350" xfId="17468" applyNumberFormat="1" applyFill="1" applyBorder="1" applyAlignment="1" applyProtection="1">
      <alignment horizontal="center" vertical="top"/>
      <protection hidden="1"/>
    </xf>
    <xf numFmtId="0" fontId="0" fillId="0" borderId="352" xfId="0" applyBorder="1" applyAlignment="1" applyProtection="1">
      <alignment horizontal="center" vertical="top"/>
      <protection hidden="1"/>
    </xf>
    <xf numFmtId="168" fontId="50" fillId="4" borderId="334" xfId="17468" applyNumberFormat="1" applyFont="1" applyFill="1" applyBorder="1" applyAlignment="1" applyProtection="1">
      <alignment horizontal="right"/>
      <protection hidden="1"/>
    </xf>
    <xf numFmtId="169" fontId="47" fillId="4" borderId="30" xfId="17468" applyNumberFormat="1" applyFont="1" applyFill="1" applyBorder="1" applyAlignment="1" applyProtection="1">
      <alignment horizontal="center" vertical="center" wrapText="1"/>
      <protection hidden="1"/>
    </xf>
    <xf numFmtId="169" fontId="47" fillId="4" borderId="31" xfId="17468" applyNumberFormat="1" applyFont="1" applyFill="1" applyBorder="1" applyAlignment="1" applyProtection="1">
      <alignment horizontal="center" vertical="center" wrapText="1"/>
      <protection hidden="1"/>
    </xf>
    <xf numFmtId="169" fontId="47" fillId="4" borderId="18" xfId="17468" applyNumberFormat="1" applyFont="1" applyFill="1" applyBorder="1" applyAlignment="1" applyProtection="1">
      <alignment horizontal="center" vertical="center" wrapText="1"/>
      <protection hidden="1"/>
    </xf>
    <xf numFmtId="2" fontId="49" fillId="4" borderId="367" xfId="531" applyNumberFormat="1" applyFont="1" applyFill="1" applyBorder="1" applyAlignment="1" applyProtection="1">
      <alignment horizontal="center" vertical="center" wrapText="1"/>
      <protection hidden="1"/>
    </xf>
    <xf numFmtId="0" fontId="1" fillId="3" borderId="17" xfId="17475" applyFont="1" applyFill="1" applyBorder="1" applyAlignment="1" applyProtection="1">
      <alignment horizontal="left" vertical="top"/>
      <protection hidden="1"/>
    </xf>
    <xf numFmtId="0" fontId="11" fillId="15" borderId="334" xfId="4660" applyFont="1" applyFill="1" applyBorder="1" applyAlignment="1" applyProtection="1">
      <alignment horizontal="left"/>
      <protection hidden="1"/>
    </xf>
    <xf numFmtId="0" fontId="1" fillId="0" borderId="334" xfId="4660" applyFont="1" applyBorder="1" applyAlignment="1" applyProtection="1">
      <alignment horizontal="left"/>
      <protection hidden="1"/>
    </xf>
    <xf numFmtId="0" fontId="33" fillId="0" borderId="334" xfId="8678" applyFont="1" applyBorder="1" applyAlignment="1" applyProtection="1">
      <alignment horizontal="center" vertical="top"/>
      <protection hidden="1"/>
    </xf>
    <xf numFmtId="169" fontId="47" fillId="4" borderId="367" xfId="17468" applyNumberFormat="1" applyFont="1" applyFill="1" applyBorder="1" applyAlignment="1" applyProtection="1">
      <alignment horizontal="center" vertical="center" wrapText="1"/>
      <protection hidden="1"/>
    </xf>
    <xf numFmtId="1" fontId="33" fillId="4" borderId="334" xfId="17468" applyNumberFormat="1" applyFont="1" applyFill="1" applyBorder="1" applyAlignment="1" applyProtection="1">
      <alignment horizontal="right"/>
      <protection hidden="1"/>
    </xf>
    <xf numFmtId="0" fontId="57" fillId="3" borderId="367" xfId="4660" applyFont="1" applyFill="1" applyBorder="1" applyAlignment="1" applyProtection="1">
      <alignment horizontal="left"/>
      <protection hidden="1"/>
    </xf>
    <xf numFmtId="0" fontId="11" fillId="3" borderId="17" xfId="4660" applyFont="1" applyFill="1" applyBorder="1" applyAlignment="1" applyProtection="1">
      <alignment horizontal="left"/>
      <protection hidden="1"/>
    </xf>
    <xf numFmtId="0" fontId="57" fillId="3" borderId="17" xfId="4660" applyFont="1" applyFill="1" applyBorder="1" applyAlignment="1" applyProtection="1">
      <alignment horizontal="left"/>
      <protection hidden="1"/>
    </xf>
    <xf numFmtId="0" fontId="0" fillId="3" borderId="367" xfId="17475" applyFont="1" applyFill="1" applyBorder="1" applyAlignment="1" applyProtection="1">
      <alignment horizontal="left"/>
      <protection hidden="1"/>
    </xf>
    <xf numFmtId="0" fontId="1" fillId="2" borderId="30" xfId="17468" applyFont="1" applyFill="1" applyBorder="1" applyAlignment="1" applyProtection="1">
      <alignment horizontal="center" vertical="center" wrapText="1"/>
      <protection hidden="1"/>
    </xf>
    <xf numFmtId="0" fontId="110" fillId="3" borderId="0" xfId="17475" applyFont="1" applyFill="1" applyAlignment="1" applyProtection="1">
      <alignment horizontal="right"/>
      <protection hidden="1"/>
    </xf>
    <xf numFmtId="0" fontId="0" fillId="3" borderId="0" xfId="4660" applyFont="1" applyFill="1" applyAlignment="1" applyProtection="1">
      <alignment horizontal="left" vertical="center" wrapText="1"/>
      <protection hidden="1"/>
    </xf>
    <xf numFmtId="0" fontId="54" fillId="3" borderId="0" xfId="17475" applyFont="1" applyFill="1" applyAlignment="1" applyProtection="1">
      <alignment horizontal="center" vertical="center" wrapText="1"/>
      <protection hidden="1"/>
    </xf>
    <xf numFmtId="0" fontId="0" fillId="3" borderId="0" xfId="4660" applyFont="1" applyFill="1" applyAlignment="1" applyProtection="1">
      <alignment horizontal="right"/>
      <protection hidden="1"/>
    </xf>
    <xf numFmtId="0" fontId="0" fillId="4" borderId="0" xfId="17475" applyFont="1" applyFill="1" applyAlignment="1" applyProtection="1">
      <alignment horizontal="left"/>
      <protection hidden="1"/>
    </xf>
    <xf numFmtId="0" fontId="1" fillId="2" borderId="17" xfId="16067" applyFont="1" applyFill="1" applyBorder="1" applyAlignment="1" applyProtection="1">
      <alignment horizontal="center"/>
      <protection hidden="1"/>
    </xf>
    <xf numFmtId="169" fontId="339" fillId="3" borderId="0" xfId="17468" applyNumberFormat="1" applyFont="1" applyFill="1" applyAlignment="1" applyProtection="1">
      <alignment horizontal="center"/>
      <protection hidden="1"/>
    </xf>
    <xf numFmtId="0" fontId="305" fillId="2" borderId="0" xfId="17468" applyFill="1" applyAlignment="1" applyProtection="1">
      <alignment horizontal="left" wrapText="1"/>
      <protection hidden="1"/>
    </xf>
    <xf numFmtId="171" fontId="1" fillId="2" borderId="367" xfId="17468" applyNumberFormat="1" applyFont="1" applyFill="1" applyBorder="1" applyAlignment="1" applyProtection="1">
      <alignment horizontal="center" vertical="center" wrapText="1"/>
      <protection hidden="1"/>
    </xf>
    <xf numFmtId="0" fontId="31" fillId="5" borderId="32" xfId="16065" applyFont="1" applyFill="1" applyBorder="1" applyAlignment="1" applyProtection="1">
      <alignment horizontal="left"/>
      <protection locked="0"/>
    </xf>
    <xf numFmtId="0" fontId="31" fillId="5" borderId="32" xfId="16065" applyFont="1" applyFill="1" applyBorder="1" applyAlignment="1" applyProtection="1">
      <alignment horizontal="left" wrapText="1"/>
      <protection locked="0"/>
    </xf>
    <xf numFmtId="0" fontId="31" fillId="6" borderId="32" xfId="16065" applyFont="1" applyFill="1" applyBorder="1" applyAlignment="1" applyProtection="1">
      <alignment horizontal="center" wrapText="1"/>
      <protection hidden="1"/>
    </xf>
    <xf numFmtId="0" fontId="305" fillId="4" borderId="0" xfId="16065" applyFill="1" applyAlignment="1" applyProtection="1">
      <alignment horizontal="left" wrapText="1"/>
      <protection hidden="1"/>
    </xf>
    <xf numFmtId="0" fontId="305" fillId="2" borderId="0" xfId="16065" applyFill="1" applyAlignment="1" applyProtection="1">
      <alignment horizontal="center"/>
      <protection hidden="1"/>
    </xf>
    <xf numFmtId="0" fontId="31" fillId="9" borderId="32" xfId="6465" applyFont="1" applyFill="1" applyBorder="1" applyAlignment="1" applyProtection="1">
      <alignment horizontal="left" vertical="center"/>
      <protection hidden="1"/>
    </xf>
    <xf numFmtId="0" fontId="44" fillId="4" borderId="0" xfId="16065" applyFont="1" applyFill="1" applyAlignment="1" applyProtection="1">
      <alignment horizontal="center" vertical="top"/>
      <protection hidden="1"/>
    </xf>
    <xf numFmtId="0" fontId="305" fillId="4" borderId="0" xfId="16065" applyFill="1" applyAlignment="1" applyProtection="1">
      <alignment horizontal="left"/>
      <protection hidden="1"/>
    </xf>
    <xf numFmtId="0" fontId="31" fillId="5" borderId="392" xfId="16065" applyFont="1" applyFill="1" applyBorder="1" applyAlignment="1" applyProtection="1">
      <alignment horizontal="left"/>
      <protection locked="0"/>
    </xf>
    <xf numFmtId="0" fontId="31" fillId="5" borderId="393" xfId="16065" applyFont="1" applyFill="1" applyBorder="1" applyAlignment="1" applyProtection="1">
      <alignment horizontal="left"/>
      <protection locked="0"/>
    </xf>
    <xf numFmtId="0" fontId="23" fillId="4" borderId="32" xfId="16065" applyFont="1" applyFill="1" applyBorder="1" applyAlignment="1" applyProtection="1">
      <alignment horizontal="right"/>
      <protection hidden="1"/>
    </xf>
    <xf numFmtId="0" fontId="110" fillId="4" borderId="0" xfId="16065" applyFont="1" applyFill="1" applyAlignment="1" applyProtection="1">
      <alignment horizontal="center"/>
      <protection hidden="1"/>
    </xf>
    <xf numFmtId="0" fontId="33" fillId="0" borderId="32" xfId="16065" applyFont="1" applyBorder="1" applyAlignment="1" applyProtection="1">
      <alignment horizontal="left" vertical="center"/>
      <protection hidden="1"/>
    </xf>
    <xf numFmtId="0" fontId="37" fillId="4" borderId="0" xfId="6465" applyFont="1" applyFill="1" applyAlignment="1" applyProtection="1">
      <alignment horizontal="center" wrapText="1"/>
      <protection hidden="1"/>
    </xf>
    <xf numFmtId="0" fontId="7" fillId="4" borderId="0" xfId="16065" applyFont="1" applyFill="1" applyAlignment="1" applyProtection="1">
      <alignment horizontal="center" vertical="center"/>
      <protection hidden="1"/>
    </xf>
    <xf numFmtId="0" fontId="31" fillId="0" borderId="32" xfId="16065" applyFont="1" applyBorder="1" applyAlignment="1" applyProtection="1">
      <alignment horizontal="left" vertical="center"/>
      <protection hidden="1"/>
    </xf>
    <xf numFmtId="0" fontId="43" fillId="4" borderId="33" xfId="6465" applyFont="1" applyFill="1" applyBorder="1" applyAlignment="1" applyProtection="1">
      <alignment horizontal="left"/>
      <protection hidden="1"/>
    </xf>
    <xf numFmtId="0" fontId="7" fillId="4" borderId="0" xfId="16065" applyFont="1" applyFill="1" applyAlignment="1" applyProtection="1">
      <alignment horizontal="left" wrapText="1"/>
      <protection hidden="1"/>
    </xf>
    <xf numFmtId="0" fontId="33" fillId="4" borderId="30" xfId="16065" applyFont="1" applyFill="1" applyBorder="1" applyAlignment="1" applyProtection="1">
      <alignment horizontal="left" vertical="center" wrapText="1"/>
      <protection hidden="1"/>
    </xf>
    <xf numFmtId="0" fontId="33" fillId="4" borderId="29" xfId="16065" applyFont="1" applyFill="1" applyBorder="1" applyAlignment="1" applyProtection="1">
      <alignment horizontal="left" vertical="center" wrapText="1"/>
      <protection hidden="1"/>
    </xf>
    <xf numFmtId="0" fontId="33" fillId="4" borderId="31" xfId="16065" applyFont="1" applyFill="1" applyBorder="1" applyAlignment="1" applyProtection="1">
      <alignment horizontal="left" vertical="center" wrapText="1"/>
      <protection hidden="1"/>
    </xf>
    <xf numFmtId="0" fontId="33" fillId="4" borderId="0" xfId="16065" applyFont="1" applyFill="1" applyAlignment="1" applyProtection="1">
      <alignment horizontal="left" vertical="center" wrapText="1"/>
      <protection hidden="1"/>
    </xf>
    <xf numFmtId="0" fontId="33" fillId="4" borderId="18" xfId="16065" applyFont="1" applyFill="1" applyBorder="1" applyAlignment="1" applyProtection="1">
      <alignment horizontal="left" vertical="center" wrapText="1"/>
      <protection hidden="1"/>
    </xf>
    <xf numFmtId="0" fontId="33" fillId="4" borderId="27" xfId="16065" applyFont="1" applyFill="1" applyBorder="1" applyAlignment="1" applyProtection="1">
      <alignment horizontal="left" vertical="center" wrapText="1"/>
      <protection hidden="1"/>
    </xf>
    <xf numFmtId="0" fontId="33" fillId="4" borderId="17" xfId="16065" applyFont="1" applyFill="1" applyBorder="1" applyAlignment="1" applyProtection="1">
      <alignment horizontal="left" vertical="center" wrapText="1"/>
      <protection hidden="1"/>
    </xf>
    <xf numFmtId="0" fontId="33" fillId="4" borderId="28" xfId="16065" applyFont="1" applyFill="1" applyBorder="1" applyAlignment="1" applyProtection="1">
      <alignment horizontal="left" vertical="center" wrapText="1"/>
      <protection hidden="1"/>
    </xf>
    <xf numFmtId="0" fontId="0" fillId="4" borderId="30" xfId="16065" applyFont="1" applyFill="1" applyBorder="1" applyAlignment="1" applyProtection="1">
      <alignment horizontal="left" vertical="center" wrapText="1"/>
      <protection hidden="1"/>
    </xf>
    <xf numFmtId="0" fontId="0" fillId="4" borderId="29" xfId="16065" applyFont="1" applyFill="1" applyBorder="1" applyAlignment="1" applyProtection="1">
      <alignment horizontal="left" vertical="center" wrapText="1"/>
      <protection hidden="1"/>
    </xf>
    <xf numFmtId="0" fontId="0" fillId="4" borderId="31" xfId="16065" applyFont="1" applyFill="1" applyBorder="1" applyAlignment="1" applyProtection="1">
      <alignment horizontal="left" vertical="center" wrapText="1"/>
      <protection hidden="1"/>
    </xf>
    <xf numFmtId="0" fontId="0" fillId="4" borderId="0" xfId="16065" applyFont="1" applyFill="1" applyAlignment="1" applyProtection="1">
      <alignment horizontal="left" vertical="center" wrapText="1"/>
      <protection hidden="1"/>
    </xf>
    <xf numFmtId="0" fontId="0" fillId="4" borderId="18" xfId="16065" applyFont="1" applyFill="1" applyBorder="1" applyAlignment="1" applyProtection="1">
      <alignment horizontal="left" vertical="center" wrapText="1"/>
      <protection hidden="1"/>
    </xf>
    <xf numFmtId="0" fontId="0" fillId="0" borderId="0" xfId="6465" applyFont="1" applyAlignment="1" applyProtection="1">
      <alignment horizontal="left" vertical="center" wrapText="1"/>
      <protection hidden="1"/>
    </xf>
    <xf numFmtId="0" fontId="0" fillId="0" borderId="27" xfId="6465" applyFont="1" applyBorder="1" applyAlignment="1" applyProtection="1">
      <alignment horizontal="left" vertical="center" wrapText="1"/>
      <protection hidden="1"/>
    </xf>
    <xf numFmtId="0" fontId="0" fillId="0" borderId="17" xfId="6465" applyFont="1" applyBorder="1" applyAlignment="1" applyProtection="1">
      <alignment horizontal="left" vertical="center" wrapText="1"/>
      <protection hidden="1"/>
    </xf>
    <xf numFmtId="0" fontId="10" fillId="0" borderId="4" xfId="17399" applyFont="1" applyBorder="1" applyAlignment="1" applyProtection="1">
      <alignment horizontal="left" vertical="center"/>
      <protection hidden="1"/>
    </xf>
    <xf numFmtId="0" fontId="10" fillId="0" borderId="6" xfId="17399" applyFont="1" applyBorder="1" applyAlignment="1" applyProtection="1">
      <alignment horizontal="left" vertical="center"/>
      <protection hidden="1"/>
    </xf>
    <xf numFmtId="0" fontId="10" fillId="0" borderId="0" xfId="17399" applyFont="1" applyAlignment="1" applyProtection="1">
      <alignment horizontal="left" vertical="center"/>
      <protection hidden="1"/>
    </xf>
    <xf numFmtId="0" fontId="10" fillId="0" borderId="17" xfId="17399" applyFont="1" applyBorder="1" applyAlignment="1" applyProtection="1">
      <alignment horizontal="left" vertical="center"/>
      <protection hidden="1"/>
    </xf>
    <xf numFmtId="0" fontId="10" fillId="0" borderId="20" xfId="17399" applyFont="1" applyBorder="1" applyAlignment="1" applyProtection="1">
      <alignment horizontal="left" vertical="center"/>
      <protection hidden="1"/>
    </xf>
    <xf numFmtId="0" fontId="10" fillId="0" borderId="21" xfId="17399" applyFont="1" applyBorder="1" applyAlignment="1" applyProtection="1">
      <alignment horizontal="left" vertical="center"/>
      <protection hidden="1"/>
    </xf>
    <xf numFmtId="0" fontId="10" fillId="0" borderId="18" xfId="17399" applyFont="1" applyBorder="1" applyAlignment="1" applyProtection="1">
      <alignment horizontal="left" vertical="center"/>
      <protection hidden="1"/>
    </xf>
    <xf numFmtId="0" fontId="10" fillId="0" borderId="28" xfId="17399" applyFont="1" applyBorder="1" applyAlignment="1" applyProtection="1">
      <alignment horizontal="left" vertical="center"/>
      <protection hidden="1"/>
    </xf>
    <xf numFmtId="0" fontId="66" fillId="2" borderId="0" xfId="17399" applyFont="1" applyFill="1" applyAlignment="1" applyProtection="1">
      <alignment horizontal="left"/>
      <protection hidden="1"/>
    </xf>
    <xf numFmtId="0" fontId="66" fillId="2" borderId="0" xfId="4660" applyFont="1" applyFill="1" applyAlignment="1" applyProtection="1">
      <alignment horizontal="left"/>
      <protection hidden="1"/>
    </xf>
    <xf numFmtId="0" fontId="66" fillId="3" borderId="0" xfId="6465" applyFont="1" applyFill="1" applyAlignment="1" applyProtection="1">
      <alignment horizontal="center"/>
      <protection hidden="1"/>
    </xf>
    <xf numFmtId="0" fontId="335" fillId="3" borderId="0" xfId="0" applyFont="1" applyFill="1" applyAlignment="1" applyProtection="1">
      <alignment horizontal="right" vertical="center"/>
      <protection hidden="1"/>
    </xf>
    <xf numFmtId="0" fontId="15" fillId="2" borderId="0" xfId="6465" applyFont="1" applyFill="1" applyAlignment="1" applyProtection="1">
      <alignment horizontal="center"/>
      <protection hidden="1"/>
    </xf>
    <xf numFmtId="0" fontId="22" fillId="3" borderId="0" xfId="69" applyFill="1" applyAlignment="1" applyProtection="1">
      <alignment horizontal="left"/>
      <protection hidden="1"/>
    </xf>
    <xf numFmtId="0" fontId="66" fillId="2" borderId="0" xfId="6465" applyFont="1" applyFill="1" applyAlignment="1" applyProtection="1">
      <alignment horizontal="left" vertical="center"/>
      <protection hidden="1"/>
    </xf>
    <xf numFmtId="0" fontId="14" fillId="2" borderId="0" xfId="6465" applyFont="1" applyFill="1" applyAlignment="1" applyProtection="1">
      <alignment horizontal="left" wrapText="1"/>
      <protection hidden="1"/>
    </xf>
    <xf numFmtId="0" fontId="10" fillId="0" borderId="3" xfId="17399" applyFont="1" applyBorder="1" applyAlignment="1" applyProtection="1">
      <alignment horizontal="center" vertical="center"/>
      <protection hidden="1"/>
    </xf>
    <xf numFmtId="0" fontId="10" fillId="0" borderId="4" xfId="17399" applyFont="1" applyBorder="1" applyAlignment="1" applyProtection="1">
      <alignment horizontal="center" vertical="center"/>
      <protection hidden="1"/>
    </xf>
    <xf numFmtId="0" fontId="10" fillId="0" borderId="20" xfId="17399" applyFont="1" applyBorder="1" applyAlignment="1" applyProtection="1">
      <alignment horizontal="center" vertical="center"/>
      <protection hidden="1"/>
    </xf>
    <xf numFmtId="0" fontId="10" fillId="0" borderId="0" xfId="17399" applyFont="1" applyAlignment="1" applyProtection="1">
      <alignment horizontal="center" vertical="center"/>
      <protection hidden="1"/>
    </xf>
    <xf numFmtId="0" fontId="10" fillId="0" borderId="18" xfId="17399" applyFont="1" applyBorder="1" applyAlignment="1" applyProtection="1">
      <alignment horizontal="center" vertical="center"/>
      <protection hidden="1"/>
    </xf>
    <xf numFmtId="0" fontId="10" fillId="0" borderId="5" xfId="17399" applyFont="1" applyBorder="1" applyAlignment="1" applyProtection="1">
      <alignment horizontal="center" vertical="center"/>
      <protection hidden="1"/>
    </xf>
    <xf numFmtId="0" fontId="10" fillId="0" borderId="6" xfId="17399" applyFont="1" applyBorder="1" applyAlignment="1" applyProtection="1">
      <alignment horizontal="center" vertical="center"/>
      <protection hidden="1"/>
    </xf>
    <xf numFmtId="0" fontId="10" fillId="0" borderId="21" xfId="17399" applyFont="1" applyBorder="1" applyAlignment="1" applyProtection="1">
      <alignment horizontal="center" vertical="center"/>
      <protection hidden="1"/>
    </xf>
    <xf numFmtId="0" fontId="10" fillId="0" borderId="27" xfId="17399" applyFont="1" applyBorder="1" applyAlignment="1" applyProtection="1">
      <alignment horizontal="center" vertical="center"/>
      <protection hidden="1"/>
    </xf>
    <xf numFmtId="0" fontId="10" fillId="0" borderId="17" xfId="17399" applyFont="1" applyBorder="1" applyAlignment="1" applyProtection="1">
      <alignment horizontal="center" vertical="center"/>
      <protection hidden="1"/>
    </xf>
    <xf numFmtId="0" fontId="10" fillId="0" borderId="28" xfId="17399" applyFont="1" applyBorder="1" applyAlignment="1" applyProtection="1">
      <alignment horizontal="center" vertical="center"/>
      <protection hidden="1"/>
    </xf>
    <xf numFmtId="0" fontId="66" fillId="2" borderId="0" xfId="6465" applyFont="1" applyFill="1" applyAlignment="1" applyProtection="1">
      <alignment horizontal="right"/>
      <protection hidden="1"/>
    </xf>
    <xf numFmtId="0" fontId="56" fillId="3" borderId="17" xfId="17399" applyFont="1" applyFill="1" applyBorder="1" applyAlignment="1" applyProtection="1">
      <alignment horizontal="left"/>
      <protection hidden="1"/>
    </xf>
    <xf numFmtId="0" fontId="5" fillId="3" borderId="0" xfId="17399" applyFont="1" applyFill="1" applyAlignment="1" applyProtection="1">
      <alignment horizontal="center"/>
      <protection hidden="1"/>
    </xf>
    <xf numFmtId="0" fontId="339" fillId="3" borderId="0" xfId="17399" applyFont="1" applyFill="1" applyAlignment="1" applyProtection="1">
      <alignment horizontal="center"/>
      <protection hidden="1"/>
    </xf>
    <xf numFmtId="0" fontId="2" fillId="4" borderId="0" xfId="6465" applyFont="1" applyFill="1" applyAlignment="1" applyProtection="1">
      <alignment horizontal="right"/>
      <protection hidden="1"/>
    </xf>
    <xf numFmtId="0" fontId="2" fillId="4" borderId="0" xfId="17399" applyFont="1" applyFill="1" applyAlignment="1" applyProtection="1">
      <alignment horizontal="right" vertical="top"/>
      <protection hidden="1"/>
    </xf>
    <xf numFmtId="0" fontId="305" fillId="3" borderId="17" xfId="17399" applyFill="1" applyBorder="1" applyAlignment="1" applyProtection="1">
      <alignment horizontal="center"/>
      <protection hidden="1"/>
    </xf>
    <xf numFmtId="0" fontId="12" fillId="3" borderId="17" xfId="17399" applyFont="1" applyFill="1" applyBorder="1" applyAlignment="1" applyProtection="1">
      <alignment horizontal="left"/>
      <protection hidden="1"/>
    </xf>
    <xf numFmtId="0" fontId="196" fillId="23" borderId="0" xfId="17399" applyFont="1" applyFill="1" applyAlignment="1" applyProtection="1">
      <protection hidden="1"/>
    </xf>
    <xf numFmtId="0" fontId="244" fillId="0" borderId="0" xfId="69" applyFont="1" applyAlignment="1" applyProtection="1">
      <alignment vertical="top"/>
      <protection hidden="1"/>
    </xf>
    <xf numFmtId="0" fontId="145" fillId="3" borderId="0" xfId="69" applyFont="1" applyFill="1" applyAlignment="1" applyProtection="1">
      <alignment vertical="top"/>
      <protection hidden="1"/>
    </xf>
    <xf numFmtId="171" fontId="5" fillId="3" borderId="0" xfId="17399" applyNumberFormat="1" applyFont="1" applyFill="1" applyAlignment="1" applyProtection="1">
      <protection hidden="1"/>
    </xf>
    <xf numFmtId="0" fontId="5" fillId="3" borderId="0" xfId="17399" applyFont="1" applyFill="1" applyAlignment="1" applyProtection="1">
      <protection hidden="1"/>
    </xf>
    <xf numFmtId="0" fontId="22" fillId="0" borderId="0" xfId="69" applyAlignment="1" applyProtection="1">
      <alignment vertical="top"/>
      <protection hidden="1"/>
    </xf>
    <xf numFmtId="165" fontId="5" fillId="3" borderId="0" xfId="12915" applyFont="1" applyFill="1" applyAlignment="1" applyProtection="1">
      <protection hidden="1"/>
    </xf>
    <xf numFmtId="0" fontId="247" fillId="3" borderId="0" xfId="6465" applyFont="1" applyFill="1" applyAlignment="1" applyProtection="1">
      <protection hidden="1"/>
    </xf>
    <xf numFmtId="2" fontId="5" fillId="3" borderId="0" xfId="17399" applyNumberFormat="1" applyFont="1" applyFill="1" applyAlignment="1" applyProtection="1">
      <protection hidden="1"/>
    </xf>
    <xf numFmtId="0" fontId="246" fillId="0" borderId="0" xfId="69" applyFont="1" applyAlignment="1" applyProtection="1">
      <alignment vertical="top"/>
      <protection hidden="1"/>
    </xf>
    <xf numFmtId="2" fontId="5" fillId="2" borderId="0" xfId="17399" applyNumberFormat="1" applyFont="1" applyFill="1" applyAlignment="1" applyProtection="1">
      <protection hidden="1"/>
    </xf>
    <xf numFmtId="2" fontId="247" fillId="2" borderId="0" xfId="17399" applyNumberFormat="1" applyFont="1" applyFill="1" applyAlignment="1" applyProtection="1">
      <protection hidden="1"/>
    </xf>
    <xf numFmtId="0" fontId="136" fillId="5" borderId="501" xfId="6465" applyFont="1" applyFill="1" applyBorder="1" applyProtection="1">
      <protection hidden="1"/>
    </xf>
    <xf numFmtId="0" fontId="7" fillId="4" borderId="502" xfId="6465" applyFill="1" applyBorder="1" applyAlignment="1" applyProtection="1">
      <alignment horizontal="left"/>
      <protection hidden="1"/>
    </xf>
    <xf numFmtId="0" fontId="74" fillId="4" borderId="0" xfId="4660" applyFont="1" applyFill="1" applyAlignment="1" applyProtection="1">
      <protection hidden="1"/>
    </xf>
    <xf numFmtId="0" fontId="7" fillId="4" borderId="501" xfId="6465" applyFill="1" applyBorder="1" applyAlignment="1" applyProtection="1">
      <alignment horizontal="center"/>
      <protection hidden="1"/>
    </xf>
    <xf numFmtId="169" fontId="7" fillId="4" borderId="501" xfId="6465" applyNumberFormat="1" applyFill="1" applyBorder="1" applyAlignment="1" applyProtection="1">
      <alignment horizontal="center"/>
      <protection hidden="1"/>
    </xf>
    <xf numFmtId="0" fontId="7" fillId="5" borderId="501" xfId="6465" applyFill="1" applyBorder="1" applyAlignment="1" applyProtection="1">
      <alignment horizontal="center"/>
      <protection locked="0"/>
    </xf>
    <xf numFmtId="169" fontId="7" fillId="9" borderId="501" xfId="6465" applyNumberFormat="1" applyFill="1" applyBorder="1" applyAlignment="1" applyProtection="1">
      <alignment horizontal="center"/>
      <protection hidden="1"/>
    </xf>
    <xf numFmtId="0" fontId="7" fillId="18" borderId="501" xfId="6465" applyFill="1" applyBorder="1" applyAlignment="1" applyProtection="1">
      <alignment horizontal="center"/>
      <protection locked="0"/>
    </xf>
    <xf numFmtId="169" fontId="7" fillId="0" borderId="501" xfId="4660" applyNumberFormat="1" applyFont="1" applyBorder="1" applyAlignment="1" applyProtection="1">
      <alignment horizontal="center"/>
      <protection hidden="1"/>
    </xf>
    <xf numFmtId="0" fontId="7" fillId="4" borderId="503" xfId="6465" applyFill="1" applyBorder="1" applyAlignment="1" applyProtection="1">
      <alignment horizontal="center"/>
      <protection hidden="1"/>
    </xf>
    <xf numFmtId="0" fontId="0" fillId="0" borderId="352" xfId="0" applyBorder="1" applyAlignment="1" applyProtection="1">
      <protection hidden="1"/>
    </xf>
    <xf numFmtId="0" fontId="7" fillId="5" borderId="503" xfId="6465" applyFill="1" applyBorder="1" applyAlignment="1" applyProtection="1">
      <alignment horizontal="center"/>
      <protection locked="0"/>
    </xf>
    <xf numFmtId="0" fontId="0" fillId="0" borderId="351" xfId="0" applyBorder="1" applyAlignment="1" applyProtection="1">
      <protection hidden="1"/>
    </xf>
    <xf numFmtId="0" fontId="7" fillId="5" borderId="504" xfId="4660" applyFont="1" applyFill="1" applyBorder="1" applyAlignment="1" applyProtection="1">
      <alignment horizontal="center"/>
      <protection locked="0"/>
    </xf>
    <xf numFmtId="2" fontId="7" fillId="4" borderId="504" xfId="4660" applyNumberFormat="1" applyFont="1" applyFill="1" applyBorder="1" applyAlignment="1" applyProtection="1">
      <alignment horizontal="center"/>
      <protection hidden="1"/>
    </xf>
    <xf numFmtId="0" fontId="7" fillId="5" borderId="505" xfId="4660" applyFont="1" applyFill="1" applyBorder="1" applyAlignment="1" applyProtection="1">
      <alignment horizontal="center"/>
      <protection locked="0"/>
    </xf>
    <xf numFmtId="0" fontId="7" fillId="3" borderId="502" xfId="4660" applyFont="1" applyFill="1" applyBorder="1" applyAlignment="1" applyProtection="1">
      <alignment horizontal="left" wrapText="1"/>
      <protection hidden="1"/>
    </xf>
    <xf numFmtId="0" fontId="7" fillId="4" borderId="502" xfId="6465" applyFill="1" applyBorder="1" applyAlignment="1" applyProtection="1">
      <alignment horizontal="left" wrapText="1"/>
      <protection hidden="1"/>
    </xf>
    <xf numFmtId="0" fontId="7" fillId="3" borderId="17" xfId="4660" applyFont="1" applyFill="1" applyBorder="1" applyAlignment="1" applyProtection="1">
      <protection hidden="1"/>
    </xf>
    <xf numFmtId="0" fontId="201" fillId="0" borderId="352" xfId="0" applyFont="1" applyBorder="1" applyAlignment="1"/>
    <xf numFmtId="0" fontId="7" fillId="14" borderId="502" xfId="4660" applyFont="1" applyFill="1" applyBorder="1" applyAlignment="1" applyProtection="1">
      <alignment horizontal="left" vertical="center" textRotation="90" wrapText="1"/>
      <protection hidden="1"/>
    </xf>
    <xf numFmtId="0" fontId="0" fillId="0" borderId="31" xfId="0" applyBorder="1" applyAlignment="1" applyProtection="1">
      <protection hidden="1"/>
    </xf>
    <xf numFmtId="0" fontId="7" fillId="18" borderId="502" xfId="4660" applyFont="1" applyFill="1" applyBorder="1" applyAlignment="1" applyProtection="1">
      <alignment horizontal="center"/>
      <protection locked="0"/>
    </xf>
    <xf numFmtId="0" fontId="7" fillId="14" borderId="502" xfId="4660" applyFont="1" applyFill="1" applyBorder="1" applyAlignment="1" applyProtection="1">
      <alignment horizontal="left"/>
      <protection hidden="1"/>
    </xf>
    <xf numFmtId="0" fontId="0" fillId="0" borderId="18" xfId="0" applyBorder="1" applyAlignment="1" applyProtection="1">
      <protection hidden="1"/>
    </xf>
    <xf numFmtId="0" fontId="23" fillId="12" borderId="502" xfId="7991" applyFont="1" applyFill="1" applyBorder="1" applyAlignment="1" applyProtection="1">
      <alignment horizontal="center"/>
      <protection locked="0"/>
    </xf>
    <xf numFmtId="0" fontId="191" fillId="18" borderId="506" xfId="4660" applyFont="1" applyFill="1" applyBorder="1" applyAlignment="1" applyProtection="1">
      <alignment horizontal="center"/>
      <protection locked="0"/>
    </xf>
    <xf numFmtId="0" fontId="0" fillId="0" borderId="344" xfId="0" applyBorder="1" applyAlignment="1" applyProtection="1">
      <protection hidden="1"/>
    </xf>
    <xf numFmtId="0" fontId="104" fillId="18" borderId="494" xfId="4660" applyFont="1" applyFill="1" applyBorder="1" applyAlignment="1" applyProtection="1">
      <alignment horizontal="center"/>
      <protection locked="0"/>
    </xf>
    <xf numFmtId="0" fontId="61" fillId="3" borderId="502" xfId="17475" applyFont="1" applyFill="1" applyBorder="1" applyAlignment="1" applyProtection="1">
      <alignment wrapText="1"/>
      <protection hidden="1"/>
    </xf>
    <xf numFmtId="0" fontId="61" fillId="4" borderId="502" xfId="17475" applyFont="1" applyFill="1" applyBorder="1" applyAlignment="1" applyProtection="1">
      <alignment horizontal="left" wrapText="1"/>
      <protection hidden="1"/>
    </xf>
    <xf numFmtId="0" fontId="0" fillId="0" borderId="0" xfId="0" applyAlignment="1" applyProtection="1">
      <protection hidden="1"/>
    </xf>
    <xf numFmtId="0" fontId="61" fillId="3" borderId="502" xfId="17475" applyFont="1" applyFill="1" applyBorder="1" applyAlignment="1" applyProtection="1">
      <alignment horizontal="left" wrapText="1"/>
      <protection hidden="1"/>
    </xf>
    <xf numFmtId="0" fontId="7" fillId="5" borderId="494" xfId="17475" applyFill="1" applyBorder="1" applyAlignment="1" applyProtection="1">
      <alignment horizontal="center"/>
      <protection locked="0"/>
    </xf>
    <xf numFmtId="0" fontId="0" fillId="0" borderId="502" xfId="0" applyBorder="1" applyAlignment="1" applyProtection="1">
      <protection hidden="1"/>
    </xf>
    <xf numFmtId="0" fontId="0" fillId="0" borderId="401" xfId="0" applyBorder="1" applyAlignment="1" applyProtection="1">
      <protection hidden="1"/>
    </xf>
    <xf numFmtId="0" fontId="0" fillId="0" borderId="279" xfId="0" applyBorder="1" applyAlignment="1" applyProtection="1">
      <protection hidden="1"/>
    </xf>
    <xf numFmtId="0" fontId="0" fillId="0" borderId="404" xfId="0" applyBorder="1" applyAlignment="1" applyProtection="1">
      <protection hidden="1"/>
    </xf>
    <xf numFmtId="0" fontId="233" fillId="3" borderId="502" xfId="17475" applyFont="1" applyFill="1" applyBorder="1" applyAlignment="1" applyProtection="1">
      <alignment wrapText="1"/>
      <protection hidden="1"/>
    </xf>
    <xf numFmtId="0" fontId="0" fillId="0" borderId="281" xfId="0" applyBorder="1" applyAlignment="1" applyProtection="1">
      <protection hidden="1"/>
    </xf>
    <xf numFmtId="0" fontId="61" fillId="50" borderId="502" xfId="17475" applyFont="1" applyFill="1" applyBorder="1" applyAlignment="1" applyProtection="1">
      <alignment horizontal="left" wrapText="1"/>
      <protection hidden="1"/>
    </xf>
    <xf numFmtId="0" fontId="17" fillId="9" borderId="502" xfId="17475" applyFont="1" applyFill="1" applyBorder="1" applyAlignment="1" applyProtection="1">
      <alignment horizontal="left"/>
      <protection hidden="1"/>
    </xf>
    <xf numFmtId="0" fontId="7" fillId="9" borderId="502" xfId="4660" applyFont="1" applyFill="1" applyBorder="1" applyAlignment="1" applyProtection="1">
      <alignment wrapText="1"/>
      <protection hidden="1"/>
    </xf>
    <xf numFmtId="0" fontId="0" fillId="0" borderId="17" xfId="0" applyBorder="1" applyAlignment="1" applyProtection="1">
      <protection hidden="1"/>
    </xf>
    <xf numFmtId="0" fontId="61" fillId="4" borderId="502" xfId="6465" applyFont="1" applyFill="1" applyBorder="1" applyAlignment="1" applyProtection="1">
      <alignment horizontal="center" wrapText="1"/>
      <protection hidden="1"/>
    </xf>
    <xf numFmtId="0" fontId="7" fillId="5" borderId="494" xfId="4660" applyFont="1" applyFill="1" applyBorder="1" applyAlignment="1" applyProtection="1">
      <alignment horizontal="center"/>
      <protection locked="0"/>
    </xf>
    <xf numFmtId="4" fontId="7" fillId="0" borderId="494" xfId="4660" applyNumberFormat="1" applyFont="1" applyBorder="1" applyAlignment="1" applyProtection="1">
      <alignment horizontal="center"/>
      <protection hidden="1"/>
    </xf>
    <xf numFmtId="0" fontId="0" fillId="0" borderId="29" xfId="0" applyBorder="1" applyAlignment="1" applyProtection="1">
      <protection hidden="1"/>
    </xf>
    <xf numFmtId="4" fontId="7" fillId="0" borderId="506" xfId="4660" applyNumberFormat="1" applyFont="1" applyBorder="1" applyAlignment="1" applyProtection="1">
      <alignment horizontal="center"/>
      <protection hidden="1"/>
    </xf>
    <xf numFmtId="0" fontId="7" fillId="12" borderId="494" xfId="4660" applyFont="1" applyFill="1" applyBorder="1" applyAlignment="1" applyProtection="1">
      <alignment horizontal="center"/>
      <protection locked="0"/>
    </xf>
    <xf numFmtId="0" fontId="7" fillId="4" borderId="502" xfId="6465" applyFill="1" applyBorder="1" applyAlignment="1" applyProtection="1">
      <alignment horizontal="left"/>
      <protection hidden="1"/>
    </xf>
    <xf numFmtId="168" fontId="7" fillId="0" borderId="494" xfId="6465" applyNumberFormat="1" applyBorder="1" applyAlignment="1" applyProtection="1">
      <alignment horizontal="center"/>
      <protection hidden="1"/>
    </xf>
    <xf numFmtId="0" fontId="1" fillId="4" borderId="502" xfId="6465" applyFont="1" applyFill="1" applyBorder="1" applyAlignment="1" applyProtection="1">
      <alignment horizontal="right"/>
      <protection hidden="1"/>
    </xf>
    <xf numFmtId="0" fontId="7" fillId="3" borderId="502" xfId="4660" applyFont="1" applyFill="1" applyBorder="1" applyProtection="1">
      <protection hidden="1"/>
    </xf>
    <xf numFmtId="0" fontId="74" fillId="3" borderId="0" xfId="4660" applyFont="1" applyFill="1" applyAlignment="1" applyProtection="1">
      <protection hidden="1"/>
    </xf>
    <xf numFmtId="0" fontId="25" fillId="0" borderId="502" xfId="69" applyFont="1" applyBorder="1" applyAlignment="1" applyProtection="1">
      <alignment horizontal="center"/>
    </xf>
    <xf numFmtId="2" fontId="7" fillId="23" borderId="494" xfId="17481" applyNumberFormat="1" applyFill="1" applyBorder="1" applyAlignment="1" applyProtection="1">
      <alignment horizontal="center" wrapText="1"/>
      <protection hidden="1"/>
    </xf>
    <xf numFmtId="0" fontId="7" fillId="3" borderId="494" xfId="4660" applyFont="1" applyFill="1" applyBorder="1" applyAlignment="1" applyProtection="1">
      <alignment horizontal="center"/>
      <protection hidden="1"/>
    </xf>
    <xf numFmtId="2" fontId="7" fillId="23" borderId="494" xfId="17481" applyNumberFormat="1" applyFill="1" applyBorder="1" applyAlignment="1" applyProtection="1">
      <alignment horizontal="center"/>
      <protection hidden="1"/>
    </xf>
    <xf numFmtId="0" fontId="74" fillId="2" borderId="0" xfId="6465" applyFont="1" applyFill="1" applyAlignment="1" applyProtection="1">
      <protection hidden="1"/>
    </xf>
    <xf numFmtId="0" fontId="7" fillId="4" borderId="502" xfId="6465" applyFill="1" applyBorder="1" applyProtection="1">
      <protection hidden="1"/>
    </xf>
    <xf numFmtId="0" fontId="61" fillId="4" borderId="502" xfId="4660" applyFont="1" applyFill="1" applyBorder="1" applyAlignment="1" applyProtection="1">
      <alignment horizontal="left"/>
      <protection hidden="1"/>
    </xf>
    <xf numFmtId="0" fontId="6" fillId="0" borderId="0" xfId="0" applyFont="1" applyAlignment="1" applyProtection="1">
      <protection hidden="1"/>
    </xf>
    <xf numFmtId="0" fontId="7" fillId="4" borderId="502" xfId="6465" applyFill="1" applyBorder="1" applyAlignment="1" applyProtection="1">
      <alignment horizontal="right" wrapText="1"/>
      <protection hidden="1"/>
    </xf>
    <xf numFmtId="0" fontId="74" fillId="4" borderId="0" xfId="6465" applyFont="1" applyFill="1" applyAlignment="1" applyProtection="1">
      <protection hidden="1"/>
    </xf>
    <xf numFmtId="2" fontId="7" fillId="4" borderId="494" xfId="4660" applyNumberFormat="1" applyFont="1" applyFill="1" applyBorder="1" applyProtection="1">
      <protection hidden="1"/>
    </xf>
    <xf numFmtId="2" fontId="7" fillId="5" borderId="494" xfId="4660" applyNumberFormat="1" applyFont="1" applyFill="1" applyBorder="1" applyAlignment="1" applyProtection="1">
      <alignment horizontal="center" wrapText="1"/>
      <protection locked="0"/>
    </xf>
    <xf numFmtId="1" fontId="7" fillId="5" borderId="494" xfId="4660" applyNumberFormat="1" applyFont="1" applyFill="1" applyBorder="1" applyAlignment="1" applyProtection="1">
      <alignment horizontal="center"/>
      <protection locked="0"/>
    </xf>
    <xf numFmtId="0" fontId="238" fillId="38" borderId="30" xfId="4660" applyFont="1" applyFill="1" applyBorder="1" applyAlignment="1" applyProtection="1">
      <protection hidden="1"/>
    </xf>
    <xf numFmtId="0" fontId="238" fillId="38" borderId="31" xfId="4660" applyFont="1" applyFill="1" applyBorder="1" applyAlignment="1" applyProtection="1">
      <protection hidden="1"/>
    </xf>
    <xf numFmtId="0" fontId="7" fillId="0" borderId="502" xfId="4660" applyFont="1" applyBorder="1" applyAlignment="1" applyProtection="1">
      <alignment wrapText="1"/>
      <protection hidden="1"/>
    </xf>
    <xf numFmtId="0" fontId="7" fillId="4" borderId="502" xfId="4660" applyFont="1" applyFill="1" applyBorder="1" applyProtection="1">
      <protection hidden="1"/>
    </xf>
    <xf numFmtId="0" fontId="7" fillId="5" borderId="506" xfId="4660" applyFont="1" applyFill="1" applyBorder="1" applyAlignment="1" applyProtection="1">
      <alignment horizontal="center"/>
      <protection locked="0"/>
    </xf>
    <xf numFmtId="0" fontId="7" fillId="4" borderId="502" xfId="4660" applyFont="1" applyFill="1" applyBorder="1" applyAlignment="1" applyProtection="1">
      <alignment horizontal="left"/>
      <protection hidden="1"/>
    </xf>
    <xf numFmtId="0" fontId="7" fillId="0" borderId="502" xfId="4660" applyFont="1" applyBorder="1" applyAlignment="1" applyProtection="1">
      <alignment horizontal="right"/>
      <protection hidden="1"/>
    </xf>
    <xf numFmtId="0" fontId="7" fillId="5" borderId="502" xfId="4660" applyFont="1" applyFill="1" applyBorder="1" applyAlignment="1" applyProtection="1">
      <alignment horizontal="center"/>
      <protection locked="0"/>
    </xf>
    <xf numFmtId="0" fontId="7" fillId="18" borderId="494" xfId="4660" applyFont="1" applyFill="1" applyBorder="1" applyAlignment="1" applyProtection="1">
      <alignment horizontal="center"/>
      <protection locked="0"/>
    </xf>
    <xf numFmtId="0" fontId="17" fillId="4" borderId="30" xfId="4660" applyFont="1" applyFill="1" applyBorder="1" applyAlignment="1" applyProtection="1">
      <protection hidden="1"/>
    </xf>
    <xf numFmtId="0" fontId="17" fillId="4" borderId="29" xfId="4660" applyFont="1" applyFill="1" applyBorder="1" applyAlignment="1" applyProtection="1">
      <protection hidden="1"/>
    </xf>
    <xf numFmtId="0" fontId="17" fillId="4" borderId="31" xfId="4660" applyFont="1" applyFill="1" applyBorder="1" applyAlignment="1" applyProtection="1">
      <protection hidden="1"/>
    </xf>
    <xf numFmtId="0" fontId="164" fillId="7" borderId="30" xfId="4660" applyFont="1" applyFill="1" applyBorder="1" applyAlignment="1"/>
    <xf numFmtId="0" fontId="164" fillId="7" borderId="29" xfId="4660" applyFont="1" applyFill="1" applyBorder="1" applyAlignment="1"/>
    <xf numFmtId="0" fontId="164" fillId="7" borderId="31" xfId="4660" applyFont="1" applyFill="1" applyBorder="1" applyAlignment="1"/>
    <xf numFmtId="0" fontId="17" fillId="0" borderId="30" xfId="4660" applyFont="1" applyBorder="1" applyAlignment="1" applyProtection="1">
      <protection hidden="1"/>
    </xf>
    <xf numFmtId="0" fontId="17" fillId="5" borderId="27" xfId="4660" applyFont="1" applyFill="1" applyBorder="1" applyAlignment="1" applyProtection="1">
      <protection locked="0"/>
    </xf>
    <xf numFmtId="0" fontId="17" fillId="5" borderId="17" xfId="4660" applyFont="1" applyFill="1" applyBorder="1" applyAlignment="1" applyProtection="1">
      <protection locked="0"/>
    </xf>
    <xf numFmtId="0" fontId="17" fillId="5" borderId="344" xfId="4660" applyFont="1" applyFill="1" applyBorder="1" applyAlignment="1" applyProtection="1">
      <protection locked="0"/>
    </xf>
    <xf numFmtId="0" fontId="5" fillId="4" borderId="494" xfId="4660" applyFont="1" applyFill="1" applyBorder="1" applyAlignment="1" applyProtection="1">
      <alignment horizontal="center"/>
      <protection hidden="1"/>
    </xf>
    <xf numFmtId="0" fontId="164" fillId="7" borderId="27" xfId="4660" applyFont="1" applyFill="1" applyBorder="1" applyAlignment="1"/>
    <xf numFmtId="0" fontId="164" fillId="7" borderId="17" xfId="4660" applyFont="1" applyFill="1" applyBorder="1" applyAlignment="1"/>
    <xf numFmtId="0" fontId="164" fillId="7" borderId="344" xfId="4660" applyFont="1" applyFill="1" applyBorder="1" applyAlignment="1"/>
    <xf numFmtId="0" fontId="0" fillId="0" borderId="27" xfId="0" applyBorder="1" applyAlignment="1" applyProtection="1">
      <protection hidden="1"/>
    </xf>
    <xf numFmtId="0" fontId="7" fillId="4" borderId="502" xfId="4660" applyFont="1" applyFill="1" applyBorder="1" applyAlignment="1" applyProtection="1">
      <alignment horizontal="left"/>
      <protection hidden="1"/>
    </xf>
    <xf numFmtId="0" fontId="75" fillId="4" borderId="502" xfId="4660" applyFont="1" applyFill="1" applyBorder="1" applyAlignment="1" applyProtection="1">
      <alignment horizontal="center"/>
      <protection hidden="1"/>
    </xf>
    <xf numFmtId="0" fontId="7" fillId="4" borderId="30" xfId="4660" applyFont="1" applyFill="1" applyBorder="1" applyAlignment="1" applyProtection="1">
      <protection hidden="1"/>
    </xf>
    <xf numFmtId="0" fontId="7" fillId="4" borderId="29" xfId="4660" applyFont="1" applyFill="1" applyBorder="1" applyAlignment="1" applyProtection="1">
      <protection hidden="1"/>
    </xf>
    <xf numFmtId="0" fontId="7" fillId="4" borderId="31" xfId="4660" applyFont="1" applyFill="1" applyBorder="1" applyAlignment="1" applyProtection="1">
      <protection hidden="1"/>
    </xf>
    <xf numFmtId="0" fontId="7" fillId="4" borderId="30" xfId="17486" applyFont="1" applyFill="1" applyBorder="1" applyAlignment="1" applyProtection="1">
      <protection hidden="1"/>
    </xf>
    <xf numFmtId="0" fontId="7" fillId="4" borderId="29" xfId="17486" applyFont="1" applyFill="1" applyBorder="1" applyAlignment="1" applyProtection="1">
      <protection hidden="1"/>
    </xf>
    <xf numFmtId="0" fontId="7" fillId="4" borderId="31" xfId="17486" applyFont="1" applyFill="1" applyBorder="1" applyAlignment="1" applyProtection="1">
      <protection hidden="1"/>
    </xf>
    <xf numFmtId="0" fontId="7" fillId="5" borderId="506" xfId="6465" applyFill="1" applyBorder="1" applyAlignment="1" applyProtection="1">
      <alignment horizontal="center"/>
      <protection locked="0"/>
    </xf>
    <xf numFmtId="0" fontId="164" fillId="38" borderId="506" xfId="4660" applyFont="1" applyFill="1" applyBorder="1" applyAlignment="1">
      <alignment horizontal="center"/>
    </xf>
    <xf numFmtId="0" fontId="164" fillId="38" borderId="506" xfId="4660" applyFont="1" applyFill="1" applyBorder="1" applyAlignment="1" applyProtection="1">
      <alignment horizontal="center"/>
      <protection hidden="1"/>
    </xf>
    <xf numFmtId="0" fontId="164" fillId="38" borderId="506" xfId="6465" applyFont="1" applyFill="1" applyBorder="1" applyAlignment="1" applyProtection="1">
      <alignment horizontal="center"/>
      <protection hidden="1"/>
    </xf>
    <xf numFmtId="0" fontId="239" fillId="38" borderId="502" xfId="4660" applyFont="1" applyFill="1" applyBorder="1" applyAlignment="1"/>
    <xf numFmtId="0" fontId="239" fillId="38" borderId="0" xfId="4660" applyFont="1" applyFill="1" applyAlignment="1"/>
    <xf numFmtId="0" fontId="239" fillId="38" borderId="18" xfId="4660" applyFont="1" applyFill="1" applyBorder="1" applyAlignment="1"/>
    <xf numFmtId="0" fontId="7" fillId="4" borderId="502" xfId="4660" applyFont="1" applyFill="1" applyBorder="1" applyAlignment="1" applyProtection="1">
      <protection hidden="1"/>
    </xf>
    <xf numFmtId="0" fontId="7" fillId="4" borderId="0" xfId="4660" applyFont="1" applyFill="1" applyAlignment="1" applyProtection="1">
      <protection hidden="1"/>
    </xf>
    <xf numFmtId="0" fontId="7" fillId="4" borderId="18" xfId="4660" applyFont="1" applyFill="1" applyBorder="1" applyAlignment="1" applyProtection="1">
      <protection hidden="1"/>
    </xf>
    <xf numFmtId="168" fontId="7" fillId="4" borderId="506" xfId="4660" applyNumberFormat="1" applyFont="1" applyFill="1" applyBorder="1" applyAlignment="1" applyProtection="1">
      <alignment horizontal="center"/>
      <protection hidden="1"/>
    </xf>
    <xf numFmtId="0" fontId="164" fillId="38" borderId="494" xfId="4660" applyFont="1" applyFill="1" applyBorder="1" applyAlignment="1">
      <alignment horizontal="center"/>
    </xf>
    <xf numFmtId="0" fontId="75" fillId="4" borderId="506" xfId="4660" applyFont="1" applyFill="1" applyBorder="1" applyAlignment="1" applyProtection="1">
      <alignment horizontal="center"/>
      <protection hidden="1"/>
    </xf>
    <xf numFmtId="168" fontId="77" fillId="4" borderId="506" xfId="4660" applyNumberFormat="1" applyFont="1" applyFill="1" applyBorder="1" applyAlignment="1" applyProtection="1">
      <alignment horizontal="center"/>
      <protection hidden="1"/>
    </xf>
    <xf numFmtId="0" fontId="7" fillId="4" borderId="27" xfId="4660" applyFont="1" applyFill="1" applyBorder="1" applyAlignment="1" applyProtection="1">
      <protection hidden="1"/>
    </xf>
    <xf numFmtId="0" fontId="7" fillId="4" borderId="17" xfId="4660" applyFont="1" applyFill="1" applyBorder="1" applyAlignment="1" applyProtection="1">
      <protection hidden="1"/>
    </xf>
    <xf numFmtId="0" fontId="7" fillId="4" borderId="344" xfId="4660" applyFont="1" applyFill="1" applyBorder="1" applyAlignment="1" applyProtection="1">
      <protection hidden="1"/>
    </xf>
    <xf numFmtId="0" fontId="7" fillId="5" borderId="506" xfId="17486" applyFont="1" applyFill="1" applyBorder="1" applyAlignment="1" applyProtection="1">
      <alignment horizontal="center"/>
      <protection locked="0"/>
    </xf>
    <xf numFmtId="0" fontId="7" fillId="4" borderId="27" xfId="17486" applyFont="1" applyFill="1" applyBorder="1" applyAlignment="1" applyProtection="1">
      <protection hidden="1"/>
    </xf>
    <xf numFmtId="0" fontId="7" fillId="4" borderId="350" xfId="4660" applyFont="1" applyFill="1" applyBorder="1" applyAlignment="1" applyProtection="1">
      <protection hidden="1"/>
    </xf>
    <xf numFmtId="0" fontId="7" fillId="4" borderId="351" xfId="4660" applyFont="1" applyFill="1" applyBorder="1" applyAlignment="1" applyProtection="1">
      <protection hidden="1"/>
    </xf>
    <xf numFmtId="0" fontId="7" fillId="4" borderId="352" xfId="4660" applyFont="1" applyFill="1" applyBorder="1" applyAlignment="1" applyProtection="1">
      <protection hidden="1"/>
    </xf>
    <xf numFmtId="0" fontId="7" fillId="14" borderId="350" xfId="4660" applyFont="1" applyFill="1" applyBorder="1" applyAlignment="1" applyProtection="1">
      <protection hidden="1"/>
    </xf>
    <xf numFmtId="0" fontId="7" fillId="0" borderId="351" xfId="0" applyFont="1" applyBorder="1" applyAlignment="1" applyProtection="1">
      <protection hidden="1"/>
    </xf>
    <xf numFmtId="0" fontId="7" fillId="0" borderId="352" xfId="0" applyFont="1" applyBorder="1" applyAlignment="1" applyProtection="1">
      <protection hidden="1"/>
    </xf>
    <xf numFmtId="0" fontId="7" fillId="4" borderId="0" xfId="6465" applyFill="1" applyAlignment="1" applyProtection="1">
      <protection hidden="1"/>
    </xf>
    <xf numFmtId="0" fontId="7" fillId="4" borderId="30" xfId="6465" applyFill="1" applyBorder="1" applyAlignment="1" applyProtection="1">
      <protection hidden="1"/>
    </xf>
    <xf numFmtId="168" fontId="7" fillId="4" borderId="494" xfId="6465" applyNumberFormat="1" applyFill="1" applyBorder="1" applyAlignment="1" applyProtection="1">
      <alignment horizontal="center"/>
      <protection hidden="1"/>
    </xf>
    <xf numFmtId="0" fontId="7" fillId="5" borderId="446" xfId="17475" applyFill="1" applyBorder="1" applyAlignment="1" applyProtection="1">
      <protection locked="0"/>
    </xf>
    <xf numFmtId="0" fontId="0" fillId="0" borderId="448" xfId="0" applyBorder="1" applyAlignment="1" applyProtection="1">
      <protection locked="0"/>
    </xf>
    <xf numFmtId="0" fontId="7" fillId="5" borderId="1" xfId="17475" applyFill="1" applyBorder="1" applyAlignment="1" applyProtection="1">
      <protection locked="0"/>
    </xf>
    <xf numFmtId="0" fontId="0" fillId="0" borderId="96" xfId="0" applyBorder="1" applyAlignment="1" applyProtection="1">
      <protection locked="0"/>
    </xf>
    <xf numFmtId="0" fontId="7" fillId="5" borderId="1" xfId="4660" applyFont="1" applyFill="1" applyBorder="1" applyAlignment="1" applyProtection="1">
      <protection locked="0"/>
    </xf>
    <xf numFmtId="166" fontId="240" fillId="7" borderId="30" xfId="6465" applyNumberFormat="1" applyFont="1" applyFill="1" applyBorder="1" applyAlignment="1" applyProtection="1">
      <protection hidden="1"/>
    </xf>
    <xf numFmtId="166" fontId="240" fillId="7" borderId="31" xfId="6465" applyNumberFormat="1" applyFont="1" applyFill="1" applyBorder="1" applyAlignment="1" applyProtection="1">
      <protection hidden="1"/>
    </xf>
    <xf numFmtId="0" fontId="141" fillId="14" borderId="502" xfId="6465" applyFont="1" applyFill="1" applyBorder="1" applyAlignment="1" applyProtection="1">
      <alignment horizontal="left" textRotation="90" wrapText="1"/>
      <protection hidden="1"/>
    </xf>
    <xf numFmtId="0" fontId="7" fillId="9" borderId="507" xfId="17475" applyFill="1" applyBorder="1" applyAlignment="1" applyProtection="1">
      <alignment horizontal="center"/>
      <protection hidden="1"/>
    </xf>
    <xf numFmtId="0" fontId="7" fillId="4" borderId="508" xfId="6465" applyFill="1" applyBorder="1" applyAlignment="1" applyProtection="1">
      <alignment horizontal="center"/>
      <protection hidden="1"/>
    </xf>
    <xf numFmtId="166" fontId="240" fillId="7" borderId="27" xfId="6465" applyNumberFormat="1" applyFont="1" applyFill="1" applyBorder="1" applyAlignment="1" applyProtection="1">
      <protection hidden="1"/>
    </xf>
    <xf numFmtId="166" fontId="240" fillId="7" borderId="344" xfId="6465" applyNumberFormat="1" applyFont="1" applyFill="1" applyBorder="1" applyAlignment="1" applyProtection="1">
      <protection hidden="1"/>
    </xf>
    <xf numFmtId="0" fontId="23" fillId="0" borderId="495" xfId="6465" applyFont="1" applyBorder="1" applyAlignment="1" applyProtection="1">
      <alignment horizontal="center"/>
      <protection hidden="1"/>
    </xf>
    <xf numFmtId="0" fontId="23" fillId="0" borderId="509" xfId="6465" applyFont="1" applyBorder="1" applyAlignment="1" applyProtection="1">
      <alignment horizontal="center"/>
      <protection hidden="1"/>
    </xf>
    <xf numFmtId="0" fontId="52" fillId="0" borderId="510" xfId="0" applyFont="1" applyBorder="1" applyAlignment="1" applyProtection="1">
      <protection hidden="1"/>
    </xf>
    <xf numFmtId="0" fontId="7" fillId="9" borderId="511" xfId="6465" applyFill="1" applyBorder="1" applyProtection="1">
      <protection hidden="1"/>
    </xf>
    <xf numFmtId="0" fontId="7" fillId="18" borderId="512" xfId="17475" applyFill="1" applyBorder="1" applyAlignment="1" applyProtection="1">
      <alignment horizontal="center"/>
      <protection locked="0"/>
    </xf>
    <xf numFmtId="0" fontId="7" fillId="18" borderId="513" xfId="17475" applyFill="1" applyBorder="1" applyAlignment="1" applyProtection="1">
      <alignment horizontal="center"/>
      <protection locked="0"/>
    </xf>
    <xf numFmtId="169" fontId="58" fillId="0" borderId="514" xfId="0" applyNumberFormat="1" applyFont="1" applyBorder="1" applyAlignment="1" applyProtection="1">
      <alignment horizontal="left"/>
      <protection hidden="1"/>
    </xf>
    <xf numFmtId="0" fontId="7" fillId="14" borderId="446" xfId="4660" applyFont="1" applyFill="1" applyBorder="1" applyAlignment="1" applyProtection="1">
      <protection hidden="1"/>
    </xf>
    <xf numFmtId="0" fontId="7" fillId="14" borderId="448" xfId="4660" applyFont="1" applyFill="1" applyBorder="1" applyAlignment="1" applyProtection="1">
      <protection hidden="1"/>
    </xf>
    <xf numFmtId="0" fontId="7" fillId="9" borderId="62" xfId="6465" applyFill="1" applyBorder="1" applyAlignment="1" applyProtection="1">
      <protection hidden="1"/>
    </xf>
    <xf numFmtId="0" fontId="7" fillId="9" borderId="128" xfId="6465" applyFill="1" applyBorder="1" applyAlignment="1" applyProtection="1">
      <protection hidden="1"/>
    </xf>
    <xf numFmtId="169" fontId="58" fillId="4" borderId="511" xfId="6465" applyNumberFormat="1" applyFont="1" applyFill="1" applyBorder="1" applyAlignment="1" applyProtection="1">
      <alignment horizontal="right"/>
      <protection hidden="1"/>
    </xf>
    <xf numFmtId="0" fontId="23" fillId="52" borderId="512" xfId="17475" applyFont="1" applyFill="1" applyBorder="1" applyAlignment="1" applyProtection="1">
      <alignment horizontal="center"/>
      <protection locked="0"/>
    </xf>
    <xf numFmtId="0" fontId="7" fillId="18" borderId="515" xfId="17475" applyFill="1" applyBorder="1" applyAlignment="1" applyProtection="1">
      <alignment horizontal="center"/>
      <protection locked="0"/>
    </xf>
    <xf numFmtId="0" fontId="196" fillId="14" borderId="446" xfId="4660" applyFont="1" applyFill="1" applyBorder="1" applyAlignment="1" applyProtection="1">
      <protection hidden="1"/>
    </xf>
    <xf numFmtId="0" fontId="196" fillId="14" borderId="448" xfId="4660" applyFont="1" applyFill="1" applyBorder="1" applyAlignment="1" applyProtection="1">
      <protection hidden="1"/>
    </xf>
    <xf numFmtId="0" fontId="196" fillId="14" borderId="62" xfId="4660" applyFont="1" applyFill="1" applyBorder="1" applyAlignment="1" applyProtection="1">
      <protection hidden="1"/>
    </xf>
    <xf numFmtId="0" fontId="196" fillId="14" borderId="128" xfId="4660" applyFont="1" applyFill="1" applyBorder="1" applyAlignment="1" applyProtection="1">
      <protection hidden="1"/>
    </xf>
    <xf numFmtId="0" fontId="7" fillId="55" borderId="514" xfId="6465" applyFill="1" applyBorder="1" applyAlignment="1" applyProtection="1">
      <alignment wrapText="1"/>
      <protection hidden="1"/>
    </xf>
    <xf numFmtId="0" fontId="111" fillId="53" borderId="510" xfId="6465" applyFont="1" applyFill="1" applyBorder="1" applyAlignment="1" applyProtection="1">
      <alignment wrapText="1"/>
      <protection hidden="1"/>
    </xf>
    <xf numFmtId="0" fontId="196" fillId="56" borderId="514" xfId="6465" applyFont="1" applyFill="1" applyBorder="1" applyAlignment="1" applyProtection="1">
      <alignment horizontal="right" wrapText="1"/>
      <protection hidden="1"/>
    </xf>
    <xf numFmtId="0" fontId="347" fillId="57" borderId="510" xfId="6465" applyFont="1" applyFill="1" applyBorder="1" applyAlignment="1" applyProtection="1">
      <alignment horizontal="left" wrapText="1"/>
      <protection hidden="1"/>
    </xf>
    <xf numFmtId="0" fontId="0" fillId="0" borderId="104" xfId="0" applyBorder="1" applyAlignment="1" applyProtection="1">
      <protection hidden="1"/>
    </xf>
    <xf numFmtId="0" fontId="7" fillId="58" borderId="514" xfId="6465" applyFill="1" applyBorder="1" applyAlignment="1" applyProtection="1">
      <alignment horizontal="right" wrapText="1"/>
      <protection hidden="1"/>
    </xf>
    <xf numFmtId="0" fontId="7" fillId="55" borderId="514" xfId="4660" applyFont="1" applyFill="1" applyBorder="1" applyAlignment="1" applyProtection="1">
      <alignment horizontal="center" wrapText="1"/>
      <protection hidden="1"/>
    </xf>
    <xf numFmtId="0" fontId="100" fillId="60" borderId="511" xfId="6465" applyFont="1" applyFill="1" applyBorder="1" applyAlignment="1" applyProtection="1">
      <alignment horizontal="right" wrapText="1"/>
      <protection hidden="1"/>
    </xf>
    <xf numFmtId="0" fontId="7" fillId="55" borderId="514" xfId="4660" quotePrefix="1" applyFont="1" applyFill="1" applyBorder="1" applyAlignment="1" applyProtection="1">
      <alignment horizontal="center" wrapText="1"/>
      <protection hidden="1"/>
    </xf>
    <xf numFmtId="0" fontId="7" fillId="55" borderId="510" xfId="6465" applyFill="1" applyBorder="1" applyAlignment="1" applyProtection="1">
      <alignment horizontal="center"/>
      <protection hidden="1"/>
    </xf>
    <xf numFmtId="0" fontId="143" fillId="9" borderId="29" xfId="6465" applyFont="1" applyFill="1" applyBorder="1" applyAlignment="1" applyProtection="1">
      <protection hidden="1"/>
    </xf>
    <xf numFmtId="0" fontId="196" fillId="56" borderId="514" xfId="4660" quotePrefix="1" applyFont="1" applyFill="1" applyBorder="1" applyAlignment="1" applyProtection="1">
      <alignment horizontal="center" wrapText="1"/>
      <protection hidden="1"/>
    </xf>
    <xf numFmtId="0" fontId="196" fillId="56" borderId="510" xfId="6465" applyFont="1" applyFill="1" applyBorder="1" applyAlignment="1" applyProtection="1">
      <alignment horizontal="center"/>
      <protection hidden="1"/>
    </xf>
    <xf numFmtId="0" fontId="177" fillId="5" borderId="1" xfId="4660" applyFont="1" applyFill="1" applyBorder="1" applyAlignment="1" applyProtection="1">
      <protection locked="0"/>
    </xf>
    <xf numFmtId="0" fontId="177" fillId="0" borderId="96" xfId="0" applyFont="1" applyBorder="1" applyAlignment="1" applyProtection="1">
      <protection locked="0"/>
    </xf>
    <xf numFmtId="0" fontId="318" fillId="0" borderId="96" xfId="0" applyFont="1" applyBorder="1" applyAlignment="1" applyProtection="1">
      <protection locked="0"/>
    </xf>
    <xf numFmtId="0" fontId="7" fillId="58" borderId="514" xfId="4660" quotePrefix="1" applyFont="1" applyFill="1" applyBorder="1" applyAlignment="1" applyProtection="1">
      <alignment horizontal="center" wrapText="1"/>
      <protection hidden="1"/>
    </xf>
    <xf numFmtId="0" fontId="7" fillId="58" borderId="510" xfId="6465" applyFill="1" applyBorder="1" applyAlignment="1" applyProtection="1">
      <alignment horizontal="center"/>
      <protection hidden="1"/>
    </xf>
    <xf numFmtId="0" fontId="7" fillId="58" borderId="514" xfId="4660" applyFont="1" applyFill="1" applyBorder="1" applyAlignment="1" applyProtection="1">
      <alignment horizontal="center" wrapText="1"/>
      <protection hidden="1"/>
    </xf>
    <xf numFmtId="0" fontId="100" fillId="60" borderId="514" xfId="4660" quotePrefix="1" applyFont="1" applyFill="1" applyBorder="1" applyAlignment="1" applyProtection="1">
      <alignment horizontal="center" wrapText="1"/>
      <protection hidden="1"/>
    </xf>
    <xf numFmtId="0" fontId="100" fillId="60" borderId="510" xfId="4660" applyFont="1" applyFill="1" applyBorder="1" applyAlignment="1" applyProtection="1">
      <alignment horizontal="center"/>
      <protection hidden="1"/>
    </xf>
    <xf numFmtId="0" fontId="100" fillId="60" borderId="511" xfId="4660" applyFont="1" applyFill="1" applyBorder="1" applyAlignment="1" applyProtection="1">
      <alignment horizontal="center" wrapText="1"/>
      <protection hidden="1"/>
    </xf>
    <xf numFmtId="0" fontId="7" fillId="5" borderId="62" xfId="17475" applyFill="1" applyBorder="1" applyAlignment="1" applyProtection="1">
      <protection locked="0"/>
    </xf>
    <xf numFmtId="0" fontId="0" fillId="0" borderId="128" xfId="0" applyBorder="1" applyAlignment="1" applyProtection="1">
      <protection locked="0"/>
    </xf>
    <xf numFmtId="0" fontId="121" fillId="3" borderId="510" xfId="4660" applyFont="1" applyFill="1" applyBorder="1" applyAlignment="1" applyProtection="1">
      <alignment horizontal="left" wrapText="1"/>
      <protection hidden="1"/>
    </xf>
    <xf numFmtId="0" fontId="0" fillId="0" borderId="28" xfId="0" applyBorder="1" applyAlignment="1" applyProtection="1">
      <protection hidden="1"/>
    </xf>
    <xf numFmtId="0" fontId="7" fillId="3" borderId="510" xfId="4660" applyFont="1" applyFill="1" applyBorder="1" applyAlignment="1" applyProtection="1">
      <alignment vertical="center" wrapText="1"/>
      <protection hidden="1"/>
    </xf>
    <xf numFmtId="0" fontId="17" fillId="4" borderId="510" xfId="6465" applyFont="1" applyFill="1" applyBorder="1" applyAlignment="1" applyProtection="1">
      <alignment horizontal="left" wrapText="1"/>
      <protection hidden="1"/>
    </xf>
    <xf numFmtId="0" fontId="7" fillId="4" borderId="510" xfId="69" applyFont="1" applyFill="1" applyBorder="1" applyAlignment="1" applyProtection="1">
      <alignment vertical="center" wrapText="1"/>
      <protection hidden="1"/>
    </xf>
    <xf numFmtId="0" fontId="7" fillId="0" borderId="510" xfId="6465" applyBorder="1" applyAlignment="1" applyProtection="1">
      <alignment horizontal="center"/>
      <protection hidden="1"/>
    </xf>
    <xf numFmtId="0" fontId="23" fillId="2" borderId="514" xfId="6465" applyFont="1" applyFill="1" applyBorder="1" applyProtection="1">
      <protection hidden="1"/>
    </xf>
    <xf numFmtId="0" fontId="172" fillId="5" borderId="514" xfId="6465" applyFont="1" applyFill="1" applyBorder="1" applyAlignment="1" applyProtection="1">
      <alignment horizontal="center"/>
      <protection locked="0"/>
    </xf>
    <xf numFmtId="0" fontId="172" fillId="5" borderId="510" xfId="6465" applyFont="1" applyFill="1" applyBorder="1" applyAlignment="1" applyProtection="1">
      <alignment horizontal="center"/>
      <protection locked="0"/>
    </xf>
    <xf numFmtId="0" fontId="184" fillId="0" borderId="351" xfId="0" applyFont="1" applyBorder="1" applyAlignment="1" applyProtection="1">
      <protection hidden="1"/>
    </xf>
    <xf numFmtId="0" fontId="7" fillId="4" borderId="510" xfId="69" applyFont="1" applyFill="1" applyBorder="1" applyAlignment="1" applyProtection="1">
      <alignment horizontal="left" vertical="center" wrapText="1"/>
      <protection hidden="1"/>
    </xf>
    <xf numFmtId="166" fontId="63" fillId="0" borderId="510" xfId="6465" applyNumberFormat="1" applyFont="1" applyBorder="1" applyAlignment="1" applyProtection="1">
      <alignment horizontal="left"/>
      <protection hidden="1"/>
    </xf>
    <xf numFmtId="0" fontId="7" fillId="2" borderId="514" xfId="6465" applyFill="1" applyBorder="1" applyAlignment="1" applyProtection="1">
      <alignment horizontal="left"/>
      <protection hidden="1"/>
    </xf>
    <xf numFmtId="0" fontId="61" fillId="5" borderId="514" xfId="6465" applyFont="1" applyFill="1" applyBorder="1" applyAlignment="1" applyProtection="1">
      <alignment horizontal="center"/>
      <protection locked="0"/>
    </xf>
    <xf numFmtId="0" fontId="61" fillId="5" borderId="510" xfId="6465" applyFont="1" applyFill="1" applyBorder="1" applyAlignment="1" applyProtection="1">
      <alignment horizontal="center"/>
      <protection locked="0"/>
    </xf>
    <xf numFmtId="0" fontId="7" fillId="2" borderId="514" xfId="6465" applyFill="1" applyBorder="1" applyProtection="1">
      <protection hidden="1"/>
    </xf>
    <xf numFmtId="0" fontId="7" fillId="0" borderId="510" xfId="6465" applyBorder="1" applyAlignment="1" applyProtection="1">
      <alignment horizontal="left"/>
      <protection hidden="1"/>
    </xf>
    <xf numFmtId="0" fontId="160" fillId="0" borderId="510" xfId="6465" applyFont="1" applyBorder="1" applyAlignment="1" applyProtection="1">
      <alignment horizontal="left"/>
      <protection hidden="1"/>
    </xf>
    <xf numFmtId="0" fontId="7" fillId="0" borderId="510" xfId="6465" applyBorder="1" applyProtection="1">
      <protection hidden="1"/>
    </xf>
    <xf numFmtId="0" fontId="0" fillId="3" borderId="510" xfId="6465" applyFont="1" applyFill="1" applyBorder="1" applyProtection="1">
      <protection hidden="1"/>
    </xf>
    <xf numFmtId="0" fontId="156" fillId="3" borderId="511" xfId="4660" applyFont="1" applyFill="1" applyBorder="1" applyAlignment="1" applyProtection="1">
      <alignment horizontal="left"/>
      <protection hidden="1"/>
    </xf>
    <xf numFmtId="168" fontId="23" fillId="2" borderId="511" xfId="6465" applyNumberFormat="1" applyFont="1" applyFill="1" applyBorder="1" applyAlignment="1" applyProtection="1">
      <alignment horizontal="center"/>
      <protection hidden="1"/>
    </xf>
    <xf numFmtId="1" fontId="46" fillId="2" borderId="510" xfId="6465" applyNumberFormat="1" applyFont="1" applyFill="1" applyBorder="1" applyProtection="1">
      <protection hidden="1"/>
    </xf>
    <xf numFmtId="0" fontId="92" fillId="3" borderId="514" xfId="4660" applyFont="1" applyFill="1" applyBorder="1" applyProtection="1">
      <protection hidden="1"/>
    </xf>
    <xf numFmtId="0" fontId="61" fillId="13" borderId="514" xfId="6465" applyFont="1" applyFill="1" applyBorder="1" applyAlignment="1" applyProtection="1">
      <alignment horizontal="center"/>
      <protection locked="0"/>
    </xf>
    <xf numFmtId="0" fontId="5" fillId="3" borderId="510" xfId="6465" applyFont="1" applyFill="1" applyBorder="1" applyAlignment="1" applyProtection="1">
      <alignment horizontal="center" vertical="center"/>
      <protection hidden="1"/>
    </xf>
    <xf numFmtId="0" fontId="7" fillId="2" borderId="510" xfId="4660" applyFont="1" applyFill="1" applyBorder="1" applyProtection="1">
      <protection hidden="1"/>
    </xf>
    <xf numFmtId="168" fontId="23" fillId="5" borderId="514" xfId="4660" applyNumberFormat="1" applyFont="1" applyFill="1" applyBorder="1" applyAlignment="1" applyProtection="1">
      <alignment horizontal="center"/>
      <protection locked="0"/>
    </xf>
    <xf numFmtId="0" fontId="95" fillId="3" borderId="514" xfId="4660" applyFont="1" applyFill="1" applyBorder="1" applyProtection="1">
      <protection hidden="1"/>
    </xf>
    <xf numFmtId="169" fontId="23" fillId="2" borderId="514" xfId="6465" applyNumberFormat="1" applyFont="1" applyFill="1" applyBorder="1" applyAlignment="1" applyProtection="1">
      <alignment horizontal="center"/>
      <protection hidden="1"/>
    </xf>
    <xf numFmtId="0" fontId="58" fillId="2" borderId="510" xfId="4660" applyFont="1" applyFill="1" applyBorder="1" applyAlignment="1" applyProtection="1">
      <alignment horizontal="left"/>
      <protection hidden="1"/>
    </xf>
    <xf numFmtId="0" fontId="216" fillId="2" borderId="514" xfId="6465" applyFont="1" applyFill="1" applyBorder="1" applyProtection="1">
      <protection hidden="1"/>
    </xf>
    <xf numFmtId="2" fontId="23" fillId="2" borderId="514" xfId="6465" applyNumberFormat="1" applyFont="1" applyFill="1" applyBorder="1" applyAlignment="1" applyProtection="1">
      <alignment horizontal="center"/>
      <protection hidden="1"/>
    </xf>
    <xf numFmtId="2" fontId="23" fillId="2" borderId="510" xfId="6465" applyNumberFormat="1" applyFont="1" applyFill="1" applyBorder="1" applyAlignment="1" applyProtection="1">
      <alignment horizontal="center"/>
      <protection hidden="1"/>
    </xf>
    <xf numFmtId="0" fontId="7" fillId="0" borderId="514" xfId="17468" applyFont="1" applyBorder="1" applyProtection="1">
      <protection hidden="1"/>
    </xf>
    <xf numFmtId="169" fontId="7" fillId="0" borderId="514" xfId="17473" applyNumberFormat="1" applyFont="1" applyBorder="1" applyProtection="1">
      <protection hidden="1"/>
    </xf>
    <xf numFmtId="0" fontId="23" fillId="46" borderId="514" xfId="6465" applyFont="1" applyFill="1" applyBorder="1" applyAlignment="1" applyProtection="1">
      <alignment horizontal="left"/>
      <protection hidden="1"/>
    </xf>
    <xf numFmtId="0" fontId="145" fillId="47" borderId="514" xfId="69" applyFont="1" applyFill="1" applyBorder="1" applyAlignment="1" applyProtection="1">
      <alignment horizontal="center" wrapText="1"/>
      <protection hidden="1"/>
    </xf>
    <xf numFmtId="0" fontId="145" fillId="47" borderId="516" xfId="69" applyFont="1" applyFill="1" applyBorder="1" applyAlignment="1" applyProtection="1">
      <alignment horizontal="center" wrapText="1"/>
      <protection hidden="1"/>
    </xf>
    <xf numFmtId="0" fontId="216" fillId="2" borderId="510" xfId="6465" applyFont="1" applyFill="1" applyBorder="1" applyAlignment="1" applyProtection="1">
      <alignment vertical="top"/>
      <protection hidden="1"/>
    </xf>
    <xf numFmtId="0" fontId="217" fillId="46" borderId="514" xfId="6465" applyFont="1" applyFill="1" applyBorder="1" applyAlignment="1" applyProtection="1">
      <alignment horizontal="left"/>
      <protection hidden="1"/>
    </xf>
    <xf numFmtId="169" fontId="23" fillId="0" borderId="514" xfId="17473" applyNumberFormat="1" applyFont="1" applyBorder="1" applyProtection="1">
      <protection hidden="1"/>
    </xf>
    <xf numFmtId="168" fontId="218" fillId="4" borderId="514" xfId="4660" applyNumberFormat="1" applyFont="1" applyFill="1" applyBorder="1" applyAlignment="1" applyProtection="1">
      <alignment horizontal="center"/>
      <protection hidden="1"/>
    </xf>
    <xf numFmtId="168" fontId="218" fillId="4" borderId="510" xfId="4660" applyNumberFormat="1" applyFont="1" applyFill="1" applyBorder="1" applyAlignment="1" applyProtection="1">
      <alignment horizontal="center"/>
      <protection hidden="1"/>
    </xf>
    <xf numFmtId="0" fontId="7" fillId="0" borderId="517" xfId="6465" applyBorder="1" applyAlignment="1" applyProtection="1">
      <alignment horizontal="left" vertical="center" wrapText="1"/>
      <protection hidden="1"/>
    </xf>
    <xf numFmtId="168" fontId="174" fillId="4" borderId="514" xfId="4660" applyNumberFormat="1" applyFont="1" applyFill="1" applyBorder="1" applyAlignment="1" applyProtection="1">
      <alignment horizontal="center"/>
      <protection hidden="1"/>
    </xf>
    <xf numFmtId="2" fontId="174" fillId="2" borderId="510" xfId="6465" applyNumberFormat="1" applyFont="1" applyFill="1" applyBorder="1" applyAlignment="1" applyProtection="1">
      <alignment horizontal="center"/>
      <protection hidden="1"/>
    </xf>
    <xf numFmtId="0" fontId="7" fillId="3" borderId="514" xfId="4660" applyFont="1" applyFill="1" applyBorder="1" applyProtection="1">
      <protection hidden="1"/>
    </xf>
    <xf numFmtId="0" fontId="17" fillId="5" borderId="511" xfId="6465" applyFont="1" applyFill="1" applyBorder="1" applyAlignment="1" applyProtection="1">
      <alignment horizontal="center"/>
      <protection locked="0"/>
    </xf>
    <xf numFmtId="166" fontId="63" fillId="0" borderId="510" xfId="6465" applyNumberFormat="1" applyFont="1" applyBorder="1" applyAlignment="1" applyProtection="1">
      <alignment horizontal="right"/>
      <protection hidden="1"/>
    </xf>
    <xf numFmtId="168" fontId="61" fillId="4" borderId="514" xfId="6465" applyNumberFormat="1" applyFont="1" applyFill="1" applyBorder="1" applyAlignment="1" applyProtection="1">
      <alignment horizontal="center"/>
      <protection hidden="1"/>
    </xf>
    <xf numFmtId="168" fontId="61" fillId="2" borderId="510" xfId="6465" applyNumberFormat="1" applyFont="1" applyFill="1" applyBorder="1" applyAlignment="1" applyProtection="1">
      <alignment horizontal="center"/>
      <protection hidden="1"/>
    </xf>
    <xf numFmtId="0" fontId="7" fillId="3" borderId="510" xfId="4660" applyFont="1" applyFill="1" applyBorder="1" applyAlignment="1" applyProtection="1">
      <alignment horizontal="left"/>
      <protection hidden="1"/>
    </xf>
    <xf numFmtId="0" fontId="23" fillId="3" borderId="510" xfId="6465" applyFont="1" applyFill="1" applyBorder="1" applyAlignment="1" applyProtection="1">
      <alignment horizontal="left" vertical="top" wrapText="1"/>
      <protection hidden="1"/>
    </xf>
    <xf numFmtId="2" fontId="121" fillId="4" borderId="514" xfId="6465" applyNumberFormat="1" applyFont="1" applyFill="1" applyBorder="1" applyAlignment="1" applyProtection="1">
      <alignment horizontal="center"/>
      <protection hidden="1"/>
    </xf>
    <xf numFmtId="2" fontId="121" fillId="2" borderId="510" xfId="6465" applyNumberFormat="1" applyFont="1" applyFill="1" applyBorder="1" applyAlignment="1" applyProtection="1">
      <alignment horizontal="center"/>
      <protection hidden="1"/>
    </xf>
    <xf numFmtId="2" fontId="121" fillId="0" borderId="510" xfId="4660" applyNumberFormat="1" applyFont="1" applyBorder="1" applyAlignment="1" applyProtection="1">
      <alignment horizontal="center"/>
      <protection hidden="1"/>
    </xf>
    <xf numFmtId="0" fontId="23" fillId="3" borderId="510" xfId="6465" applyFont="1" applyFill="1" applyBorder="1" applyAlignment="1" applyProtection="1">
      <alignment horizontal="left"/>
      <protection hidden="1"/>
    </xf>
    <xf numFmtId="168" fontId="89" fillId="18" borderId="514" xfId="6465" applyNumberFormat="1" applyFont="1" applyFill="1" applyBorder="1" applyAlignment="1" applyProtection="1">
      <alignment horizontal="center" wrapText="1"/>
      <protection locked="0"/>
    </xf>
    <xf numFmtId="0" fontId="23" fillId="2" borderId="510" xfId="6465" applyFont="1" applyFill="1" applyBorder="1" applyAlignment="1" applyProtection="1">
      <alignment horizontal="left" vertical="center" wrapText="1"/>
      <protection hidden="1"/>
    </xf>
    <xf numFmtId="0" fontId="33" fillId="0" borderId="0" xfId="0" applyFont="1" applyAlignment="1" applyProtection="1">
      <protection hidden="1"/>
    </xf>
    <xf numFmtId="0" fontId="7" fillId="5" borderId="514" xfId="6465" applyFill="1" applyBorder="1" applyAlignment="1" applyProtection="1">
      <alignment horizontal="center" wrapText="1"/>
      <protection locked="0"/>
    </xf>
    <xf numFmtId="1" fontId="104" fillId="4" borderId="514" xfId="6465" applyNumberFormat="1" applyFont="1" applyFill="1" applyBorder="1" applyProtection="1">
      <protection hidden="1"/>
    </xf>
    <xf numFmtId="1" fontId="104" fillId="4" borderId="514" xfId="4660" applyNumberFormat="1" applyFont="1" applyFill="1" applyBorder="1" applyAlignment="1" applyProtection="1">
      <alignment horizontal="center"/>
      <protection hidden="1"/>
    </xf>
    <xf numFmtId="1" fontId="104" fillId="4" borderId="510" xfId="4660" applyNumberFormat="1" applyFont="1" applyFill="1" applyBorder="1" applyAlignment="1" applyProtection="1">
      <alignment horizontal="center"/>
      <protection hidden="1"/>
    </xf>
    <xf numFmtId="0" fontId="33" fillId="0" borderId="510" xfId="0" applyFont="1" applyBorder="1" applyAlignment="1" applyProtection="1">
      <protection hidden="1"/>
    </xf>
    <xf numFmtId="0" fontId="61" fillId="3" borderId="510" xfId="6465" applyFont="1" applyFill="1" applyBorder="1" applyAlignment="1" applyProtection="1">
      <alignment horizontal="left" vertical="top" wrapText="1"/>
      <protection hidden="1"/>
    </xf>
    <xf numFmtId="168" fontId="7" fillId="4" borderId="514" xfId="6465" applyNumberFormat="1" applyFill="1" applyBorder="1" applyAlignment="1" applyProtection="1">
      <alignment horizontal="center" wrapText="1"/>
      <protection hidden="1"/>
    </xf>
    <xf numFmtId="1" fontId="190" fillId="4" borderId="514" xfId="6465" applyNumberFormat="1" applyFont="1" applyFill="1" applyBorder="1" applyProtection="1">
      <protection hidden="1"/>
    </xf>
    <xf numFmtId="1" fontId="190" fillId="4" borderId="514" xfId="4660" applyNumberFormat="1" applyFont="1" applyFill="1" applyBorder="1" applyAlignment="1" applyProtection="1">
      <alignment horizontal="center"/>
      <protection hidden="1"/>
    </xf>
    <xf numFmtId="1" fontId="190" fillId="4" borderId="510" xfId="4660" applyNumberFormat="1" applyFont="1" applyFill="1" applyBorder="1" applyAlignment="1" applyProtection="1">
      <alignment horizontal="center"/>
      <protection hidden="1"/>
    </xf>
    <xf numFmtId="0" fontId="219" fillId="2" borderId="510" xfId="6465" applyFont="1" applyFill="1" applyBorder="1" applyAlignment="1" applyProtection="1">
      <alignment wrapText="1"/>
      <protection hidden="1"/>
    </xf>
    <xf numFmtId="2" fontId="7" fillId="0" borderId="510" xfId="4660" applyNumberFormat="1" applyFont="1" applyBorder="1" applyProtection="1">
      <protection hidden="1"/>
    </xf>
    <xf numFmtId="168" fontId="104" fillId="4" borderId="514" xfId="6465" applyNumberFormat="1" applyFont="1" applyFill="1" applyBorder="1" applyProtection="1">
      <protection hidden="1"/>
    </xf>
    <xf numFmtId="168" fontId="104" fillId="4" borderId="514" xfId="4660" applyNumberFormat="1" applyFont="1" applyFill="1" applyBorder="1" applyAlignment="1" applyProtection="1">
      <alignment horizontal="center"/>
      <protection hidden="1"/>
    </xf>
    <xf numFmtId="168" fontId="104" fillId="4" borderId="510" xfId="4660" applyNumberFormat="1" applyFont="1" applyFill="1" applyBorder="1" applyAlignment="1" applyProtection="1">
      <alignment horizontal="center"/>
      <protection hidden="1"/>
    </xf>
    <xf numFmtId="0" fontId="104" fillId="2" borderId="511" xfId="6465" applyFont="1" applyFill="1" applyBorder="1" applyProtection="1">
      <protection hidden="1"/>
    </xf>
    <xf numFmtId="168" fontId="104" fillId="4" borderId="511" xfId="6465" applyNumberFormat="1" applyFont="1" applyFill="1" applyBorder="1" applyAlignment="1" applyProtection="1">
      <alignment horizontal="center" wrapText="1"/>
      <protection hidden="1"/>
    </xf>
    <xf numFmtId="49" fontId="17" fillId="4" borderId="511" xfId="16065" applyNumberFormat="1" applyFont="1" applyFill="1" applyBorder="1" applyAlignment="1" applyProtection="1">
      <alignment horizontal="center"/>
      <protection hidden="1"/>
    </xf>
    <xf numFmtId="0" fontId="17" fillId="4" borderId="518" xfId="16065" applyFont="1" applyFill="1" applyBorder="1" applyAlignment="1" applyProtection="1">
      <alignment horizontal="center"/>
      <protection hidden="1"/>
    </xf>
    <xf numFmtId="0" fontId="7" fillId="12" borderId="510" xfId="4660" applyFont="1" applyFill="1" applyBorder="1" applyAlignment="1" applyProtection="1">
      <alignment horizontal="left"/>
      <protection locked="0"/>
    </xf>
    <xf numFmtId="2" fontId="7" fillId="4" borderId="510" xfId="6465" applyNumberFormat="1" applyFill="1" applyBorder="1" applyAlignment="1" applyProtection="1">
      <alignment horizontal="left" wrapText="1"/>
      <protection hidden="1"/>
    </xf>
    <xf numFmtId="0" fontId="0" fillId="0" borderId="510" xfId="0" applyBorder="1" applyAlignment="1" applyProtection="1">
      <protection hidden="1"/>
    </xf>
    <xf numFmtId="2" fontId="7" fillId="4" borderId="510" xfId="6465" applyNumberFormat="1" applyFill="1" applyBorder="1" applyAlignment="1" applyProtection="1">
      <alignment wrapText="1"/>
      <protection hidden="1"/>
    </xf>
    <xf numFmtId="0" fontId="7" fillId="0" borderId="511" xfId="17468" applyFont="1" applyBorder="1" applyProtection="1">
      <protection hidden="1"/>
    </xf>
    <xf numFmtId="169" fontId="7" fillId="0" borderId="511" xfId="17473" applyNumberFormat="1" applyFont="1" applyBorder="1" applyProtection="1">
      <protection hidden="1"/>
    </xf>
    <xf numFmtId="0" fontId="7" fillId="2" borderId="510" xfId="6465" applyFill="1" applyBorder="1" applyAlignment="1" applyProtection="1">
      <alignment horizontal="right"/>
      <protection hidden="1"/>
    </xf>
    <xf numFmtId="0" fontId="7" fillId="4" borderId="511" xfId="6465" applyFill="1" applyBorder="1" applyAlignment="1" applyProtection="1">
      <alignment horizontal="center"/>
      <protection hidden="1"/>
    </xf>
    <xf numFmtId="0" fontId="7" fillId="4" borderId="510" xfId="6465" applyFill="1" applyBorder="1" applyAlignment="1" applyProtection="1">
      <alignment wrapText="1"/>
      <protection hidden="1"/>
    </xf>
    <xf numFmtId="0" fontId="52" fillId="4" borderId="0" xfId="6465" applyFont="1" applyFill="1" applyAlignment="1" applyProtection="1">
      <protection hidden="1"/>
    </xf>
    <xf numFmtId="0" fontId="25" fillId="0" borderId="0" xfId="69" applyFont="1" applyAlignment="1">
      <alignment vertical="top"/>
      <protection locked="0"/>
    </xf>
    <xf numFmtId="168" fontId="7" fillId="2" borderId="0" xfId="6465" applyNumberFormat="1" applyFill="1" applyAlignment="1" applyProtection="1">
      <protection hidden="1"/>
    </xf>
    <xf numFmtId="0" fontId="7" fillId="4" borderId="519" xfId="16065" applyFont="1" applyFill="1" applyBorder="1" applyAlignment="1" applyProtection="1">
      <alignment horizontal="left" vertical="center"/>
      <protection hidden="1"/>
    </xf>
    <xf numFmtId="0" fontId="7" fillId="2" borderId="0" xfId="6465" applyFill="1" applyAlignment="1" applyProtection="1">
      <protection hidden="1"/>
    </xf>
    <xf numFmtId="0" fontId="55" fillId="4" borderId="350" xfId="16065" applyFont="1" applyFill="1" applyBorder="1" applyAlignment="1" applyProtection="1">
      <protection hidden="1"/>
    </xf>
    <xf numFmtId="0" fontId="7" fillId="4" borderId="510" xfId="6465" applyFill="1" applyBorder="1" applyAlignment="1" applyProtection="1">
      <protection hidden="1"/>
    </xf>
    <xf numFmtId="168" fontId="98" fillId="45" borderId="514" xfId="6465" applyNumberFormat="1" applyFont="1" applyFill="1" applyBorder="1" applyAlignment="1" applyProtection="1">
      <alignment horizontal="center"/>
      <protection locked="0"/>
    </xf>
    <xf numFmtId="0" fontId="0" fillId="0" borderId="85" xfId="0" applyBorder="1" applyAlignment="1" applyProtection="1">
      <protection hidden="1"/>
    </xf>
    <xf numFmtId="49" fontId="98" fillId="45" borderId="514" xfId="6465" applyNumberFormat="1" applyFont="1" applyFill="1" applyBorder="1" applyAlignment="1" applyProtection="1">
      <alignment horizontal="center"/>
      <protection locked="0"/>
    </xf>
    <xf numFmtId="0" fontId="0" fillId="0" borderId="411" xfId="0" applyBorder="1" applyAlignment="1" applyProtection="1">
      <protection hidden="1"/>
    </xf>
    <xf numFmtId="0" fontId="0" fillId="0" borderId="186" xfId="0" applyBorder="1" applyAlignment="1" applyProtection="1">
      <protection hidden="1"/>
    </xf>
    <xf numFmtId="0" fontId="196" fillId="4" borderId="186" xfId="6465" applyFont="1" applyFill="1" applyBorder="1" applyAlignment="1" applyProtection="1">
      <protection hidden="1"/>
    </xf>
    <xf numFmtId="0" fontId="194" fillId="0" borderId="186" xfId="0" applyFont="1" applyBorder="1" applyAlignment="1" applyProtection="1">
      <protection hidden="1"/>
    </xf>
    <xf numFmtId="2" fontId="98" fillId="45" borderId="514" xfId="6465" applyNumberFormat="1" applyFont="1" applyFill="1" applyBorder="1" applyAlignment="1" applyProtection="1">
      <alignment horizontal="center"/>
      <protection locked="0"/>
    </xf>
    <xf numFmtId="0" fontId="0" fillId="0" borderId="43" xfId="0" applyBorder="1" applyAlignment="1" applyProtection="1">
      <protection hidden="1"/>
    </xf>
    <xf numFmtId="0" fontId="7" fillId="4" borderId="189" xfId="0" applyFont="1" applyFill="1" applyBorder="1" applyAlignment="1" applyProtection="1">
      <protection hidden="1"/>
    </xf>
    <xf numFmtId="0" fontId="0" fillId="0" borderId="190" xfId="0" applyBorder="1" applyAlignment="1" applyProtection="1">
      <protection hidden="1"/>
    </xf>
    <xf numFmtId="0" fontId="0" fillId="0" borderId="222" xfId="0" applyBorder="1" applyAlignment="1" applyProtection="1">
      <protection hidden="1"/>
    </xf>
    <xf numFmtId="0" fontId="100" fillId="4" borderId="510" xfId="0" applyFont="1" applyFill="1" applyBorder="1" applyAlignment="1" applyProtection="1">
      <protection hidden="1"/>
    </xf>
    <xf numFmtId="0" fontId="0" fillId="0" borderId="223" xfId="0" applyBorder="1" applyAlignment="1" applyProtection="1">
      <protection hidden="1"/>
    </xf>
    <xf numFmtId="0" fontId="101" fillId="4" borderId="185" xfId="0" applyFont="1" applyFill="1" applyBorder="1" applyAlignment="1" applyProtection="1">
      <protection hidden="1"/>
    </xf>
    <xf numFmtId="168" fontId="7" fillId="4" borderId="510" xfId="6465" applyNumberFormat="1" applyFill="1" applyBorder="1" applyAlignment="1" applyProtection="1">
      <alignment horizontal="left"/>
      <protection hidden="1"/>
    </xf>
    <xf numFmtId="0" fontId="0" fillId="0" borderId="87" xfId="0" applyBorder="1" applyAlignment="1" applyProtection="1">
      <protection hidden="1"/>
    </xf>
    <xf numFmtId="0" fontId="0" fillId="0" borderId="194" xfId="0" applyBorder="1" applyAlignment="1" applyProtection="1">
      <protection hidden="1"/>
    </xf>
    <xf numFmtId="0" fontId="23" fillId="0" borderId="351" xfId="0" applyFont="1" applyBorder="1" applyAlignment="1" applyProtection="1">
      <protection hidden="1"/>
    </xf>
    <xf numFmtId="0" fontId="0" fillId="4" borderId="510" xfId="16065" applyFont="1" applyFill="1" applyBorder="1" applyProtection="1">
      <protection hidden="1"/>
    </xf>
    <xf numFmtId="0" fontId="121" fillId="4" borderId="510" xfId="16065" applyFont="1" applyFill="1" applyBorder="1" applyAlignment="1" applyProtection="1">
      <alignment horizontal="center"/>
      <protection hidden="1"/>
    </xf>
    <xf numFmtId="0" fontId="127" fillId="4" borderId="510" xfId="6465" applyFont="1" applyFill="1" applyBorder="1" applyAlignment="1" applyProtection="1">
      <alignment horizontal="center" wrapText="1"/>
      <protection hidden="1"/>
    </xf>
    <xf numFmtId="0" fontId="0" fillId="0" borderId="514" xfId="0" applyBorder="1" applyAlignment="1" applyProtection="1">
      <protection hidden="1"/>
    </xf>
    <xf numFmtId="0" fontId="0" fillId="0" borderId="198" xfId="0" applyBorder="1" applyAlignment="1" applyProtection="1">
      <protection hidden="1"/>
    </xf>
    <xf numFmtId="0" fontId="7" fillId="0" borderId="510" xfId="16065" applyFont="1" applyBorder="1" applyAlignment="1" applyProtection="1">
      <alignment horizontal="center"/>
      <protection hidden="1"/>
    </xf>
    <xf numFmtId="0" fontId="41" fillId="0" borderId="510" xfId="16065" applyFont="1" applyBorder="1" applyAlignment="1" applyProtection="1">
      <alignment horizontal="center"/>
      <protection hidden="1"/>
    </xf>
    <xf numFmtId="0" fontId="17" fillId="0" borderId="510" xfId="16065" applyFont="1" applyBorder="1" applyAlignment="1" applyProtection="1">
      <alignment horizontal="center"/>
      <protection hidden="1"/>
    </xf>
    <xf numFmtId="0" fontId="7" fillId="3" borderId="520" xfId="6465" applyFill="1" applyBorder="1" applyProtection="1">
      <protection hidden="1"/>
    </xf>
    <xf numFmtId="0" fontId="94" fillId="14" borderId="520" xfId="0" applyFont="1" applyFill="1" applyBorder="1" applyAlignment="1" applyProtection="1">
      <alignment horizontal="center"/>
      <protection hidden="1"/>
    </xf>
    <xf numFmtId="0" fontId="76" fillId="14" borderId="520" xfId="0" applyFont="1" applyFill="1" applyBorder="1" applyAlignment="1" applyProtection="1">
      <alignment horizontal="center"/>
      <protection hidden="1"/>
    </xf>
    <xf numFmtId="0" fontId="103" fillId="14" borderId="520" xfId="0" applyFont="1" applyFill="1" applyBorder="1" applyAlignment="1" applyProtection="1">
      <alignment horizontal="center"/>
      <protection hidden="1"/>
    </xf>
    <xf numFmtId="0" fontId="5" fillId="0" borderId="510" xfId="16065" applyFont="1" applyBorder="1" applyProtection="1">
      <protection hidden="1"/>
    </xf>
    <xf numFmtId="0" fontId="7" fillId="0" borderId="510" xfId="16065" applyFont="1" applyBorder="1" applyProtection="1">
      <protection hidden="1"/>
    </xf>
    <xf numFmtId="0" fontId="7" fillId="12" borderId="510" xfId="0" applyFont="1" applyFill="1" applyBorder="1" applyProtection="1">
      <protection locked="0"/>
    </xf>
    <xf numFmtId="0" fontId="0" fillId="0" borderId="215" xfId="0" applyBorder="1" applyAlignment="1" applyProtection="1">
      <protection hidden="1"/>
    </xf>
    <xf numFmtId="0" fontId="203" fillId="3" borderId="510" xfId="16065" applyFont="1" applyFill="1" applyBorder="1" applyProtection="1">
      <protection hidden="1"/>
    </xf>
    <xf numFmtId="0" fontId="7" fillId="5" borderId="510" xfId="6465" applyFill="1" applyBorder="1" applyProtection="1">
      <protection locked="0"/>
    </xf>
    <xf numFmtId="0" fontId="7" fillId="0" borderId="350" xfId="16065" applyFont="1" applyBorder="1" applyAlignment="1" applyProtection="1">
      <protection hidden="1"/>
    </xf>
    <xf numFmtId="0" fontId="7" fillId="4" borderId="444" xfId="6465" applyFill="1" applyBorder="1" applyAlignment="1" applyProtection="1">
      <protection hidden="1"/>
    </xf>
    <xf numFmtId="0" fontId="25" fillId="0" borderId="0" xfId="69" applyFont="1" applyAlignment="1" applyProtection="1">
      <alignment vertical="top"/>
      <protection hidden="1"/>
    </xf>
    <xf numFmtId="0" fontId="7" fillId="0" borderId="510" xfId="16065" applyFont="1" applyBorder="1" applyAlignment="1" applyProtection="1">
      <protection hidden="1"/>
    </xf>
    <xf numFmtId="1" fontId="94" fillId="0" borderId="511" xfId="0" applyNumberFormat="1" applyFont="1" applyBorder="1" applyAlignment="1" applyProtection="1">
      <alignment horizontal="center"/>
      <protection hidden="1"/>
    </xf>
    <xf numFmtId="1" fontId="76" fillId="0" borderId="511" xfId="0" applyNumberFormat="1" applyFont="1" applyBorder="1" applyAlignment="1" applyProtection="1">
      <alignment horizontal="center"/>
      <protection hidden="1"/>
    </xf>
    <xf numFmtId="1" fontId="94" fillId="0" borderId="511" xfId="16065" applyNumberFormat="1" applyFont="1" applyBorder="1" applyAlignment="1" applyProtection="1">
      <alignment horizontal="center" wrapText="1"/>
      <protection locked="0"/>
    </xf>
    <xf numFmtId="1" fontId="63" fillId="0" borderId="510" xfId="16065" applyNumberFormat="1" applyFont="1" applyBorder="1" applyAlignment="1" applyProtection="1">
      <protection hidden="1"/>
    </xf>
    <xf numFmtId="0" fontId="92" fillId="30" borderId="511" xfId="4660" applyFont="1" applyFill="1" applyBorder="1" applyAlignment="1" applyProtection="1">
      <alignment horizontal="center"/>
      <protection locked="0"/>
    </xf>
    <xf numFmtId="0" fontId="92" fillId="12" borderId="511" xfId="4660" applyFont="1" applyFill="1" applyBorder="1" applyAlignment="1" applyProtection="1">
      <alignment horizontal="center"/>
      <protection locked="0"/>
    </xf>
    <xf numFmtId="0" fontId="7" fillId="0" borderId="510" xfId="16065" applyFont="1" applyBorder="1" applyAlignment="1" applyProtection="1">
      <alignment horizontal="left"/>
      <protection hidden="1"/>
    </xf>
    <xf numFmtId="168" fontId="7" fillId="0" borderId="510" xfId="16065" applyNumberFormat="1" applyFont="1" applyBorder="1" applyAlignment="1" applyProtection="1">
      <alignment horizontal="center"/>
      <protection hidden="1"/>
    </xf>
    <xf numFmtId="168" fontId="7" fillId="0" borderId="510" xfId="0" applyNumberFormat="1" applyFont="1" applyBorder="1" applyAlignment="1" applyProtection="1">
      <alignment horizontal="center"/>
      <protection hidden="1"/>
    </xf>
    <xf numFmtId="168" fontId="91" fillId="0" borderId="510" xfId="16065" applyNumberFormat="1" applyFont="1" applyBorder="1" applyAlignment="1" applyProtection="1">
      <alignment horizontal="center"/>
      <protection hidden="1"/>
    </xf>
    <xf numFmtId="168" fontId="123" fillId="0" borderId="510" xfId="16065" applyNumberFormat="1" applyFont="1" applyBorder="1" applyAlignment="1" applyProtection="1">
      <alignment horizontal="center"/>
      <protection hidden="1"/>
    </xf>
    <xf numFmtId="168" fontId="129" fillId="0" borderId="510" xfId="16065" applyNumberFormat="1" applyFont="1" applyBorder="1" applyAlignment="1" applyProtection="1">
      <alignment horizontal="center"/>
      <protection hidden="1"/>
    </xf>
    <xf numFmtId="0" fontId="102" fillId="0" borderId="27" xfId="69" applyFont="1" applyBorder="1" applyAlignment="1" applyProtection="1">
      <alignment vertical="top"/>
      <protection hidden="1"/>
    </xf>
    <xf numFmtId="0" fontId="102" fillId="0" borderId="28" xfId="69" applyFont="1" applyBorder="1" applyAlignment="1" applyProtection="1">
      <alignment vertical="top"/>
      <protection hidden="1"/>
    </xf>
    <xf numFmtId="0" fontId="0" fillId="0" borderId="17" xfId="0" applyBorder="1" applyAlignment="1"/>
    <xf numFmtId="0" fontId="0" fillId="0" borderId="28" xfId="0" applyBorder="1" applyAlignment="1"/>
    <xf numFmtId="0" fontId="0" fillId="0" borderId="511" xfId="0" applyBorder="1" applyAlignment="1" applyProtection="1">
      <protection hidden="1"/>
    </xf>
    <xf numFmtId="2" fontId="103" fillId="4" borderId="510" xfId="6465" applyNumberFormat="1" applyFont="1" applyFill="1" applyBorder="1" applyAlignment="1" applyProtection="1">
      <alignment horizontal="center" vertical="top" wrapText="1"/>
      <protection hidden="1"/>
    </xf>
    <xf numFmtId="0" fontId="104" fillId="0" borderId="29" xfId="16065" applyFont="1" applyBorder="1" applyAlignment="1" applyProtection="1">
      <protection hidden="1"/>
    </xf>
    <xf numFmtId="0" fontId="63" fillId="4" borderId="510" xfId="6465" applyFont="1" applyFill="1" applyBorder="1" applyAlignment="1" applyProtection="1">
      <alignment horizontal="left" vertical="top" wrapText="1"/>
      <protection hidden="1"/>
    </xf>
    <xf numFmtId="0" fontId="104" fillId="0" borderId="510" xfId="0" applyFont="1" applyBorder="1" applyAlignment="1" applyProtection="1">
      <alignment horizontal="left" vertical="top"/>
      <protection hidden="1"/>
    </xf>
    <xf numFmtId="0" fontId="7" fillId="0" borderId="0" xfId="0" applyFont="1" applyAlignment="1" applyProtection="1">
      <protection hidden="1"/>
    </xf>
    <xf numFmtId="169" fontId="17" fillId="0" borderId="514" xfId="16065" applyNumberFormat="1" applyFont="1" applyBorder="1" applyAlignment="1" applyProtection="1">
      <alignment horizontal="center" wrapText="1"/>
      <protection hidden="1"/>
    </xf>
    <xf numFmtId="0" fontId="7" fillId="4" borderId="510" xfId="6465" applyFill="1" applyBorder="1" applyAlignment="1" applyProtection="1">
      <alignment horizontal="left" vertical="top" wrapText="1"/>
      <protection hidden="1"/>
    </xf>
    <xf numFmtId="0" fontId="17" fillId="0" borderId="511" xfId="16065" applyFont="1" applyBorder="1" applyAlignment="1" applyProtection="1">
      <alignment horizontal="right"/>
      <protection hidden="1"/>
    </xf>
    <xf numFmtId="169" fontId="17" fillId="0" borderId="511" xfId="16065" applyNumberFormat="1" applyFont="1" applyBorder="1" applyAlignment="1" applyProtection="1">
      <alignment horizontal="center"/>
      <protection hidden="1"/>
    </xf>
    <xf numFmtId="0" fontId="0" fillId="3" borderId="521" xfId="17414" applyFont="1" applyFill="1" applyBorder="1" applyAlignment="1" applyProtection="1">
      <alignment horizontal="right"/>
      <protection hidden="1"/>
    </xf>
    <xf numFmtId="0" fontId="23" fillId="4" borderId="426" xfId="6465" applyFont="1" applyFill="1" applyBorder="1" applyAlignment="1" applyProtection="1">
      <protection hidden="1"/>
    </xf>
    <xf numFmtId="0" fontId="0" fillId="0" borderId="427" xfId="0" applyBorder="1" applyAlignment="1" applyProtection="1">
      <protection hidden="1"/>
    </xf>
    <xf numFmtId="0" fontId="0" fillId="0" borderId="428" xfId="0" applyBorder="1" applyAlignment="1" applyProtection="1">
      <protection hidden="1"/>
    </xf>
    <xf numFmtId="0" fontId="23" fillId="4" borderId="218" xfId="6465" applyFont="1" applyFill="1" applyBorder="1" applyAlignment="1" applyProtection="1">
      <protection hidden="1"/>
    </xf>
    <xf numFmtId="0" fontId="33" fillId="0" borderId="234" xfId="0" applyFont="1" applyBorder="1" applyAlignment="1" applyProtection="1">
      <protection hidden="1"/>
    </xf>
    <xf numFmtId="0" fontId="33" fillId="0" borderId="239" xfId="0" applyFont="1" applyBorder="1" applyAlignment="1" applyProtection="1">
      <protection hidden="1"/>
    </xf>
    <xf numFmtId="1" fontId="23" fillId="0" borderId="510" xfId="6465" applyNumberFormat="1" applyFont="1" applyBorder="1" applyAlignment="1" applyProtection="1">
      <alignment horizontal="left"/>
      <protection hidden="1"/>
    </xf>
    <xf numFmtId="0" fontId="102" fillId="0" borderId="17" xfId="69" applyFont="1" applyBorder="1" applyAlignment="1" applyProtection="1">
      <alignment vertical="top"/>
      <protection hidden="1"/>
    </xf>
    <xf numFmtId="0" fontId="7" fillId="3" borderId="510" xfId="0" applyFont="1" applyFill="1" applyBorder="1" applyAlignment="1" applyProtection="1">
      <alignment horizontal="left"/>
      <protection hidden="1"/>
    </xf>
    <xf numFmtId="0" fontId="0" fillId="0" borderId="434" xfId="0" applyBorder="1" applyAlignment="1" applyProtection="1">
      <protection hidden="1"/>
    </xf>
    <xf numFmtId="2" fontId="7" fillId="3" borderId="510" xfId="6465" applyNumberFormat="1" applyFill="1" applyBorder="1" applyAlignment="1" applyProtection="1">
      <alignment horizontal="left" wrapText="1"/>
      <protection hidden="1"/>
    </xf>
    <xf numFmtId="0" fontId="23" fillId="4" borderId="193" xfId="6465" applyFont="1" applyFill="1" applyBorder="1" applyAlignment="1" applyProtection="1">
      <protection hidden="1"/>
    </xf>
    <xf numFmtId="0" fontId="33" fillId="0" borderId="194" xfId="0" applyFont="1" applyBorder="1" applyAlignment="1" applyProtection="1">
      <protection hidden="1"/>
    </xf>
    <xf numFmtId="0" fontId="33" fillId="0" borderId="242" xfId="0" applyFont="1" applyBorder="1" applyAlignment="1" applyProtection="1">
      <protection hidden="1"/>
    </xf>
    <xf numFmtId="0" fontId="23" fillId="14" borderId="522" xfId="6465" applyFont="1" applyFill="1" applyBorder="1" applyProtection="1">
      <protection hidden="1"/>
    </xf>
    <xf numFmtId="0" fontId="0" fillId="0" borderId="242" xfId="0" applyBorder="1" applyAlignment="1" applyProtection="1">
      <protection hidden="1"/>
    </xf>
    <xf numFmtId="0" fontId="7" fillId="0" borderId="189" xfId="16065" applyFont="1" applyBorder="1" applyAlignment="1" applyProtection="1">
      <protection hidden="1"/>
    </xf>
    <xf numFmtId="0" fontId="7" fillId="0" borderId="190" xfId="0" applyFont="1" applyBorder="1" applyAlignment="1" applyProtection="1">
      <protection hidden="1"/>
    </xf>
    <xf numFmtId="0" fontId="7" fillId="0" borderId="218" xfId="16065" applyFont="1" applyBorder="1" applyAlignment="1" applyProtection="1">
      <protection hidden="1"/>
    </xf>
    <xf numFmtId="0" fontId="7" fillId="0" borderId="234" xfId="0" applyFont="1" applyBorder="1" applyAlignment="1" applyProtection="1">
      <protection hidden="1"/>
    </xf>
    <xf numFmtId="0" fontId="22" fillId="0" borderId="79" xfId="69" applyBorder="1" applyAlignment="1" applyProtection="1">
      <alignment vertical="top"/>
      <protection hidden="1"/>
    </xf>
    <xf numFmtId="0" fontId="22" fillId="0" borderId="18" xfId="69" applyBorder="1" applyAlignment="1" applyProtection="1">
      <alignment vertical="top"/>
      <protection hidden="1"/>
    </xf>
    <xf numFmtId="0" fontId="7" fillId="0" borderId="120" xfId="0" applyFont="1" applyBorder="1" applyAlignment="1" applyProtection="1">
      <protection hidden="1"/>
    </xf>
    <xf numFmtId="0" fontId="0" fillId="3" borderId="0" xfId="0" applyFill="1" applyAlignment="1" applyProtection="1">
      <protection hidden="1"/>
    </xf>
    <xf numFmtId="0" fontId="7" fillId="0" borderId="253" xfId="16065" applyFont="1" applyBorder="1" applyAlignment="1" applyProtection="1">
      <protection hidden="1"/>
    </xf>
    <xf numFmtId="0" fontId="0" fillId="0" borderId="254" xfId="0" applyBorder="1" applyAlignment="1" applyProtection="1">
      <protection hidden="1"/>
    </xf>
    <xf numFmtId="0" fontId="63" fillId="0" borderId="234" xfId="6465" applyFont="1" applyBorder="1" applyAlignment="1" applyProtection="1">
      <protection hidden="1"/>
    </xf>
    <xf numFmtId="0" fontId="0" fillId="0" borderId="234" xfId="0" applyBorder="1" applyAlignment="1" applyProtection="1">
      <protection hidden="1"/>
    </xf>
    <xf numFmtId="0" fontId="0" fillId="0" borderId="239" xfId="0" applyBorder="1" applyAlignment="1" applyProtection="1">
      <protection hidden="1"/>
    </xf>
    <xf numFmtId="169" fontId="72" fillId="0" borderId="510" xfId="16065" applyNumberFormat="1" applyFont="1" applyBorder="1" applyAlignment="1" applyProtection="1">
      <alignment horizontal="center" wrapText="1"/>
      <protection hidden="1"/>
    </xf>
    <xf numFmtId="0" fontId="7" fillId="4" borderId="519" xfId="12913" applyNumberFormat="1" applyFont="1" applyFill="1" applyBorder="1" applyAlignment="1" applyProtection="1">
      <alignment vertical="center" wrapText="1"/>
      <protection hidden="1"/>
    </xf>
    <xf numFmtId="169" fontId="17" fillId="0" borderId="510" xfId="16065" applyNumberFormat="1" applyFont="1" applyBorder="1" applyAlignment="1" applyProtection="1">
      <alignment horizontal="center" wrapText="1"/>
      <protection hidden="1"/>
    </xf>
    <xf numFmtId="0" fontId="25" fillId="3" borderId="0" xfId="69" applyFont="1" applyFill="1" applyAlignment="1" applyProtection="1">
      <alignment vertical="top"/>
      <protection hidden="1"/>
    </xf>
    <xf numFmtId="0" fontId="7" fillId="4" borderId="510" xfId="6465" applyFill="1" applyBorder="1" applyProtection="1">
      <protection hidden="1"/>
    </xf>
    <xf numFmtId="0" fontId="98" fillId="13" borderId="514" xfId="6465" applyFont="1" applyFill="1" applyBorder="1" applyAlignment="1" applyProtection="1">
      <alignment horizontal="center"/>
      <protection locked="0"/>
    </xf>
    <xf numFmtId="0" fontId="7" fillId="4" borderId="39" xfId="6465" applyFill="1" applyBorder="1" applyAlignment="1" applyProtection="1">
      <protection hidden="1"/>
    </xf>
    <xf numFmtId="1" fontId="7" fillId="4" borderId="510" xfId="17436" applyNumberFormat="1" applyFont="1" applyFill="1" applyBorder="1" applyProtection="1">
      <protection hidden="1"/>
    </xf>
    <xf numFmtId="0" fontId="7" fillId="4" borderId="510" xfId="17436" applyFont="1" applyFill="1" applyBorder="1" applyProtection="1">
      <protection hidden="1"/>
    </xf>
    <xf numFmtId="0" fontId="98" fillId="41" borderId="514" xfId="6465" applyFont="1" applyFill="1" applyBorder="1" applyAlignment="1" applyProtection="1">
      <alignment horizontal="center"/>
      <protection locked="0"/>
    </xf>
    <xf numFmtId="0" fontId="100" fillId="4" borderId="510" xfId="17436" applyFont="1" applyFill="1" applyBorder="1" applyProtection="1">
      <protection hidden="1"/>
    </xf>
    <xf numFmtId="0" fontId="102" fillId="0" borderId="514" xfId="69" applyFont="1" applyBorder="1" applyAlignment="1" applyProtection="1">
      <alignment horizontal="center" wrapText="1"/>
      <protection hidden="1"/>
    </xf>
    <xf numFmtId="1" fontId="17" fillId="4" borderId="510" xfId="17436" applyNumberFormat="1" applyFont="1" applyFill="1" applyBorder="1" applyProtection="1">
      <protection hidden="1"/>
    </xf>
    <xf numFmtId="168" fontId="7" fillId="4" borderId="510" xfId="17436" applyNumberFormat="1" applyFont="1" applyFill="1" applyBorder="1" applyProtection="1">
      <protection hidden="1"/>
    </xf>
    <xf numFmtId="0" fontId="0" fillId="4" borderId="514" xfId="6465" applyFont="1" applyFill="1" applyBorder="1" applyProtection="1">
      <protection hidden="1"/>
    </xf>
    <xf numFmtId="0" fontId="7" fillId="4" borderId="510" xfId="8678" applyFont="1" applyFill="1" applyBorder="1" applyAlignment="1" applyProtection="1">
      <alignment horizontal="left" vertical="top" wrapText="1"/>
      <protection hidden="1"/>
    </xf>
    <xf numFmtId="0" fontId="7" fillId="4" borderId="510" xfId="6465" applyFill="1" applyBorder="1" applyAlignment="1" applyProtection="1">
      <alignment horizontal="center"/>
      <protection hidden="1"/>
    </xf>
    <xf numFmtId="0" fontId="182" fillId="4" borderId="510" xfId="16065" applyFont="1" applyFill="1" applyBorder="1" applyAlignment="1" applyProtection="1">
      <alignment horizontal="center" vertical="center"/>
      <protection hidden="1"/>
    </xf>
    <xf numFmtId="0" fontId="183" fillId="2" borderId="510" xfId="16065" applyFont="1" applyFill="1" applyBorder="1" applyAlignment="1" applyProtection="1">
      <alignment horizontal="center" vertical="center"/>
      <protection hidden="1"/>
    </xf>
    <xf numFmtId="0" fontId="5" fillId="3" borderId="514" xfId="17436" applyFont="1" applyFill="1" applyBorder="1" applyAlignment="1" applyProtection="1">
      <alignment horizontal="center" wrapText="1"/>
      <protection hidden="1"/>
    </xf>
    <xf numFmtId="0" fontId="7" fillId="0" borderId="350" xfId="0" applyFont="1" applyBorder="1" applyAlignment="1" applyProtection="1">
      <protection hidden="1"/>
    </xf>
    <xf numFmtId="0" fontId="17" fillId="0" borderId="510" xfId="6465" applyFont="1" applyBorder="1" applyAlignment="1" applyProtection="1">
      <alignment horizontal="center"/>
      <protection hidden="1"/>
    </xf>
    <xf numFmtId="0" fontId="17" fillId="0" borderId="510" xfId="6465" applyFont="1" applyBorder="1" applyAlignment="1" applyProtection="1">
      <alignment horizontal="left"/>
      <protection hidden="1"/>
    </xf>
    <xf numFmtId="0" fontId="0" fillId="0" borderId="514" xfId="6465" applyFont="1" applyBorder="1" applyProtection="1">
      <protection hidden="1"/>
    </xf>
    <xf numFmtId="0" fontId="5" fillId="0" borderId="510" xfId="6465" applyFont="1" applyBorder="1" applyProtection="1">
      <protection hidden="1"/>
    </xf>
    <xf numFmtId="0" fontId="94" fillId="14" borderId="523" xfId="17436" applyFont="1" applyFill="1" applyBorder="1" applyAlignment="1" applyProtection="1">
      <alignment horizontal="center"/>
      <protection hidden="1"/>
    </xf>
    <xf numFmtId="0" fontId="76" fillId="14" borderId="523" xfId="17436" applyFont="1" applyFill="1" applyBorder="1" applyAlignment="1" applyProtection="1">
      <alignment horizontal="center"/>
      <protection hidden="1"/>
    </xf>
    <xf numFmtId="0" fontId="5" fillId="3" borderId="511" xfId="17436" applyFont="1" applyFill="1" applyBorder="1" applyAlignment="1" applyProtection="1">
      <alignment horizontal="center" wrapText="1"/>
      <protection hidden="1"/>
    </xf>
    <xf numFmtId="1" fontId="7" fillId="0" borderId="510" xfId="6465" applyNumberFormat="1" applyBorder="1" applyProtection="1">
      <protection hidden="1"/>
    </xf>
    <xf numFmtId="0" fontId="7" fillId="42" borderId="514" xfId="17199" applyFont="1" applyFill="1" applyBorder="1" applyAlignment="1" applyProtection="1">
      <alignment horizontal="center" vertical="center" textRotation="90" wrapText="1"/>
      <protection hidden="1"/>
    </xf>
    <xf numFmtId="0" fontId="76" fillId="0" borderId="510" xfId="6465" applyFont="1" applyBorder="1"/>
    <xf numFmtId="0" fontId="7" fillId="0" borderId="510" xfId="6465" applyBorder="1"/>
    <xf numFmtId="0" fontId="152" fillId="0" borderId="510" xfId="6465" applyFont="1" applyBorder="1"/>
    <xf numFmtId="0" fontId="153" fillId="0" borderId="510" xfId="6465" applyFont="1" applyBorder="1"/>
    <xf numFmtId="1" fontId="7" fillId="43" borderId="510" xfId="6465" applyNumberFormat="1" applyFill="1" applyBorder="1" applyProtection="1">
      <protection hidden="1"/>
    </xf>
    <xf numFmtId="0" fontId="69" fillId="0" borderId="510" xfId="6465" applyFont="1" applyBorder="1"/>
    <xf numFmtId="0" fontId="7" fillId="26" borderId="514" xfId="6465" applyFill="1" applyBorder="1" applyAlignment="1" applyProtection="1">
      <alignment horizontal="center" vertical="center" textRotation="90"/>
      <protection hidden="1"/>
    </xf>
    <xf numFmtId="1" fontId="81" fillId="0" borderId="510" xfId="6465" applyNumberFormat="1" applyFont="1" applyBorder="1"/>
    <xf numFmtId="1" fontId="7" fillId="3" borderId="510" xfId="6465" applyNumberFormat="1" applyFill="1" applyBorder="1" applyProtection="1">
      <protection hidden="1"/>
    </xf>
    <xf numFmtId="0" fontId="7" fillId="26" borderId="511" xfId="6465" applyFill="1" applyBorder="1" applyAlignment="1" applyProtection="1">
      <alignment horizontal="center" vertical="center" textRotation="90"/>
      <protection hidden="1"/>
    </xf>
    <xf numFmtId="0" fontId="104" fillId="0" borderId="510" xfId="6465" applyFont="1" applyBorder="1" applyProtection="1">
      <protection hidden="1"/>
    </xf>
    <xf numFmtId="0" fontId="110" fillId="0" borderId="53" xfId="16065" applyFont="1" applyBorder="1" applyAlignment="1" applyProtection="1">
      <protection hidden="1"/>
    </xf>
    <xf numFmtId="0" fontId="110" fillId="0" borderId="0" xfId="16065" applyFont="1" applyAlignment="1" applyProtection="1">
      <protection hidden="1"/>
    </xf>
    <xf numFmtId="0" fontId="110" fillId="0" borderId="18" xfId="16065" applyFont="1" applyBorder="1" applyAlignment="1" applyProtection="1">
      <protection hidden="1"/>
    </xf>
    <xf numFmtId="0" fontId="110" fillId="0" borderId="514" xfId="6465" applyFont="1" applyBorder="1" applyAlignment="1" applyProtection="1">
      <alignment horizontal="left"/>
      <protection hidden="1"/>
    </xf>
    <xf numFmtId="0" fontId="7" fillId="0" borderId="30" xfId="17436" applyFont="1" applyBorder="1" applyAlignment="1" applyProtection="1">
      <protection hidden="1"/>
    </xf>
    <xf numFmtId="0" fontId="7" fillId="0" borderId="31" xfId="17436" applyFont="1" applyBorder="1" applyAlignment="1" applyProtection="1">
      <protection hidden="1"/>
    </xf>
    <xf numFmtId="1" fontId="24" fillId="0" borderId="510" xfId="6465" applyNumberFormat="1" applyFont="1" applyBorder="1" applyProtection="1">
      <protection hidden="1"/>
    </xf>
    <xf numFmtId="0" fontId="7" fillId="0" borderId="510" xfId="17436" applyFont="1" applyBorder="1" applyProtection="1">
      <protection hidden="1"/>
    </xf>
    <xf numFmtId="0" fontId="161" fillId="0" borderId="510" xfId="6465" applyFont="1" applyBorder="1" applyProtection="1">
      <protection hidden="1"/>
    </xf>
    <xf numFmtId="0" fontId="7" fillId="3" borderId="96" xfId="6465" applyFill="1" applyBorder="1" applyAlignment="1" applyProtection="1">
      <protection hidden="1"/>
    </xf>
    <xf numFmtId="0" fontId="7" fillId="3" borderId="100" xfId="6465" applyFill="1" applyBorder="1" applyAlignment="1" applyProtection="1">
      <protection hidden="1"/>
    </xf>
    <xf numFmtId="0" fontId="7" fillId="3" borderId="510" xfId="6465" applyFill="1" applyBorder="1" applyAlignment="1" applyProtection="1">
      <alignment horizontal="right"/>
      <protection hidden="1"/>
    </xf>
    <xf numFmtId="0" fontId="7" fillId="0" borderId="0" xfId="6465" applyAlignment="1" applyProtection="1">
      <protection hidden="1"/>
    </xf>
    <xf numFmtId="0" fontId="7" fillId="0" borderId="18" xfId="6465" applyBorder="1" applyAlignment="1" applyProtection="1">
      <protection hidden="1"/>
    </xf>
    <xf numFmtId="0" fontId="7" fillId="0" borderId="510" xfId="6465" applyBorder="1" applyAlignment="1" applyProtection="1">
      <protection hidden="1"/>
    </xf>
    <xf numFmtId="1" fontId="94" fillId="0" borderId="511" xfId="6465" applyNumberFormat="1" applyFont="1" applyBorder="1" applyAlignment="1" applyProtection="1">
      <alignment horizontal="center"/>
      <protection hidden="1"/>
    </xf>
    <xf numFmtId="1" fontId="76" fillId="0" borderId="511" xfId="6465" applyNumberFormat="1" applyFont="1" applyBorder="1" applyAlignment="1" applyProtection="1">
      <alignment horizontal="center"/>
      <protection hidden="1"/>
    </xf>
    <xf numFmtId="0" fontId="61" fillId="0" borderId="510" xfId="16065" applyFont="1" applyBorder="1" applyProtection="1">
      <protection hidden="1"/>
    </xf>
    <xf numFmtId="0" fontId="7" fillId="0" borderId="510" xfId="6465" applyBorder="1" applyAlignment="1" applyProtection="1">
      <alignment horizontal="right"/>
      <protection hidden="1"/>
    </xf>
    <xf numFmtId="1" fontId="63" fillId="0" borderId="510" xfId="6465" applyNumberFormat="1" applyFont="1" applyBorder="1" applyAlignment="1" applyProtection="1">
      <protection hidden="1"/>
    </xf>
    <xf numFmtId="1" fontId="63" fillId="0" borderId="18" xfId="6465" applyNumberFormat="1" applyFont="1" applyBorder="1" applyAlignment="1" applyProtection="1">
      <protection hidden="1"/>
    </xf>
    <xf numFmtId="0" fontId="23" fillId="0" borderId="510" xfId="6465" applyFont="1" applyBorder="1" applyProtection="1">
      <protection hidden="1"/>
    </xf>
    <xf numFmtId="0" fontId="7" fillId="0" borderId="510" xfId="6465" applyBorder="1" applyAlignment="1" applyProtection="1">
      <alignment horizontal="left"/>
      <protection hidden="1"/>
    </xf>
    <xf numFmtId="168" fontId="7" fillId="0" borderId="510" xfId="6465" applyNumberFormat="1" applyBorder="1" applyAlignment="1" applyProtection="1">
      <alignment horizontal="center"/>
      <protection hidden="1"/>
    </xf>
    <xf numFmtId="0" fontId="169" fillId="0" borderId="510" xfId="16065" applyFont="1" applyBorder="1" applyProtection="1">
      <protection hidden="1"/>
    </xf>
    <xf numFmtId="0" fontId="7" fillId="0" borderId="518" xfId="6465" applyBorder="1" applyProtection="1">
      <protection hidden="1"/>
    </xf>
    <xf numFmtId="168" fontId="7" fillId="0" borderId="510" xfId="6465" applyNumberFormat="1" applyBorder="1" applyAlignment="1" applyProtection="1">
      <alignment horizontal="center"/>
      <protection hidden="1"/>
    </xf>
    <xf numFmtId="0" fontId="7" fillId="0" borderId="510" xfId="6465" applyBorder="1" applyAlignment="1" applyProtection="1">
      <alignment horizontal="center"/>
      <protection hidden="1"/>
    </xf>
    <xf numFmtId="0" fontId="17" fillId="4" borderId="350" xfId="6465" applyFont="1" applyFill="1" applyBorder="1" applyAlignment="1" applyProtection="1">
      <protection hidden="1"/>
    </xf>
    <xf numFmtId="0" fontId="17" fillId="4" borderId="351" xfId="6465" applyFont="1" applyFill="1" applyBorder="1" applyAlignment="1" applyProtection="1">
      <protection hidden="1"/>
    </xf>
    <xf numFmtId="0" fontId="7" fillId="4" borderId="510" xfId="6465" applyFill="1" applyBorder="1" applyAlignment="1" applyProtection="1">
      <alignment horizontal="left" wrapText="1"/>
      <protection hidden="1"/>
    </xf>
    <xf numFmtId="0" fontId="94" fillId="0" borderId="510" xfId="6465" applyFont="1" applyBorder="1" applyAlignment="1" applyProtection="1">
      <alignment horizontal="center" vertical="top" wrapText="1"/>
      <protection hidden="1"/>
    </xf>
    <xf numFmtId="0" fontId="76" fillId="0" borderId="510" xfId="6465" applyFont="1" applyBorder="1" applyAlignment="1" applyProtection="1">
      <alignment horizontal="center" vertical="top" wrapText="1"/>
      <protection hidden="1"/>
    </xf>
    <xf numFmtId="0" fontId="0" fillId="0" borderId="510" xfId="17436" applyFont="1" applyBorder="1" applyProtection="1">
      <protection hidden="1"/>
    </xf>
    <xf numFmtId="0" fontId="0" fillId="3" borderId="524" xfId="17414" applyFont="1" applyFill="1" applyBorder="1" applyAlignment="1" applyProtection="1">
      <alignment horizontal="right"/>
      <protection hidden="1"/>
    </xf>
    <xf numFmtId="0" fontId="0" fillId="0" borderId="510" xfId="6465" applyFont="1" applyBorder="1" applyProtection="1">
      <protection hidden="1"/>
    </xf>
    <xf numFmtId="0" fontId="7" fillId="3" borderId="510" xfId="6465" applyFill="1" applyBorder="1" applyAlignment="1" applyProtection="1">
      <alignment horizontal="left" wrapText="1"/>
      <protection hidden="1"/>
    </xf>
    <xf numFmtId="0" fontId="0" fillId="0" borderId="510" xfId="0" applyBorder="1" applyAlignment="1" applyProtection="1">
      <alignment horizontal="left"/>
      <protection hidden="1"/>
    </xf>
    <xf numFmtId="0" fontId="7" fillId="14" borderId="525" xfId="6465" applyFill="1" applyBorder="1" applyProtection="1">
      <protection hidden="1"/>
    </xf>
    <xf numFmtId="0" fontId="7" fillId="14" borderId="510" xfId="6465" applyFill="1" applyBorder="1" applyProtection="1">
      <protection hidden="1"/>
    </xf>
    <xf numFmtId="0" fontId="7" fillId="4" borderId="510" xfId="6465" applyFill="1" applyBorder="1" applyAlignment="1" applyProtection="1">
      <alignment wrapText="1"/>
      <protection hidden="1"/>
    </xf>
    <xf numFmtId="0" fontId="7" fillId="4" borderId="519" xfId="17414" applyFont="1" applyFill="1" applyBorder="1" applyAlignment="1" applyProtection="1">
      <alignment vertical="top" wrapText="1"/>
      <protection hidden="1"/>
    </xf>
    <xf numFmtId="0" fontId="7" fillId="4" borderId="519" xfId="17414" applyFont="1" applyFill="1" applyBorder="1" applyAlignment="1" applyProtection="1">
      <alignment horizontal="left" vertical="top" wrapText="1"/>
      <protection hidden="1"/>
    </xf>
    <xf numFmtId="2" fontId="7" fillId="4" borderId="519" xfId="17414" applyNumberFormat="1" applyFont="1" applyFill="1" applyBorder="1" applyAlignment="1" applyProtection="1">
      <alignment horizontal="left"/>
      <protection hidden="1"/>
    </xf>
    <xf numFmtId="0" fontId="7" fillId="2" borderId="519" xfId="6465" applyFill="1" applyBorder="1" applyAlignment="1" applyProtection="1">
      <alignment horizontal="left" wrapText="1"/>
      <protection hidden="1"/>
    </xf>
    <xf numFmtId="168" fontId="92" fillId="13" borderId="511" xfId="17475" applyNumberFormat="1" applyFont="1" applyFill="1" applyBorder="1" applyAlignment="1" applyProtection="1">
      <alignment horizontal="center"/>
      <protection locked="0"/>
    </xf>
    <xf numFmtId="0" fontId="146" fillId="0" borderId="514" xfId="0" applyFont="1" applyBorder="1" applyAlignment="1" applyProtection="1">
      <alignment horizontal="center"/>
      <protection hidden="1"/>
    </xf>
    <xf numFmtId="2" fontId="7" fillId="4" borderId="511" xfId="17475" applyNumberFormat="1" applyFill="1" applyBorder="1" applyAlignment="1" applyProtection="1">
      <alignment horizontal="center"/>
      <protection hidden="1"/>
    </xf>
    <xf numFmtId="0" fontId="77" fillId="0" borderId="514" xfId="17482" applyFont="1" applyBorder="1" applyAlignment="1" applyProtection="1">
      <alignment horizontal="center"/>
      <protection hidden="1"/>
    </xf>
    <xf numFmtId="0" fontId="7" fillId="4" borderId="511" xfId="6465" applyFill="1" applyBorder="1" applyAlignment="1" applyProtection="1">
      <alignment horizontal="center"/>
      <protection hidden="1"/>
    </xf>
    <xf numFmtId="0" fontId="7" fillId="3" borderId="511" xfId="6465" applyFill="1" applyBorder="1" applyAlignment="1" applyProtection="1">
      <alignment horizontal="center"/>
      <protection hidden="1"/>
    </xf>
    <xf numFmtId="0" fontId="98" fillId="32" borderId="514" xfId="6465" applyFont="1" applyFill="1" applyBorder="1" applyAlignment="1" applyProtection="1">
      <alignment horizontal="center"/>
      <protection locked="0"/>
    </xf>
    <xf numFmtId="0" fontId="147" fillId="0" borderId="510" xfId="17414" applyFont="1" applyBorder="1" applyAlignment="1" applyProtection="1">
      <alignment horizontal="center" vertical="center" wrapText="1"/>
      <protection hidden="1"/>
    </xf>
    <xf numFmtId="0" fontId="7" fillId="3" borderId="510" xfId="17414" applyFont="1" applyFill="1" applyBorder="1" applyAlignment="1" applyProtection="1">
      <alignment horizontal="left"/>
      <protection hidden="1"/>
    </xf>
    <xf numFmtId="168" fontId="43" fillId="3" borderId="510" xfId="17414" applyNumberFormat="1" applyFont="1" applyFill="1" applyBorder="1" applyAlignment="1" applyProtection="1">
      <alignment horizontal="center"/>
      <protection hidden="1"/>
    </xf>
    <xf numFmtId="168" fontId="43" fillId="3" borderId="514" xfId="17414" applyNumberFormat="1" applyFont="1" applyFill="1" applyBorder="1" applyAlignment="1" applyProtection="1">
      <alignment horizontal="center"/>
      <protection hidden="1"/>
    </xf>
    <xf numFmtId="0" fontId="148" fillId="32" borderId="514" xfId="6465" applyFont="1" applyFill="1" applyBorder="1" applyAlignment="1" applyProtection="1">
      <alignment horizontal="center"/>
      <protection locked="0"/>
    </xf>
    <xf numFmtId="0" fontId="23" fillId="0" borderId="30" xfId="17474" applyFont="1" applyBorder="1" applyAlignment="1" applyProtection="1">
      <protection hidden="1"/>
    </xf>
    <xf numFmtId="0" fontId="23" fillId="0" borderId="31" xfId="17474" applyFont="1" applyBorder="1" applyAlignment="1" applyProtection="1">
      <protection hidden="1"/>
    </xf>
    <xf numFmtId="0" fontId="7" fillId="3" borderId="510" xfId="17414" applyFont="1" applyFill="1" applyBorder="1" applyProtection="1">
      <protection hidden="1"/>
    </xf>
    <xf numFmtId="168" fontId="99" fillId="3" borderId="510" xfId="17414" applyNumberFormat="1" applyFont="1" applyFill="1" applyBorder="1" applyAlignment="1" applyProtection="1">
      <alignment horizontal="center"/>
      <protection hidden="1"/>
    </xf>
    <xf numFmtId="168" fontId="99" fillId="3" borderId="514" xfId="17414" applyNumberFormat="1" applyFont="1" applyFill="1" applyBorder="1" applyAlignment="1" applyProtection="1">
      <alignment horizontal="center"/>
      <protection hidden="1"/>
    </xf>
    <xf numFmtId="1" fontId="23" fillId="0" borderId="510" xfId="15827" applyNumberFormat="1" applyFont="1" applyBorder="1" applyAlignment="1" applyProtection="1">
      <protection hidden="1"/>
    </xf>
    <xf numFmtId="1" fontId="23" fillId="0" borderId="18" xfId="15827" applyNumberFormat="1" applyFont="1" applyBorder="1" applyAlignment="1" applyProtection="1">
      <protection hidden="1"/>
    </xf>
    <xf numFmtId="1" fontId="17" fillId="3" borderId="510" xfId="6465" applyNumberFormat="1" applyFont="1" applyFill="1" applyBorder="1" applyAlignment="1" applyProtection="1">
      <alignment horizontal="left"/>
      <protection hidden="1"/>
    </xf>
    <xf numFmtId="0" fontId="23" fillId="0" borderId="510" xfId="15827" applyFont="1" applyBorder="1" applyAlignment="1" applyProtection="1">
      <protection hidden="1"/>
    </xf>
    <xf numFmtId="0" fontId="23" fillId="0" borderId="18" xfId="15827" applyFont="1" applyBorder="1" applyAlignment="1" applyProtection="1">
      <protection hidden="1"/>
    </xf>
    <xf numFmtId="168" fontId="7" fillId="3" borderId="510" xfId="6465" applyNumberFormat="1" applyFill="1" applyBorder="1" applyAlignment="1" applyProtection="1">
      <alignment horizontal="left"/>
      <protection hidden="1"/>
    </xf>
    <xf numFmtId="168" fontId="7" fillId="3" borderId="510" xfId="17414" applyNumberFormat="1" applyFont="1" applyFill="1" applyBorder="1" applyAlignment="1" applyProtection="1">
      <alignment horizontal="center" vertical="center"/>
      <protection hidden="1"/>
    </xf>
    <xf numFmtId="168" fontId="7" fillId="3" borderId="514" xfId="17414" applyNumberFormat="1" applyFont="1" applyFill="1" applyBorder="1" applyAlignment="1" applyProtection="1">
      <alignment horizontal="center" vertical="center"/>
      <protection hidden="1"/>
    </xf>
    <xf numFmtId="0" fontId="25" fillId="0" borderId="514" xfId="69" applyFont="1" applyBorder="1" applyProtection="1">
      <alignment vertical="top"/>
      <protection hidden="1"/>
    </xf>
    <xf numFmtId="168" fontId="23" fillId="0" borderId="514" xfId="15827" applyNumberFormat="1" applyFont="1" applyBorder="1" applyAlignment="1" applyProtection="1">
      <alignment horizontal="center"/>
      <protection hidden="1"/>
    </xf>
    <xf numFmtId="168" fontId="23" fillId="0" borderId="510" xfId="15827" applyNumberFormat="1" applyFont="1" applyBorder="1" applyAlignment="1" applyProtection="1">
      <alignment horizontal="center"/>
      <protection hidden="1"/>
    </xf>
    <xf numFmtId="168" fontId="7" fillId="3" borderId="510" xfId="6465" applyNumberFormat="1" applyFill="1" applyBorder="1" applyAlignment="1" applyProtection="1">
      <alignment horizontal="center" vertical="center"/>
      <protection hidden="1"/>
    </xf>
    <xf numFmtId="168" fontId="7" fillId="3" borderId="514" xfId="6465" applyNumberFormat="1" applyFill="1" applyBorder="1" applyAlignment="1" applyProtection="1">
      <alignment horizontal="center" vertical="center"/>
      <protection hidden="1"/>
    </xf>
    <xf numFmtId="0" fontId="5" fillId="14" borderId="510" xfId="17414" applyFont="1" applyFill="1" applyBorder="1" applyAlignment="1" applyProtection="1">
      <alignment horizontal="left"/>
      <protection hidden="1"/>
    </xf>
    <xf numFmtId="1" fontId="121" fillId="14" borderId="514" xfId="17414" applyNumberFormat="1" applyFont="1" applyFill="1" applyBorder="1" applyAlignment="1" applyProtection="1">
      <alignment horizontal="center"/>
      <protection hidden="1"/>
    </xf>
    <xf numFmtId="1" fontId="121" fillId="3" borderId="514" xfId="17414" applyNumberFormat="1" applyFont="1" applyFill="1" applyBorder="1" applyAlignment="1" applyProtection="1">
      <alignment horizontal="center"/>
      <protection hidden="1"/>
    </xf>
    <xf numFmtId="0" fontId="63" fillId="0" borderId="510" xfId="6465" applyFont="1" applyBorder="1" applyAlignment="1" applyProtection="1">
      <protection hidden="1"/>
    </xf>
    <xf numFmtId="0" fontId="63" fillId="0" borderId="18" xfId="6465" applyFont="1" applyBorder="1" applyAlignment="1" applyProtection="1">
      <protection hidden="1"/>
    </xf>
    <xf numFmtId="168" fontId="63" fillId="0" borderId="514" xfId="15827" applyNumberFormat="1" applyFont="1" applyBorder="1" applyAlignment="1" applyProtection="1">
      <alignment horizontal="center"/>
      <protection hidden="1"/>
    </xf>
    <xf numFmtId="168" fontId="63" fillId="0" borderId="510" xfId="15827" applyNumberFormat="1" applyFont="1" applyBorder="1" applyAlignment="1" applyProtection="1">
      <alignment horizontal="center"/>
      <protection hidden="1"/>
    </xf>
    <xf numFmtId="168" fontId="7" fillId="3" borderId="511" xfId="17414" applyNumberFormat="1" applyFont="1" applyFill="1" applyBorder="1" applyAlignment="1" applyProtection="1">
      <alignment horizontal="center" vertical="center"/>
      <protection hidden="1"/>
    </xf>
    <xf numFmtId="1" fontId="104" fillId="3" borderId="511" xfId="17414" applyNumberFormat="1" applyFont="1" applyFill="1" applyBorder="1" applyAlignment="1" applyProtection="1">
      <alignment horizontal="center"/>
      <protection hidden="1"/>
    </xf>
    <xf numFmtId="0" fontId="23" fillId="0" borderId="27" xfId="15827" applyFont="1" applyBorder="1" applyAlignment="1" applyProtection="1">
      <protection hidden="1"/>
    </xf>
    <xf numFmtId="0" fontId="23" fillId="0" borderId="28" xfId="15827" applyFont="1" applyBorder="1" applyAlignment="1" applyProtection="1">
      <protection hidden="1"/>
    </xf>
    <xf numFmtId="168" fontId="23" fillId="0" borderId="511" xfId="15827" applyNumberFormat="1" applyFont="1" applyBorder="1" applyAlignment="1" applyProtection="1">
      <alignment horizontal="center"/>
      <protection hidden="1"/>
    </xf>
    <xf numFmtId="0" fontId="23" fillId="0" borderId="350" xfId="15827" applyFont="1" applyBorder="1" applyAlignment="1" applyProtection="1">
      <protection hidden="1"/>
    </xf>
    <xf numFmtId="0" fontId="23" fillId="0" borderId="352" xfId="15827" applyFont="1" applyBorder="1" applyAlignment="1" applyProtection="1">
      <protection hidden="1"/>
    </xf>
    <xf numFmtId="0" fontId="0" fillId="0" borderId="510" xfId="17414" applyFont="1" applyBorder="1" applyProtection="1">
      <protection hidden="1"/>
    </xf>
    <xf numFmtId="0" fontId="7" fillId="0" borderId="510" xfId="17414" applyFont="1" applyBorder="1" applyAlignment="1" applyProtection="1">
      <alignment horizontal="center"/>
      <protection hidden="1"/>
    </xf>
    <xf numFmtId="1" fontId="7" fillId="0" borderId="510" xfId="17414" applyNumberFormat="1" applyFont="1" applyBorder="1" applyAlignment="1" applyProtection="1">
      <alignment horizontal="center"/>
      <protection hidden="1"/>
    </xf>
    <xf numFmtId="0" fontId="160" fillId="0" borderId="510" xfId="17414" applyFont="1" applyBorder="1" applyAlignment="1" applyProtection="1">
      <alignment horizontal="center"/>
      <protection hidden="1"/>
    </xf>
    <xf numFmtId="0" fontId="151" fillId="0" borderId="514" xfId="17414" applyFont="1" applyBorder="1" applyAlignment="1">
      <alignment horizontal="left"/>
    </xf>
    <xf numFmtId="1" fontId="7" fillId="0" borderId="510" xfId="17414" applyNumberFormat="1" applyFont="1" applyBorder="1" applyProtection="1">
      <protection hidden="1"/>
    </xf>
    <xf numFmtId="166" fontId="160" fillId="0" borderId="526" xfId="6465" applyNumberFormat="1" applyFont="1" applyBorder="1" applyAlignment="1" applyProtection="1">
      <alignment horizontal="left"/>
      <protection hidden="1"/>
    </xf>
    <xf numFmtId="0" fontId="150" fillId="19" borderId="407" xfId="17414" applyFont="1" applyFill="1" applyBorder="1" applyAlignment="1" applyProtection="1">
      <alignment horizontal="center" vertical="center" textRotation="90" wrapText="1"/>
      <protection hidden="1"/>
    </xf>
    <xf numFmtId="0" fontId="94" fillId="0" borderId="514" xfId="17414" applyFont="1" applyBorder="1" applyAlignment="1">
      <alignment horizontal="left"/>
    </xf>
    <xf numFmtId="0" fontId="154" fillId="0" borderId="514" xfId="17414" applyFont="1" applyBorder="1" applyAlignment="1">
      <alignment horizontal="left"/>
    </xf>
    <xf numFmtId="1" fontId="7" fillId="35" borderId="510" xfId="17414" applyNumberFormat="1" applyFont="1" applyFill="1" applyBorder="1" applyProtection="1">
      <protection hidden="1"/>
    </xf>
    <xf numFmtId="0" fontId="150" fillId="26" borderId="514" xfId="17414" applyFont="1" applyFill="1" applyBorder="1" applyAlignment="1" applyProtection="1">
      <alignment horizontal="center" vertical="center" textRotation="90"/>
      <protection hidden="1"/>
    </xf>
    <xf numFmtId="0" fontId="108" fillId="0" borderId="514" xfId="17414" applyFont="1" applyBorder="1" applyAlignment="1">
      <alignment horizontal="left"/>
    </xf>
    <xf numFmtId="1" fontId="7" fillId="3" borderId="510" xfId="17414" applyNumberFormat="1" applyFont="1" applyFill="1" applyBorder="1" applyProtection="1">
      <protection hidden="1"/>
    </xf>
    <xf numFmtId="166" fontId="160" fillId="0" borderId="510" xfId="6465" applyNumberFormat="1" applyFont="1" applyBorder="1" applyAlignment="1" applyProtection="1">
      <alignment horizontal="left"/>
      <protection hidden="1"/>
    </xf>
    <xf numFmtId="0" fontId="150" fillId="26" borderId="511" xfId="17414" applyFont="1" applyFill="1" applyBorder="1" applyAlignment="1" applyProtection="1">
      <alignment horizontal="center" vertical="center" textRotation="90"/>
      <protection hidden="1"/>
    </xf>
    <xf numFmtId="0" fontId="161" fillId="0" borderId="510" xfId="17414" applyFont="1" applyBorder="1" applyProtection="1">
      <protection hidden="1"/>
    </xf>
    <xf numFmtId="0" fontId="163" fillId="0" borderId="510" xfId="17414" applyFont="1" applyBorder="1" applyProtection="1">
      <protection hidden="1"/>
    </xf>
    <xf numFmtId="0" fontId="75" fillId="14" borderId="350" xfId="17474" applyFont="1" applyFill="1" applyBorder="1" applyAlignment="1" applyProtection="1">
      <protection hidden="1"/>
    </xf>
    <xf numFmtId="0" fontId="75" fillId="14" borderId="351" xfId="17474" applyFont="1" applyFill="1" applyBorder="1" applyAlignment="1" applyProtection="1">
      <protection hidden="1"/>
    </xf>
    <xf numFmtId="0" fontId="75" fillId="14" borderId="352" xfId="17474" applyFont="1" applyFill="1" applyBorder="1" applyAlignment="1" applyProtection="1">
      <protection hidden="1"/>
    </xf>
    <xf numFmtId="0" fontId="305" fillId="0" borderId="423" xfId="4660" applyBorder="1" applyAlignment="1" applyProtection="1">
      <protection hidden="1"/>
    </xf>
    <xf numFmtId="168" fontId="121" fillId="3" borderId="514" xfId="17414" applyNumberFormat="1" applyFont="1" applyFill="1" applyBorder="1" applyAlignment="1" applyProtection="1">
      <alignment horizontal="center"/>
      <protection hidden="1"/>
    </xf>
    <xf numFmtId="0" fontId="61" fillId="0" borderId="514" xfId="17414" applyFont="1" applyBorder="1" applyAlignment="1" applyProtection="1">
      <alignment horizontal="center" textRotation="90"/>
      <protection hidden="1"/>
    </xf>
    <xf numFmtId="168" fontId="121" fillId="36" borderId="514" xfId="17414" applyNumberFormat="1" applyFont="1" applyFill="1" applyBorder="1" applyAlignment="1" applyProtection="1">
      <alignment horizontal="center"/>
      <protection hidden="1"/>
    </xf>
    <xf numFmtId="1" fontId="23" fillId="0" borderId="510" xfId="15827" applyNumberFormat="1" applyFont="1" applyBorder="1" applyAlignment="1" applyProtection="1">
      <alignment horizontal="left"/>
      <protection hidden="1"/>
    </xf>
    <xf numFmtId="1" fontId="7" fillId="3" borderId="514" xfId="17414" applyNumberFormat="1" applyFont="1" applyFill="1" applyBorder="1" applyAlignment="1" applyProtection="1">
      <alignment horizontal="center"/>
      <protection hidden="1"/>
    </xf>
    <xf numFmtId="168" fontId="167" fillId="3" borderId="514" xfId="17414" applyNumberFormat="1" applyFont="1" applyFill="1" applyBorder="1" applyAlignment="1" applyProtection="1">
      <alignment horizontal="center"/>
      <protection hidden="1"/>
    </xf>
    <xf numFmtId="168" fontId="23" fillId="0" borderId="510" xfId="15827" applyNumberFormat="1" applyFont="1" applyBorder="1" applyAlignment="1" applyProtection="1">
      <alignment horizontal="center"/>
      <protection hidden="1"/>
    </xf>
    <xf numFmtId="1" fontId="23" fillId="3" borderId="514" xfId="17414" applyNumberFormat="1" applyFont="1" applyFill="1" applyBorder="1" applyAlignment="1" applyProtection="1">
      <alignment horizontal="center"/>
      <protection hidden="1"/>
    </xf>
    <xf numFmtId="0" fontId="23" fillId="0" borderId="510" xfId="15827" applyFont="1" applyBorder="1" applyAlignment="1" applyProtection="1">
      <alignment horizontal="left" wrapText="1"/>
      <protection hidden="1"/>
    </xf>
    <xf numFmtId="0" fontId="61" fillId="0" borderId="510" xfId="6465" applyFont="1" applyBorder="1" applyAlignment="1" applyProtection="1">
      <alignment horizontal="left"/>
      <protection hidden="1"/>
    </xf>
    <xf numFmtId="168" fontId="61" fillId="0" borderId="514" xfId="15827" applyNumberFormat="1" applyFont="1" applyBorder="1" applyAlignment="1" applyProtection="1">
      <alignment horizontal="center"/>
      <protection hidden="1"/>
    </xf>
    <xf numFmtId="168" fontId="61" fillId="0" borderId="510" xfId="15827" applyNumberFormat="1" applyFont="1" applyBorder="1" applyAlignment="1" applyProtection="1">
      <alignment horizontal="center"/>
      <protection hidden="1"/>
    </xf>
    <xf numFmtId="168" fontId="23" fillId="3" borderId="514" xfId="17414" applyNumberFormat="1" applyFont="1" applyFill="1" applyBorder="1" applyAlignment="1" applyProtection="1">
      <alignment horizontal="center"/>
      <protection hidden="1"/>
    </xf>
    <xf numFmtId="0" fontId="23" fillId="0" borderId="510" xfId="15827" applyFont="1" applyBorder="1" applyAlignment="1" applyProtection="1">
      <alignment horizontal="left"/>
      <protection hidden="1"/>
    </xf>
    <xf numFmtId="168" fontId="7" fillId="3" borderId="514" xfId="6465" applyNumberFormat="1" applyFill="1" applyBorder="1" applyAlignment="1" applyProtection="1">
      <alignment horizontal="center"/>
      <protection hidden="1"/>
    </xf>
    <xf numFmtId="1" fontId="75" fillId="3" borderId="511" xfId="17414" applyNumberFormat="1" applyFont="1" applyFill="1" applyBorder="1" applyAlignment="1" applyProtection="1">
      <alignment horizontal="center"/>
      <protection hidden="1"/>
    </xf>
    <xf numFmtId="0" fontId="61" fillId="0" borderId="511" xfId="17414" applyFont="1" applyBorder="1" applyAlignment="1" applyProtection="1">
      <alignment horizontal="center" textRotation="90"/>
      <protection hidden="1"/>
    </xf>
    <xf numFmtId="168" fontId="0" fillId="3" borderId="352" xfId="0" applyNumberFormat="1" applyFill="1" applyBorder="1" applyAlignment="1" applyProtection="1">
      <protection hidden="1"/>
    </xf>
    <xf numFmtId="168" fontId="7" fillId="3" borderId="511" xfId="17414" applyNumberFormat="1" applyFont="1" applyFill="1" applyBorder="1" applyAlignment="1" applyProtection="1">
      <alignment horizontal="center"/>
      <protection hidden="1"/>
    </xf>
    <xf numFmtId="0" fontId="43" fillId="3" borderId="514" xfId="17414" applyFont="1" applyFill="1" applyBorder="1" applyAlignment="1" applyProtection="1">
      <alignment horizontal="center"/>
      <protection hidden="1"/>
    </xf>
    <xf numFmtId="0" fontId="61" fillId="3" borderId="511" xfId="17414" applyFont="1" applyFill="1" applyBorder="1" applyAlignment="1" applyProtection="1">
      <alignment horizontal="center"/>
      <protection hidden="1"/>
    </xf>
    <xf numFmtId="0" fontId="7" fillId="19" borderId="514" xfId="17414" applyFont="1" applyFill="1" applyBorder="1" applyAlignment="1" applyProtection="1">
      <alignment horizontal="center" vertical="center" textRotation="90" wrapText="1"/>
      <protection hidden="1"/>
    </xf>
    <xf numFmtId="0" fontId="7" fillId="26" borderId="514" xfId="17414" applyFont="1" applyFill="1" applyBorder="1" applyAlignment="1" applyProtection="1">
      <alignment horizontal="center" vertical="center" textRotation="90"/>
      <protection hidden="1"/>
    </xf>
    <xf numFmtId="0" fontId="7" fillId="26" borderId="511" xfId="17414" applyFont="1" applyFill="1" applyBorder="1" applyAlignment="1" applyProtection="1">
      <alignment horizontal="center" vertical="center" textRotation="90"/>
      <protection hidden="1"/>
    </xf>
    <xf numFmtId="1" fontId="23" fillId="0" borderId="510" xfId="6465" applyNumberFormat="1" applyFont="1" applyBorder="1" applyAlignment="1" applyProtection="1">
      <alignment horizontal="center"/>
      <protection hidden="1"/>
    </xf>
    <xf numFmtId="0" fontId="104" fillId="0" borderId="514" xfId="17414" applyFont="1" applyBorder="1" applyProtection="1">
      <protection hidden="1"/>
    </xf>
    <xf numFmtId="0" fontId="25" fillId="0" borderId="514" xfId="69" applyFont="1" applyBorder="1" applyAlignment="1" applyProtection="1">
      <alignment vertical="center"/>
    </xf>
    <xf numFmtId="0" fontId="96" fillId="7" borderId="511" xfId="17414" applyFont="1" applyFill="1" applyBorder="1" applyAlignment="1" applyProtection="1">
      <alignment horizontal="left" wrapText="1"/>
      <protection hidden="1"/>
    </xf>
    <xf numFmtId="0" fontId="166" fillId="3" borderId="510" xfId="17414" applyFont="1" applyFill="1" applyBorder="1" applyAlignment="1" applyProtection="1">
      <alignment horizontal="center" vertical="center" wrapText="1"/>
      <protection hidden="1"/>
    </xf>
    <xf numFmtId="0" fontId="7" fillId="5" borderId="511" xfId="6465" applyFill="1" applyBorder="1" applyAlignment="1" applyProtection="1">
      <alignment horizontal="center"/>
      <protection locked="0"/>
    </xf>
    <xf numFmtId="168" fontId="98" fillId="32" borderId="514" xfId="6465" applyNumberFormat="1" applyFont="1" applyFill="1" applyBorder="1" applyAlignment="1" applyProtection="1">
      <alignment horizontal="center" vertical="center"/>
      <protection locked="0"/>
    </xf>
    <xf numFmtId="168" fontId="43" fillId="3" borderId="510" xfId="17414" applyNumberFormat="1" applyFont="1" applyFill="1" applyBorder="1" applyAlignment="1" applyProtection="1">
      <alignment horizontal="center" vertical="center"/>
      <protection hidden="1"/>
    </xf>
    <xf numFmtId="168" fontId="130" fillId="3" borderId="527" xfId="17414" applyNumberFormat="1" applyFont="1" applyFill="1" applyBorder="1" applyAlignment="1" applyProtection="1">
      <alignment horizontal="center" vertical="center"/>
      <protection hidden="1"/>
    </xf>
    <xf numFmtId="168" fontId="99" fillId="3" borderId="510" xfId="17414" applyNumberFormat="1" applyFont="1" applyFill="1" applyBorder="1" applyAlignment="1" applyProtection="1">
      <alignment horizontal="center" vertical="center"/>
      <protection hidden="1"/>
    </xf>
    <xf numFmtId="0" fontId="63" fillId="0" borderId="510" xfId="6465" applyFont="1" applyBorder="1" applyAlignment="1" applyProtection="1">
      <alignment horizontal="left"/>
      <protection hidden="1"/>
    </xf>
    <xf numFmtId="168" fontId="7" fillId="3" borderId="514" xfId="17414" applyNumberFormat="1" applyFont="1" applyFill="1" applyBorder="1" applyAlignment="1" applyProtection="1">
      <alignment horizontal="center"/>
      <protection hidden="1"/>
    </xf>
    <xf numFmtId="0" fontId="187" fillId="0" borderId="514" xfId="69" applyFont="1" applyBorder="1" applyAlignment="1" applyProtection="1">
      <protection hidden="1"/>
    </xf>
    <xf numFmtId="0" fontId="7" fillId="14" borderId="510" xfId="17414" applyFont="1" applyFill="1" applyBorder="1" applyAlignment="1" applyProtection="1">
      <alignment horizontal="left"/>
      <protection hidden="1"/>
    </xf>
    <xf numFmtId="1" fontId="123" fillId="3" borderId="527" xfId="17414" applyNumberFormat="1" applyFont="1" applyFill="1" applyBorder="1" applyAlignment="1" applyProtection="1">
      <alignment horizontal="center"/>
      <protection hidden="1"/>
    </xf>
    <xf numFmtId="0" fontId="104" fillId="14" borderId="510" xfId="17414" applyFont="1" applyFill="1" applyBorder="1" applyAlignment="1" applyProtection="1">
      <alignment horizontal="right"/>
      <protection hidden="1"/>
    </xf>
    <xf numFmtId="1" fontId="154" fillId="15" borderId="511" xfId="17414" applyNumberFormat="1" applyFont="1" applyFill="1" applyBorder="1" applyAlignment="1" applyProtection="1">
      <alignment horizontal="center"/>
      <protection hidden="1"/>
    </xf>
    <xf numFmtId="1" fontId="94" fillId="3" borderId="528" xfId="17414" applyNumberFormat="1" applyFont="1" applyFill="1" applyBorder="1" applyAlignment="1" applyProtection="1">
      <alignment horizontal="center"/>
      <protection hidden="1"/>
    </xf>
    <xf numFmtId="0" fontId="175" fillId="3" borderId="523" xfId="17414" applyFont="1" applyFill="1" applyBorder="1" applyProtection="1">
      <protection hidden="1"/>
    </xf>
    <xf numFmtId="0" fontId="61" fillId="14" borderId="511" xfId="17414" applyFont="1" applyFill="1" applyBorder="1" applyAlignment="1" applyProtection="1">
      <alignment horizontal="center"/>
      <protection hidden="1"/>
    </xf>
    <xf numFmtId="0" fontId="61" fillId="0" borderId="510" xfId="17414" applyFont="1" applyBorder="1" applyAlignment="1" applyProtection="1">
      <alignment horizontal="center"/>
      <protection hidden="1"/>
    </xf>
    <xf numFmtId="0" fontId="5" fillId="24" borderId="514" xfId="17414" applyFont="1" applyFill="1" applyBorder="1" applyAlignment="1" applyProtection="1">
      <alignment horizontal="center" vertical="center" textRotation="90" wrapText="1"/>
      <protection hidden="1"/>
    </xf>
    <xf numFmtId="0" fontId="177" fillId="2" borderId="510" xfId="6465" applyFont="1" applyFill="1" applyBorder="1" applyAlignment="1" applyProtection="1">
      <alignment horizontal="center" wrapText="1"/>
      <protection hidden="1"/>
    </xf>
    <xf numFmtId="0" fontId="65" fillId="17" borderId="30" xfId="17436" applyFont="1" applyFill="1" applyBorder="1" applyAlignment="1"/>
    <xf numFmtId="0" fontId="71" fillId="0" borderId="30" xfId="6465" applyFont="1" applyBorder="1" applyAlignment="1" applyProtection="1">
      <protection hidden="1"/>
    </xf>
    <xf numFmtId="0" fontId="7" fillId="0" borderId="514" xfId="6465" applyBorder="1" applyAlignment="1" applyProtection="1">
      <alignment vertical="center" wrapText="1"/>
      <protection hidden="1"/>
    </xf>
    <xf numFmtId="0" fontId="26" fillId="0" borderId="510" xfId="6465" applyFont="1" applyBorder="1" applyProtection="1">
      <protection hidden="1"/>
    </xf>
    <xf numFmtId="0" fontId="7" fillId="4" borderId="514" xfId="17488" applyFill="1" applyBorder="1" applyAlignment="1" applyProtection="1">
      <alignment horizontal="center" vertical="center"/>
      <protection hidden="1"/>
    </xf>
    <xf numFmtId="0" fontId="78" fillId="4" borderId="514" xfId="17488" applyFont="1" applyFill="1" applyBorder="1" applyAlignment="1" applyProtection="1">
      <alignment horizontal="center" vertical="center" wrapText="1"/>
      <protection hidden="1"/>
    </xf>
    <xf numFmtId="49" fontId="80" fillId="4" borderId="514" xfId="6465" applyNumberFormat="1" applyFont="1" applyFill="1" applyBorder="1" applyAlignment="1" applyProtection="1">
      <alignment horizontal="center" vertical="center" wrapText="1"/>
      <protection hidden="1"/>
    </xf>
    <xf numFmtId="1" fontId="78" fillId="4" borderId="514" xfId="6465" applyNumberFormat="1" applyFont="1" applyFill="1" applyBorder="1" applyAlignment="1" applyProtection="1">
      <alignment horizontal="center" vertical="center" wrapText="1"/>
      <protection hidden="1"/>
    </xf>
    <xf numFmtId="1" fontId="83" fillId="4" borderId="514" xfId="6465" applyNumberFormat="1" applyFont="1" applyFill="1" applyBorder="1" applyAlignment="1" applyProtection="1">
      <alignment horizontal="center" vertical="center" wrapText="1"/>
      <protection hidden="1"/>
    </xf>
    <xf numFmtId="0" fontId="7" fillId="4" borderId="511" xfId="17488" applyFill="1" applyBorder="1" applyAlignment="1">
      <alignment horizontal="center" vertical="center"/>
    </xf>
    <xf numFmtId="0" fontId="78" fillId="4" borderId="511" xfId="17488" applyFont="1" applyFill="1" applyBorder="1" applyAlignment="1">
      <alignment horizontal="center" vertical="center"/>
    </xf>
    <xf numFmtId="172" fontId="79" fillId="4" borderId="511" xfId="6465" applyNumberFormat="1" applyFont="1" applyFill="1" applyBorder="1" applyAlignment="1">
      <alignment horizontal="center" vertical="center" wrapText="1"/>
    </xf>
    <xf numFmtId="49" fontId="80" fillId="4" borderId="511" xfId="6465" applyNumberFormat="1" applyFont="1" applyFill="1" applyBorder="1" applyAlignment="1">
      <alignment horizontal="center" vertical="center" wrapText="1"/>
    </xf>
    <xf numFmtId="1" fontId="78" fillId="4" borderId="511" xfId="6465" applyNumberFormat="1" applyFont="1" applyFill="1" applyBorder="1" applyAlignment="1">
      <alignment horizontal="center" vertical="center" wrapText="1"/>
    </xf>
    <xf numFmtId="1" fontId="83" fillId="4" borderId="511" xfId="6465" applyNumberFormat="1" applyFont="1" applyFill="1" applyBorder="1" applyAlignment="1">
      <alignment horizontal="center" vertical="center" wrapText="1"/>
    </xf>
    <xf numFmtId="0" fontId="12" fillId="0" borderId="510" xfId="6465" applyFont="1" applyBorder="1" applyProtection="1">
      <protection hidden="1"/>
    </xf>
    <xf numFmtId="0" fontId="66" fillId="0" borderId="510" xfId="6465" applyFont="1" applyBorder="1" applyAlignment="1" applyProtection="1">
      <protection hidden="1"/>
    </xf>
    <xf numFmtId="0" fontId="7" fillId="0" borderId="511" xfId="6465" applyBorder="1" applyProtection="1">
      <protection locked="0"/>
    </xf>
    <xf numFmtId="0" fontId="7" fillId="4" borderId="511" xfId="6465" applyFill="1" applyBorder="1" applyAlignment="1" applyProtection="1">
      <alignment horizontal="left" wrapText="1"/>
      <protection locked="0"/>
    </xf>
    <xf numFmtId="0" fontId="7" fillId="0" borderId="511" xfId="17436" applyFont="1" applyBorder="1" applyAlignment="1" applyProtection="1">
      <alignment horizontal="center"/>
      <protection locked="0"/>
    </xf>
    <xf numFmtId="0" fontId="81" fillId="0" borderId="511" xfId="17436" applyFont="1" applyBorder="1" applyAlignment="1" applyProtection="1">
      <alignment horizontal="center"/>
      <protection locked="0"/>
    </xf>
    <xf numFmtId="1" fontId="7" fillId="0" borderId="511" xfId="6465" applyNumberFormat="1" applyBorder="1" applyAlignment="1" applyProtection="1">
      <alignment horizontal="center"/>
      <protection locked="0"/>
    </xf>
    <xf numFmtId="0" fontId="75" fillId="0" borderId="511" xfId="6465" applyFont="1" applyBorder="1" applyAlignment="1" applyProtection="1">
      <alignment horizontal="center"/>
      <protection locked="0"/>
    </xf>
    <xf numFmtId="0" fontId="0" fillId="0" borderId="510" xfId="6465" applyFont="1" applyBorder="1"/>
    <xf numFmtId="0" fontId="73" fillId="0" borderId="0" xfId="6465" applyFont="1" applyAlignment="1" applyProtection="1">
      <protection hidden="1"/>
    </xf>
    <xf numFmtId="0" fontId="0" fillId="0" borderId="510" xfId="17436" applyFont="1" applyBorder="1"/>
    <xf numFmtId="0" fontId="7" fillId="0" borderId="514" xfId="17436" applyFont="1" applyBorder="1" applyAlignment="1" applyProtection="1">
      <alignment vertical="top" wrapText="1"/>
      <protection hidden="1"/>
    </xf>
    <xf numFmtId="0" fontId="0" fillId="0" borderId="510" xfId="6465" applyFont="1" applyBorder="1" applyAlignment="1" applyProtection="1">
      <alignment horizontal="left" vertical="top" wrapText="1"/>
      <protection hidden="1"/>
    </xf>
    <xf numFmtId="0" fontId="0" fillId="0" borderId="510" xfId="17436" applyFont="1" applyBorder="1" applyAlignment="1" applyProtection="1">
      <alignment horizontal="left"/>
      <protection hidden="1"/>
    </xf>
    <xf numFmtId="0" fontId="63" fillId="0" borderId="510" xfId="17436" applyFont="1" applyBorder="1" applyProtection="1">
      <protection hidden="1"/>
    </xf>
    <xf numFmtId="0" fontId="67" fillId="0" borderId="510" xfId="6465" applyFont="1" applyBorder="1" applyAlignment="1" applyProtection="1">
      <protection hidden="1"/>
    </xf>
    <xf numFmtId="0" fontId="0" fillId="0" borderId="510" xfId="6465" applyFont="1" applyBorder="1" applyAlignment="1" applyProtection="1">
      <protection hidden="1"/>
    </xf>
    <xf numFmtId="0" fontId="5" fillId="19" borderId="510" xfId="17436" applyFont="1" applyFill="1" applyBorder="1" applyAlignment="1" applyProtection="1">
      <alignment horizontal="center" vertical="center" textRotation="90"/>
      <protection hidden="1"/>
    </xf>
    <xf numFmtId="0" fontId="7" fillId="19" borderId="510" xfId="17436" applyFont="1" applyFill="1" applyBorder="1" applyAlignment="1" applyProtection="1">
      <alignment horizontal="center" vertical="center" textRotation="90"/>
      <protection hidden="1"/>
    </xf>
    <xf numFmtId="0" fontId="5" fillId="24" borderId="510" xfId="6465" applyFont="1" applyFill="1" applyBorder="1" applyAlignment="1">
      <alignment horizontal="left" vertical="center" textRotation="90"/>
    </xf>
    <xf numFmtId="0" fontId="5" fillId="25" borderId="510" xfId="17436" applyFont="1" applyFill="1" applyBorder="1" applyAlignment="1">
      <alignment horizontal="left" vertical="center" textRotation="90"/>
    </xf>
    <xf numFmtId="0" fontId="12" fillId="26" borderId="510" xfId="17436" applyFont="1" applyFill="1" applyBorder="1" applyAlignment="1">
      <alignment horizontal="left" vertical="center" textRotation="90"/>
    </xf>
    <xf numFmtId="0" fontId="55" fillId="4" borderId="0" xfId="17436" applyFont="1" applyFill="1" applyAlignment="1"/>
    <xf numFmtId="0" fontId="7" fillId="25" borderId="510" xfId="17436" applyFont="1" applyFill="1" applyBorder="1" applyAlignment="1" applyProtection="1">
      <alignment horizontal="center" vertical="center" textRotation="90"/>
      <protection hidden="1"/>
    </xf>
    <xf numFmtId="0" fontId="7" fillId="24" borderId="510" xfId="17436" applyFont="1" applyFill="1" applyBorder="1" applyAlignment="1" applyProtection="1">
      <alignment horizontal="center" vertical="center" textRotation="90"/>
      <protection hidden="1"/>
    </xf>
    <xf numFmtId="0" fontId="7" fillId="26" borderId="510" xfId="17436" applyFont="1" applyFill="1" applyBorder="1" applyAlignment="1" applyProtection="1">
      <alignment horizontal="center" vertical="center" textRotation="90"/>
      <protection hidden="1"/>
    </xf>
    <xf numFmtId="0" fontId="7" fillId="26" borderId="510" xfId="17436" applyFont="1" applyFill="1" applyBorder="1" applyAlignment="1">
      <alignment horizontal="center" vertical="center" textRotation="90"/>
    </xf>
    <xf numFmtId="168" fontId="89" fillId="3" borderId="511" xfId="17437" applyNumberFormat="1" applyFont="1" applyFill="1" applyBorder="1" applyAlignment="1" applyProtection="1">
      <alignment horizontal="center" vertical="top" wrapText="1"/>
      <protection hidden="1"/>
    </xf>
    <xf numFmtId="168" fontId="7" fillId="0" borderId="514" xfId="0" applyNumberFormat="1" applyFont="1" applyBorder="1" applyAlignment="1" applyProtection="1">
      <alignment horizontal="center"/>
      <protection hidden="1"/>
    </xf>
    <xf numFmtId="0" fontId="87" fillId="0" borderId="510" xfId="17437" applyFont="1" applyBorder="1" applyAlignment="1" applyProtection="1">
      <alignment horizontal="left" wrapText="1"/>
      <protection hidden="1"/>
    </xf>
    <xf numFmtId="2" fontId="91" fillId="0" borderId="514" xfId="0" applyNumberFormat="1" applyFont="1" applyBorder="1" applyAlignment="1" applyProtection="1">
      <alignment horizontal="center"/>
      <protection hidden="1"/>
    </xf>
    <xf numFmtId="0" fontId="87" fillId="0" borderId="510" xfId="17437" applyFont="1" applyBorder="1" applyAlignment="1" applyProtection="1">
      <alignment horizontal="left"/>
      <protection hidden="1"/>
    </xf>
    <xf numFmtId="2" fontId="93" fillId="0" borderId="514" xfId="0" applyNumberFormat="1" applyFont="1" applyBorder="1" applyAlignment="1" applyProtection="1">
      <alignment horizontal="center"/>
      <protection hidden="1"/>
    </xf>
    <xf numFmtId="2" fontId="93" fillId="0" borderId="511" xfId="0" applyNumberFormat="1" applyFont="1" applyBorder="1" applyAlignment="1" applyProtection="1">
      <alignment horizontal="center"/>
      <protection hidden="1"/>
    </xf>
    <xf numFmtId="168" fontId="7" fillId="0" borderId="511" xfId="0" applyNumberFormat="1" applyFont="1" applyBorder="1" applyAlignment="1" applyProtection="1">
      <alignment horizontal="center"/>
      <protection hidden="1"/>
    </xf>
    <xf numFmtId="0" fontId="90" fillId="0" borderId="514" xfId="17437" applyFont="1" applyBorder="1" applyAlignment="1" applyProtection="1">
      <alignment horizontal="left"/>
      <protection hidden="1"/>
    </xf>
    <xf numFmtId="0" fontId="90" fillId="12" borderId="514" xfId="0" applyFont="1" applyFill="1" applyBorder="1" applyAlignment="1" applyProtection="1">
      <alignment horizontal="center" wrapText="1"/>
      <protection locked="0"/>
    </xf>
    <xf numFmtId="0" fontId="90" fillId="0" borderId="514" xfId="17437" applyFont="1" applyBorder="1" applyAlignment="1" applyProtection="1">
      <alignment horizontal="left"/>
      <protection hidden="1"/>
    </xf>
    <xf numFmtId="0" fontId="93" fillId="0" borderId="511" xfId="17437" applyFont="1" applyBorder="1" applyAlignment="1" applyProtection="1">
      <alignment horizontal="left"/>
      <protection hidden="1"/>
    </xf>
    <xf numFmtId="0" fontId="48" fillId="12" borderId="511" xfId="0" applyFont="1" applyFill="1" applyBorder="1" applyAlignment="1" applyProtection="1">
      <alignment horizontal="center" wrapText="1"/>
      <protection locked="0"/>
    </xf>
    <xf numFmtId="0" fontId="93" fillId="0" borderId="511" xfId="17437" applyFont="1" applyBorder="1" applyAlignment="1" applyProtection="1">
      <alignment horizontal="left"/>
      <protection hidden="1"/>
    </xf>
    <xf numFmtId="0" fontId="7" fillId="9" borderId="0" xfId="17451" applyFont="1" applyFill="1" applyAlignment="1" applyProtection="1">
      <protection hidden="1"/>
    </xf>
    <xf numFmtId="0" fontId="97" fillId="12" borderId="351" xfId="17451" applyFont="1" applyFill="1" applyBorder="1" applyAlignment="1" applyProtection="1">
      <protection locked="0"/>
    </xf>
    <xf numFmtId="0" fontId="97" fillId="12" borderId="352" xfId="17451" applyFont="1" applyFill="1" applyBorder="1" applyAlignment="1" applyProtection="1">
      <protection locked="0"/>
    </xf>
    <xf numFmtId="0" fontId="7" fillId="14" borderId="49" xfId="17451" applyFont="1" applyFill="1" applyBorder="1" applyAlignment="1" applyProtection="1">
      <protection hidden="1"/>
    </xf>
    <xf numFmtId="0" fontId="7" fillId="14" borderId="412" xfId="17451" applyFont="1" applyFill="1" applyBorder="1" applyAlignment="1" applyProtection="1">
      <protection hidden="1"/>
    </xf>
    <xf numFmtId="0" fontId="7" fillId="14" borderId="474" xfId="17451" applyFont="1" applyFill="1" applyBorder="1" applyAlignment="1" applyProtection="1">
      <protection hidden="1"/>
    </xf>
    <xf numFmtId="168" fontId="98" fillId="13" borderId="514" xfId="6465" applyNumberFormat="1" applyFont="1" applyFill="1" applyBorder="1" applyAlignment="1" applyProtection="1">
      <alignment horizontal="center"/>
      <protection locked="0"/>
    </xf>
    <xf numFmtId="0" fontId="7" fillId="14" borderId="51" xfId="17451" applyFont="1" applyFill="1" applyBorder="1" applyAlignment="1" applyProtection="1">
      <protection hidden="1"/>
    </xf>
    <xf numFmtId="0" fontId="7" fillId="14" borderId="52" xfId="17451" applyFont="1" applyFill="1" applyBorder="1" applyAlignment="1" applyProtection="1">
      <protection hidden="1"/>
    </xf>
    <xf numFmtId="0" fontId="7" fillId="14" borderId="53" xfId="17451" applyFont="1" applyFill="1" applyBorder="1" applyAlignment="1" applyProtection="1">
      <protection hidden="1"/>
    </xf>
    <xf numFmtId="0" fontId="7" fillId="4" borderId="15" xfId="17451" applyFont="1" applyFill="1" applyBorder="1" applyAlignment="1" applyProtection="1">
      <protection hidden="1"/>
    </xf>
    <xf numFmtId="0" fontId="7" fillId="14" borderId="55" xfId="17451" applyFont="1" applyFill="1" applyBorder="1" applyAlignment="1" applyProtection="1">
      <protection hidden="1"/>
    </xf>
    <xf numFmtId="0" fontId="7" fillId="14" borderId="56" xfId="17451" applyFont="1" applyFill="1" applyBorder="1" applyAlignment="1" applyProtection="1">
      <protection hidden="1"/>
    </xf>
    <xf numFmtId="0" fontId="7" fillId="14" borderId="57" xfId="17451" applyFont="1" applyFill="1" applyBorder="1" applyAlignment="1" applyProtection="1">
      <protection hidden="1"/>
    </xf>
    <xf numFmtId="1" fontId="7" fillId="4" borderId="510" xfId="6465" applyNumberFormat="1" applyFill="1" applyBorder="1" applyAlignment="1" applyProtection="1">
      <alignment horizontal="left"/>
      <protection hidden="1"/>
    </xf>
    <xf numFmtId="0" fontId="100" fillId="2" borderId="510" xfId="17451" applyFont="1" applyFill="1" applyBorder="1" applyAlignment="1" applyProtection="1">
      <alignment horizontal="left"/>
      <protection hidden="1"/>
    </xf>
    <xf numFmtId="0" fontId="25" fillId="0" borderId="514" xfId="69" applyFont="1" applyBorder="1" applyAlignment="1" applyProtection="1">
      <alignment horizontal="center" vertical="center" wrapText="1"/>
      <protection hidden="1"/>
    </xf>
    <xf numFmtId="0" fontId="7" fillId="14" borderId="62" xfId="17451" applyFont="1" applyFill="1" applyBorder="1" applyAlignment="1" applyProtection="1">
      <protection hidden="1"/>
    </xf>
    <xf numFmtId="0" fontId="7" fillId="14" borderId="63" xfId="17451" applyFont="1" applyFill="1" applyBorder="1" applyAlignment="1" applyProtection="1">
      <protection hidden="1"/>
    </xf>
    <xf numFmtId="0" fontId="61" fillId="0" borderId="350" xfId="16065" applyFont="1" applyBorder="1" applyAlignment="1" applyProtection="1">
      <protection hidden="1"/>
    </xf>
    <xf numFmtId="0" fontId="122" fillId="2" borderId="510" xfId="6465" applyFont="1" applyFill="1" applyBorder="1" applyAlignment="1" applyProtection="1">
      <alignment horizontal="center" wrapText="1"/>
      <protection hidden="1"/>
    </xf>
    <xf numFmtId="0" fontId="61" fillId="4" borderId="510" xfId="16065" applyFont="1" applyFill="1" applyBorder="1" applyProtection="1">
      <protection hidden="1"/>
    </xf>
    <xf numFmtId="0" fontId="17" fillId="0" borderId="514" xfId="16065" applyFont="1" applyBorder="1" applyAlignment="1" applyProtection="1">
      <alignment horizontal="center"/>
      <protection hidden="1"/>
    </xf>
    <xf numFmtId="0" fontId="7" fillId="3" borderId="523" xfId="6465" applyFill="1" applyBorder="1" applyProtection="1">
      <protection hidden="1"/>
    </xf>
    <xf numFmtId="0" fontId="94" fillId="14" borderId="523" xfId="17451" applyFont="1" applyFill="1" applyBorder="1" applyAlignment="1" applyProtection="1">
      <alignment horizontal="center"/>
      <protection hidden="1"/>
    </xf>
    <xf numFmtId="0" fontId="76" fillId="14" borderId="523" xfId="17451" applyFont="1" applyFill="1" applyBorder="1" applyAlignment="1" applyProtection="1">
      <alignment horizontal="center"/>
      <protection hidden="1"/>
    </xf>
    <xf numFmtId="0" fontId="7" fillId="14" borderId="523" xfId="17451" applyFont="1" applyFill="1" applyBorder="1" applyAlignment="1" applyProtection="1">
      <alignment horizontal="center"/>
      <protection hidden="1"/>
    </xf>
    <xf numFmtId="0" fontId="76" fillId="13" borderId="529" xfId="16065" applyFont="1" applyFill="1" applyBorder="1" applyAlignment="1" applyProtection="1">
      <alignment horizontal="center"/>
      <protection locked="0"/>
    </xf>
    <xf numFmtId="0" fontId="6" fillId="4" borderId="510" xfId="16065" applyFont="1" applyFill="1" applyBorder="1" applyProtection="1">
      <protection hidden="1"/>
    </xf>
    <xf numFmtId="0" fontId="108" fillId="0" borderId="350" xfId="16065" applyFont="1" applyBorder="1" applyAlignment="1" applyProtection="1">
      <protection hidden="1"/>
    </xf>
    <xf numFmtId="0" fontId="108" fillId="0" borderId="351" xfId="16065" applyFont="1" applyBorder="1" applyAlignment="1" applyProtection="1">
      <protection hidden="1"/>
    </xf>
    <xf numFmtId="0" fontId="109" fillId="9" borderId="510" xfId="17451" applyFont="1" applyFill="1" applyBorder="1" applyProtection="1">
      <protection hidden="1"/>
    </xf>
    <xf numFmtId="0" fontId="108" fillId="4" borderId="510" xfId="16065" applyFont="1" applyFill="1" applyBorder="1" applyProtection="1">
      <protection hidden="1"/>
    </xf>
    <xf numFmtId="0" fontId="7" fillId="4" borderId="510" xfId="16065" applyFont="1" applyFill="1" applyBorder="1" applyProtection="1">
      <protection hidden="1"/>
    </xf>
    <xf numFmtId="0" fontId="106" fillId="0" borderId="76" xfId="16065" applyFont="1" applyBorder="1" applyAlignment="1" applyProtection="1">
      <protection hidden="1"/>
    </xf>
    <xf numFmtId="0" fontId="106" fillId="0" borderId="77" xfId="16065" applyFont="1" applyBorder="1" applyAlignment="1" applyProtection="1">
      <protection hidden="1"/>
    </xf>
    <xf numFmtId="0" fontId="110" fillId="0" borderId="0" xfId="17451" applyFont="1" applyAlignment="1" applyProtection="1">
      <protection hidden="1"/>
    </xf>
    <xf numFmtId="0" fontId="7" fillId="0" borderId="0" xfId="17451" applyFont="1" applyAlignment="1" applyProtection="1">
      <protection hidden="1"/>
    </xf>
    <xf numFmtId="0" fontId="7" fillId="0" borderId="18" xfId="17451" applyFont="1" applyBorder="1" applyAlignment="1" applyProtection="1">
      <protection hidden="1"/>
    </xf>
    <xf numFmtId="0" fontId="7" fillId="0" borderId="0" xfId="16065" applyFont="1" applyAlignment="1" applyProtection="1">
      <protection hidden="1"/>
    </xf>
    <xf numFmtId="0" fontId="7" fillId="0" borderId="18" xfId="16065" applyFont="1" applyBorder="1" applyAlignment="1" applyProtection="1">
      <protection hidden="1"/>
    </xf>
    <xf numFmtId="0" fontId="94" fillId="28" borderId="523" xfId="16065" applyFont="1" applyFill="1" applyBorder="1" applyAlignment="1" applyProtection="1">
      <alignment horizontal="center"/>
      <protection locked="0"/>
    </xf>
    <xf numFmtId="0" fontId="76" fillId="13" borderId="523" xfId="16065" applyFont="1" applyFill="1" applyBorder="1" applyAlignment="1" applyProtection="1">
      <alignment horizontal="center"/>
      <protection locked="0"/>
    </xf>
    <xf numFmtId="0" fontId="91" fillId="29" borderId="523" xfId="16065" applyFont="1" applyFill="1" applyBorder="1" applyAlignment="1" applyProtection="1">
      <alignment horizontal="center"/>
      <protection locked="0"/>
    </xf>
    <xf numFmtId="0" fontId="7" fillId="0" borderId="30" xfId="17451" applyFont="1" applyBorder="1" applyAlignment="1" applyProtection="1">
      <protection hidden="1"/>
    </xf>
    <xf numFmtId="0" fontId="7" fillId="0" borderId="31" xfId="17451" applyFont="1" applyBorder="1" applyAlignment="1" applyProtection="1">
      <protection hidden="1"/>
    </xf>
    <xf numFmtId="0" fontId="7" fillId="4" borderId="351" xfId="6465" applyFill="1" applyBorder="1" applyAlignment="1" applyProtection="1">
      <protection hidden="1"/>
    </xf>
    <xf numFmtId="0" fontId="7" fillId="4" borderId="334" xfId="6465" applyFill="1" applyBorder="1" applyAlignment="1" applyProtection="1">
      <protection hidden="1"/>
    </xf>
    <xf numFmtId="0" fontId="7" fillId="4" borderId="479" xfId="6465" applyFill="1" applyBorder="1" applyAlignment="1" applyProtection="1">
      <protection hidden="1"/>
    </xf>
    <xf numFmtId="0" fontId="7" fillId="4" borderId="480" xfId="6465" applyFill="1" applyBorder="1" applyAlignment="1" applyProtection="1">
      <protection hidden="1"/>
    </xf>
    <xf numFmtId="0" fontId="7" fillId="4" borderId="481" xfId="6465" applyFill="1" applyBorder="1" applyAlignment="1" applyProtection="1">
      <protection hidden="1"/>
    </xf>
    <xf numFmtId="0" fontId="63" fillId="0" borderId="29" xfId="17451" applyFont="1" applyBorder="1" applyAlignment="1" applyProtection="1">
      <protection hidden="1"/>
    </xf>
    <xf numFmtId="0" fontId="63" fillId="0" borderId="31" xfId="17451" applyFont="1" applyBorder="1" applyAlignment="1" applyProtection="1">
      <protection hidden="1"/>
    </xf>
    <xf numFmtId="0" fontId="7" fillId="0" borderId="514" xfId="16065" applyFont="1" applyBorder="1" applyAlignment="1" applyProtection="1">
      <protection hidden="1"/>
    </xf>
    <xf numFmtId="0" fontId="125" fillId="0" borderId="510" xfId="17451" applyFont="1" applyBorder="1" applyAlignment="1" applyProtection="1">
      <alignment horizontal="center" vertical="center" wrapText="1"/>
      <protection hidden="1"/>
    </xf>
    <xf numFmtId="0" fontId="126" fillId="0" borderId="510" xfId="17451" applyFont="1" applyBorder="1" applyAlignment="1" applyProtection="1">
      <alignment horizontal="center" vertical="center" wrapText="1"/>
      <protection hidden="1"/>
    </xf>
    <xf numFmtId="0" fontId="128" fillId="0" borderId="510" xfId="6465" applyFont="1" applyBorder="1" applyAlignment="1" applyProtection="1">
      <alignment horizontal="center" vertical="center" wrapText="1"/>
      <protection hidden="1"/>
    </xf>
    <xf numFmtId="1" fontId="63" fillId="0" borderId="18" xfId="16065" applyNumberFormat="1" applyFont="1" applyBorder="1" applyAlignment="1" applyProtection="1">
      <protection hidden="1"/>
    </xf>
    <xf numFmtId="1" fontId="63" fillId="0" borderId="514" xfId="16065" applyNumberFormat="1" applyFont="1" applyBorder="1" applyAlignment="1" applyProtection="1">
      <protection hidden="1"/>
    </xf>
    <xf numFmtId="0" fontId="7" fillId="0" borderId="514" xfId="16065" applyFont="1" applyBorder="1" applyAlignment="1" applyProtection="1">
      <alignment horizontal="left"/>
      <protection hidden="1"/>
    </xf>
    <xf numFmtId="168" fontId="7" fillId="0" borderId="510" xfId="17451" applyNumberFormat="1" applyFont="1" applyBorder="1" applyAlignment="1" applyProtection="1">
      <alignment horizontal="center"/>
      <protection hidden="1"/>
    </xf>
    <xf numFmtId="1" fontId="7" fillId="0" borderId="510" xfId="16065" applyNumberFormat="1" applyFont="1" applyBorder="1" applyAlignment="1" applyProtection="1">
      <alignment horizontal="center"/>
      <protection hidden="1"/>
    </xf>
    <xf numFmtId="0" fontId="7" fillId="14" borderId="29" xfId="17451" applyFont="1" applyFill="1" applyBorder="1" applyAlignment="1" applyProtection="1">
      <protection hidden="1"/>
    </xf>
    <xf numFmtId="0" fontId="7" fillId="14" borderId="31" xfId="17451" applyFont="1" applyFill="1" applyBorder="1" applyAlignment="1" applyProtection="1">
      <protection hidden="1"/>
    </xf>
    <xf numFmtId="0" fontId="7" fillId="0" borderId="17" xfId="17451" applyFont="1" applyBorder="1" applyAlignment="1" applyProtection="1">
      <protection hidden="1"/>
    </xf>
    <xf numFmtId="0" fontId="7" fillId="0" borderId="28" xfId="17451" applyFont="1" applyBorder="1" applyAlignment="1" applyProtection="1">
      <protection hidden="1"/>
    </xf>
    <xf numFmtId="168" fontId="23" fillId="4" borderId="510" xfId="6465" applyNumberFormat="1" applyFont="1" applyFill="1" applyBorder="1" applyAlignment="1" applyProtection="1">
      <alignment horizontal="center"/>
      <protection hidden="1"/>
    </xf>
    <xf numFmtId="168" fontId="23" fillId="4" borderId="514" xfId="6465" applyNumberFormat="1" applyFont="1" applyFill="1" applyBorder="1" applyAlignment="1" applyProtection="1">
      <alignment horizontal="center"/>
      <protection hidden="1"/>
    </xf>
    <xf numFmtId="0" fontId="113" fillId="0" borderId="31" xfId="0" applyFont="1" applyBorder="1" applyAlignment="1" applyProtection="1">
      <protection hidden="1"/>
    </xf>
    <xf numFmtId="0" fontId="33" fillId="0" borderId="367" xfId="0" applyFont="1" applyBorder="1" applyAlignment="1" applyProtection="1">
      <protection hidden="1"/>
    </xf>
    <xf numFmtId="0" fontId="131" fillId="0" borderId="367" xfId="17451" applyFont="1" applyBorder="1" applyAlignment="1" applyProtection="1">
      <protection hidden="1"/>
    </xf>
    <xf numFmtId="0" fontId="33" fillId="0" borderId="18" xfId="0" applyFont="1" applyBorder="1" applyAlignment="1" applyProtection="1">
      <protection hidden="1"/>
    </xf>
    <xf numFmtId="0" fontId="33" fillId="0" borderId="514" xfId="0" applyFont="1" applyBorder="1" applyAlignment="1" applyProtection="1">
      <protection hidden="1"/>
    </xf>
    <xf numFmtId="0" fontId="94" fillId="4" borderId="514" xfId="6465" applyFont="1" applyFill="1" applyBorder="1" applyAlignment="1" applyProtection="1">
      <alignment horizontal="center" vertical="top" wrapText="1"/>
      <protection hidden="1"/>
    </xf>
    <xf numFmtId="0" fontId="76" fillId="4" borderId="514" xfId="6465" applyFont="1" applyFill="1" applyBorder="1" applyAlignment="1" applyProtection="1">
      <alignment horizontal="center" vertical="top" wrapText="1"/>
      <protection hidden="1"/>
    </xf>
    <xf numFmtId="0" fontId="131" fillId="0" borderId="514" xfId="17451" applyFont="1" applyBorder="1" applyAlignment="1" applyProtection="1">
      <protection hidden="1"/>
    </xf>
    <xf numFmtId="0" fontId="33" fillId="0" borderId="28" xfId="0" applyFont="1" applyBorder="1" applyAlignment="1" applyProtection="1">
      <protection hidden="1"/>
    </xf>
    <xf numFmtId="0" fontId="33" fillId="0" borderId="511" xfId="0" applyFont="1" applyBorder="1" applyAlignment="1" applyProtection="1">
      <protection hidden="1"/>
    </xf>
    <xf numFmtId="0" fontId="23" fillId="4" borderId="510" xfId="6465" applyFont="1" applyFill="1" applyBorder="1" applyAlignment="1" applyProtection="1">
      <alignment horizontal="left"/>
      <protection hidden="1"/>
    </xf>
    <xf numFmtId="1" fontId="23" fillId="0" borderId="510" xfId="6465" applyNumberFormat="1" applyFont="1" applyBorder="1" applyAlignment="1" applyProtection="1">
      <alignment horizontal="right"/>
      <protection hidden="1"/>
    </xf>
    <xf numFmtId="0" fontId="7" fillId="14" borderId="530" xfId="6465" applyFill="1" applyBorder="1" applyProtection="1">
      <protection hidden="1"/>
    </xf>
    <xf numFmtId="0" fontId="23" fillId="3" borderId="510" xfId="6465" applyFont="1" applyFill="1" applyBorder="1" applyAlignment="1" applyProtection="1">
      <alignment horizontal="left" vertical="center"/>
      <protection hidden="1"/>
    </xf>
    <xf numFmtId="0" fontId="7" fillId="3" borderId="0" xfId="17451" applyFont="1" applyFill="1" applyAlignment="1" applyProtection="1">
      <protection hidden="1"/>
    </xf>
    <xf numFmtId="0" fontId="23" fillId="0" borderId="29" xfId="16065" applyFont="1" applyBorder="1" applyAlignment="1" applyProtection="1">
      <protection hidden="1"/>
    </xf>
    <xf numFmtId="0" fontId="0" fillId="0" borderId="510" xfId="16065" applyFont="1" applyBorder="1" applyProtection="1">
      <protection hidden="1"/>
    </xf>
    <xf numFmtId="0" fontId="0" fillId="0" borderId="510" xfId="17451" applyFont="1" applyBorder="1" applyProtection="1">
      <protection hidden="1"/>
    </xf>
    <xf numFmtId="0" fontId="63" fillId="0" borderId="0" xfId="6465" applyFont="1" applyAlignment="1" applyProtection="1">
      <protection hidden="1"/>
    </xf>
    <xf numFmtId="0" fontId="1" fillId="2" borderId="0" xfId="17468" applyFont="1" applyFill="1" applyAlignment="1" applyProtection="1">
      <protection hidden="1"/>
    </xf>
    <xf numFmtId="0" fontId="305" fillId="2" borderId="519" xfId="17468" applyFill="1" applyBorder="1" applyAlignment="1" applyProtection="1">
      <alignment horizontal="left" wrapText="1"/>
      <protection hidden="1"/>
    </xf>
    <xf numFmtId="0" fontId="1" fillId="2" borderId="406" xfId="17468" applyFont="1" applyFill="1" applyBorder="1" applyAlignment="1" applyProtection="1">
      <alignment horizontal="center" vertical="center" wrapText="1"/>
      <protection hidden="1"/>
    </xf>
    <xf numFmtId="0" fontId="1" fillId="2" borderId="514" xfId="17468" applyFont="1" applyFill="1" applyBorder="1" applyAlignment="1" applyProtection="1">
      <alignment horizontal="center"/>
      <protection hidden="1"/>
    </xf>
    <xf numFmtId="0" fontId="31" fillId="4" borderId="406" xfId="8678" applyFont="1" applyFill="1" applyBorder="1" applyAlignment="1" applyProtection="1">
      <alignment horizontal="center"/>
      <protection hidden="1"/>
    </xf>
    <xf numFmtId="0" fontId="31" fillId="4" borderId="514" xfId="8678" applyFont="1" applyFill="1" applyBorder="1" applyAlignment="1" applyProtection="1">
      <alignment horizontal="center"/>
      <protection hidden="1"/>
    </xf>
    <xf numFmtId="0" fontId="31" fillId="4" borderId="406" xfId="17468" applyFont="1" applyFill="1" applyBorder="1" applyAlignment="1" applyProtection="1">
      <alignment horizontal="center"/>
      <protection hidden="1"/>
    </xf>
    <xf numFmtId="0" fontId="47" fillId="4" borderId="514" xfId="17468" applyFont="1" applyFill="1" applyBorder="1" applyAlignment="1" applyProtection="1">
      <alignment horizontal="center" wrapText="1"/>
      <protection hidden="1"/>
    </xf>
    <xf numFmtId="0" fontId="49" fillId="4" borderId="514" xfId="17468" applyFont="1" applyFill="1" applyBorder="1" applyAlignment="1" applyProtection="1">
      <alignment horizontal="center" wrapText="1"/>
      <protection hidden="1"/>
    </xf>
    <xf numFmtId="0" fontId="0" fillId="3" borderId="514" xfId="4660" applyFont="1" applyFill="1" applyBorder="1" applyAlignment="1" applyProtection="1">
      <alignment horizontal="left"/>
      <protection hidden="1"/>
    </xf>
    <xf numFmtId="0" fontId="57" fillId="12" borderId="514" xfId="4660" applyFont="1" applyFill="1" applyBorder="1" applyAlignment="1" applyProtection="1">
      <alignment horizontal="right" vertical="center"/>
      <protection locked="0"/>
    </xf>
    <xf numFmtId="0" fontId="57" fillId="3" borderId="514" xfId="4660" applyFont="1" applyFill="1" applyBorder="1" applyProtection="1">
      <protection hidden="1"/>
    </xf>
    <xf numFmtId="0" fontId="0" fillId="2" borderId="514" xfId="17475" applyFont="1" applyFill="1" applyBorder="1" applyAlignment="1" applyProtection="1">
      <alignment horizontal="left"/>
      <protection hidden="1"/>
    </xf>
    <xf numFmtId="0" fontId="49" fillId="12" borderId="514" xfId="4660" applyFont="1" applyFill="1" applyBorder="1" applyAlignment="1" applyProtection="1">
      <alignment horizontal="right" vertical="center"/>
      <protection locked="0"/>
    </xf>
    <xf numFmtId="0" fontId="57" fillId="3" borderId="514" xfId="4660" applyFont="1" applyFill="1" applyBorder="1" applyAlignment="1" applyProtection="1">
      <alignment horizontal="left"/>
      <protection hidden="1"/>
    </xf>
    <xf numFmtId="0" fontId="31" fillId="4" borderId="0" xfId="17468" applyFont="1" applyFill="1" applyAlignment="1" applyProtection="1">
      <protection hidden="1"/>
    </xf>
    <xf numFmtId="1" fontId="33" fillId="4" borderId="511" xfId="17468" applyNumberFormat="1" applyFont="1" applyFill="1" applyBorder="1" applyAlignment="1" applyProtection="1">
      <alignment horizontal="center"/>
      <protection hidden="1"/>
    </xf>
    <xf numFmtId="1" fontId="0" fillId="0" borderId="511" xfId="4660" applyNumberFormat="1" applyFont="1" applyBorder="1" applyAlignment="1" applyProtection="1">
      <alignment horizontal="right"/>
      <protection hidden="1"/>
    </xf>
    <xf numFmtId="0" fontId="0" fillId="0" borderId="511" xfId="4660" applyFont="1" applyBorder="1" applyProtection="1">
      <protection hidden="1"/>
    </xf>
    <xf numFmtId="1" fontId="57" fillId="3" borderId="514" xfId="4660" applyNumberFormat="1" applyFont="1" applyFill="1" applyBorder="1" applyProtection="1">
      <protection hidden="1"/>
    </xf>
    <xf numFmtId="0" fontId="31" fillId="4" borderId="511" xfId="17468" applyFont="1" applyFill="1" applyBorder="1" applyAlignment="1" applyProtection="1">
      <alignment horizontal="center"/>
      <protection hidden="1"/>
    </xf>
    <xf numFmtId="169" fontId="47" fillId="4" borderId="406" xfId="17468" applyNumberFormat="1" applyFont="1" applyFill="1" applyBorder="1" applyAlignment="1" applyProtection="1">
      <alignment horizontal="center" vertical="center" wrapText="1"/>
      <protection hidden="1"/>
    </xf>
    <xf numFmtId="166" fontId="47" fillId="4" borderId="514" xfId="17468" applyNumberFormat="1" applyFont="1" applyFill="1" applyBorder="1" applyAlignment="1" applyProtection="1">
      <alignment horizontal="center" wrapText="1"/>
      <protection hidden="1"/>
    </xf>
    <xf numFmtId="2" fontId="47" fillId="4" borderId="514" xfId="17468" applyNumberFormat="1" applyFont="1" applyFill="1" applyBorder="1" applyAlignment="1" applyProtection="1">
      <alignment horizontal="center" wrapText="1"/>
      <protection hidden="1"/>
    </xf>
    <xf numFmtId="169" fontId="49" fillId="4" borderId="514" xfId="17468" applyNumberFormat="1" applyFont="1" applyFill="1" applyBorder="1" applyAlignment="1" applyProtection="1">
      <alignment horizontal="center" wrapText="1"/>
      <protection hidden="1"/>
    </xf>
    <xf numFmtId="2" fontId="0" fillId="4" borderId="511" xfId="8678" applyNumberFormat="1" applyFont="1" applyFill="1" applyBorder="1" applyAlignment="1" applyProtection="1">
      <alignment horizontal="center" vertical="top"/>
      <protection hidden="1"/>
    </xf>
    <xf numFmtId="2" fontId="0" fillId="5" borderId="511" xfId="8678" applyNumberFormat="1" applyFont="1" applyFill="1" applyBorder="1" applyAlignment="1" applyProtection="1">
      <alignment horizontal="center" vertical="top"/>
      <protection locked="0"/>
    </xf>
    <xf numFmtId="0" fontId="0" fillId="0" borderId="0" xfId="4660" applyFont="1" applyAlignment="1" applyProtection="1">
      <protection hidden="1"/>
    </xf>
    <xf numFmtId="0" fontId="1" fillId="0" borderId="406" xfId="4660" applyFont="1" applyBorder="1" applyAlignment="1" applyProtection="1">
      <alignment horizontal="left"/>
      <protection hidden="1"/>
    </xf>
    <xf numFmtId="2" fontId="0" fillId="0" borderId="511" xfId="17475" applyNumberFormat="1" applyFont="1" applyBorder="1" applyAlignment="1" applyProtection="1">
      <alignment horizontal="center" vertical="top"/>
      <protection hidden="1"/>
    </xf>
    <xf numFmtId="0" fontId="1" fillId="3" borderId="0" xfId="17468" applyFont="1" applyFill="1" applyAlignment="1" applyProtection="1">
      <protection hidden="1"/>
    </xf>
    <xf numFmtId="0" fontId="0" fillId="2" borderId="0" xfId="8678" applyFont="1" applyFill="1" applyAlignment="1" applyProtection="1">
      <protection hidden="1"/>
    </xf>
    <xf numFmtId="0" fontId="0" fillId="4" borderId="0" xfId="8678" applyFont="1" applyFill="1" applyAlignment="1" applyProtection="1">
      <protection hidden="1"/>
    </xf>
    <xf numFmtId="0" fontId="334" fillId="3" borderId="511" xfId="17468" applyFont="1" applyFill="1" applyBorder="1" applyAlignment="1" applyProtection="1">
      <alignment horizontal="center"/>
      <protection hidden="1"/>
    </xf>
    <xf numFmtId="169" fontId="334" fillId="3" borderId="511" xfId="17468" applyNumberFormat="1" applyFont="1" applyFill="1" applyBorder="1" applyAlignment="1" applyProtection="1">
      <alignment horizontal="center"/>
      <protection hidden="1"/>
    </xf>
    <xf numFmtId="0" fontId="333" fillId="0" borderId="514" xfId="17468" applyFont="1" applyBorder="1" applyProtection="1">
      <protection hidden="1"/>
    </xf>
    <xf numFmtId="0" fontId="333" fillId="0" borderId="514" xfId="17475" applyFont="1" applyBorder="1" applyAlignment="1" applyProtection="1">
      <alignment horizontal="center"/>
      <protection hidden="1"/>
    </xf>
    <xf numFmtId="169" fontId="333" fillId="0" borderId="514" xfId="17473" applyNumberFormat="1" applyFont="1" applyBorder="1" applyProtection="1">
      <protection hidden="1"/>
    </xf>
    <xf numFmtId="0" fontId="333" fillId="0" borderId="511" xfId="17468" applyFont="1" applyBorder="1" applyProtection="1">
      <protection hidden="1"/>
    </xf>
    <xf numFmtId="0" fontId="333" fillId="0" borderId="511" xfId="17475" applyFont="1" applyBorder="1" applyAlignment="1" applyProtection="1">
      <alignment horizontal="center"/>
      <protection hidden="1"/>
    </xf>
    <xf numFmtId="169" fontId="333" fillId="0" borderId="511" xfId="17473" applyNumberFormat="1" applyFont="1" applyBorder="1" applyProtection="1">
      <protection hidden="1"/>
    </xf>
    <xf numFmtId="0" fontId="33" fillId="4" borderId="406" xfId="16065" applyFont="1" applyFill="1" applyBorder="1" applyAlignment="1" applyProtection="1">
      <alignment horizontal="left" vertical="center" wrapText="1"/>
      <protection hidden="1"/>
    </xf>
    <xf numFmtId="0" fontId="0" fillId="4" borderId="406" xfId="16065" applyFont="1" applyFill="1" applyBorder="1" applyAlignment="1" applyProtection="1">
      <alignment horizontal="left" vertical="center" wrapText="1"/>
      <protection hidden="1"/>
    </xf>
    <xf numFmtId="0" fontId="0" fillId="0" borderId="406" xfId="6465" applyFont="1" applyBorder="1" applyAlignment="1" applyProtection="1">
      <alignment horizontal="left" vertical="center" wrapText="1"/>
      <protection hidden="1"/>
    </xf>
    <xf numFmtId="0" fontId="33" fillId="4" borderId="406" xfId="16065" applyFont="1" applyFill="1" applyBorder="1" applyAlignment="1" applyProtection="1">
      <alignment wrapText="1"/>
      <protection hidden="1"/>
    </xf>
    <xf numFmtId="0" fontId="9" fillId="0" borderId="406" xfId="17399" applyFont="1" applyBorder="1" applyProtection="1">
      <protection hidden="1"/>
    </xf>
    <xf numFmtId="0" fontId="10" fillId="0" borderId="406" xfId="17399" applyFont="1" applyBorder="1" applyAlignment="1" applyProtection="1">
      <alignment horizontal="center"/>
      <protection hidden="1"/>
    </xf>
    <xf numFmtId="0" fontId="10" fillId="0" borderId="406" xfId="17399" applyFont="1" applyBorder="1" applyAlignment="1" applyProtection="1">
      <alignment horizontal="center" vertical="center"/>
      <protection hidden="1"/>
    </xf>
  </cellXfs>
  <cellStyles count="31477">
    <cellStyle name="20% - Accent1 2" xfId="679" xr:uid="{00000000-0005-0000-0000-000000000000}"/>
    <cellStyle name="20% - Accent1 2 2" xfId="599" xr:uid="{00000000-0005-0000-0000-000001000000}"/>
    <cellStyle name="20% - Accent1 2 2 2" xfId="690" xr:uid="{00000000-0005-0000-0000-000002000000}"/>
    <cellStyle name="20% - Accent1 2 2 3" xfId="701" xr:uid="{00000000-0005-0000-0000-000003000000}"/>
    <cellStyle name="20% - Accent1 2 2 4" xfId="604" xr:uid="{00000000-0005-0000-0000-000004000000}"/>
    <cellStyle name="20% - Accent1 2 3" xfId="642" xr:uid="{00000000-0005-0000-0000-000005000000}"/>
    <cellStyle name="20% - Accent1 2 3 2" xfId="640" xr:uid="{00000000-0005-0000-0000-000006000000}"/>
    <cellStyle name="20% - Accent1 2 4" xfId="644" xr:uid="{00000000-0005-0000-0000-000007000000}"/>
    <cellStyle name="20% - Accent1 2 4 2" xfId="710" xr:uid="{00000000-0005-0000-0000-000008000000}"/>
    <cellStyle name="20% - Accent1 2 5" xfId="656" xr:uid="{00000000-0005-0000-0000-000009000000}"/>
    <cellStyle name="20% - Accent1 2 5 2" xfId="750" xr:uid="{00000000-0005-0000-0000-00000A000000}"/>
    <cellStyle name="20% - Accent1 2 6" xfId="617" xr:uid="{00000000-0005-0000-0000-00000B000000}"/>
    <cellStyle name="20% - Accent1 2 6 2" xfId="637" xr:uid="{00000000-0005-0000-0000-00000C000000}"/>
    <cellStyle name="20% - Accent1 2 7" xfId="736" xr:uid="{00000000-0005-0000-0000-00000D000000}"/>
    <cellStyle name="20% - Accent1 2 8" xfId="770" xr:uid="{00000000-0005-0000-0000-00000E000000}"/>
    <cellStyle name="20% - Accent1 3" xfId="780" xr:uid="{00000000-0005-0000-0000-00000F000000}"/>
    <cellStyle name="20% - Accent1 4" xfId="785" xr:uid="{00000000-0005-0000-0000-000010000000}"/>
    <cellStyle name="20% - Accent2 2" xfId="788" xr:uid="{00000000-0005-0000-0000-000011000000}"/>
    <cellStyle name="20% - Accent2 2 2" xfId="791" xr:uid="{00000000-0005-0000-0000-000012000000}"/>
    <cellStyle name="20% - Accent2 2 2 2" xfId="801" xr:uid="{00000000-0005-0000-0000-000013000000}"/>
    <cellStyle name="20% - Accent2 2 2 3" xfId="814" xr:uid="{00000000-0005-0000-0000-000014000000}"/>
    <cellStyle name="20% - Accent2 2 2 4" xfId="823" xr:uid="{00000000-0005-0000-0000-000015000000}"/>
    <cellStyle name="20% - Accent2 2 3" xfId="831" xr:uid="{00000000-0005-0000-0000-000016000000}"/>
    <cellStyle name="20% - Accent2 2 3 2" xfId="329" xr:uid="{00000000-0005-0000-0000-000017000000}"/>
    <cellStyle name="20% - Accent2 2 4" xfId="833" xr:uid="{00000000-0005-0000-0000-000018000000}"/>
    <cellStyle name="20% - Accent2 2 4 2" xfId="842" xr:uid="{00000000-0005-0000-0000-000019000000}"/>
    <cellStyle name="20% - Accent2 2 5" xfId="851" xr:uid="{00000000-0005-0000-0000-00001A000000}"/>
    <cellStyle name="20% - Accent2 2 5 2" xfId="867" xr:uid="{00000000-0005-0000-0000-00001B000000}"/>
    <cellStyle name="20% - Accent2 2 6" xfId="870" xr:uid="{00000000-0005-0000-0000-00001C000000}"/>
    <cellStyle name="20% - Accent2 2 6 2" xfId="891" xr:uid="{00000000-0005-0000-0000-00001D000000}"/>
    <cellStyle name="20% - Accent2 2 7" xfId="895" xr:uid="{00000000-0005-0000-0000-00001E000000}"/>
    <cellStyle name="20% - Accent2 2 8" xfId="908" xr:uid="{00000000-0005-0000-0000-00001F000000}"/>
    <cellStyle name="20% - Accent2 3" xfId="913" xr:uid="{00000000-0005-0000-0000-000020000000}"/>
    <cellStyle name="20% - Accent2 4" xfId="914" xr:uid="{00000000-0005-0000-0000-000021000000}"/>
    <cellStyle name="20% - Accent3 2" xfId="232" xr:uid="{00000000-0005-0000-0000-000022000000}"/>
    <cellStyle name="20% - Accent3 2 2" xfId="916" xr:uid="{00000000-0005-0000-0000-000023000000}"/>
    <cellStyle name="20% - Accent3 2 2 2" xfId="927" xr:uid="{00000000-0005-0000-0000-000024000000}"/>
    <cellStyle name="20% - Accent3 2 2 3" xfId="947" xr:uid="{00000000-0005-0000-0000-000025000000}"/>
    <cellStyle name="20% - Accent3 2 2 4" xfId="955" xr:uid="{00000000-0005-0000-0000-000026000000}"/>
    <cellStyle name="20% - Accent3 2 3" xfId="969" xr:uid="{00000000-0005-0000-0000-000027000000}"/>
    <cellStyle name="20% - Accent3 2 3 2" xfId="989" xr:uid="{00000000-0005-0000-0000-000028000000}"/>
    <cellStyle name="20% - Accent3 2 4" xfId="1005" xr:uid="{00000000-0005-0000-0000-000029000000}"/>
    <cellStyle name="20% - Accent3 2 4 2" xfId="23" xr:uid="{00000000-0005-0000-0000-00002A000000}"/>
    <cellStyle name="20% - Accent3 2 5" xfId="1014" xr:uid="{00000000-0005-0000-0000-00002B000000}"/>
    <cellStyle name="20% - Accent3 2 5 2" xfId="1017" xr:uid="{00000000-0005-0000-0000-00002C000000}"/>
    <cellStyle name="20% - Accent3 2 6" xfId="211" xr:uid="{00000000-0005-0000-0000-00002D000000}"/>
    <cellStyle name="20% - Accent3 2 6 2" xfId="1025" xr:uid="{00000000-0005-0000-0000-00002E000000}"/>
    <cellStyle name="20% - Accent3 2 7" xfId="148" xr:uid="{00000000-0005-0000-0000-00002F000000}"/>
    <cellStyle name="20% - Accent3 2 8" xfId="238" xr:uid="{00000000-0005-0000-0000-000030000000}"/>
    <cellStyle name="20% - Accent3 3" xfId="249" xr:uid="{00000000-0005-0000-0000-000031000000}"/>
    <cellStyle name="20% - Accent3 4" xfId="1027" xr:uid="{00000000-0005-0000-0000-000032000000}"/>
    <cellStyle name="20% - Accent4 2" xfId="1041" xr:uid="{00000000-0005-0000-0000-000033000000}"/>
    <cellStyle name="20% - Accent4 2 2" xfId="1051" xr:uid="{00000000-0005-0000-0000-000034000000}"/>
    <cellStyle name="20% - Accent4 2 2 2" xfId="1057" xr:uid="{00000000-0005-0000-0000-000035000000}"/>
    <cellStyle name="20% - Accent4 2 2 3" xfId="1069" xr:uid="{00000000-0005-0000-0000-000036000000}"/>
    <cellStyle name="20% - Accent4 2 2 4" xfId="1081" xr:uid="{00000000-0005-0000-0000-000037000000}"/>
    <cellStyle name="20% - Accent4 2 3" xfId="1100" xr:uid="{00000000-0005-0000-0000-000038000000}"/>
    <cellStyle name="20% - Accent4 2 3 2" xfId="1104" xr:uid="{00000000-0005-0000-0000-000039000000}"/>
    <cellStyle name="20% - Accent4 2 4" xfId="1066" xr:uid="{00000000-0005-0000-0000-00003A000000}"/>
    <cellStyle name="20% - Accent4 2 4 2" xfId="1116" xr:uid="{00000000-0005-0000-0000-00003B000000}"/>
    <cellStyle name="20% - Accent4 2 5" xfId="1078" xr:uid="{00000000-0005-0000-0000-00003C000000}"/>
    <cellStyle name="20% - Accent4 2 5 2" xfId="1125" xr:uid="{00000000-0005-0000-0000-00003D000000}"/>
    <cellStyle name="20% - Accent4 2 6" xfId="1087" xr:uid="{00000000-0005-0000-0000-00003E000000}"/>
    <cellStyle name="20% - Accent4 2 6 2" xfId="1135" xr:uid="{00000000-0005-0000-0000-00003F000000}"/>
    <cellStyle name="20% - Accent4 2 7" xfId="1153" xr:uid="{00000000-0005-0000-0000-000040000000}"/>
    <cellStyle name="20% - Accent4 2 8" xfId="1163" xr:uid="{00000000-0005-0000-0000-000041000000}"/>
    <cellStyle name="20% - Accent4 3" xfId="1169" xr:uid="{00000000-0005-0000-0000-000042000000}"/>
    <cellStyle name="20% - Accent4 4" xfId="1174" xr:uid="{00000000-0005-0000-0000-000043000000}"/>
    <cellStyle name="20% - Accent5 2" xfId="1176" xr:uid="{00000000-0005-0000-0000-000044000000}"/>
    <cellStyle name="20% - Accent5 2 2" xfId="1200" xr:uid="{00000000-0005-0000-0000-000045000000}"/>
    <cellStyle name="20% - Accent5 2 2 2" xfId="1206" xr:uid="{00000000-0005-0000-0000-000046000000}"/>
    <cellStyle name="20% - Accent5 2 2 3" xfId="1210" xr:uid="{00000000-0005-0000-0000-000047000000}"/>
    <cellStyle name="20% - Accent5 2 2 4" xfId="1217" xr:uid="{00000000-0005-0000-0000-000048000000}"/>
    <cellStyle name="20% - Accent5 2 3" xfId="1233" xr:uid="{00000000-0005-0000-0000-000049000000}"/>
    <cellStyle name="20% - Accent5 2 3 2" xfId="904" xr:uid="{00000000-0005-0000-0000-00004A000000}"/>
    <cellStyle name="20% - Accent5 2 4" xfId="1241" xr:uid="{00000000-0005-0000-0000-00004B000000}"/>
    <cellStyle name="20% - Accent5 2 4 2" xfId="1246" xr:uid="{00000000-0005-0000-0000-00004C000000}"/>
    <cellStyle name="20% - Accent5 2 5" xfId="1253" xr:uid="{00000000-0005-0000-0000-00004D000000}"/>
    <cellStyle name="20% - Accent5 2 5 2" xfId="1256" xr:uid="{00000000-0005-0000-0000-00004E000000}"/>
    <cellStyle name="20% - Accent5 2 6" xfId="1264" xr:uid="{00000000-0005-0000-0000-00004F000000}"/>
    <cellStyle name="20% - Accent5 2 6 2" xfId="1275" xr:uid="{00000000-0005-0000-0000-000050000000}"/>
    <cellStyle name="20% - Accent5 2 7" xfId="1283" xr:uid="{00000000-0005-0000-0000-000051000000}"/>
    <cellStyle name="20% - Accent5 2 8" xfId="1297" xr:uid="{00000000-0005-0000-0000-000052000000}"/>
    <cellStyle name="20% - Accent5 3" xfId="1300" xr:uid="{00000000-0005-0000-0000-000053000000}"/>
    <cellStyle name="20% - Accent5 4" xfId="1321" xr:uid="{00000000-0005-0000-0000-000054000000}"/>
    <cellStyle name="20% - Accent6 2" xfId="1324" xr:uid="{00000000-0005-0000-0000-000055000000}"/>
    <cellStyle name="20% - Accent6 2 2" xfId="1329" xr:uid="{00000000-0005-0000-0000-000056000000}"/>
    <cellStyle name="20% - Accent6 2 2 2" xfId="1349" xr:uid="{00000000-0005-0000-0000-000057000000}"/>
    <cellStyle name="20% - Accent6 2 2 3" xfId="1361" xr:uid="{00000000-0005-0000-0000-000058000000}"/>
    <cellStyle name="20% - Accent6 2 2 4" xfId="1370" xr:uid="{00000000-0005-0000-0000-000059000000}"/>
    <cellStyle name="20% - Accent6 2 3" xfId="1375" xr:uid="{00000000-0005-0000-0000-00005A000000}"/>
    <cellStyle name="20% - Accent6 2 3 2" xfId="177" xr:uid="{00000000-0005-0000-0000-00005B000000}"/>
    <cellStyle name="20% - Accent6 2 4" xfId="1413" xr:uid="{00000000-0005-0000-0000-00005C000000}"/>
    <cellStyle name="20% - Accent6 2 4 2" xfId="1423" xr:uid="{00000000-0005-0000-0000-00005D000000}"/>
    <cellStyle name="20% - Accent6 2 5" xfId="1431" xr:uid="{00000000-0005-0000-0000-00005E000000}"/>
    <cellStyle name="20% - Accent6 2 5 2" xfId="1444" xr:uid="{00000000-0005-0000-0000-00005F000000}"/>
    <cellStyle name="20% - Accent6 2 6" xfId="1458" xr:uid="{00000000-0005-0000-0000-000060000000}"/>
    <cellStyle name="20% - Accent6 2 6 2" xfId="1464" xr:uid="{00000000-0005-0000-0000-000061000000}"/>
    <cellStyle name="20% - Accent6 2 7" xfId="698" xr:uid="{00000000-0005-0000-0000-000062000000}"/>
    <cellStyle name="20% - Accent6 2 8" xfId="709" xr:uid="{00000000-0005-0000-0000-000063000000}"/>
    <cellStyle name="20% - Accent6 3" xfId="378" xr:uid="{00000000-0005-0000-0000-000064000000}"/>
    <cellStyle name="20% - Accent6 4" xfId="1474" xr:uid="{00000000-0005-0000-0000-000065000000}"/>
    <cellStyle name="40% - Accent1 2" xfId="1484" xr:uid="{00000000-0005-0000-0000-000066000000}"/>
    <cellStyle name="40% - Accent1 2 2" xfId="1504" xr:uid="{00000000-0005-0000-0000-000067000000}"/>
    <cellStyle name="40% - Accent1 2 2 2" xfId="1514" xr:uid="{00000000-0005-0000-0000-000068000000}"/>
    <cellStyle name="40% - Accent1 2 2 3" xfId="1530" xr:uid="{00000000-0005-0000-0000-000069000000}"/>
    <cellStyle name="40% - Accent1 2 2 4" xfId="1543" xr:uid="{00000000-0005-0000-0000-00006A000000}"/>
    <cellStyle name="40% - Accent1 2 3" xfId="1574" xr:uid="{00000000-0005-0000-0000-00006B000000}"/>
    <cellStyle name="40% - Accent1 2 3 2" xfId="728" xr:uid="{00000000-0005-0000-0000-00006C000000}"/>
    <cellStyle name="40% - Accent1 2 4" xfId="1593" xr:uid="{00000000-0005-0000-0000-00006D000000}"/>
    <cellStyle name="40% - Accent1 2 4 2" xfId="1608" xr:uid="{00000000-0005-0000-0000-00006E000000}"/>
    <cellStyle name="40% - Accent1 2 5" xfId="1617" xr:uid="{00000000-0005-0000-0000-00006F000000}"/>
    <cellStyle name="40% - Accent1 2 5 2" xfId="1411" xr:uid="{00000000-0005-0000-0000-000070000000}"/>
    <cellStyle name="40% - Accent1 2 6" xfId="1628" xr:uid="{00000000-0005-0000-0000-000071000000}"/>
    <cellStyle name="40% - Accent1 2 6 2" xfId="1632" xr:uid="{00000000-0005-0000-0000-000072000000}"/>
    <cellStyle name="40% - Accent1 2 7" xfId="1115" xr:uid="{00000000-0005-0000-0000-000073000000}"/>
    <cellStyle name="40% - Accent1 2 8" xfId="1653" xr:uid="{00000000-0005-0000-0000-000074000000}"/>
    <cellStyle name="40% - Accent1 3" xfId="1657" xr:uid="{00000000-0005-0000-0000-000075000000}"/>
    <cellStyle name="40% - Accent1 4" xfId="1660" xr:uid="{00000000-0005-0000-0000-000076000000}"/>
    <cellStyle name="40% - Accent2 2" xfId="1664" xr:uid="{00000000-0005-0000-0000-000077000000}"/>
    <cellStyle name="40% - Accent2 2 2" xfId="1677" xr:uid="{00000000-0005-0000-0000-000078000000}"/>
    <cellStyle name="40% - Accent2 2 2 2" xfId="1687" xr:uid="{00000000-0005-0000-0000-000079000000}"/>
    <cellStyle name="40% - Accent2 2 2 3" xfId="1694" xr:uid="{00000000-0005-0000-0000-00007A000000}"/>
    <cellStyle name="40% - Accent2 2 2 4" xfId="1703" xr:uid="{00000000-0005-0000-0000-00007B000000}"/>
    <cellStyle name="40% - Accent2 2 3" xfId="1718" xr:uid="{00000000-0005-0000-0000-00007C000000}"/>
    <cellStyle name="40% - Accent2 2 3 2" xfId="1731" xr:uid="{00000000-0005-0000-0000-00007D000000}"/>
    <cellStyle name="40% - Accent2 2 4" xfId="1754" xr:uid="{00000000-0005-0000-0000-00007E000000}"/>
    <cellStyle name="40% - Accent2 2 4 2" xfId="1766" xr:uid="{00000000-0005-0000-0000-00007F000000}"/>
    <cellStyle name="40% - Accent2 2 5" xfId="1776" xr:uid="{00000000-0005-0000-0000-000080000000}"/>
    <cellStyle name="40% - Accent2 2 5 2" xfId="1790" xr:uid="{00000000-0005-0000-0000-000081000000}"/>
    <cellStyle name="40% - Accent2 2 6" xfId="1803" xr:uid="{00000000-0005-0000-0000-000082000000}"/>
    <cellStyle name="40% - Accent2 2 6 2" xfId="1155" xr:uid="{00000000-0005-0000-0000-000083000000}"/>
    <cellStyle name="40% - Accent2 2 7" xfId="1807" xr:uid="{00000000-0005-0000-0000-000084000000}"/>
    <cellStyle name="40% - Accent2 2 8" xfId="1811" xr:uid="{00000000-0005-0000-0000-000085000000}"/>
    <cellStyle name="40% - Accent2 3" xfId="1814" xr:uid="{00000000-0005-0000-0000-000086000000}"/>
    <cellStyle name="40% - Accent2 4" xfId="1816" xr:uid="{00000000-0005-0000-0000-000087000000}"/>
    <cellStyle name="40% - Accent3 2" xfId="1821" xr:uid="{00000000-0005-0000-0000-000088000000}"/>
    <cellStyle name="40% - Accent3 2 2" xfId="1828" xr:uid="{00000000-0005-0000-0000-000089000000}"/>
    <cellStyle name="40% - Accent3 2 2 2" xfId="1838" xr:uid="{00000000-0005-0000-0000-00008A000000}"/>
    <cellStyle name="40% - Accent3 2 2 3" xfId="1845" xr:uid="{00000000-0005-0000-0000-00008B000000}"/>
    <cellStyle name="40% - Accent3 2 2 4" xfId="602" xr:uid="{00000000-0005-0000-0000-00008C000000}"/>
    <cellStyle name="40% - Accent3 2 3" xfId="981" xr:uid="{00000000-0005-0000-0000-00008D000000}"/>
    <cellStyle name="40% - Accent3 2 3 2" xfId="1848" xr:uid="{00000000-0005-0000-0000-00008E000000}"/>
    <cellStyle name="40% - Accent3 2 4" xfId="1870" xr:uid="{00000000-0005-0000-0000-00008F000000}"/>
    <cellStyle name="40% - Accent3 2 4 2" xfId="1887" xr:uid="{00000000-0005-0000-0000-000090000000}"/>
    <cellStyle name="40% - Accent3 2 5" xfId="127" xr:uid="{00000000-0005-0000-0000-000091000000}"/>
    <cellStyle name="40% - Accent3 2 5 2" xfId="1900" xr:uid="{00000000-0005-0000-0000-000092000000}"/>
    <cellStyle name="40% - Accent3 2 6" xfId="1903" xr:uid="{00000000-0005-0000-0000-000093000000}"/>
    <cellStyle name="40% - Accent3 2 6 2" xfId="303" xr:uid="{00000000-0005-0000-0000-000094000000}"/>
    <cellStyle name="40% - Accent3 2 7" xfId="1906" xr:uid="{00000000-0005-0000-0000-000095000000}"/>
    <cellStyle name="40% - Accent3 2 8" xfId="1908" xr:uid="{00000000-0005-0000-0000-000096000000}"/>
    <cellStyle name="40% - Accent3 3" xfId="1912" xr:uid="{00000000-0005-0000-0000-000097000000}"/>
    <cellStyle name="40% - Accent3 4" xfId="1917" xr:uid="{00000000-0005-0000-0000-000098000000}"/>
    <cellStyle name="40% - Accent4 2" xfId="1919" xr:uid="{00000000-0005-0000-0000-000099000000}"/>
    <cellStyle name="40% - Accent4 2 2" xfId="1920" xr:uid="{00000000-0005-0000-0000-00009A000000}"/>
    <cellStyle name="40% - Accent4 2 2 2" xfId="1937" xr:uid="{00000000-0005-0000-0000-00009B000000}"/>
    <cellStyle name="40% - Accent4 2 2 3" xfId="1939" xr:uid="{00000000-0005-0000-0000-00009C000000}"/>
    <cellStyle name="40% - Accent4 2 2 4" xfId="1948" xr:uid="{00000000-0005-0000-0000-00009D000000}"/>
    <cellStyle name="40% - Accent4 2 3" xfId="1956" xr:uid="{00000000-0005-0000-0000-00009E000000}"/>
    <cellStyle name="40% - Accent4 2 3 2" xfId="418" xr:uid="{00000000-0005-0000-0000-00009F000000}"/>
    <cellStyle name="40% - Accent4 2 4" xfId="1958" xr:uid="{00000000-0005-0000-0000-0000A0000000}"/>
    <cellStyle name="40% - Accent4 2 4 2" xfId="1961" xr:uid="{00000000-0005-0000-0000-0000A1000000}"/>
    <cellStyle name="40% - Accent4 2 5" xfId="1963" xr:uid="{00000000-0005-0000-0000-0000A2000000}"/>
    <cellStyle name="40% - Accent4 2 5 2" xfId="1966" xr:uid="{00000000-0005-0000-0000-0000A3000000}"/>
    <cellStyle name="40% - Accent4 2 6" xfId="1967" xr:uid="{00000000-0005-0000-0000-0000A4000000}"/>
    <cellStyle name="40% - Accent4 2 6 2" xfId="1971" xr:uid="{00000000-0005-0000-0000-0000A5000000}"/>
    <cellStyle name="40% - Accent4 2 7" xfId="1972" xr:uid="{00000000-0005-0000-0000-0000A6000000}"/>
    <cellStyle name="40% - Accent4 2 8" xfId="1974" xr:uid="{00000000-0005-0000-0000-0000A7000000}"/>
    <cellStyle name="40% - Accent4 3" xfId="1977" xr:uid="{00000000-0005-0000-0000-0000A8000000}"/>
    <cellStyle name="40% - Accent4 4" xfId="1924" xr:uid="{00000000-0005-0000-0000-0000A9000000}"/>
    <cellStyle name="40% - Accent5 2" xfId="1983" xr:uid="{00000000-0005-0000-0000-0000AA000000}"/>
    <cellStyle name="40% - Accent5 2 2" xfId="1990" xr:uid="{00000000-0005-0000-0000-0000AB000000}"/>
    <cellStyle name="40% - Accent5 2 2 2" xfId="1994" xr:uid="{00000000-0005-0000-0000-0000AC000000}"/>
    <cellStyle name="40% - Accent5 2 2 3" xfId="2000" xr:uid="{00000000-0005-0000-0000-0000AD000000}"/>
    <cellStyle name="40% - Accent5 2 2 4" xfId="2019" xr:uid="{00000000-0005-0000-0000-0000AE000000}"/>
    <cellStyle name="40% - Accent5 2 3" xfId="2028" xr:uid="{00000000-0005-0000-0000-0000AF000000}"/>
    <cellStyle name="40% - Accent5 2 3 2" xfId="2038" xr:uid="{00000000-0005-0000-0000-0000B0000000}"/>
    <cellStyle name="40% - Accent5 2 4" xfId="2047" xr:uid="{00000000-0005-0000-0000-0000B1000000}"/>
    <cellStyle name="40% - Accent5 2 4 2" xfId="2050" xr:uid="{00000000-0005-0000-0000-0000B2000000}"/>
    <cellStyle name="40% - Accent5 2 5" xfId="2069" xr:uid="{00000000-0005-0000-0000-0000B3000000}"/>
    <cellStyle name="40% - Accent5 2 5 2" xfId="2076" xr:uid="{00000000-0005-0000-0000-0000B4000000}"/>
    <cellStyle name="40% - Accent5 2 6" xfId="2083" xr:uid="{00000000-0005-0000-0000-0000B5000000}"/>
    <cellStyle name="40% - Accent5 2 6 2" xfId="864" xr:uid="{00000000-0005-0000-0000-0000B6000000}"/>
    <cellStyle name="40% - Accent5 2 7" xfId="2088" xr:uid="{00000000-0005-0000-0000-0000B7000000}"/>
    <cellStyle name="40% - Accent5 2 8" xfId="2096" xr:uid="{00000000-0005-0000-0000-0000B8000000}"/>
    <cellStyle name="40% - Accent5 3" xfId="2109" xr:uid="{00000000-0005-0000-0000-0000B9000000}"/>
    <cellStyle name="40% - Accent5 4" xfId="2117" xr:uid="{00000000-0005-0000-0000-0000BA000000}"/>
    <cellStyle name="40% - Accent6 2" xfId="2125" xr:uid="{00000000-0005-0000-0000-0000BB000000}"/>
    <cellStyle name="40% - Accent6 2 2" xfId="2132" xr:uid="{00000000-0005-0000-0000-0000BC000000}"/>
    <cellStyle name="40% - Accent6 2 2 2" xfId="2148" xr:uid="{00000000-0005-0000-0000-0000BD000000}"/>
    <cellStyle name="40% - Accent6 2 2 3" xfId="1192" xr:uid="{00000000-0005-0000-0000-0000BE000000}"/>
    <cellStyle name="40% - Accent6 2 2 4" xfId="1304" xr:uid="{00000000-0005-0000-0000-0000BF000000}"/>
    <cellStyle name="40% - Accent6 2 3" xfId="2159" xr:uid="{00000000-0005-0000-0000-0000C0000000}"/>
    <cellStyle name="40% - Accent6 2 3 2" xfId="2170" xr:uid="{00000000-0005-0000-0000-0000C1000000}"/>
    <cellStyle name="40% - Accent6 2 4" xfId="1143" xr:uid="{00000000-0005-0000-0000-0000C2000000}"/>
    <cellStyle name="40% - Accent6 2 4 2" xfId="2090" xr:uid="{00000000-0005-0000-0000-0000C3000000}"/>
    <cellStyle name="40% - Accent6 2 5" xfId="2179" xr:uid="{00000000-0005-0000-0000-0000C4000000}"/>
    <cellStyle name="40% - Accent6 2 5 2" xfId="2197" xr:uid="{00000000-0005-0000-0000-0000C5000000}"/>
    <cellStyle name="40% - Accent6 2 6" xfId="2201" xr:uid="{00000000-0005-0000-0000-0000C6000000}"/>
    <cellStyle name="40% - Accent6 2 6 2" xfId="2210" xr:uid="{00000000-0005-0000-0000-0000C7000000}"/>
    <cellStyle name="40% - Accent6 2 7" xfId="2230" xr:uid="{00000000-0005-0000-0000-0000C8000000}"/>
    <cellStyle name="40% - Accent6 2 8" xfId="338" xr:uid="{00000000-0005-0000-0000-0000C9000000}"/>
    <cellStyle name="40% - Accent6 3" xfId="2247" xr:uid="{00000000-0005-0000-0000-0000CA000000}"/>
    <cellStyle name="40% - Accent6 4" xfId="1936" xr:uid="{00000000-0005-0000-0000-0000CB000000}"/>
    <cellStyle name="60% - Accent1 2" xfId="2249" xr:uid="{00000000-0005-0000-0000-0000CC000000}"/>
    <cellStyle name="60% - Accent1 3" xfId="2072" xr:uid="{00000000-0005-0000-0000-0000CD000000}"/>
    <cellStyle name="60% - Accent2 2" xfId="840" xr:uid="{00000000-0005-0000-0000-0000CE000000}"/>
    <cellStyle name="60% - Accent2 3" xfId="857" xr:uid="{00000000-0005-0000-0000-0000CF000000}"/>
    <cellStyle name="60% - Accent3 2" xfId="359" xr:uid="{00000000-0005-0000-0000-0000D0000000}"/>
    <cellStyle name="60% - Accent3 3" xfId="2254" xr:uid="{00000000-0005-0000-0000-0000D1000000}"/>
    <cellStyle name="60% - Accent4 2" xfId="2270" xr:uid="{00000000-0005-0000-0000-0000D2000000}"/>
    <cellStyle name="60% - Accent4 3" xfId="2282" xr:uid="{00000000-0005-0000-0000-0000D3000000}"/>
    <cellStyle name="60% - Accent5 2" xfId="2290" xr:uid="{00000000-0005-0000-0000-0000D4000000}"/>
    <cellStyle name="60% - Accent5 3" xfId="2300" xr:uid="{00000000-0005-0000-0000-0000D5000000}"/>
    <cellStyle name="60% - Accent6 2" xfId="1957" xr:uid="{00000000-0005-0000-0000-0000D6000000}"/>
    <cellStyle name="60% - Accent6 3" xfId="1962" xr:uid="{00000000-0005-0000-0000-0000D7000000}"/>
    <cellStyle name="Accent1 2" xfId="2308" xr:uid="{00000000-0005-0000-0000-0000D8000000}"/>
    <cellStyle name="Accent1 3" xfId="2321" xr:uid="{00000000-0005-0000-0000-0000D9000000}"/>
    <cellStyle name="Accent2 2" xfId="2325" xr:uid="{00000000-0005-0000-0000-0000DA000000}"/>
    <cellStyle name="Accent2 3" xfId="2335" xr:uid="{00000000-0005-0000-0000-0000DB000000}"/>
    <cellStyle name="Accent3 2" xfId="2237" xr:uid="{00000000-0005-0000-0000-0000DC000000}"/>
    <cellStyle name="Accent3 3" xfId="353" xr:uid="{00000000-0005-0000-0000-0000DD000000}"/>
    <cellStyle name="Accent4 2" xfId="552" xr:uid="{00000000-0005-0000-0000-0000DE000000}"/>
    <cellStyle name="Accent4 3" xfId="2350" xr:uid="{00000000-0005-0000-0000-0000DF000000}"/>
    <cellStyle name="Accent5 2" xfId="1555" xr:uid="{00000000-0005-0000-0000-0000E0000000}"/>
    <cellStyle name="Accent5 3" xfId="2373" xr:uid="{00000000-0005-0000-0000-0000E1000000}"/>
    <cellStyle name="Accent6 2" xfId="2395" xr:uid="{00000000-0005-0000-0000-0000E2000000}"/>
    <cellStyle name="Accent6 3" xfId="2409" xr:uid="{00000000-0005-0000-0000-0000E3000000}"/>
    <cellStyle name="Bad 2" xfId="2419" xr:uid="{00000000-0005-0000-0000-0000E4000000}"/>
    <cellStyle name="Bad 3" xfId="158" xr:uid="{00000000-0005-0000-0000-0000E5000000}"/>
    <cellStyle name="Calculation 10" xfId="885" xr:uid="{00000000-0005-0000-0000-0000E6000000}"/>
    <cellStyle name="Calculation 2" xfId="1394" xr:uid="{00000000-0005-0000-0000-0000E7000000}"/>
    <cellStyle name="Calculation 2 10" xfId="141" xr:uid="{00000000-0005-0000-0000-0000E8000000}"/>
    <cellStyle name="Calculation 2 11" xfId="226" xr:uid="{00000000-0005-0000-0000-0000E9000000}"/>
    <cellStyle name="Calculation 2 12" xfId="246" xr:uid="{00000000-0005-0000-0000-0000EA000000}"/>
    <cellStyle name="Calculation 2 13" xfId="1036" xr:uid="{00000000-0005-0000-0000-0000EB000000}"/>
    <cellStyle name="Calculation 2 2" xfId="165" xr:uid="{00000000-0005-0000-0000-0000EC000000}"/>
    <cellStyle name="Calculation 2 2 10" xfId="2431" xr:uid="{00000000-0005-0000-0000-0000ED000000}"/>
    <cellStyle name="Calculation 2 2 11" xfId="2445" xr:uid="{00000000-0005-0000-0000-0000EE000000}"/>
    <cellStyle name="Calculation 2 2 12" xfId="2458" xr:uid="{00000000-0005-0000-0000-0000EF000000}"/>
    <cellStyle name="Calculation 2 2 2" xfId="2172" xr:uid="{00000000-0005-0000-0000-0000F0000000}"/>
    <cellStyle name="Calculation 2 2 2 2" xfId="2196" xr:uid="{00000000-0005-0000-0000-0000F1000000}"/>
    <cellStyle name="Calculation 2 2 2 2 2" xfId="2472" xr:uid="{00000000-0005-0000-0000-0000F2000000}"/>
    <cellStyle name="Calculation 2 2 2 2 2 2" xfId="1942" xr:uid="{00000000-0005-0000-0000-0000F3000000}"/>
    <cellStyle name="Calculation 2 2 2 2 2 2 2" xfId="647" xr:uid="{00000000-0005-0000-0000-0000F4000000}"/>
    <cellStyle name="Calculation 2 2 2 2 2 2 2 2" xfId="714" xr:uid="{00000000-0005-0000-0000-0000F5000000}"/>
    <cellStyle name="Calculation 2 2 2 2 2 2 2 2 2" xfId="2481" xr:uid="{00000000-0005-0000-0000-0000F6000000}"/>
    <cellStyle name="Calculation 2 2 2 2 2 2 2 2 3" xfId="2490" xr:uid="{00000000-0005-0000-0000-0000F7000000}"/>
    <cellStyle name="Calculation 2 2 2 2 2 2 2 2 4" xfId="2497" xr:uid="{00000000-0005-0000-0000-0000F8000000}"/>
    <cellStyle name="Calculation 2 2 2 2 2 2 2 3" xfId="260" xr:uid="{00000000-0005-0000-0000-0000F9000000}"/>
    <cellStyle name="Calculation 2 2 2 2 2 2 2 4" xfId="2507" xr:uid="{00000000-0005-0000-0000-0000FA000000}"/>
    <cellStyle name="Calculation 2 2 2 2 2 2 2 5" xfId="2522" xr:uid="{00000000-0005-0000-0000-0000FB000000}"/>
    <cellStyle name="Calculation 2 2 2 2 2 2 3" xfId="659" xr:uid="{00000000-0005-0000-0000-0000FC000000}"/>
    <cellStyle name="Calculation 2 2 2 2 2 2 3 2" xfId="755" xr:uid="{00000000-0005-0000-0000-0000FD000000}"/>
    <cellStyle name="Calculation 2 2 2 2 2 2 3 3" xfId="2545" xr:uid="{00000000-0005-0000-0000-0000FE000000}"/>
    <cellStyle name="Calculation 2 2 2 2 2 2 3 4" xfId="2557" xr:uid="{00000000-0005-0000-0000-0000FF000000}"/>
    <cellStyle name="Calculation 2 2 2 2 2 2 4" xfId="620" xr:uid="{00000000-0005-0000-0000-000000010000}"/>
    <cellStyle name="Calculation 2 2 2 2 2 2 5" xfId="734" xr:uid="{00000000-0005-0000-0000-000001010000}"/>
    <cellStyle name="Calculation 2 2 2 2 2 2 6" xfId="768" xr:uid="{00000000-0005-0000-0000-000002010000}"/>
    <cellStyle name="Calculation 2 2 2 2 2 3" xfId="1955" xr:uid="{00000000-0005-0000-0000-000003010000}"/>
    <cellStyle name="Calculation 2 2 2 2 2 3 2" xfId="2564" xr:uid="{00000000-0005-0000-0000-000004010000}"/>
    <cellStyle name="Calculation 2 2 2 2 2 3 2 2" xfId="2571" xr:uid="{00000000-0005-0000-0000-000005010000}"/>
    <cellStyle name="Calculation 2 2 2 2 2 3 2 3" xfId="2579" xr:uid="{00000000-0005-0000-0000-000006010000}"/>
    <cellStyle name="Calculation 2 2 2 2 2 3 2 4" xfId="2588" xr:uid="{00000000-0005-0000-0000-000007010000}"/>
    <cellStyle name="Calculation 2 2 2 2 2 3 3" xfId="2597" xr:uid="{00000000-0005-0000-0000-000008010000}"/>
    <cellStyle name="Calculation 2 2 2 2 2 3 4" xfId="2602" xr:uid="{00000000-0005-0000-0000-000009010000}"/>
    <cellStyle name="Calculation 2 2 2 2 2 3 5" xfId="1610" xr:uid="{00000000-0005-0000-0000-00000A010000}"/>
    <cellStyle name="Calculation 2 2 2 2 2 4" xfId="2612" xr:uid="{00000000-0005-0000-0000-00000B010000}"/>
    <cellStyle name="Calculation 2 2 2 2 2 4 2" xfId="2623" xr:uid="{00000000-0005-0000-0000-00000C010000}"/>
    <cellStyle name="Calculation 2 2 2 2 2 4 3" xfId="1338" xr:uid="{00000000-0005-0000-0000-00000D010000}"/>
    <cellStyle name="Calculation 2 2 2 2 2 4 4" xfId="1388" xr:uid="{00000000-0005-0000-0000-00000E010000}"/>
    <cellStyle name="Calculation 2 2 2 2 2 5" xfId="2636" xr:uid="{00000000-0005-0000-0000-00000F010000}"/>
    <cellStyle name="Calculation 2 2 2 2 2 6" xfId="2650" xr:uid="{00000000-0005-0000-0000-000010010000}"/>
    <cellStyle name="Calculation 2 2 2 2 2 7" xfId="2669" xr:uid="{00000000-0005-0000-0000-000011010000}"/>
    <cellStyle name="Calculation 2 2 2 2 3" xfId="185" xr:uid="{00000000-0005-0000-0000-000012010000}"/>
    <cellStyle name="Calculation 2 2 2 2 3 2" xfId="450" xr:uid="{00000000-0005-0000-0000-000013010000}"/>
    <cellStyle name="Calculation 2 2 2 2 3 2 2" xfId="838" xr:uid="{00000000-0005-0000-0000-000014010000}"/>
    <cellStyle name="Calculation 2 2 2 2 3 2 2 2" xfId="844" xr:uid="{00000000-0005-0000-0000-000015010000}"/>
    <cellStyle name="Calculation 2 2 2 2 3 2 2 3" xfId="2673" xr:uid="{00000000-0005-0000-0000-000016010000}"/>
    <cellStyle name="Calculation 2 2 2 2 3 2 2 4" xfId="2674" xr:uid="{00000000-0005-0000-0000-000017010000}"/>
    <cellStyle name="Calculation 2 2 2 2 3 2 3" xfId="855" xr:uid="{00000000-0005-0000-0000-000018010000}"/>
    <cellStyle name="Calculation 2 2 2 2 3 2 4" xfId="873" xr:uid="{00000000-0005-0000-0000-000019010000}"/>
    <cellStyle name="Calculation 2 2 2 2 3 2 5" xfId="898" xr:uid="{00000000-0005-0000-0000-00001A010000}"/>
    <cellStyle name="Calculation 2 2 2 2 3 3" xfId="289" xr:uid="{00000000-0005-0000-0000-00001B010000}"/>
    <cellStyle name="Calculation 2 2 2 2 3 3 2" xfId="374" xr:uid="{00000000-0005-0000-0000-00001C010000}"/>
    <cellStyle name="Calculation 2 2 2 2 3 3 3" xfId="2267" xr:uid="{00000000-0005-0000-0000-00001D010000}"/>
    <cellStyle name="Calculation 2 2 2 2 3 3 4" xfId="2684" xr:uid="{00000000-0005-0000-0000-00001E010000}"/>
    <cellStyle name="Calculation 2 2 2 2 3 4" xfId="106" xr:uid="{00000000-0005-0000-0000-00001F010000}"/>
    <cellStyle name="Calculation 2 2 2 2 3 5" xfId="539" xr:uid="{00000000-0005-0000-0000-000020010000}"/>
    <cellStyle name="Calculation 2 2 2 2 3 6" xfId="596" xr:uid="{00000000-0005-0000-0000-000021010000}"/>
    <cellStyle name="Calculation 2 2 2 2 4" xfId="2689" xr:uid="{00000000-0005-0000-0000-000022010000}"/>
    <cellStyle name="Calculation 2 2 2 2 4 2" xfId="2691" xr:uid="{00000000-0005-0000-0000-000023010000}"/>
    <cellStyle name="Calculation 2 2 2 2 4 2 2" xfId="998" xr:uid="{00000000-0005-0000-0000-000024010000}"/>
    <cellStyle name="Calculation 2 2 2 2 4 2 3" xfId="1010" xr:uid="{00000000-0005-0000-0000-000025010000}"/>
    <cellStyle name="Calculation 2 2 2 2 4 2 4" xfId="204" xr:uid="{00000000-0005-0000-0000-000026010000}"/>
    <cellStyle name="Calculation 2 2 2 2 4 3" xfId="2702" xr:uid="{00000000-0005-0000-0000-000027010000}"/>
    <cellStyle name="Calculation 2 2 2 2 4 4" xfId="2716" xr:uid="{00000000-0005-0000-0000-000028010000}"/>
    <cellStyle name="Calculation 2 2 2 2 4 5" xfId="2741" xr:uid="{00000000-0005-0000-0000-000029010000}"/>
    <cellStyle name="Calculation 2 2 2 2 5" xfId="1042" xr:uid="{00000000-0005-0000-0000-00002A010000}"/>
    <cellStyle name="Calculation 2 2 2 2 5 2" xfId="1050" xr:uid="{00000000-0005-0000-0000-00002B010000}"/>
    <cellStyle name="Calculation 2 2 2 2 5 3" xfId="1099" xr:uid="{00000000-0005-0000-0000-00002C010000}"/>
    <cellStyle name="Calculation 2 2 2 2 5 4" xfId="1063" xr:uid="{00000000-0005-0000-0000-00002D010000}"/>
    <cellStyle name="Calculation 2 2 2 2 6" xfId="1167" xr:uid="{00000000-0005-0000-0000-00002E010000}"/>
    <cellStyle name="Calculation 2 2 2 2 7" xfId="1172" xr:uid="{00000000-0005-0000-0000-00002F010000}"/>
    <cellStyle name="Calculation 2 2 2 2 8" xfId="2745" xr:uid="{00000000-0005-0000-0000-000030010000}"/>
    <cellStyle name="Calculation 2 2 2 3" xfId="2757" xr:uid="{00000000-0005-0000-0000-000031010000}"/>
    <cellStyle name="Calculation 2 2 2 3 2" xfId="84" xr:uid="{00000000-0005-0000-0000-000032010000}"/>
    <cellStyle name="Calculation 2 2 2 3 2 2" xfId="2768" xr:uid="{00000000-0005-0000-0000-000033010000}"/>
    <cellStyle name="Calculation 2 2 2 3 2 2 2" xfId="2626" xr:uid="{00000000-0005-0000-0000-000034010000}"/>
    <cellStyle name="Calculation 2 2 2 3 2 2 2 2" xfId="942" xr:uid="{00000000-0005-0000-0000-000035010000}"/>
    <cellStyle name="Calculation 2 2 2 3 2 2 2 3" xfId="961" xr:uid="{00000000-0005-0000-0000-000036010000}"/>
    <cellStyle name="Calculation 2 2 2 3 2 2 2 4" xfId="2771" xr:uid="{00000000-0005-0000-0000-000037010000}"/>
    <cellStyle name="Calculation 2 2 2 3 2 2 3" xfId="2642" xr:uid="{00000000-0005-0000-0000-000038010000}"/>
    <cellStyle name="Calculation 2 2 2 3 2 2 4" xfId="2661" xr:uid="{00000000-0005-0000-0000-000039010000}"/>
    <cellStyle name="Calculation 2 2 2 3 2 2 5" xfId="1726" xr:uid="{00000000-0005-0000-0000-00003A010000}"/>
    <cellStyle name="Calculation 2 2 2 3 2 3" xfId="2784" xr:uid="{00000000-0005-0000-0000-00003B010000}"/>
    <cellStyle name="Calculation 2 2 2 3 2 3 2" xfId="654" xr:uid="{00000000-0005-0000-0000-00003C010000}"/>
    <cellStyle name="Calculation 2 2 2 3 2 3 3" xfId="668" xr:uid="{00000000-0005-0000-0000-00003D010000}"/>
    <cellStyle name="Calculation 2 2 2 3 2 3 4" xfId="2789" xr:uid="{00000000-0005-0000-0000-00003E010000}"/>
    <cellStyle name="Calculation 2 2 2 3 2 4" xfId="2803" xr:uid="{00000000-0005-0000-0000-00003F010000}"/>
    <cellStyle name="Calculation 2 2 2 3 2 5" xfId="2820" xr:uid="{00000000-0005-0000-0000-000040010000}"/>
    <cellStyle name="Calculation 2 2 2 3 2 6" xfId="2221" xr:uid="{00000000-0005-0000-0000-000041010000}"/>
    <cellStyle name="Calculation 2 2 2 3 3" xfId="2835" xr:uid="{00000000-0005-0000-0000-000042010000}"/>
    <cellStyle name="Calculation 2 2 2 3 3 2" xfId="2836" xr:uid="{00000000-0005-0000-0000-000043010000}"/>
    <cellStyle name="Calculation 2 2 2 3 3 2 2" xfId="2808" xr:uid="{00000000-0005-0000-0000-000044010000}"/>
    <cellStyle name="Calculation 2 2 2 3 3 2 3" xfId="2227" xr:uid="{00000000-0005-0000-0000-000045010000}"/>
    <cellStyle name="Calculation 2 2 2 3 3 2 4" xfId="2844" xr:uid="{00000000-0005-0000-0000-000046010000}"/>
    <cellStyle name="Calculation 2 2 2 3 3 3" xfId="2856" xr:uid="{00000000-0005-0000-0000-000047010000}"/>
    <cellStyle name="Calculation 2 2 2 3 3 4" xfId="2867" xr:uid="{00000000-0005-0000-0000-000048010000}"/>
    <cellStyle name="Calculation 2 2 2 3 3 5" xfId="2880" xr:uid="{00000000-0005-0000-0000-000049010000}"/>
    <cellStyle name="Calculation 2 2 2 3 4" xfId="2152" xr:uid="{00000000-0005-0000-0000-00004A010000}"/>
    <cellStyle name="Calculation 2 2 2 3 4 2" xfId="2883" xr:uid="{00000000-0005-0000-0000-00004B010000}"/>
    <cellStyle name="Calculation 2 2 2 3 4 3" xfId="2894" xr:uid="{00000000-0005-0000-0000-00004C010000}"/>
    <cellStyle name="Calculation 2 2 2 3 4 4" xfId="2906" xr:uid="{00000000-0005-0000-0000-00004D010000}"/>
    <cellStyle name="Calculation 2 2 2 3 5" xfId="1175" xr:uid="{00000000-0005-0000-0000-00004E010000}"/>
    <cellStyle name="Calculation 2 2 2 3 6" xfId="1298" xr:uid="{00000000-0005-0000-0000-00004F010000}"/>
    <cellStyle name="Calculation 2 2 2 3 7" xfId="1319" xr:uid="{00000000-0005-0000-0000-000050010000}"/>
    <cellStyle name="Calculation 2 2 2 4" xfId="2919" xr:uid="{00000000-0005-0000-0000-000051010000}"/>
    <cellStyle name="Calculation 2 2 2 4 2" xfId="2929" xr:uid="{00000000-0005-0000-0000-000052010000}"/>
    <cellStyle name="Calculation 2 2 2 4 2 2" xfId="2930" xr:uid="{00000000-0005-0000-0000-000053010000}"/>
    <cellStyle name="Calculation 2 2 2 4 2 2 2" xfId="2942" xr:uid="{00000000-0005-0000-0000-000054010000}"/>
    <cellStyle name="Calculation 2 2 2 4 2 2 3" xfId="2953" xr:uid="{00000000-0005-0000-0000-000055010000}"/>
    <cellStyle name="Calculation 2 2 2 4 2 2 4" xfId="2966" xr:uid="{00000000-0005-0000-0000-000056010000}"/>
    <cellStyle name="Calculation 2 2 2 4 2 3" xfId="2983" xr:uid="{00000000-0005-0000-0000-000057010000}"/>
    <cellStyle name="Calculation 2 2 2 4 2 4" xfId="1520" xr:uid="{00000000-0005-0000-0000-000058010000}"/>
    <cellStyle name="Calculation 2 2 2 4 2 5" xfId="1537" xr:uid="{00000000-0005-0000-0000-000059010000}"/>
    <cellStyle name="Calculation 2 2 2 4 3" xfId="2986" xr:uid="{00000000-0005-0000-0000-00005A010000}"/>
    <cellStyle name="Calculation 2 2 2 4 3 2" xfId="662" xr:uid="{00000000-0005-0000-0000-00005B010000}"/>
    <cellStyle name="Calculation 2 2 2 4 3 3" xfId="609" xr:uid="{00000000-0005-0000-0000-00005C010000}"/>
    <cellStyle name="Calculation 2 2 2 4 3 4" xfId="719" xr:uid="{00000000-0005-0000-0000-00005D010000}"/>
    <cellStyle name="Calculation 2 2 2 4 4" xfId="2162" xr:uid="{00000000-0005-0000-0000-00005E010000}"/>
    <cellStyle name="Calculation 2 2 2 4 5" xfId="1326" xr:uid="{00000000-0005-0000-0000-00005F010000}"/>
    <cellStyle name="Calculation 2 2 2 4 6" xfId="377" xr:uid="{00000000-0005-0000-0000-000060010000}"/>
    <cellStyle name="Calculation 2 2 2 5" xfId="1352" xr:uid="{00000000-0005-0000-0000-000061010000}"/>
    <cellStyle name="Calculation 2 2 2 5 2" xfId="2051" xr:uid="{00000000-0005-0000-0000-000062010000}"/>
    <cellStyle name="Calculation 2 2 2 5 2 2" xfId="2071" xr:uid="{00000000-0005-0000-0000-000063010000}"/>
    <cellStyle name="Calculation 2 2 2 5 2 3" xfId="3000" xr:uid="{00000000-0005-0000-0000-000064010000}"/>
    <cellStyle name="Calculation 2 2 2 5 2 4" xfId="3013" xr:uid="{00000000-0005-0000-0000-000065010000}"/>
    <cellStyle name="Calculation 2 2 2 5 3" xfId="2077" xr:uid="{00000000-0005-0000-0000-000066010000}"/>
    <cellStyle name="Calculation 2 2 2 5 4" xfId="2085" xr:uid="{00000000-0005-0000-0000-000067010000}"/>
    <cellStyle name="Calculation 2 2 2 5 5" xfId="2092" xr:uid="{00000000-0005-0000-0000-000068010000}"/>
    <cellStyle name="Calculation 2 2 2 6" xfId="1364" xr:uid="{00000000-0005-0000-0000-000069010000}"/>
    <cellStyle name="Calculation 2 2 2 6 2" xfId="3015" xr:uid="{00000000-0005-0000-0000-00006A010000}"/>
    <cellStyle name="Calculation 2 2 2 6 3" xfId="3022" xr:uid="{00000000-0005-0000-0000-00006B010000}"/>
    <cellStyle name="Calculation 2 2 2 6 4" xfId="2192" xr:uid="{00000000-0005-0000-0000-00006C010000}"/>
    <cellStyle name="Calculation 2 2 2 7" xfId="1373" xr:uid="{00000000-0005-0000-0000-00006D010000}"/>
    <cellStyle name="Calculation 2 2 2 8" xfId="3023" xr:uid="{00000000-0005-0000-0000-00006E010000}"/>
    <cellStyle name="Calculation 2 2 2 9" xfId="1968" xr:uid="{00000000-0005-0000-0000-00006F010000}"/>
    <cellStyle name="Calculation 2 2 3" xfId="2199" xr:uid="{00000000-0005-0000-0000-000070010000}"/>
    <cellStyle name="Calculation 2 2 3 2" xfId="2208" xr:uid="{00000000-0005-0000-0000-000071010000}"/>
    <cellStyle name="Calculation 2 2 3 2 2" xfId="3025" xr:uid="{00000000-0005-0000-0000-000072010000}"/>
    <cellStyle name="Calculation 2 2 3 2 2 2" xfId="2005" xr:uid="{00000000-0005-0000-0000-000073010000}"/>
    <cellStyle name="Calculation 2 2 3 2 2 2 2" xfId="3027" xr:uid="{00000000-0005-0000-0000-000074010000}"/>
    <cellStyle name="Calculation 2 2 3 2 2 2 2 2" xfId="2747" xr:uid="{00000000-0005-0000-0000-000075010000}"/>
    <cellStyle name="Calculation 2 2 3 2 2 2 2 2 2" xfId="80" xr:uid="{00000000-0005-0000-0000-000076010000}"/>
    <cellStyle name="Calculation 2 2 3 2 2 2 2 2 3" xfId="2831" xr:uid="{00000000-0005-0000-0000-000077010000}"/>
    <cellStyle name="Calculation 2 2 3 2 2 2 2 2 4" xfId="2147" xr:uid="{00000000-0005-0000-0000-000078010000}"/>
    <cellStyle name="Calculation 2 2 3 2 2 2 2 3" xfId="2909" xr:uid="{00000000-0005-0000-0000-000079010000}"/>
    <cellStyle name="Calculation 2 2 3 2 2 2 2 4" xfId="1341" xr:uid="{00000000-0005-0000-0000-00007A010000}"/>
    <cellStyle name="Calculation 2 2 3 2 2 2 2 5" xfId="1357" xr:uid="{00000000-0005-0000-0000-00007B010000}"/>
    <cellStyle name="Calculation 2 2 3 2 2 2 3" xfId="3030" xr:uid="{00000000-0005-0000-0000-00007C010000}"/>
    <cellStyle name="Calculation 2 2 3 2 2 2 3 2" xfId="2845" xr:uid="{00000000-0005-0000-0000-00007D010000}"/>
    <cellStyle name="Calculation 2 2 3 2 2 2 3 3" xfId="3034" xr:uid="{00000000-0005-0000-0000-00007E010000}"/>
    <cellStyle name="Calculation 2 2 3 2 2 2 3 4" xfId="159" xr:uid="{00000000-0005-0000-0000-00007F010000}"/>
    <cellStyle name="Calculation 2 2 3 2 2 2 4" xfId="3035" xr:uid="{00000000-0005-0000-0000-000080010000}"/>
    <cellStyle name="Calculation 2 2 3 2 2 2 5" xfId="2413" xr:uid="{00000000-0005-0000-0000-000081010000}"/>
    <cellStyle name="Calculation 2 2 3 2 2 2 6" xfId="149" xr:uid="{00000000-0005-0000-0000-000082010000}"/>
    <cellStyle name="Calculation 2 2 3 2 2 3" xfId="2011" xr:uid="{00000000-0005-0000-0000-000083010000}"/>
    <cellStyle name="Calculation 2 2 3 2 2 3 2" xfId="3038" xr:uid="{00000000-0005-0000-0000-000084010000}"/>
    <cellStyle name="Calculation 2 2 3 2 2 3 2 2" xfId="2341" xr:uid="{00000000-0005-0000-0000-000085010000}"/>
    <cellStyle name="Calculation 2 2 3 2 2 3 2 3" xfId="3049" xr:uid="{00000000-0005-0000-0000-000086010000}"/>
    <cellStyle name="Calculation 2 2 3 2 2 3 2 4" xfId="3057" xr:uid="{00000000-0005-0000-0000-000087010000}"/>
    <cellStyle name="Calculation 2 2 3 2 2 3 3" xfId="3063" xr:uid="{00000000-0005-0000-0000-000088010000}"/>
    <cellStyle name="Calculation 2 2 3 2 2 3 4" xfId="1835" xr:uid="{00000000-0005-0000-0000-000089010000}"/>
    <cellStyle name="Calculation 2 2 3 2 2 3 5" xfId="1843" xr:uid="{00000000-0005-0000-0000-00008A010000}"/>
    <cellStyle name="Calculation 2 2 3 2 2 4" xfId="3070" xr:uid="{00000000-0005-0000-0000-00008B010000}"/>
    <cellStyle name="Calculation 2 2 3 2 2 4 2" xfId="2957" xr:uid="{00000000-0005-0000-0000-00008C010000}"/>
    <cellStyle name="Calculation 2 2 3 2 2 4 3" xfId="2976" xr:uid="{00000000-0005-0000-0000-00008D010000}"/>
    <cellStyle name="Calculation 2 2 3 2 2 4 4" xfId="1857" xr:uid="{00000000-0005-0000-0000-00008E010000}"/>
    <cellStyle name="Calculation 2 2 3 2 2 5" xfId="2936" xr:uid="{00000000-0005-0000-0000-00008F010000}"/>
    <cellStyle name="Calculation 2 2 3 2 2 6" xfId="2947" xr:uid="{00000000-0005-0000-0000-000090010000}"/>
    <cellStyle name="Calculation 2 2 3 2 2 7" xfId="2962" xr:uid="{00000000-0005-0000-0000-000091010000}"/>
    <cellStyle name="Calculation 2 2 3 2 3" xfId="3075" xr:uid="{00000000-0005-0000-0000-000092010000}"/>
    <cellStyle name="Calculation 2 2 3 2 3 2" xfId="3076" xr:uid="{00000000-0005-0000-0000-000093010000}"/>
    <cellStyle name="Calculation 2 2 3 2 3 2 2" xfId="3080" xr:uid="{00000000-0005-0000-0000-000094010000}"/>
    <cellStyle name="Calculation 2 2 3 2 3 2 2 2" xfId="2509" xr:uid="{00000000-0005-0000-0000-000095010000}"/>
    <cellStyle name="Calculation 2 2 3 2 3 2 2 3" xfId="2523" xr:uid="{00000000-0005-0000-0000-000096010000}"/>
    <cellStyle name="Calculation 2 2 3 2 3 2 2 4" xfId="3083" xr:uid="{00000000-0005-0000-0000-000097010000}"/>
    <cellStyle name="Calculation 2 2 3 2 3 2 3" xfId="3084" xr:uid="{00000000-0005-0000-0000-000098010000}"/>
    <cellStyle name="Calculation 2 2 3 2 3 2 4" xfId="3085" xr:uid="{00000000-0005-0000-0000-000099010000}"/>
    <cellStyle name="Calculation 2 2 3 2 3 2 5" xfId="3086" xr:uid="{00000000-0005-0000-0000-00009A010000}"/>
    <cellStyle name="Calculation 2 2 3 2 3 3" xfId="3093" xr:uid="{00000000-0005-0000-0000-00009B010000}"/>
    <cellStyle name="Calculation 2 2 3 2 3 3 2" xfId="256" xr:uid="{00000000-0005-0000-0000-00009C010000}"/>
    <cellStyle name="Calculation 2 2 3 2 3 3 3" xfId="2504" xr:uid="{00000000-0005-0000-0000-00009D010000}"/>
    <cellStyle name="Calculation 2 2 3 2 3 3 4" xfId="2519" xr:uid="{00000000-0005-0000-0000-00009E010000}"/>
    <cellStyle name="Calculation 2 2 3 2 3 4" xfId="3099" xr:uid="{00000000-0005-0000-0000-00009F010000}"/>
    <cellStyle name="Calculation 2 2 3 2 3 5" xfId="3107" xr:uid="{00000000-0005-0000-0000-0000A0010000}"/>
    <cellStyle name="Calculation 2 2 3 2 3 6" xfId="3116" xr:uid="{00000000-0005-0000-0000-0000A1010000}"/>
    <cellStyle name="Calculation 2 2 3 2 4" xfId="3120" xr:uid="{00000000-0005-0000-0000-0000A2010000}"/>
    <cellStyle name="Calculation 2 2 3 2 4 2" xfId="3122" xr:uid="{00000000-0005-0000-0000-0000A3010000}"/>
    <cellStyle name="Calculation 2 2 3 2 4 2 2" xfId="3127" xr:uid="{00000000-0005-0000-0000-0000A4010000}"/>
    <cellStyle name="Calculation 2 2 3 2 4 2 3" xfId="2485" xr:uid="{00000000-0005-0000-0000-0000A5010000}"/>
    <cellStyle name="Calculation 2 2 3 2 4 2 4" xfId="2493" xr:uid="{00000000-0005-0000-0000-0000A6010000}"/>
    <cellStyle name="Calculation 2 2 3 2 4 3" xfId="3138" xr:uid="{00000000-0005-0000-0000-0000A7010000}"/>
    <cellStyle name="Calculation 2 2 3 2 4 4" xfId="3146" xr:uid="{00000000-0005-0000-0000-0000A8010000}"/>
    <cellStyle name="Calculation 2 2 3 2 4 5" xfId="3157" xr:uid="{00000000-0005-0000-0000-0000A9010000}"/>
    <cellStyle name="Calculation 2 2 3 2 5" xfId="3161" xr:uid="{00000000-0005-0000-0000-0000AA010000}"/>
    <cellStyle name="Calculation 2 2 3 2 5 2" xfId="2994" xr:uid="{00000000-0005-0000-0000-0000AB010000}"/>
    <cellStyle name="Calculation 2 2 3 2 5 3" xfId="3007" xr:uid="{00000000-0005-0000-0000-0000AC010000}"/>
    <cellStyle name="Calculation 2 2 3 2 5 4" xfId="1208" xr:uid="{00000000-0005-0000-0000-0000AD010000}"/>
    <cellStyle name="Calculation 2 2 3 2 6" xfId="3166" xr:uid="{00000000-0005-0000-0000-0000AE010000}"/>
    <cellStyle name="Calculation 2 2 3 2 7" xfId="3171" xr:uid="{00000000-0005-0000-0000-0000AF010000}"/>
    <cellStyle name="Calculation 2 2 3 2 8" xfId="848" xr:uid="{00000000-0005-0000-0000-0000B0010000}"/>
    <cellStyle name="Calculation 2 2 3 3" xfId="2842" xr:uid="{00000000-0005-0000-0000-0000B1010000}"/>
    <cellStyle name="Calculation 2 2 3 3 2" xfId="1647" xr:uid="{00000000-0005-0000-0000-0000B2010000}"/>
    <cellStyle name="Calculation 2 2 3 3 2 2" xfId="518" xr:uid="{00000000-0005-0000-0000-0000B3010000}"/>
    <cellStyle name="Calculation 2 2 3 3 2 2 2" xfId="1982" xr:uid="{00000000-0005-0000-0000-0000B4010000}"/>
    <cellStyle name="Calculation 2 2 3 3 2 2 2 2" xfId="1988" xr:uid="{00000000-0005-0000-0000-0000B5010000}"/>
    <cellStyle name="Calculation 2 2 3 3 2 2 2 3" xfId="2026" xr:uid="{00000000-0005-0000-0000-0000B6010000}"/>
    <cellStyle name="Calculation 2 2 3 3 2 2 2 4" xfId="2045" xr:uid="{00000000-0005-0000-0000-0000B7010000}"/>
    <cellStyle name="Calculation 2 2 3 3 2 2 3" xfId="2108" xr:uid="{00000000-0005-0000-0000-0000B8010000}"/>
    <cellStyle name="Calculation 2 2 3 3 2 2 4" xfId="2116" xr:uid="{00000000-0005-0000-0000-0000B9010000}"/>
    <cellStyle name="Calculation 2 2 3 3 2 2 5" xfId="3181" xr:uid="{00000000-0005-0000-0000-0000BA010000}"/>
    <cellStyle name="Calculation 2 2 3 3 2 3" xfId="579" xr:uid="{00000000-0005-0000-0000-0000BB010000}"/>
    <cellStyle name="Calculation 2 2 3 3 2 3 2" xfId="2124" xr:uid="{00000000-0005-0000-0000-0000BC010000}"/>
    <cellStyle name="Calculation 2 2 3 3 2 3 3" xfId="2246" xr:uid="{00000000-0005-0000-0000-0000BD010000}"/>
    <cellStyle name="Calculation 2 2 3 3 2 3 4" xfId="1935" xr:uid="{00000000-0005-0000-0000-0000BE010000}"/>
    <cellStyle name="Calculation 2 2 3 3 2 4" xfId="3190" xr:uid="{00000000-0005-0000-0000-0000BF010000}"/>
    <cellStyle name="Calculation 2 2 3 3 2 5" xfId="743" xr:uid="{00000000-0005-0000-0000-0000C0010000}"/>
    <cellStyle name="Calculation 2 2 3 3 2 6" xfId="2529" xr:uid="{00000000-0005-0000-0000-0000C1010000}"/>
    <cellStyle name="Calculation 2 2 3 3 3" xfId="3196" xr:uid="{00000000-0005-0000-0000-0000C2010000}"/>
    <cellStyle name="Calculation 2 2 3 3 3 2" xfId="3204" xr:uid="{00000000-0005-0000-0000-0000C3010000}"/>
    <cellStyle name="Calculation 2 2 3 3 3 2 2" xfId="3217" xr:uid="{00000000-0005-0000-0000-0000C4010000}"/>
    <cellStyle name="Calculation 2 2 3 3 3 2 3" xfId="3222" xr:uid="{00000000-0005-0000-0000-0000C5010000}"/>
    <cellStyle name="Calculation 2 2 3 3 3 2 4" xfId="3230" xr:uid="{00000000-0005-0000-0000-0000C6010000}"/>
    <cellStyle name="Calculation 2 2 3 3 3 3" xfId="3240" xr:uid="{00000000-0005-0000-0000-0000C7010000}"/>
    <cellStyle name="Calculation 2 2 3 3 3 4" xfId="3246" xr:uid="{00000000-0005-0000-0000-0000C8010000}"/>
    <cellStyle name="Calculation 2 2 3 3 3 5" xfId="631" xr:uid="{00000000-0005-0000-0000-0000C9010000}"/>
    <cellStyle name="Calculation 2 2 3 3 4" xfId="2304" xr:uid="{00000000-0005-0000-0000-0000CA010000}"/>
    <cellStyle name="Calculation 2 2 3 3 4 2" xfId="3251" xr:uid="{00000000-0005-0000-0000-0000CB010000}"/>
    <cellStyle name="Calculation 2 2 3 3 4 3" xfId="3261" xr:uid="{00000000-0005-0000-0000-0000CC010000}"/>
    <cellStyle name="Calculation 2 2 3 3 4 4" xfId="685" xr:uid="{00000000-0005-0000-0000-0000CD010000}"/>
    <cellStyle name="Calculation 2 2 3 3 5" xfId="2311" xr:uid="{00000000-0005-0000-0000-0000CE010000}"/>
    <cellStyle name="Calculation 2 2 3 3 6" xfId="3263" xr:uid="{00000000-0005-0000-0000-0000CF010000}"/>
    <cellStyle name="Calculation 2 2 3 3 7" xfId="3268" xr:uid="{00000000-0005-0000-0000-0000D0010000}"/>
    <cellStyle name="Calculation 2 2 3 4" xfId="3276" xr:uid="{00000000-0005-0000-0000-0000D1010000}"/>
    <cellStyle name="Calculation 2 2 3 4 2" xfId="3281" xr:uid="{00000000-0005-0000-0000-0000D2010000}"/>
    <cellStyle name="Calculation 2 2 3 4 2 2" xfId="3286" xr:uid="{00000000-0005-0000-0000-0000D3010000}"/>
    <cellStyle name="Calculation 2 2 3 4 2 2 2" xfId="3291" xr:uid="{00000000-0005-0000-0000-0000D4010000}"/>
    <cellStyle name="Calculation 2 2 3 4 2 2 3" xfId="3298" xr:uid="{00000000-0005-0000-0000-0000D5010000}"/>
    <cellStyle name="Calculation 2 2 3 4 2 2 4" xfId="3305" xr:uid="{00000000-0005-0000-0000-0000D6010000}"/>
    <cellStyle name="Calculation 2 2 3 4 2 3" xfId="3311" xr:uid="{00000000-0005-0000-0000-0000D7010000}"/>
    <cellStyle name="Calculation 2 2 3 4 2 4" xfId="1685" xr:uid="{00000000-0005-0000-0000-0000D8010000}"/>
    <cellStyle name="Calculation 2 2 3 4 2 5" xfId="1691" xr:uid="{00000000-0005-0000-0000-0000D9010000}"/>
    <cellStyle name="Calculation 2 2 3 4 3" xfId="308" xr:uid="{00000000-0005-0000-0000-0000DA010000}"/>
    <cellStyle name="Calculation 2 2 3 4 3 2" xfId="2640" xr:uid="{00000000-0005-0000-0000-0000DB010000}"/>
    <cellStyle name="Calculation 2 2 3 4 3 3" xfId="2660" xr:uid="{00000000-0005-0000-0000-0000DC010000}"/>
    <cellStyle name="Calculation 2 2 3 4 3 4" xfId="1739" xr:uid="{00000000-0005-0000-0000-0000DD010000}"/>
    <cellStyle name="Calculation 2 2 3 4 4" xfId="3314" xr:uid="{00000000-0005-0000-0000-0000DE010000}"/>
    <cellStyle name="Calculation 2 2 3 4 5" xfId="3317" xr:uid="{00000000-0005-0000-0000-0000DF010000}"/>
    <cellStyle name="Calculation 2 2 3 4 6" xfId="3323" xr:uid="{00000000-0005-0000-0000-0000E0010000}"/>
    <cellStyle name="Calculation 2 2 3 5" xfId="171" xr:uid="{00000000-0005-0000-0000-0000E1010000}"/>
    <cellStyle name="Calculation 2 2 3 5 2" xfId="3330" xr:uid="{00000000-0005-0000-0000-0000E2010000}"/>
    <cellStyle name="Calculation 2 2 3 5 2 2" xfId="2186" xr:uid="{00000000-0005-0000-0000-0000E3010000}"/>
    <cellStyle name="Calculation 2 2 3 5 2 3" xfId="2753" xr:uid="{00000000-0005-0000-0000-0000E4010000}"/>
    <cellStyle name="Calculation 2 2 3 5 2 4" xfId="2916" xr:uid="{00000000-0005-0000-0000-0000E5010000}"/>
    <cellStyle name="Calculation 2 2 3 5 3" xfId="3334" xr:uid="{00000000-0005-0000-0000-0000E6010000}"/>
    <cellStyle name="Calculation 2 2 3 5 4" xfId="3337" xr:uid="{00000000-0005-0000-0000-0000E7010000}"/>
    <cellStyle name="Calculation 2 2 3 5 5" xfId="356" xr:uid="{00000000-0005-0000-0000-0000E8010000}"/>
    <cellStyle name="Calculation 2 2 3 6" xfId="3341" xr:uid="{00000000-0005-0000-0000-0000E9010000}"/>
    <cellStyle name="Calculation 2 2 3 6 2" xfId="3346" xr:uid="{00000000-0005-0000-0000-0000EA010000}"/>
    <cellStyle name="Calculation 2 2 3 6 3" xfId="3349" xr:uid="{00000000-0005-0000-0000-0000EB010000}"/>
    <cellStyle name="Calculation 2 2 3 6 4" xfId="3351" xr:uid="{00000000-0005-0000-0000-0000EC010000}"/>
    <cellStyle name="Calculation 2 2 3 7" xfId="3356" xr:uid="{00000000-0005-0000-0000-0000ED010000}"/>
    <cellStyle name="Calculation 2 2 3 8" xfId="3361" xr:uid="{00000000-0005-0000-0000-0000EE010000}"/>
    <cellStyle name="Calculation 2 2 3 9" xfId="3365" xr:uid="{00000000-0005-0000-0000-0000EF010000}"/>
    <cellStyle name="Calculation 2 2 4" xfId="2231" xr:uid="{00000000-0005-0000-0000-0000F0010000}"/>
    <cellStyle name="Calculation 2 2 4 2" xfId="3370" xr:uid="{00000000-0005-0000-0000-0000F1010000}"/>
    <cellStyle name="Calculation 2 2 4 2 2" xfId="3373" xr:uid="{00000000-0005-0000-0000-0000F2010000}"/>
    <cellStyle name="Calculation 2 2 4 2 2 2" xfId="1179" xr:uid="{00000000-0005-0000-0000-0000F3010000}"/>
    <cellStyle name="Calculation 2 2 4 2 2 2 2" xfId="3375" xr:uid="{00000000-0005-0000-0000-0000F4010000}"/>
    <cellStyle name="Calculation 2 2 4 2 2 2 2 2" xfId="3377" xr:uid="{00000000-0005-0000-0000-0000F5010000}"/>
    <cellStyle name="Calculation 2 2 4 2 2 2 2 3" xfId="3392" xr:uid="{00000000-0005-0000-0000-0000F6010000}"/>
    <cellStyle name="Calculation 2 2 4 2 2 2 2 4" xfId="3406" xr:uid="{00000000-0005-0000-0000-0000F7010000}"/>
    <cellStyle name="Calculation 2 2 4 2 2 2 3" xfId="3409" xr:uid="{00000000-0005-0000-0000-0000F8010000}"/>
    <cellStyle name="Calculation 2 2 4 2 2 2 4" xfId="3411" xr:uid="{00000000-0005-0000-0000-0000F9010000}"/>
    <cellStyle name="Calculation 2 2 4 2 2 2 5" xfId="3413" xr:uid="{00000000-0005-0000-0000-0000FA010000}"/>
    <cellStyle name="Calculation 2 2 4 2 2 3" xfId="1314" xr:uid="{00000000-0005-0000-0000-0000FB010000}"/>
    <cellStyle name="Calculation 2 2 4 2 2 3 2" xfId="3414" xr:uid="{00000000-0005-0000-0000-0000FC010000}"/>
    <cellStyle name="Calculation 2 2 4 2 2 3 3" xfId="3416" xr:uid="{00000000-0005-0000-0000-0000FD010000}"/>
    <cellStyle name="Calculation 2 2 4 2 2 3 4" xfId="3421" xr:uid="{00000000-0005-0000-0000-0000FE010000}"/>
    <cellStyle name="Calculation 2 2 4 2 2 4" xfId="3431" xr:uid="{00000000-0005-0000-0000-0000FF010000}"/>
    <cellStyle name="Calculation 2 2 4 2 2 5" xfId="3439" xr:uid="{00000000-0005-0000-0000-000000020000}"/>
    <cellStyle name="Calculation 2 2 4 2 2 6" xfId="3443" xr:uid="{00000000-0005-0000-0000-000001020000}"/>
    <cellStyle name="Calculation 2 2 4 2 3" xfId="3447" xr:uid="{00000000-0005-0000-0000-000002020000}"/>
    <cellStyle name="Calculation 2 2 4 2 3 2" xfId="3449" xr:uid="{00000000-0005-0000-0000-000003020000}"/>
    <cellStyle name="Calculation 2 2 4 2 3 2 2" xfId="3450" xr:uid="{00000000-0005-0000-0000-000004020000}"/>
    <cellStyle name="Calculation 2 2 4 2 3 2 3" xfId="1391" xr:uid="{00000000-0005-0000-0000-000005020000}"/>
    <cellStyle name="Calculation 2 2 4 2 3 2 4" xfId="3456" xr:uid="{00000000-0005-0000-0000-000006020000}"/>
    <cellStyle name="Calculation 2 2 4 2 3 3" xfId="387" xr:uid="{00000000-0005-0000-0000-000007020000}"/>
    <cellStyle name="Calculation 2 2 4 2 3 4" xfId="3459" xr:uid="{00000000-0005-0000-0000-000008020000}"/>
    <cellStyle name="Calculation 2 2 4 2 3 5" xfId="3461" xr:uid="{00000000-0005-0000-0000-000009020000}"/>
    <cellStyle name="Calculation 2 2 4 2 4" xfId="3465" xr:uid="{00000000-0005-0000-0000-00000A020000}"/>
    <cellStyle name="Calculation 2 2 4 2 4 2" xfId="2102" xr:uid="{00000000-0005-0000-0000-00000B020000}"/>
    <cellStyle name="Calculation 2 2 4 2 4 3" xfId="3472" xr:uid="{00000000-0005-0000-0000-00000C020000}"/>
    <cellStyle name="Calculation 2 2 4 2 4 4" xfId="3477" xr:uid="{00000000-0005-0000-0000-00000D020000}"/>
    <cellStyle name="Calculation 2 2 4 2 5" xfId="3480" xr:uid="{00000000-0005-0000-0000-00000E020000}"/>
    <cellStyle name="Calculation 2 2 4 2 6" xfId="3484" xr:uid="{00000000-0005-0000-0000-00000F020000}"/>
    <cellStyle name="Calculation 2 2 4 2 7" xfId="3487" xr:uid="{00000000-0005-0000-0000-000010020000}"/>
    <cellStyle name="Calculation 2 2 4 3" xfId="3497" xr:uid="{00000000-0005-0000-0000-000011020000}"/>
    <cellStyle name="Calculation 2 2 4 3 2" xfId="3503" xr:uid="{00000000-0005-0000-0000-000012020000}"/>
    <cellStyle name="Calculation 2 2 4 3 2 2" xfId="2318" xr:uid="{00000000-0005-0000-0000-000013020000}"/>
    <cellStyle name="Calculation 2 2 4 3 2 2 2" xfId="3506" xr:uid="{00000000-0005-0000-0000-000014020000}"/>
    <cellStyle name="Calculation 2 2 4 3 2 2 3" xfId="3513" xr:uid="{00000000-0005-0000-0000-000015020000}"/>
    <cellStyle name="Calculation 2 2 4 3 2 2 4" xfId="3521" xr:uid="{00000000-0005-0000-0000-000016020000}"/>
    <cellStyle name="Calculation 2 2 4 3 2 3" xfId="3531" xr:uid="{00000000-0005-0000-0000-000017020000}"/>
    <cellStyle name="Calculation 2 2 4 3 2 4" xfId="3538" xr:uid="{00000000-0005-0000-0000-000018020000}"/>
    <cellStyle name="Calculation 2 2 4 3 2 5" xfId="3544" xr:uid="{00000000-0005-0000-0000-000019020000}"/>
    <cellStyle name="Calculation 2 2 4 3 3" xfId="3554" xr:uid="{00000000-0005-0000-0000-00001A020000}"/>
    <cellStyle name="Calculation 2 2 4 3 3 2" xfId="2330" xr:uid="{00000000-0005-0000-0000-00001B020000}"/>
    <cellStyle name="Calculation 2 2 4 3 3 3" xfId="3566" xr:uid="{00000000-0005-0000-0000-00001C020000}"/>
    <cellStyle name="Calculation 2 2 4 3 3 4" xfId="3576" xr:uid="{00000000-0005-0000-0000-00001D020000}"/>
    <cellStyle name="Calculation 2 2 4 3 4" xfId="3585" xr:uid="{00000000-0005-0000-0000-00001E020000}"/>
    <cellStyle name="Calculation 2 2 4 3 5" xfId="3593" xr:uid="{00000000-0005-0000-0000-00001F020000}"/>
    <cellStyle name="Calculation 2 2 4 3 6" xfId="3600" xr:uid="{00000000-0005-0000-0000-000020020000}"/>
    <cellStyle name="Calculation 2 2 4 4" xfId="3607" xr:uid="{00000000-0005-0000-0000-000021020000}"/>
    <cellStyle name="Calculation 2 2 4 4 2" xfId="2012" xr:uid="{00000000-0005-0000-0000-000022020000}"/>
    <cellStyle name="Calculation 2 2 4 4 2 2" xfId="3039" xr:uid="{00000000-0005-0000-0000-000023020000}"/>
    <cellStyle name="Calculation 2 2 4 4 2 3" xfId="3064" xr:uid="{00000000-0005-0000-0000-000024020000}"/>
    <cellStyle name="Calculation 2 2 4 4 2 4" xfId="1836" xr:uid="{00000000-0005-0000-0000-000025020000}"/>
    <cellStyle name="Calculation 2 2 4 4 3" xfId="3073" xr:uid="{00000000-0005-0000-0000-000026020000}"/>
    <cellStyle name="Calculation 2 2 4 4 4" xfId="2939" xr:uid="{00000000-0005-0000-0000-000027020000}"/>
    <cellStyle name="Calculation 2 2 4 4 5" xfId="2951" xr:uid="{00000000-0005-0000-0000-000028020000}"/>
    <cellStyle name="Calculation 2 2 4 5" xfId="1418" xr:uid="{00000000-0005-0000-0000-000029020000}"/>
    <cellStyle name="Calculation 2 2 4 5 2" xfId="3094" xr:uid="{00000000-0005-0000-0000-00002A020000}"/>
    <cellStyle name="Calculation 2 2 4 5 3" xfId="3102" xr:uid="{00000000-0005-0000-0000-00002B020000}"/>
    <cellStyle name="Calculation 2 2 4 5 4" xfId="3111" xr:uid="{00000000-0005-0000-0000-00002C020000}"/>
    <cellStyle name="Calculation 2 2 4 6" xfId="3611" xr:uid="{00000000-0005-0000-0000-00002D020000}"/>
    <cellStyle name="Calculation 2 2 4 7" xfId="3615" xr:uid="{00000000-0005-0000-0000-00002E020000}"/>
    <cellStyle name="Calculation 2 2 4 8" xfId="3620" xr:uid="{00000000-0005-0000-0000-00002F020000}"/>
    <cellStyle name="Calculation 2 2 5" xfId="342" xr:uid="{00000000-0005-0000-0000-000030020000}"/>
    <cellStyle name="Calculation 2 2 5 2" xfId="3625" xr:uid="{00000000-0005-0000-0000-000031020000}"/>
    <cellStyle name="Calculation 2 2 5 2 2" xfId="3630" xr:uid="{00000000-0005-0000-0000-000032020000}"/>
    <cellStyle name="Calculation 2 2 5 2 2 2" xfId="3631" xr:uid="{00000000-0005-0000-0000-000033020000}"/>
    <cellStyle name="Calculation 2 2 5 2 2 2 2" xfId="3318" xr:uid="{00000000-0005-0000-0000-000034020000}"/>
    <cellStyle name="Calculation 2 2 5 2 2 2 3" xfId="3632" xr:uid="{00000000-0005-0000-0000-000035020000}"/>
    <cellStyle name="Calculation 2 2 5 2 2 2 4" xfId="886" xr:uid="{00000000-0005-0000-0000-000036020000}"/>
    <cellStyle name="Calculation 2 2 5 2 2 3" xfId="3634" xr:uid="{00000000-0005-0000-0000-000037020000}"/>
    <cellStyle name="Calculation 2 2 5 2 2 4" xfId="3635" xr:uid="{00000000-0005-0000-0000-000038020000}"/>
    <cellStyle name="Calculation 2 2 5 2 2 5" xfId="3642" xr:uid="{00000000-0005-0000-0000-000039020000}"/>
    <cellStyle name="Calculation 2 2 5 2 3" xfId="3646" xr:uid="{00000000-0005-0000-0000-00003A020000}"/>
    <cellStyle name="Calculation 2 2 5 2 3 2" xfId="3647" xr:uid="{00000000-0005-0000-0000-00003B020000}"/>
    <cellStyle name="Calculation 2 2 5 2 3 3" xfId="3649" xr:uid="{00000000-0005-0000-0000-00003C020000}"/>
    <cellStyle name="Calculation 2 2 5 2 3 4" xfId="3651" xr:uid="{00000000-0005-0000-0000-00003D020000}"/>
    <cellStyle name="Calculation 2 2 5 2 4" xfId="3656" xr:uid="{00000000-0005-0000-0000-00003E020000}"/>
    <cellStyle name="Calculation 2 2 5 2 5" xfId="3660" xr:uid="{00000000-0005-0000-0000-00003F020000}"/>
    <cellStyle name="Calculation 2 2 5 2 6" xfId="3666" xr:uid="{00000000-0005-0000-0000-000040020000}"/>
    <cellStyle name="Calculation 2 2 5 3" xfId="3671" xr:uid="{00000000-0005-0000-0000-000041020000}"/>
    <cellStyle name="Calculation 2 2 5 3 2" xfId="3681" xr:uid="{00000000-0005-0000-0000-000042020000}"/>
    <cellStyle name="Calculation 2 2 5 3 2 2" xfId="3684" xr:uid="{00000000-0005-0000-0000-000043020000}"/>
    <cellStyle name="Calculation 2 2 5 3 2 3" xfId="3692" xr:uid="{00000000-0005-0000-0000-000044020000}"/>
    <cellStyle name="Calculation 2 2 5 3 2 4" xfId="3701" xr:uid="{00000000-0005-0000-0000-000045020000}"/>
    <cellStyle name="Calculation 2 2 5 3 3" xfId="3710" xr:uid="{00000000-0005-0000-0000-000046020000}"/>
    <cellStyle name="Calculation 2 2 5 3 4" xfId="3721" xr:uid="{00000000-0005-0000-0000-000047020000}"/>
    <cellStyle name="Calculation 2 2 5 3 5" xfId="269" xr:uid="{00000000-0005-0000-0000-000048020000}"/>
    <cellStyle name="Calculation 2 2 5 4" xfId="3728" xr:uid="{00000000-0005-0000-0000-000049020000}"/>
    <cellStyle name="Calculation 2 2 5 4 2" xfId="578" xr:uid="{00000000-0005-0000-0000-00004A020000}"/>
    <cellStyle name="Calculation 2 2 5 4 3" xfId="3193" xr:uid="{00000000-0005-0000-0000-00004B020000}"/>
    <cellStyle name="Calculation 2 2 5 4 4" xfId="748" xr:uid="{00000000-0005-0000-0000-00004C020000}"/>
    <cellStyle name="Calculation 2 2 5 5" xfId="1437" xr:uid="{00000000-0005-0000-0000-00004D020000}"/>
    <cellStyle name="Calculation 2 2 5 6" xfId="3734" xr:uid="{00000000-0005-0000-0000-00004E020000}"/>
    <cellStyle name="Calculation 2 2 5 7" xfId="3740" xr:uid="{00000000-0005-0000-0000-00004F020000}"/>
    <cellStyle name="Calculation 2 2 6" xfId="9" xr:uid="{00000000-0005-0000-0000-000050020000}"/>
    <cellStyle name="Calculation 2 2 6 2" xfId="1260" xr:uid="{00000000-0005-0000-0000-000051020000}"/>
    <cellStyle name="Calculation 2 2 6 2 2" xfId="1270" xr:uid="{00000000-0005-0000-0000-000052020000}"/>
    <cellStyle name="Calculation 2 2 6 2 2 2" xfId="3751" xr:uid="{00000000-0005-0000-0000-000053020000}"/>
    <cellStyle name="Calculation 2 2 6 2 2 3" xfId="3761" xr:uid="{00000000-0005-0000-0000-000054020000}"/>
    <cellStyle name="Calculation 2 2 6 2 2 4" xfId="3765" xr:uid="{00000000-0005-0000-0000-000055020000}"/>
    <cellStyle name="Calculation 2 2 6 2 3" xfId="3767" xr:uid="{00000000-0005-0000-0000-000056020000}"/>
    <cellStyle name="Calculation 2 2 6 2 4" xfId="3771" xr:uid="{00000000-0005-0000-0000-000057020000}"/>
    <cellStyle name="Calculation 2 2 6 2 5" xfId="3776" xr:uid="{00000000-0005-0000-0000-000058020000}"/>
    <cellStyle name="Calculation 2 2 6 3" xfId="1280" xr:uid="{00000000-0005-0000-0000-000059020000}"/>
    <cellStyle name="Calculation 2 2 6 3 2" xfId="3782" xr:uid="{00000000-0005-0000-0000-00005A020000}"/>
    <cellStyle name="Calculation 2 2 6 3 3" xfId="3791" xr:uid="{00000000-0005-0000-0000-00005B020000}"/>
    <cellStyle name="Calculation 2 2 6 3 4" xfId="3806" xr:uid="{00000000-0005-0000-0000-00005C020000}"/>
    <cellStyle name="Calculation 2 2 6 4" xfId="1289" xr:uid="{00000000-0005-0000-0000-00005D020000}"/>
    <cellStyle name="Calculation 2 2 6 5" xfId="1469" xr:uid="{00000000-0005-0000-0000-00005E020000}"/>
    <cellStyle name="Calculation 2 2 6 6" xfId="3812" xr:uid="{00000000-0005-0000-0000-00005F020000}"/>
    <cellStyle name="Calculation 2 2 7" xfId="3822" xr:uid="{00000000-0005-0000-0000-000060020000}"/>
    <cellStyle name="Calculation 2 2 7 2" xfId="443" xr:uid="{00000000-0005-0000-0000-000061020000}"/>
    <cellStyle name="Calculation 2 2 7 2 2" xfId="1322" xr:uid="{00000000-0005-0000-0000-000062020000}"/>
    <cellStyle name="Calculation 2 2 7 2 3" xfId="375" xr:uid="{00000000-0005-0000-0000-000063020000}"/>
    <cellStyle name="Calculation 2 2 7 2 4" xfId="1473" xr:uid="{00000000-0005-0000-0000-000064020000}"/>
    <cellStyle name="Calculation 2 2 7 3" xfId="3825" xr:uid="{00000000-0005-0000-0000-000065020000}"/>
    <cellStyle name="Calculation 2 2 7 4" xfId="3029" xr:uid="{00000000-0005-0000-0000-000066020000}"/>
    <cellStyle name="Calculation 2 2 7 5" xfId="3032" xr:uid="{00000000-0005-0000-0000-000067020000}"/>
    <cellStyle name="Calculation 2 2 8" xfId="3829" xr:uid="{00000000-0005-0000-0000-000068020000}"/>
    <cellStyle name="Calculation 2 2 8 2" xfId="3831" xr:uid="{00000000-0005-0000-0000-000069020000}"/>
    <cellStyle name="Calculation 2 2 8 3" xfId="3832" xr:uid="{00000000-0005-0000-0000-00006A020000}"/>
    <cellStyle name="Calculation 2 2 8 4" xfId="3041" xr:uid="{00000000-0005-0000-0000-00006B020000}"/>
    <cellStyle name="Calculation 2 2 9" xfId="3833" xr:uid="{00000000-0005-0000-0000-00006C020000}"/>
    <cellStyle name="Calculation 2 3" xfId="3842" xr:uid="{00000000-0005-0000-0000-00006D020000}"/>
    <cellStyle name="Calculation 2 3 2" xfId="480" xr:uid="{00000000-0005-0000-0000-00006E020000}"/>
    <cellStyle name="Calculation 2 3 2 2" xfId="550" xr:uid="{00000000-0005-0000-0000-00006F020000}"/>
    <cellStyle name="Calculation 2 3 2 2 2" xfId="2386" xr:uid="{00000000-0005-0000-0000-000070020000}"/>
    <cellStyle name="Calculation 2 3 2 2 2 2" xfId="3852" xr:uid="{00000000-0005-0000-0000-000071020000}"/>
    <cellStyle name="Calculation 2 3 2 2 2 2 2" xfId="3866" xr:uid="{00000000-0005-0000-0000-000072020000}"/>
    <cellStyle name="Calculation 2 3 2 2 2 2 2 2" xfId="3877" xr:uid="{00000000-0005-0000-0000-000073020000}"/>
    <cellStyle name="Calculation 2 3 2 2 2 2 2 3" xfId="2288" xr:uid="{00000000-0005-0000-0000-000074020000}"/>
    <cellStyle name="Calculation 2 3 2 2 2 2 2 4" xfId="2299" xr:uid="{00000000-0005-0000-0000-000075020000}"/>
    <cellStyle name="Calculation 2 3 2 2 2 2 3" xfId="3881" xr:uid="{00000000-0005-0000-0000-000076020000}"/>
    <cellStyle name="Calculation 2 3 2 2 2 2 4" xfId="3907" xr:uid="{00000000-0005-0000-0000-000077020000}"/>
    <cellStyle name="Calculation 2 3 2 2 2 2 5" xfId="2468" xr:uid="{00000000-0005-0000-0000-000078020000}"/>
    <cellStyle name="Calculation 2 3 2 2 2 3" xfId="3925" xr:uid="{00000000-0005-0000-0000-000079020000}"/>
    <cellStyle name="Calculation 2 3 2 2 2 3 2" xfId="3947" xr:uid="{00000000-0005-0000-0000-00007A020000}"/>
    <cellStyle name="Calculation 2 3 2 2 2 3 3" xfId="3953" xr:uid="{00000000-0005-0000-0000-00007B020000}"/>
    <cellStyle name="Calculation 2 3 2 2 2 3 4" xfId="3957" xr:uid="{00000000-0005-0000-0000-00007C020000}"/>
    <cellStyle name="Calculation 2 3 2 2 2 4" xfId="3958" xr:uid="{00000000-0005-0000-0000-00007D020000}"/>
    <cellStyle name="Calculation 2 3 2 2 2 5" xfId="3977" xr:uid="{00000000-0005-0000-0000-00007E020000}"/>
    <cellStyle name="Calculation 2 3 2 2 2 6" xfId="4002" xr:uid="{00000000-0005-0000-0000-00007F020000}"/>
    <cellStyle name="Calculation 2 3 2 2 3" xfId="2405" xr:uid="{00000000-0005-0000-0000-000080020000}"/>
    <cellStyle name="Calculation 2 3 2 2 3 2" xfId="4016" xr:uid="{00000000-0005-0000-0000-000081020000}"/>
    <cellStyle name="Calculation 2 3 2 2 3 2 2" xfId="4027" xr:uid="{00000000-0005-0000-0000-000082020000}"/>
    <cellStyle name="Calculation 2 3 2 2 3 2 3" xfId="4030" xr:uid="{00000000-0005-0000-0000-000083020000}"/>
    <cellStyle name="Calculation 2 3 2 2 3 2 4" xfId="4033" xr:uid="{00000000-0005-0000-0000-000084020000}"/>
    <cellStyle name="Calculation 2 3 2 2 3 3" xfId="4035" xr:uid="{00000000-0005-0000-0000-000085020000}"/>
    <cellStyle name="Calculation 2 3 2 2 3 4" xfId="4052" xr:uid="{00000000-0005-0000-0000-000086020000}"/>
    <cellStyle name="Calculation 2 3 2 2 3 5" xfId="4071" xr:uid="{00000000-0005-0000-0000-000087020000}"/>
    <cellStyle name="Calculation 2 3 2 2 4" xfId="2426" xr:uid="{00000000-0005-0000-0000-000088020000}"/>
    <cellStyle name="Calculation 2 3 2 2 4 2" xfId="1311" xr:uid="{00000000-0005-0000-0000-000089020000}"/>
    <cellStyle name="Calculation 2 3 2 2 4 3" xfId="3425" xr:uid="{00000000-0005-0000-0000-00008A020000}"/>
    <cellStyle name="Calculation 2 3 2 2 4 4" xfId="3435" xr:uid="{00000000-0005-0000-0000-00008B020000}"/>
    <cellStyle name="Calculation 2 3 2 2 5" xfId="2441" xr:uid="{00000000-0005-0000-0000-00008C020000}"/>
    <cellStyle name="Calculation 2 3 2 2 6" xfId="2449" xr:uid="{00000000-0005-0000-0000-00008D020000}"/>
    <cellStyle name="Calculation 2 3 2 2 7" xfId="4074" xr:uid="{00000000-0005-0000-0000-00008E020000}"/>
    <cellStyle name="Calculation 2 3 2 3" xfId="2348" xr:uid="{00000000-0005-0000-0000-00008F020000}"/>
    <cellStyle name="Calculation 2 3 2 3 2" xfId="4082" xr:uid="{00000000-0005-0000-0000-000090020000}"/>
    <cellStyle name="Calculation 2 3 2 3 2 2" xfId="4095" xr:uid="{00000000-0005-0000-0000-000091020000}"/>
    <cellStyle name="Calculation 2 3 2 3 2 2 2" xfId="623" xr:uid="{00000000-0005-0000-0000-000092020000}"/>
    <cellStyle name="Calculation 2 3 2 3 2 2 3" xfId="731" xr:uid="{00000000-0005-0000-0000-000093020000}"/>
    <cellStyle name="Calculation 2 3 2 3 2 2 4" xfId="765" xr:uid="{00000000-0005-0000-0000-000094020000}"/>
    <cellStyle name="Calculation 2 3 2 3 2 3" xfId="4113" xr:uid="{00000000-0005-0000-0000-000095020000}"/>
    <cellStyle name="Calculation 2 3 2 3 2 4" xfId="4118" xr:uid="{00000000-0005-0000-0000-000096020000}"/>
    <cellStyle name="Calculation 2 3 2 3 2 5" xfId="4130" xr:uid="{00000000-0005-0000-0000-000097020000}"/>
    <cellStyle name="Calculation 2 3 2 3 3" xfId="4142" xr:uid="{00000000-0005-0000-0000-000098020000}"/>
    <cellStyle name="Calculation 2 3 2 3 3 2" xfId="4150" xr:uid="{00000000-0005-0000-0000-000099020000}"/>
    <cellStyle name="Calculation 2 3 2 3 3 3" xfId="4151" xr:uid="{00000000-0005-0000-0000-00009A020000}"/>
    <cellStyle name="Calculation 2 3 2 3 3 4" xfId="4157" xr:uid="{00000000-0005-0000-0000-00009B020000}"/>
    <cellStyle name="Calculation 2 3 2 3 4" xfId="4160" xr:uid="{00000000-0005-0000-0000-00009C020000}"/>
    <cellStyle name="Calculation 2 3 2 3 5" xfId="4171" xr:uid="{00000000-0005-0000-0000-00009D020000}"/>
    <cellStyle name="Calculation 2 3 2 3 6" xfId="4178" xr:uid="{00000000-0005-0000-0000-00009E020000}"/>
    <cellStyle name="Calculation 2 3 2 4" xfId="4196" xr:uid="{00000000-0005-0000-0000-00009F020000}"/>
    <cellStyle name="Calculation 2 3 2 4 2" xfId="1453" xr:uid="{00000000-0005-0000-0000-0000A0020000}"/>
    <cellStyle name="Calculation 2 3 2 4 2 2" xfId="1460" xr:uid="{00000000-0005-0000-0000-0000A1020000}"/>
    <cellStyle name="Calculation 2 3 2 4 2 3" xfId="3808" xr:uid="{00000000-0005-0000-0000-0000A2020000}"/>
    <cellStyle name="Calculation 2 3 2 4 2 4" xfId="4202" xr:uid="{00000000-0005-0000-0000-0000A3020000}"/>
    <cellStyle name="Calculation 2 3 2 4 3" xfId="694" xr:uid="{00000000-0005-0000-0000-0000A4020000}"/>
    <cellStyle name="Calculation 2 3 2 4 4" xfId="704" xr:uid="{00000000-0005-0000-0000-0000A5020000}"/>
    <cellStyle name="Calculation 2 3 2 4 5" xfId="608" xr:uid="{00000000-0005-0000-0000-0000A6020000}"/>
    <cellStyle name="Calculation 2 3 2 5" xfId="4209" xr:uid="{00000000-0005-0000-0000-0000A7020000}"/>
    <cellStyle name="Calculation 2 3 2 5 2" xfId="4213" xr:uid="{00000000-0005-0000-0000-0000A8020000}"/>
    <cellStyle name="Calculation 2 3 2 5 3" xfId="639" xr:uid="{00000000-0005-0000-0000-0000A9020000}"/>
    <cellStyle name="Calculation 2 3 2 5 4" xfId="3077" xr:uid="{00000000-0005-0000-0000-0000AA020000}"/>
    <cellStyle name="Calculation 2 3 2 6" xfId="4217" xr:uid="{00000000-0005-0000-0000-0000AB020000}"/>
    <cellStyle name="Calculation 2 3 2 7" xfId="4219" xr:uid="{00000000-0005-0000-0000-0000AC020000}"/>
    <cellStyle name="Calculation 2 3 2 8" xfId="4220" xr:uid="{00000000-0005-0000-0000-0000AD020000}"/>
    <cellStyle name="Calculation 2 3 3" xfId="502" xr:uid="{00000000-0005-0000-0000-0000AE020000}"/>
    <cellStyle name="Calculation 2 3 3 2" xfId="1565" xr:uid="{00000000-0005-0000-0000-0000AF020000}"/>
    <cellStyle name="Calculation 2 3 3 2 2" xfId="4234" xr:uid="{00000000-0005-0000-0000-0000B0020000}"/>
    <cellStyle name="Calculation 2 3 3 2 2 2" xfId="4254" xr:uid="{00000000-0005-0000-0000-0000B1020000}"/>
    <cellStyle name="Calculation 2 3 3 2 2 2 2" xfId="3792" xr:uid="{00000000-0005-0000-0000-0000B2020000}"/>
    <cellStyle name="Calculation 2 3 3 2 2 2 3" xfId="3807" xr:uid="{00000000-0005-0000-0000-0000B3020000}"/>
    <cellStyle name="Calculation 2 3 3 2 2 2 4" xfId="4274" xr:uid="{00000000-0005-0000-0000-0000B4020000}"/>
    <cellStyle name="Calculation 2 3 3 2 2 3" xfId="1681" xr:uid="{00000000-0005-0000-0000-0000B5020000}"/>
    <cellStyle name="Calculation 2 3 3 2 2 4" xfId="1723" xr:uid="{00000000-0005-0000-0000-0000B6020000}"/>
    <cellStyle name="Calculation 2 3 3 2 2 5" xfId="1758" xr:uid="{00000000-0005-0000-0000-0000B7020000}"/>
    <cellStyle name="Calculation 2 3 3 2 3" xfId="4287" xr:uid="{00000000-0005-0000-0000-0000B8020000}"/>
    <cellStyle name="Calculation 2 3 3 2 3 2" xfId="4301" xr:uid="{00000000-0005-0000-0000-0000B9020000}"/>
    <cellStyle name="Calculation 2 3 3 2 3 3" xfId="4311" xr:uid="{00000000-0005-0000-0000-0000BA020000}"/>
    <cellStyle name="Calculation 2 3 3 2 3 4" xfId="4329" xr:uid="{00000000-0005-0000-0000-0000BB020000}"/>
    <cellStyle name="Calculation 2 3 3 2 4" xfId="4339" xr:uid="{00000000-0005-0000-0000-0000BC020000}"/>
    <cellStyle name="Calculation 2 3 3 2 5" xfId="4352" xr:uid="{00000000-0005-0000-0000-0000BD020000}"/>
    <cellStyle name="Calculation 2 3 3 2 6" xfId="196" xr:uid="{00000000-0005-0000-0000-0000BE020000}"/>
    <cellStyle name="Calculation 2 3 3 3" xfId="2384" xr:uid="{00000000-0005-0000-0000-0000BF020000}"/>
    <cellStyle name="Calculation 2 3 3 3 2" xfId="4378" xr:uid="{00000000-0005-0000-0000-0000C0020000}"/>
    <cellStyle name="Calculation 2 3 3 3 2 2" xfId="4385" xr:uid="{00000000-0005-0000-0000-0000C1020000}"/>
    <cellStyle name="Calculation 2 3 3 3 2 3" xfId="1830" xr:uid="{00000000-0005-0000-0000-0000C2020000}"/>
    <cellStyle name="Calculation 2 3 3 3 2 4" xfId="987" xr:uid="{00000000-0005-0000-0000-0000C3020000}"/>
    <cellStyle name="Calculation 2 3 3 3 3" xfId="4410" xr:uid="{00000000-0005-0000-0000-0000C4020000}"/>
    <cellStyle name="Calculation 2 3 3 3 4" xfId="4431" xr:uid="{00000000-0005-0000-0000-0000C5020000}"/>
    <cellStyle name="Calculation 2 3 3 3 5" xfId="4446" xr:uid="{00000000-0005-0000-0000-0000C6020000}"/>
    <cellStyle name="Calculation 2 3 3 4" xfId="4452" xr:uid="{00000000-0005-0000-0000-0000C7020000}"/>
    <cellStyle name="Calculation 2 3 3 4 2" xfId="67" xr:uid="{00000000-0005-0000-0000-0000C8020000}"/>
    <cellStyle name="Calculation 2 3 3 4 3" xfId="4464" xr:uid="{00000000-0005-0000-0000-0000C9020000}"/>
    <cellStyle name="Calculation 2 3 3 4 4" xfId="4474" xr:uid="{00000000-0005-0000-0000-0000CA020000}"/>
    <cellStyle name="Calculation 2 3 3 5" xfId="4480" xr:uid="{00000000-0005-0000-0000-0000CB020000}"/>
    <cellStyle name="Calculation 2 3 3 6" xfId="4485" xr:uid="{00000000-0005-0000-0000-0000CC020000}"/>
    <cellStyle name="Calculation 2 3 3 7" xfId="4490" xr:uid="{00000000-0005-0000-0000-0000CD020000}"/>
    <cellStyle name="Calculation 2 3 4" xfId="561" xr:uid="{00000000-0005-0000-0000-0000CE020000}"/>
    <cellStyle name="Calculation 2 3 4 2" xfId="2400" xr:uid="{00000000-0005-0000-0000-0000CF020000}"/>
    <cellStyle name="Calculation 2 3 4 2 2" xfId="3864" xr:uid="{00000000-0005-0000-0000-0000D0020000}"/>
    <cellStyle name="Calculation 2 3 4 2 2 2" xfId="3873" xr:uid="{00000000-0005-0000-0000-0000D1020000}"/>
    <cellStyle name="Calculation 2 3 4 2 2 3" xfId="3898" xr:uid="{00000000-0005-0000-0000-0000D2020000}"/>
    <cellStyle name="Calculation 2 3 4 2 2 4" xfId="3924" xr:uid="{00000000-0005-0000-0000-0000D3020000}"/>
    <cellStyle name="Calculation 2 3 4 2 3" xfId="3943" xr:uid="{00000000-0005-0000-0000-0000D4020000}"/>
    <cellStyle name="Calculation 2 3 4 2 4" xfId="3976" xr:uid="{00000000-0005-0000-0000-0000D5020000}"/>
    <cellStyle name="Calculation 2 3 4 2 5" xfId="3990" xr:uid="{00000000-0005-0000-0000-0000D6020000}"/>
    <cellStyle name="Calculation 2 3 4 3" xfId="2412" xr:uid="{00000000-0005-0000-0000-0000D7020000}"/>
    <cellStyle name="Calculation 2 3 4 3 2" xfId="4025" xr:uid="{00000000-0005-0000-0000-0000D8020000}"/>
    <cellStyle name="Calculation 2 3 4 3 3" xfId="4050" xr:uid="{00000000-0005-0000-0000-0000D9020000}"/>
    <cellStyle name="Calculation 2 3 4 3 4" xfId="4069" xr:uid="{00000000-0005-0000-0000-0000DA020000}"/>
    <cellStyle name="Calculation 2 3 4 4" xfId="2434" xr:uid="{00000000-0005-0000-0000-0000DB020000}"/>
    <cellStyle name="Calculation 2 3 4 5" xfId="2448" xr:uid="{00000000-0005-0000-0000-0000DC020000}"/>
    <cellStyle name="Calculation 2 3 4 6" xfId="2459" xr:uid="{00000000-0005-0000-0000-0000DD020000}"/>
    <cellStyle name="Calculation 2 3 5" xfId="2356" xr:uid="{00000000-0005-0000-0000-0000DE020000}"/>
    <cellStyle name="Calculation 2 3 5 2" xfId="4088" xr:uid="{00000000-0005-0000-0000-0000DF020000}"/>
    <cellStyle name="Calculation 2 3 5 2 2" xfId="4105" xr:uid="{00000000-0005-0000-0000-0000E0020000}"/>
    <cellStyle name="Calculation 2 3 5 2 3" xfId="4117" xr:uid="{00000000-0005-0000-0000-0000E1020000}"/>
    <cellStyle name="Calculation 2 3 5 2 4" xfId="4129" xr:uid="{00000000-0005-0000-0000-0000E2020000}"/>
    <cellStyle name="Calculation 2 3 5 3" xfId="4149" xr:uid="{00000000-0005-0000-0000-0000E3020000}"/>
    <cellStyle name="Calculation 2 3 5 4" xfId="4168" xr:uid="{00000000-0005-0000-0000-0000E4020000}"/>
    <cellStyle name="Calculation 2 3 5 5" xfId="4174" xr:uid="{00000000-0005-0000-0000-0000E5020000}"/>
    <cellStyle name="Calculation 2 3 6" xfId="4184" xr:uid="{00000000-0005-0000-0000-0000E6020000}"/>
    <cellStyle name="Calculation 2 3 6 2" xfId="1450" xr:uid="{00000000-0005-0000-0000-0000E7020000}"/>
    <cellStyle name="Calculation 2 3 6 3" xfId="691" xr:uid="{00000000-0005-0000-0000-0000E8020000}"/>
    <cellStyle name="Calculation 2 3 6 4" xfId="702" xr:uid="{00000000-0005-0000-0000-0000E9020000}"/>
    <cellStyle name="Calculation 2 3 7" xfId="4208" xr:uid="{00000000-0005-0000-0000-0000EA020000}"/>
    <cellStyle name="Calculation 2 3 8" xfId="4216" xr:uid="{00000000-0005-0000-0000-0000EB020000}"/>
    <cellStyle name="Calculation 2 3 9" xfId="4218" xr:uid="{00000000-0005-0000-0000-0000EC020000}"/>
    <cellStyle name="Calculation 2 4" xfId="1494" xr:uid="{00000000-0005-0000-0000-0000ED020000}"/>
    <cellStyle name="Calculation 2 4 2" xfId="1508" xr:uid="{00000000-0005-0000-0000-0000EE020000}"/>
    <cellStyle name="Calculation 2 4 2 2" xfId="4500" xr:uid="{00000000-0005-0000-0000-0000EF020000}"/>
    <cellStyle name="Calculation 2 4 2 2 2" xfId="4515" xr:uid="{00000000-0005-0000-0000-0000F0020000}"/>
    <cellStyle name="Calculation 2 4 2 2 2 2" xfId="4525" xr:uid="{00000000-0005-0000-0000-0000F1020000}"/>
    <cellStyle name="Calculation 2 4 2 2 2 2 2" xfId="1707" xr:uid="{00000000-0005-0000-0000-0000F2020000}"/>
    <cellStyle name="Calculation 2 4 2 2 2 2 2 2" xfId="1729" xr:uid="{00000000-0005-0000-0000-0000F3020000}"/>
    <cellStyle name="Calculation 2 4 2 2 2 2 2 3" xfId="4536" xr:uid="{00000000-0005-0000-0000-0000F4020000}"/>
    <cellStyle name="Calculation 2 4 2 2 2 2 2 4" xfId="4513" xr:uid="{00000000-0005-0000-0000-0000F5020000}"/>
    <cellStyle name="Calculation 2 4 2 2 2 2 3" xfId="1745" xr:uid="{00000000-0005-0000-0000-0000F6020000}"/>
    <cellStyle name="Calculation 2 4 2 2 2 2 4" xfId="1772" xr:uid="{00000000-0005-0000-0000-0000F7020000}"/>
    <cellStyle name="Calculation 2 4 2 2 2 2 5" xfId="1797" xr:uid="{00000000-0005-0000-0000-0000F8020000}"/>
    <cellStyle name="Calculation 2 4 2 2 2 3" xfId="4538" xr:uid="{00000000-0005-0000-0000-0000F9020000}"/>
    <cellStyle name="Calculation 2 4 2 2 2 3 2" xfId="4315" xr:uid="{00000000-0005-0000-0000-0000FA020000}"/>
    <cellStyle name="Calculation 2 4 2 2 2 3 3" xfId="4546" xr:uid="{00000000-0005-0000-0000-0000FB020000}"/>
    <cellStyle name="Calculation 2 4 2 2 2 3 4" xfId="4554" xr:uid="{00000000-0005-0000-0000-0000FC020000}"/>
    <cellStyle name="Calculation 2 4 2 2 2 4" xfId="4561" xr:uid="{00000000-0005-0000-0000-0000FD020000}"/>
    <cellStyle name="Calculation 2 4 2 2 2 5" xfId="4570" xr:uid="{00000000-0005-0000-0000-0000FE020000}"/>
    <cellStyle name="Calculation 2 4 2 2 2 6" xfId="4579" xr:uid="{00000000-0005-0000-0000-0000FF020000}"/>
    <cellStyle name="Calculation 2 4 2 2 3" xfId="4584" xr:uid="{00000000-0005-0000-0000-000000030000}"/>
    <cellStyle name="Calculation 2 4 2 2 3 2" xfId="4593" xr:uid="{00000000-0005-0000-0000-000001030000}"/>
    <cellStyle name="Calculation 2 4 2 2 3 2 2" xfId="970" xr:uid="{00000000-0005-0000-0000-000002030000}"/>
    <cellStyle name="Calculation 2 4 2 2 3 2 3" xfId="1866" xr:uid="{00000000-0005-0000-0000-000003030000}"/>
    <cellStyle name="Calculation 2 4 2 2 3 2 4" xfId="124" xr:uid="{00000000-0005-0000-0000-000004030000}"/>
    <cellStyle name="Calculation 2 4 2 2 3 3" xfId="4597" xr:uid="{00000000-0005-0000-0000-000005030000}"/>
    <cellStyle name="Calculation 2 4 2 2 3 4" xfId="4602" xr:uid="{00000000-0005-0000-0000-000006030000}"/>
    <cellStyle name="Calculation 2 4 2 2 3 5" xfId="217" xr:uid="{00000000-0005-0000-0000-000007030000}"/>
    <cellStyle name="Calculation 2 4 2 2 4" xfId="4608" xr:uid="{00000000-0005-0000-0000-000008030000}"/>
    <cellStyle name="Calculation 2 4 2 2 4 2" xfId="3882" xr:uid="{00000000-0005-0000-0000-000009030000}"/>
    <cellStyle name="Calculation 2 4 2 2 4 3" xfId="3908" xr:uid="{00000000-0005-0000-0000-00000A030000}"/>
    <cellStyle name="Calculation 2 4 2 2 4 4" xfId="2469" xr:uid="{00000000-0005-0000-0000-00000B030000}"/>
    <cellStyle name="Calculation 2 4 2 2 5" xfId="4616" xr:uid="{00000000-0005-0000-0000-00000C030000}"/>
    <cellStyle name="Calculation 2 4 2 2 6" xfId="4629" xr:uid="{00000000-0005-0000-0000-00000D030000}"/>
    <cellStyle name="Calculation 2 4 2 2 7" xfId="4639" xr:uid="{00000000-0005-0000-0000-00000E030000}"/>
    <cellStyle name="Calculation 2 4 2 3" xfId="4651" xr:uid="{00000000-0005-0000-0000-00000F030000}"/>
    <cellStyle name="Calculation 2 4 2 3 2" xfId="4656" xr:uid="{00000000-0005-0000-0000-000010030000}"/>
    <cellStyle name="Calculation 2 4 2 3 2 2" xfId="4661" xr:uid="{00000000-0005-0000-0000-000011030000}"/>
    <cellStyle name="Calculation 2 4 2 3 2 2 2" xfId="3903" xr:uid="{00000000-0005-0000-0000-000012030000}"/>
    <cellStyle name="Calculation 2 4 2 3 2 2 3" xfId="2464" xr:uid="{00000000-0005-0000-0000-000013030000}"/>
    <cellStyle name="Calculation 2 4 2 3 2 2 4" xfId="193" xr:uid="{00000000-0005-0000-0000-000014030000}"/>
    <cellStyle name="Calculation 2 4 2 3 2 3" xfId="4663" xr:uid="{00000000-0005-0000-0000-000015030000}"/>
    <cellStyle name="Calculation 2 4 2 3 2 4" xfId="4665" xr:uid="{00000000-0005-0000-0000-000016030000}"/>
    <cellStyle name="Calculation 2 4 2 3 2 5" xfId="27" xr:uid="{00000000-0005-0000-0000-000017030000}"/>
    <cellStyle name="Calculation 2 4 2 3 3" xfId="4676" xr:uid="{00000000-0005-0000-0000-000018030000}"/>
    <cellStyle name="Calculation 2 4 2 3 3 2" xfId="4681" xr:uid="{00000000-0005-0000-0000-000019030000}"/>
    <cellStyle name="Calculation 2 4 2 3 3 3" xfId="4683" xr:uid="{00000000-0005-0000-0000-00001A030000}"/>
    <cellStyle name="Calculation 2 4 2 3 3 4" xfId="4690" xr:uid="{00000000-0005-0000-0000-00001B030000}"/>
    <cellStyle name="Calculation 2 4 2 3 4" xfId="4694" xr:uid="{00000000-0005-0000-0000-00001C030000}"/>
    <cellStyle name="Calculation 2 4 2 3 5" xfId="4699" xr:uid="{00000000-0005-0000-0000-00001D030000}"/>
    <cellStyle name="Calculation 2 4 2 3 6" xfId="4704" xr:uid="{00000000-0005-0000-0000-00001E030000}"/>
    <cellStyle name="Calculation 2 4 2 4" xfId="4711" xr:uid="{00000000-0005-0000-0000-00001F030000}"/>
    <cellStyle name="Calculation 2 4 2 4 2" xfId="4719" xr:uid="{00000000-0005-0000-0000-000020030000}"/>
    <cellStyle name="Calculation 2 4 2 4 2 2" xfId="4721" xr:uid="{00000000-0005-0000-0000-000021030000}"/>
    <cellStyle name="Calculation 2 4 2 4 2 3" xfId="4725" xr:uid="{00000000-0005-0000-0000-000022030000}"/>
    <cellStyle name="Calculation 2 4 2 4 2 4" xfId="4731" xr:uid="{00000000-0005-0000-0000-000023030000}"/>
    <cellStyle name="Calculation 2 4 2 4 3" xfId="796" xr:uid="{00000000-0005-0000-0000-000024030000}"/>
    <cellStyle name="Calculation 2 4 2 4 4" xfId="808" xr:uid="{00000000-0005-0000-0000-000025030000}"/>
    <cellStyle name="Calculation 2 4 2 4 5" xfId="819" xr:uid="{00000000-0005-0000-0000-000026030000}"/>
    <cellStyle name="Calculation 2 4 2 5" xfId="1891" xr:uid="{00000000-0005-0000-0000-000027030000}"/>
    <cellStyle name="Calculation 2 4 2 5 2" xfId="4734" xr:uid="{00000000-0005-0000-0000-000028030000}"/>
    <cellStyle name="Calculation 2 4 2 5 3" xfId="321" xr:uid="{00000000-0005-0000-0000-000029030000}"/>
    <cellStyle name="Calculation 2 4 2 5 4" xfId="3206" xr:uid="{00000000-0005-0000-0000-00002A030000}"/>
    <cellStyle name="Calculation 2 4 2 6" xfId="4738" xr:uid="{00000000-0005-0000-0000-00002B030000}"/>
    <cellStyle name="Calculation 2 4 2 7" xfId="4748" xr:uid="{00000000-0005-0000-0000-00002C030000}"/>
    <cellStyle name="Calculation 2 4 2 8" xfId="933" xr:uid="{00000000-0005-0000-0000-00002D030000}"/>
    <cellStyle name="Calculation 2 4 3" xfId="1528" xr:uid="{00000000-0005-0000-0000-00002E030000}"/>
    <cellStyle name="Calculation 2 4 3 2" xfId="3385" xr:uid="{00000000-0005-0000-0000-00002F030000}"/>
    <cellStyle name="Calculation 2 4 3 2 2" xfId="3834" xr:uid="{00000000-0005-0000-0000-000030030000}"/>
    <cellStyle name="Calculation 2 4 3 2 2 2" xfId="469" xr:uid="{00000000-0005-0000-0000-000031030000}"/>
    <cellStyle name="Calculation 2 4 3 2 2 2 2" xfId="559" xr:uid="{00000000-0005-0000-0000-000032030000}"/>
    <cellStyle name="Calculation 2 4 3 2 2 2 3" xfId="2361" xr:uid="{00000000-0005-0000-0000-000033030000}"/>
    <cellStyle name="Calculation 2 4 3 2 2 2 4" xfId="4189" xr:uid="{00000000-0005-0000-0000-000034030000}"/>
    <cellStyle name="Calculation 2 4 3 2 2 3" xfId="493" xr:uid="{00000000-0005-0000-0000-000035030000}"/>
    <cellStyle name="Calculation 2 4 3 2 2 4" xfId="542" xr:uid="{00000000-0005-0000-0000-000036030000}"/>
    <cellStyle name="Calculation 2 4 3 2 2 5" xfId="2342" xr:uid="{00000000-0005-0000-0000-000037030000}"/>
    <cellStyle name="Calculation 2 4 3 2 3" xfId="1486" xr:uid="{00000000-0005-0000-0000-000038030000}"/>
    <cellStyle name="Calculation 2 4 3 2 3 2" xfId="1507" xr:uid="{00000000-0005-0000-0000-000039030000}"/>
    <cellStyle name="Calculation 2 4 3 2 3 3" xfId="1526" xr:uid="{00000000-0005-0000-0000-00003A030000}"/>
    <cellStyle name="Calculation 2 4 3 2 3 4" xfId="1560" xr:uid="{00000000-0005-0000-0000-00003B030000}"/>
    <cellStyle name="Calculation 2 4 3 2 4" xfId="1578" xr:uid="{00000000-0005-0000-0000-00003C030000}"/>
    <cellStyle name="Calculation 2 4 3 2 5" xfId="1597" xr:uid="{00000000-0005-0000-0000-00003D030000}"/>
    <cellStyle name="Calculation 2 4 3 2 6" xfId="1621" xr:uid="{00000000-0005-0000-0000-00003E030000}"/>
    <cellStyle name="Calculation 2 4 3 3" xfId="3400" xr:uid="{00000000-0005-0000-0000-00003F030000}"/>
    <cellStyle name="Calculation 2 4 3 3 2" xfId="4750" xr:uid="{00000000-0005-0000-0000-000040030000}"/>
    <cellStyle name="Calculation 2 4 3 3 2 2" xfId="4754" xr:uid="{00000000-0005-0000-0000-000041030000}"/>
    <cellStyle name="Calculation 2 4 3 3 2 3" xfId="4755" xr:uid="{00000000-0005-0000-0000-000042030000}"/>
    <cellStyle name="Calculation 2 4 3 3 2 4" xfId="4496" xr:uid="{00000000-0005-0000-0000-000043030000}"/>
    <cellStyle name="Calculation 2 4 3 3 3" xfId="4759" xr:uid="{00000000-0005-0000-0000-000044030000}"/>
    <cellStyle name="Calculation 2 4 3 3 4" xfId="4764" xr:uid="{00000000-0005-0000-0000-000045030000}"/>
    <cellStyle name="Calculation 2 4 3 3 5" xfId="4769" xr:uid="{00000000-0005-0000-0000-000046030000}"/>
    <cellStyle name="Calculation 2 4 3 4" xfId="4770" xr:uid="{00000000-0005-0000-0000-000047030000}"/>
    <cellStyle name="Calculation 2 4 3 4 2" xfId="4779" xr:uid="{00000000-0005-0000-0000-000048030000}"/>
    <cellStyle name="Calculation 2 4 3 4 3" xfId="4782" xr:uid="{00000000-0005-0000-0000-000049030000}"/>
    <cellStyle name="Calculation 2 4 3 4 4" xfId="4787" xr:uid="{00000000-0005-0000-0000-00004A030000}"/>
    <cellStyle name="Calculation 2 4 3 5" xfId="291" xr:uid="{00000000-0005-0000-0000-00004B030000}"/>
    <cellStyle name="Calculation 2 4 3 6" xfId="111" xr:uid="{00000000-0005-0000-0000-00004C030000}"/>
    <cellStyle name="Calculation 2 4 3 7" xfId="4791" xr:uid="{00000000-0005-0000-0000-00004D030000}"/>
    <cellStyle name="Calculation 2 4 4" xfId="1541" xr:uid="{00000000-0005-0000-0000-00004E030000}"/>
    <cellStyle name="Calculation 2 4 4 2" xfId="4221" xr:uid="{00000000-0005-0000-0000-00004F030000}"/>
    <cellStyle name="Calculation 2 4 4 2 2" xfId="4238" xr:uid="{00000000-0005-0000-0000-000050030000}"/>
    <cellStyle name="Calculation 2 4 4 2 2 2" xfId="3785" xr:uid="{00000000-0005-0000-0000-000051030000}"/>
    <cellStyle name="Calculation 2 4 4 2 2 3" xfId="3793" xr:uid="{00000000-0005-0000-0000-000052030000}"/>
    <cellStyle name="Calculation 2 4 4 2 2 4" xfId="4256" xr:uid="{00000000-0005-0000-0000-000053030000}"/>
    <cellStyle name="Calculation 2 4 4 2 3" xfId="1669" xr:uid="{00000000-0005-0000-0000-000054030000}"/>
    <cellStyle name="Calculation 2 4 4 2 4" xfId="1711" xr:uid="{00000000-0005-0000-0000-000055030000}"/>
    <cellStyle name="Calculation 2 4 4 2 5" xfId="1750" xr:uid="{00000000-0005-0000-0000-000056030000}"/>
    <cellStyle name="Calculation 2 4 4 3" xfId="4275" xr:uid="{00000000-0005-0000-0000-000057030000}"/>
    <cellStyle name="Calculation 2 4 4 3 2" xfId="4288" xr:uid="{00000000-0005-0000-0000-000058030000}"/>
    <cellStyle name="Calculation 2 4 4 3 3" xfId="4304" xr:uid="{00000000-0005-0000-0000-000059030000}"/>
    <cellStyle name="Calculation 2 4 4 3 4" xfId="4322" xr:uid="{00000000-0005-0000-0000-00005A030000}"/>
    <cellStyle name="Calculation 2 4 4 4" xfId="4330" xr:uid="{00000000-0005-0000-0000-00005B030000}"/>
    <cellStyle name="Calculation 2 4 4 5" xfId="4346" xr:uid="{00000000-0005-0000-0000-00005C030000}"/>
    <cellStyle name="Calculation 2 4 4 6" xfId="202" xr:uid="{00000000-0005-0000-0000-00005D030000}"/>
    <cellStyle name="Calculation 2 4 5" xfId="2370" xr:uid="{00000000-0005-0000-0000-00005E030000}"/>
    <cellStyle name="Calculation 2 4 5 2" xfId="4359" xr:uid="{00000000-0005-0000-0000-00005F030000}"/>
    <cellStyle name="Calculation 2 4 5 2 2" xfId="4380" xr:uid="{00000000-0005-0000-0000-000060030000}"/>
    <cellStyle name="Calculation 2 4 5 2 3" xfId="1823" xr:uid="{00000000-0005-0000-0000-000061030000}"/>
    <cellStyle name="Calculation 2 4 5 2 4" xfId="977" xr:uid="{00000000-0005-0000-0000-000062030000}"/>
    <cellStyle name="Calculation 2 4 5 3" xfId="4388" xr:uid="{00000000-0005-0000-0000-000063030000}"/>
    <cellStyle name="Calculation 2 4 5 4" xfId="4412" xr:uid="{00000000-0005-0000-0000-000064030000}"/>
    <cellStyle name="Calculation 2 4 5 5" xfId="4434" xr:uid="{00000000-0005-0000-0000-000065030000}"/>
    <cellStyle name="Calculation 2 4 6" xfId="4447" xr:uid="{00000000-0005-0000-0000-000066030000}"/>
    <cellStyle name="Calculation 2 4 6 2" xfId="55" xr:uid="{00000000-0005-0000-0000-000067030000}"/>
    <cellStyle name="Calculation 2 4 6 3" xfId="4454" xr:uid="{00000000-0005-0000-0000-000068030000}"/>
    <cellStyle name="Calculation 2 4 6 4" xfId="4469" xr:uid="{00000000-0005-0000-0000-000069030000}"/>
    <cellStyle name="Calculation 2 4 7" xfId="4475" xr:uid="{00000000-0005-0000-0000-00006A030000}"/>
    <cellStyle name="Calculation 2 4 8" xfId="4481" xr:uid="{00000000-0005-0000-0000-00006B030000}"/>
    <cellStyle name="Calculation 2 4 9" xfId="4486" xr:uid="{00000000-0005-0000-0000-00006C030000}"/>
    <cellStyle name="Calculation 2 5" xfId="1566" xr:uid="{00000000-0005-0000-0000-00006D030000}"/>
    <cellStyle name="Calculation 2 5 2" xfId="725" xr:uid="{00000000-0005-0000-0000-00006E030000}"/>
    <cellStyle name="Calculation 2 5 2 2" xfId="4795" xr:uid="{00000000-0005-0000-0000-00006F030000}"/>
    <cellStyle name="Calculation 2 5 2 2 2" xfId="4803" xr:uid="{00000000-0005-0000-0000-000070030000}"/>
    <cellStyle name="Calculation 2 5 2 2 2 2" xfId="4808" xr:uid="{00000000-0005-0000-0000-000071030000}"/>
    <cellStyle name="Calculation 2 5 2 2 2 2 2" xfId="4001" xr:uid="{00000000-0005-0000-0000-000072030000}"/>
    <cellStyle name="Calculation 2 5 2 2 2 2 3" xfId="4816" xr:uid="{00000000-0005-0000-0000-000073030000}"/>
    <cellStyle name="Calculation 2 5 2 2 2 2 4" xfId="4825" xr:uid="{00000000-0005-0000-0000-000074030000}"/>
    <cellStyle name="Calculation 2 5 2 2 2 3" xfId="4828" xr:uid="{00000000-0005-0000-0000-000075030000}"/>
    <cellStyle name="Calculation 2 5 2 2 2 4" xfId="4831" xr:uid="{00000000-0005-0000-0000-000076030000}"/>
    <cellStyle name="Calculation 2 5 2 2 2 5" xfId="4836" xr:uid="{00000000-0005-0000-0000-000077030000}"/>
    <cellStyle name="Calculation 2 5 2 2 3" xfId="4843" xr:uid="{00000000-0005-0000-0000-000078030000}"/>
    <cellStyle name="Calculation 2 5 2 2 3 2" xfId="3772" xr:uid="{00000000-0005-0000-0000-000079030000}"/>
    <cellStyle name="Calculation 2 5 2 2 3 3" xfId="3777" xr:uid="{00000000-0005-0000-0000-00007A030000}"/>
    <cellStyle name="Calculation 2 5 2 2 3 4" xfId="4849" xr:uid="{00000000-0005-0000-0000-00007B030000}"/>
    <cellStyle name="Calculation 2 5 2 2 4" xfId="4853" xr:uid="{00000000-0005-0000-0000-00007C030000}"/>
    <cellStyle name="Calculation 2 5 2 2 5" xfId="4861" xr:uid="{00000000-0005-0000-0000-00007D030000}"/>
    <cellStyle name="Calculation 2 5 2 2 6" xfId="4868" xr:uid="{00000000-0005-0000-0000-00007E030000}"/>
    <cellStyle name="Calculation 2 5 2 3" xfId="4870" xr:uid="{00000000-0005-0000-0000-00007F030000}"/>
    <cellStyle name="Calculation 2 5 2 3 2" xfId="4877" xr:uid="{00000000-0005-0000-0000-000080030000}"/>
    <cellStyle name="Calculation 2 5 2 3 2 2" xfId="1316" xr:uid="{00000000-0005-0000-0000-000081030000}"/>
    <cellStyle name="Calculation 2 5 2 3 2 3" xfId="4881" xr:uid="{00000000-0005-0000-0000-000082030000}"/>
    <cellStyle name="Calculation 2 5 2 3 2 4" xfId="4890" xr:uid="{00000000-0005-0000-0000-000083030000}"/>
    <cellStyle name="Calculation 2 5 2 3 3" xfId="4894" xr:uid="{00000000-0005-0000-0000-000084030000}"/>
    <cellStyle name="Calculation 2 5 2 3 4" xfId="4899" xr:uid="{00000000-0005-0000-0000-000085030000}"/>
    <cellStyle name="Calculation 2 5 2 3 5" xfId="3455" xr:uid="{00000000-0005-0000-0000-000086030000}"/>
    <cellStyle name="Calculation 2 5 2 4" xfId="4906" xr:uid="{00000000-0005-0000-0000-000087030000}"/>
    <cellStyle name="Calculation 2 5 2 4 2" xfId="4744" xr:uid="{00000000-0005-0000-0000-000088030000}"/>
    <cellStyle name="Calculation 2 5 2 4 3" xfId="926" xr:uid="{00000000-0005-0000-0000-000089030000}"/>
    <cellStyle name="Calculation 2 5 2 4 4" xfId="939" xr:uid="{00000000-0005-0000-0000-00008A030000}"/>
    <cellStyle name="Calculation 2 5 2 5" xfId="4914" xr:uid="{00000000-0005-0000-0000-00008B030000}"/>
    <cellStyle name="Calculation 2 5 2 6" xfId="4930" xr:uid="{00000000-0005-0000-0000-00008C030000}"/>
    <cellStyle name="Calculation 2 5 2 7" xfId="4938" xr:uid="{00000000-0005-0000-0000-00008D030000}"/>
    <cellStyle name="Calculation 2 5 3" xfId="762" xr:uid="{00000000-0005-0000-0000-00008E030000}"/>
    <cellStyle name="Calculation 2 5 3 2" xfId="4940" xr:uid="{00000000-0005-0000-0000-00008F030000}"/>
    <cellStyle name="Calculation 2 5 3 2 2" xfId="4948" xr:uid="{00000000-0005-0000-0000-000090030000}"/>
    <cellStyle name="Calculation 2 5 3 2 2 2" xfId="3743" xr:uid="{00000000-0005-0000-0000-000091030000}"/>
    <cellStyle name="Calculation 2 5 3 2 2 3" xfId="4952" xr:uid="{00000000-0005-0000-0000-000092030000}"/>
    <cellStyle name="Calculation 2 5 3 2 2 4" xfId="4955" xr:uid="{00000000-0005-0000-0000-000093030000}"/>
    <cellStyle name="Calculation 2 5 3 2 3" xfId="4959" xr:uid="{00000000-0005-0000-0000-000094030000}"/>
    <cellStyle name="Calculation 2 5 3 2 4" xfId="4963" xr:uid="{00000000-0005-0000-0000-000095030000}"/>
    <cellStyle name="Calculation 2 5 3 2 5" xfId="4967" xr:uid="{00000000-0005-0000-0000-000096030000}"/>
    <cellStyle name="Calculation 2 5 3 3" xfId="4969" xr:uid="{00000000-0005-0000-0000-000097030000}"/>
    <cellStyle name="Calculation 2 5 3 3 2" xfId="4978" xr:uid="{00000000-0005-0000-0000-000098030000}"/>
    <cellStyle name="Calculation 2 5 3 3 3" xfId="4980" xr:uid="{00000000-0005-0000-0000-000099030000}"/>
    <cellStyle name="Calculation 2 5 3 3 4" xfId="4983" xr:uid="{00000000-0005-0000-0000-00009A030000}"/>
    <cellStyle name="Calculation 2 5 3 4" xfId="4985" xr:uid="{00000000-0005-0000-0000-00009B030000}"/>
    <cellStyle name="Calculation 2 5 3 5" xfId="4996" xr:uid="{00000000-0005-0000-0000-00009C030000}"/>
    <cellStyle name="Calculation 2 5 3 6" xfId="5005" xr:uid="{00000000-0005-0000-0000-00009D030000}"/>
    <cellStyle name="Calculation 2 5 4" xfId="2393" xr:uid="{00000000-0005-0000-0000-00009E030000}"/>
    <cellStyle name="Calculation 2 5 4 2" xfId="3855" xr:uid="{00000000-0005-0000-0000-00009F030000}"/>
    <cellStyle name="Calculation 2 5 4 2 2" xfId="3868" xr:uid="{00000000-0005-0000-0000-0000A0030000}"/>
    <cellStyle name="Calculation 2 5 4 2 3" xfId="3884" xr:uid="{00000000-0005-0000-0000-0000A1030000}"/>
    <cellStyle name="Calculation 2 5 4 2 4" xfId="3912" xr:uid="{00000000-0005-0000-0000-0000A2030000}"/>
    <cellStyle name="Calculation 2 5 4 3" xfId="3933" xr:uid="{00000000-0005-0000-0000-0000A3030000}"/>
    <cellStyle name="Calculation 2 5 4 4" xfId="3964" xr:uid="{00000000-0005-0000-0000-0000A4030000}"/>
    <cellStyle name="Calculation 2 5 4 5" xfId="3984" xr:uid="{00000000-0005-0000-0000-0000A5030000}"/>
    <cellStyle name="Calculation 2 5 5" xfId="2407" xr:uid="{00000000-0005-0000-0000-0000A6030000}"/>
    <cellStyle name="Calculation 2 5 5 2" xfId="4020" xr:uid="{00000000-0005-0000-0000-0000A7030000}"/>
    <cellStyle name="Calculation 2 5 5 3" xfId="4041" xr:uid="{00000000-0005-0000-0000-0000A8030000}"/>
    <cellStyle name="Calculation 2 5 5 4" xfId="4059" xr:uid="{00000000-0005-0000-0000-0000A9030000}"/>
    <cellStyle name="Calculation 2 5 6" xfId="2429" xr:uid="{00000000-0005-0000-0000-0000AA030000}"/>
    <cellStyle name="Calculation 2 5 7" xfId="2443" xr:uid="{00000000-0005-0000-0000-0000AB030000}"/>
    <cellStyle name="Calculation 2 5 8" xfId="2456" xr:uid="{00000000-0005-0000-0000-0000AC030000}"/>
    <cellStyle name="Calculation 2 6" xfId="1585" xr:uid="{00000000-0005-0000-0000-0000AD030000}"/>
    <cellStyle name="Calculation 2 6 2" xfId="1602" xr:uid="{00000000-0005-0000-0000-0000AE030000}"/>
    <cellStyle name="Calculation 2 6 2 2" xfId="5011" xr:uid="{00000000-0005-0000-0000-0000AF030000}"/>
    <cellStyle name="Calculation 2 6 2 2 2" xfId="278" xr:uid="{00000000-0005-0000-0000-0000B0030000}"/>
    <cellStyle name="Calculation 2 6 2 2 2 2" xfId="365" xr:uid="{00000000-0005-0000-0000-0000B1030000}"/>
    <cellStyle name="Calculation 2 6 2 2 2 3" xfId="2260" xr:uid="{00000000-0005-0000-0000-0000B2030000}"/>
    <cellStyle name="Calculation 2 6 2 2 2 4" xfId="2680" xr:uid="{00000000-0005-0000-0000-0000B3030000}"/>
    <cellStyle name="Calculation 2 6 2 2 3" xfId="95" xr:uid="{00000000-0005-0000-0000-0000B4030000}"/>
    <cellStyle name="Calculation 2 6 2 2 4" xfId="526" xr:uid="{00000000-0005-0000-0000-0000B5030000}"/>
    <cellStyle name="Calculation 2 6 2 2 5" xfId="585" xr:uid="{00000000-0005-0000-0000-0000B6030000}"/>
    <cellStyle name="Calculation 2 6 2 3" xfId="5021" xr:uid="{00000000-0005-0000-0000-0000B7030000}"/>
    <cellStyle name="Calculation 2 6 2 3 2" xfId="2694" xr:uid="{00000000-0005-0000-0000-0000B8030000}"/>
    <cellStyle name="Calculation 2 6 2 3 3" xfId="2705" xr:uid="{00000000-0005-0000-0000-0000B9030000}"/>
    <cellStyle name="Calculation 2 6 2 3 4" xfId="2722" xr:uid="{00000000-0005-0000-0000-0000BA030000}"/>
    <cellStyle name="Calculation 2 6 2 4" xfId="5027" xr:uid="{00000000-0005-0000-0000-0000BB030000}"/>
    <cellStyle name="Calculation 2 6 2 5" xfId="5031" xr:uid="{00000000-0005-0000-0000-0000BC030000}"/>
    <cellStyle name="Calculation 2 6 2 6" xfId="3745" xr:uid="{00000000-0005-0000-0000-0000BD030000}"/>
    <cellStyle name="Calculation 2 6 3" xfId="5036" xr:uid="{00000000-0005-0000-0000-0000BE030000}"/>
    <cellStyle name="Calculation 2 6 3 2" xfId="5042" xr:uid="{00000000-0005-0000-0000-0000BF030000}"/>
    <cellStyle name="Calculation 2 6 3 2 2" xfId="2847" xr:uid="{00000000-0005-0000-0000-0000C0030000}"/>
    <cellStyle name="Calculation 2 6 3 2 3" xfId="2858" xr:uid="{00000000-0005-0000-0000-0000C1030000}"/>
    <cellStyle name="Calculation 2 6 3 2 4" xfId="2872" xr:uid="{00000000-0005-0000-0000-0000C2030000}"/>
    <cellStyle name="Calculation 2 6 3 3" xfId="5047" xr:uid="{00000000-0005-0000-0000-0000C3030000}"/>
    <cellStyle name="Calculation 2 6 3 4" xfId="5052" xr:uid="{00000000-0005-0000-0000-0000C4030000}"/>
    <cellStyle name="Calculation 2 6 3 5" xfId="5061" xr:uid="{00000000-0005-0000-0000-0000C5030000}"/>
    <cellStyle name="Calculation 2 6 4" xfId="4080" xr:uid="{00000000-0005-0000-0000-0000C6030000}"/>
    <cellStyle name="Calculation 2 6 4 2" xfId="4101" xr:uid="{00000000-0005-0000-0000-0000C7030000}"/>
    <cellStyle name="Calculation 2 6 4 3" xfId="4114" xr:uid="{00000000-0005-0000-0000-0000C8030000}"/>
    <cellStyle name="Calculation 2 6 4 4" xfId="4121" xr:uid="{00000000-0005-0000-0000-0000C9030000}"/>
    <cellStyle name="Calculation 2 6 5" xfId="4143" xr:uid="{00000000-0005-0000-0000-0000CA030000}"/>
    <cellStyle name="Calculation 2 6 6" xfId="4161" xr:uid="{00000000-0005-0000-0000-0000CB030000}"/>
    <cellStyle name="Calculation 2 6 7" xfId="4172" xr:uid="{00000000-0005-0000-0000-0000CC030000}"/>
    <cellStyle name="Calculation 2 7" xfId="1612" xr:uid="{00000000-0005-0000-0000-0000CD030000}"/>
    <cellStyle name="Calculation 2 7 2" xfId="1408" xr:uid="{00000000-0005-0000-0000-0000CE030000}"/>
    <cellStyle name="Calculation 2 7 2 2" xfId="1419" xr:uid="{00000000-0005-0000-0000-0000CF030000}"/>
    <cellStyle name="Calculation 2 7 2 2 2" xfId="5066" xr:uid="{00000000-0005-0000-0000-0000D0030000}"/>
    <cellStyle name="Calculation 2 7 2 2 3" xfId="5073" xr:uid="{00000000-0005-0000-0000-0000D1030000}"/>
    <cellStyle name="Calculation 2 7 2 2 4" xfId="5077" xr:uid="{00000000-0005-0000-0000-0000D2030000}"/>
    <cellStyle name="Calculation 2 7 2 3" xfId="5078" xr:uid="{00000000-0005-0000-0000-0000D3030000}"/>
    <cellStyle name="Calculation 2 7 2 4" xfId="5081" xr:uid="{00000000-0005-0000-0000-0000D4030000}"/>
    <cellStyle name="Calculation 2 7 2 5" xfId="5085" xr:uid="{00000000-0005-0000-0000-0000D5030000}"/>
    <cellStyle name="Calculation 2 7 3" xfId="1428" xr:uid="{00000000-0005-0000-0000-0000D6030000}"/>
    <cellStyle name="Calculation 2 7 3 2" xfId="1440" xr:uid="{00000000-0005-0000-0000-0000D7030000}"/>
    <cellStyle name="Calculation 2 7 3 3" xfId="5088" xr:uid="{00000000-0005-0000-0000-0000D8030000}"/>
    <cellStyle name="Calculation 2 7 3 4" xfId="5091" xr:uid="{00000000-0005-0000-0000-0000D9030000}"/>
    <cellStyle name="Calculation 2 7 4" xfId="1451" xr:uid="{00000000-0005-0000-0000-0000DA030000}"/>
    <cellStyle name="Calculation 2 7 5" xfId="692" xr:uid="{00000000-0005-0000-0000-0000DB030000}"/>
    <cellStyle name="Calculation 2 7 6" xfId="703" xr:uid="{00000000-0005-0000-0000-0000DC030000}"/>
    <cellStyle name="Calculation 2 8" xfId="1623" xr:uid="{00000000-0005-0000-0000-0000DD030000}"/>
    <cellStyle name="Calculation 2 8 2" xfId="1637" xr:uid="{00000000-0005-0000-0000-0000DE030000}"/>
    <cellStyle name="Calculation 2 8 2 2" xfId="2435" xr:uid="{00000000-0005-0000-0000-0000DF030000}"/>
    <cellStyle name="Calculation 2 8 2 3" xfId="2453" xr:uid="{00000000-0005-0000-0000-0000E0030000}"/>
    <cellStyle name="Calculation 2 8 2 4" xfId="4078" xr:uid="{00000000-0005-0000-0000-0000E1030000}"/>
    <cellStyle name="Calculation 2 8 3" xfId="5097" xr:uid="{00000000-0005-0000-0000-0000E2030000}"/>
    <cellStyle name="Calculation 2 8 4" xfId="4210" xr:uid="{00000000-0005-0000-0000-0000E3030000}"/>
    <cellStyle name="Calculation 2 8 5" xfId="638" xr:uid="{00000000-0005-0000-0000-0000E4030000}"/>
    <cellStyle name="Calculation 2 9" xfId="1109" xr:uid="{00000000-0005-0000-0000-0000E5030000}"/>
    <cellStyle name="Calculation 2 9 2" xfId="1907" xr:uid="{00000000-0005-0000-0000-0000E6030000}"/>
    <cellStyle name="Calculation 2 9 3" xfId="1909" xr:uid="{00000000-0005-0000-0000-0000E7030000}"/>
    <cellStyle name="Calculation 2 9 4" xfId="5100" xr:uid="{00000000-0005-0000-0000-0000E8030000}"/>
    <cellStyle name="Calculation 3" xfId="5106" xr:uid="{00000000-0005-0000-0000-0000E9030000}"/>
    <cellStyle name="Calculation 3 10" xfId="2181" xr:uid="{00000000-0005-0000-0000-0000EA030000}"/>
    <cellStyle name="Calculation 3 11" xfId="2748" xr:uid="{00000000-0005-0000-0000-0000EB030000}"/>
    <cellStyle name="Calculation 3 12" xfId="2911" xr:uid="{00000000-0005-0000-0000-0000EC030000}"/>
    <cellStyle name="Calculation 3 13" xfId="1343" xr:uid="{00000000-0005-0000-0000-0000ED030000}"/>
    <cellStyle name="Calculation 3 2" xfId="5111" xr:uid="{00000000-0005-0000-0000-0000EE030000}"/>
    <cellStyle name="Calculation 3 2 10" xfId="5115" xr:uid="{00000000-0005-0000-0000-0000EF030000}"/>
    <cellStyle name="Calculation 3 2 11" xfId="5119" xr:uid="{00000000-0005-0000-0000-0000F0030000}"/>
    <cellStyle name="Calculation 3 2 12" xfId="5124" xr:uid="{00000000-0005-0000-0000-0000F1030000}"/>
    <cellStyle name="Calculation 3 2 2" xfId="5128" xr:uid="{00000000-0005-0000-0000-0000F2030000}"/>
    <cellStyle name="Calculation 3 2 2 2" xfId="5135" xr:uid="{00000000-0005-0000-0000-0000F3030000}"/>
    <cellStyle name="Calculation 3 2 2 2 2" xfId="5144" xr:uid="{00000000-0005-0000-0000-0000F4030000}"/>
    <cellStyle name="Calculation 3 2 2 2 2 2" xfId="5155" xr:uid="{00000000-0005-0000-0000-0000F5030000}"/>
    <cellStyle name="Calculation 3 2 2 2 2 2 2" xfId="5162" xr:uid="{00000000-0005-0000-0000-0000F6030000}"/>
    <cellStyle name="Calculation 3 2 2 2 2 2 2 2" xfId="5165" xr:uid="{00000000-0005-0000-0000-0000F7030000}"/>
    <cellStyle name="Calculation 3 2 2 2 2 2 2 2 2" xfId="5173" xr:uid="{00000000-0005-0000-0000-0000F8030000}"/>
    <cellStyle name="Calculation 3 2 2 2 2 2 2 2 3" xfId="1479" xr:uid="{00000000-0005-0000-0000-0000F9030000}"/>
    <cellStyle name="Calculation 3 2 2 2 2 2 2 2 4" xfId="1654" xr:uid="{00000000-0005-0000-0000-0000FA030000}"/>
    <cellStyle name="Calculation 3 2 2 2 2 2 2 3" xfId="5182" xr:uid="{00000000-0005-0000-0000-0000FB030000}"/>
    <cellStyle name="Calculation 3 2 2 2 2 2 2 4" xfId="5194" xr:uid="{00000000-0005-0000-0000-0000FC030000}"/>
    <cellStyle name="Calculation 3 2 2 2 2 2 2 5" xfId="5197" xr:uid="{00000000-0005-0000-0000-0000FD030000}"/>
    <cellStyle name="Calculation 3 2 2 2 2 2 3" xfId="5203" xr:uid="{00000000-0005-0000-0000-0000FE030000}"/>
    <cellStyle name="Calculation 3 2 2 2 2 2 3 2" xfId="5204" xr:uid="{00000000-0005-0000-0000-0000FF030000}"/>
    <cellStyle name="Calculation 3 2 2 2 2 2 3 3" xfId="5222" xr:uid="{00000000-0005-0000-0000-000000040000}"/>
    <cellStyle name="Calculation 3 2 2 2 2 2 3 4" xfId="5232" xr:uid="{00000000-0005-0000-0000-000001040000}"/>
    <cellStyle name="Calculation 3 2 2 2 2 2 4" xfId="5169" xr:uid="{00000000-0005-0000-0000-000002040000}"/>
    <cellStyle name="Calculation 3 2 2 2 2 2 5" xfId="5187" xr:uid="{00000000-0005-0000-0000-000003040000}"/>
    <cellStyle name="Calculation 3 2 2 2 2 2 6" xfId="5190" xr:uid="{00000000-0005-0000-0000-000004040000}"/>
    <cellStyle name="Calculation 3 2 2 2 2 3" xfId="5241" xr:uid="{00000000-0005-0000-0000-000005040000}"/>
    <cellStyle name="Calculation 3 2 2 2 2 3 2" xfId="5244" xr:uid="{00000000-0005-0000-0000-000006040000}"/>
    <cellStyle name="Calculation 3 2 2 2 2 3 2 2" xfId="5249" xr:uid="{00000000-0005-0000-0000-000007040000}"/>
    <cellStyle name="Calculation 3 2 2 2 2 3 2 3" xfId="5261" xr:uid="{00000000-0005-0000-0000-000008040000}"/>
    <cellStyle name="Calculation 3 2 2 2 2 3 2 4" xfId="5263" xr:uid="{00000000-0005-0000-0000-000009040000}"/>
    <cellStyle name="Calculation 3 2 2 2 2 3 3" xfId="5132" xr:uid="{00000000-0005-0000-0000-00000A040000}"/>
    <cellStyle name="Calculation 3 2 2 2 2 3 4" xfId="5213" xr:uid="{00000000-0005-0000-0000-00000B040000}"/>
    <cellStyle name="Calculation 3 2 2 2 2 3 5" xfId="5219" xr:uid="{00000000-0005-0000-0000-00000C040000}"/>
    <cellStyle name="Calculation 3 2 2 2 2 4" xfId="5268" xr:uid="{00000000-0005-0000-0000-00000D040000}"/>
    <cellStyle name="Calculation 3 2 2 2 2 4 2" xfId="5271" xr:uid="{00000000-0005-0000-0000-00000E040000}"/>
    <cellStyle name="Calculation 3 2 2 2 2 4 3" xfId="5274" xr:uid="{00000000-0005-0000-0000-00000F040000}"/>
    <cellStyle name="Calculation 3 2 2 2 2 4 4" xfId="5174" xr:uid="{00000000-0005-0000-0000-000010040000}"/>
    <cellStyle name="Calculation 3 2 2 2 2 5" xfId="5283" xr:uid="{00000000-0005-0000-0000-000011040000}"/>
    <cellStyle name="Calculation 3 2 2 2 2 6" xfId="5287" xr:uid="{00000000-0005-0000-0000-000012040000}"/>
    <cellStyle name="Calculation 3 2 2 2 2 7" xfId="5295" xr:uid="{00000000-0005-0000-0000-000013040000}"/>
    <cellStyle name="Calculation 3 2 2 2 3" xfId="5307" xr:uid="{00000000-0005-0000-0000-000014040000}"/>
    <cellStyle name="Calculation 3 2 2 2 3 2" xfId="5317" xr:uid="{00000000-0005-0000-0000-000015040000}"/>
    <cellStyle name="Calculation 3 2 2 2 3 2 2" xfId="5321" xr:uid="{00000000-0005-0000-0000-000016040000}"/>
    <cellStyle name="Calculation 3 2 2 2 3 2 2 2" xfId="5322" xr:uid="{00000000-0005-0000-0000-000017040000}"/>
    <cellStyle name="Calculation 3 2 2 2 3 2 2 3" xfId="5342" xr:uid="{00000000-0005-0000-0000-000018040000}"/>
    <cellStyle name="Calculation 3 2 2 2 3 2 2 4" xfId="5343" xr:uid="{00000000-0005-0000-0000-000019040000}"/>
    <cellStyle name="Calculation 3 2 2 2 3 2 3" xfId="5350" xr:uid="{00000000-0005-0000-0000-00001A040000}"/>
    <cellStyle name="Calculation 3 2 2 2 3 2 4" xfId="5254" xr:uid="{00000000-0005-0000-0000-00001B040000}"/>
    <cellStyle name="Calculation 3 2 2 2 3 2 5" xfId="5257" xr:uid="{00000000-0005-0000-0000-00001C040000}"/>
    <cellStyle name="Calculation 3 2 2 2 3 3" xfId="5357" xr:uid="{00000000-0005-0000-0000-00001D040000}"/>
    <cellStyle name="Calculation 3 2 2 2 3 3 2" xfId="3795" xr:uid="{00000000-0005-0000-0000-00001E040000}"/>
    <cellStyle name="Calculation 3 2 2 2 3 3 3" xfId="4260" xr:uid="{00000000-0005-0000-0000-00001F040000}"/>
    <cellStyle name="Calculation 3 2 2 2 3 3 4" xfId="5140" xr:uid="{00000000-0005-0000-0000-000020040000}"/>
    <cellStyle name="Calculation 3 2 2 2 3 4" xfId="5361" xr:uid="{00000000-0005-0000-0000-000021040000}"/>
    <cellStyle name="Calculation 3 2 2 2 3 5" xfId="5369" xr:uid="{00000000-0005-0000-0000-000022040000}"/>
    <cellStyle name="Calculation 3 2 2 2 3 6" xfId="5373" xr:uid="{00000000-0005-0000-0000-000023040000}"/>
    <cellStyle name="Calculation 3 2 2 2 4" xfId="5380" xr:uid="{00000000-0005-0000-0000-000024040000}"/>
    <cellStyle name="Calculation 3 2 2 2 4 2" xfId="5391" xr:uid="{00000000-0005-0000-0000-000025040000}"/>
    <cellStyle name="Calculation 3 2 2 2 4 2 2" xfId="1475" xr:uid="{00000000-0005-0000-0000-000026040000}"/>
    <cellStyle name="Calculation 3 2 2 2 4 2 3" xfId="5392" xr:uid="{00000000-0005-0000-0000-000027040000}"/>
    <cellStyle name="Calculation 3 2 2 2 4 2 4" xfId="5395" xr:uid="{00000000-0005-0000-0000-000028040000}"/>
    <cellStyle name="Calculation 3 2 2 2 4 3" xfId="5404" xr:uid="{00000000-0005-0000-0000-000029040000}"/>
    <cellStyle name="Calculation 3 2 2 2 4 4" xfId="5410" xr:uid="{00000000-0005-0000-0000-00002A040000}"/>
    <cellStyle name="Calculation 3 2 2 2 4 5" xfId="1401" xr:uid="{00000000-0005-0000-0000-00002B040000}"/>
    <cellStyle name="Calculation 3 2 2 2 5" xfId="919" xr:uid="{00000000-0005-0000-0000-00002C040000}"/>
    <cellStyle name="Calculation 3 2 2 2 5 2" xfId="931" xr:uid="{00000000-0005-0000-0000-00002D040000}"/>
    <cellStyle name="Calculation 3 2 2 2 5 3" xfId="950" xr:uid="{00000000-0005-0000-0000-00002E040000}"/>
    <cellStyle name="Calculation 3 2 2 2 5 4" xfId="957" xr:uid="{00000000-0005-0000-0000-00002F040000}"/>
    <cellStyle name="Calculation 3 2 2 2 6" xfId="963" xr:uid="{00000000-0005-0000-0000-000030040000}"/>
    <cellStyle name="Calculation 3 2 2 2 7" xfId="992" xr:uid="{00000000-0005-0000-0000-000031040000}"/>
    <cellStyle name="Calculation 3 2 2 2 8" xfId="1006" xr:uid="{00000000-0005-0000-0000-000032040000}"/>
    <cellStyle name="Calculation 3 2 2 3" xfId="5210" xr:uid="{00000000-0005-0000-0000-000033040000}"/>
    <cellStyle name="Calculation 3 2 2 3 2" xfId="5421" xr:uid="{00000000-0005-0000-0000-000034040000}"/>
    <cellStyle name="Calculation 3 2 2 3 2 2" xfId="5434" xr:uid="{00000000-0005-0000-0000-000035040000}"/>
    <cellStyle name="Calculation 3 2 2 3 2 2 2" xfId="4124" xr:uid="{00000000-0005-0000-0000-000036040000}"/>
    <cellStyle name="Calculation 3 2 2 3 2 2 2 2" xfId="1382" xr:uid="{00000000-0005-0000-0000-000037040000}"/>
    <cellStyle name="Calculation 3 2 2 3 2 2 2 3" xfId="5437" xr:uid="{00000000-0005-0000-0000-000038040000}"/>
    <cellStyle name="Calculation 3 2 2 3 2 2 2 4" xfId="5446" xr:uid="{00000000-0005-0000-0000-000039040000}"/>
    <cellStyle name="Calculation 3 2 2 3 2 2 3" xfId="4139" xr:uid="{00000000-0005-0000-0000-00003A040000}"/>
    <cellStyle name="Calculation 3 2 2 3 2 2 4" xfId="5331" xr:uid="{00000000-0005-0000-0000-00003B040000}"/>
    <cellStyle name="Calculation 3 2 2 3 2 2 5" xfId="5339" xr:uid="{00000000-0005-0000-0000-00003C040000}"/>
    <cellStyle name="Calculation 3 2 2 3 2 3" xfId="5462" xr:uid="{00000000-0005-0000-0000-00003D040000}"/>
    <cellStyle name="Calculation 3 2 2 3 2 3 2" xfId="4153" xr:uid="{00000000-0005-0000-0000-00003E040000}"/>
    <cellStyle name="Calculation 3 2 2 3 2 3 3" xfId="5472" xr:uid="{00000000-0005-0000-0000-00003F040000}"/>
    <cellStyle name="Calculation 3 2 2 3 2 3 4" xfId="5483" xr:uid="{00000000-0005-0000-0000-000040040000}"/>
    <cellStyle name="Calculation 3 2 2 3 2 4" xfId="5490" xr:uid="{00000000-0005-0000-0000-000041040000}"/>
    <cellStyle name="Calculation 3 2 2 3 2 5" xfId="5499" xr:uid="{00000000-0005-0000-0000-000042040000}"/>
    <cellStyle name="Calculation 3 2 2 3 2 6" xfId="5503" xr:uid="{00000000-0005-0000-0000-000043040000}"/>
    <cellStyle name="Calculation 3 2 2 3 3" xfId="5514" xr:uid="{00000000-0005-0000-0000-000044040000}"/>
    <cellStyle name="Calculation 3 2 2 3 3 2" xfId="5525" xr:uid="{00000000-0005-0000-0000-000045040000}"/>
    <cellStyle name="Calculation 3 2 2 3 3 2 2" xfId="4200" xr:uid="{00000000-0005-0000-0000-000046040000}"/>
    <cellStyle name="Calculation 3 2 2 3 3 2 3" xfId="5529" xr:uid="{00000000-0005-0000-0000-000047040000}"/>
    <cellStyle name="Calculation 3 2 2 3 3 2 4" xfId="5535" xr:uid="{00000000-0005-0000-0000-000048040000}"/>
    <cellStyle name="Calculation 3 2 2 3 3 3" xfId="5545" xr:uid="{00000000-0005-0000-0000-000049040000}"/>
    <cellStyle name="Calculation 3 2 2 3 3 4" xfId="5552" xr:uid="{00000000-0005-0000-0000-00004A040000}"/>
    <cellStyle name="Calculation 3 2 2 3 3 5" xfId="5560" xr:uid="{00000000-0005-0000-0000-00004B040000}"/>
    <cellStyle name="Calculation 3 2 2 3 4" xfId="5568" xr:uid="{00000000-0005-0000-0000-00004C040000}"/>
    <cellStyle name="Calculation 3 2 2 3 4 2" xfId="5582" xr:uid="{00000000-0005-0000-0000-00004D040000}"/>
    <cellStyle name="Calculation 3 2 2 3 4 3" xfId="5595" xr:uid="{00000000-0005-0000-0000-00004E040000}"/>
    <cellStyle name="Calculation 3 2 2 3 4 4" xfId="5610" xr:uid="{00000000-0005-0000-0000-00004F040000}"/>
    <cellStyle name="Calculation 3 2 2 3 5" xfId="5618" xr:uid="{00000000-0005-0000-0000-000050040000}"/>
    <cellStyle name="Calculation 3 2 2 3 6" xfId="5625" xr:uid="{00000000-0005-0000-0000-000051040000}"/>
    <cellStyle name="Calculation 3 2 2 3 7" xfId="5634" xr:uid="{00000000-0005-0000-0000-000052040000}"/>
    <cellStyle name="Calculation 3 2 2 4" xfId="5216" xr:uid="{00000000-0005-0000-0000-000053040000}"/>
    <cellStyle name="Calculation 3 2 2 4 2" xfId="5640" xr:uid="{00000000-0005-0000-0000-000054040000}"/>
    <cellStyle name="Calculation 3 2 2 4 2 2" xfId="5650" xr:uid="{00000000-0005-0000-0000-000055040000}"/>
    <cellStyle name="Calculation 3 2 2 4 2 2 2" xfId="983" xr:uid="{00000000-0005-0000-0000-000056040000}"/>
    <cellStyle name="Calculation 3 2 2 4 2 2 3" xfId="1872" xr:uid="{00000000-0005-0000-0000-000057040000}"/>
    <cellStyle name="Calculation 3 2 2 4 2 2 4" xfId="129" xr:uid="{00000000-0005-0000-0000-000058040000}"/>
    <cellStyle name="Calculation 3 2 2 4 2 3" xfId="5659" xr:uid="{00000000-0005-0000-0000-000059040000}"/>
    <cellStyle name="Calculation 3 2 2 4 2 4" xfId="5668" xr:uid="{00000000-0005-0000-0000-00005A040000}"/>
    <cellStyle name="Calculation 3 2 2 4 2 5" xfId="5674" xr:uid="{00000000-0005-0000-0000-00005B040000}"/>
    <cellStyle name="Calculation 3 2 2 4 3" xfId="5680" xr:uid="{00000000-0005-0000-0000-00005C040000}"/>
    <cellStyle name="Calculation 3 2 2 4 3 2" xfId="3894" xr:uid="{00000000-0005-0000-0000-00005D040000}"/>
    <cellStyle name="Calculation 3 2 2 4 3 3" xfId="3920" xr:uid="{00000000-0005-0000-0000-00005E040000}"/>
    <cellStyle name="Calculation 3 2 2 4 3 4" xfId="2478" xr:uid="{00000000-0005-0000-0000-00005F040000}"/>
    <cellStyle name="Calculation 3 2 2 4 4" xfId="5690" xr:uid="{00000000-0005-0000-0000-000060040000}"/>
    <cellStyle name="Calculation 3 2 2 4 5" xfId="5695" xr:uid="{00000000-0005-0000-0000-000061040000}"/>
    <cellStyle name="Calculation 3 2 2 4 6" xfId="5702" xr:uid="{00000000-0005-0000-0000-000062040000}"/>
    <cellStyle name="Calculation 3 2 2 5" xfId="5228" xr:uid="{00000000-0005-0000-0000-000063040000}"/>
    <cellStyle name="Calculation 3 2 2 5 2" xfId="5709" xr:uid="{00000000-0005-0000-0000-000064040000}"/>
    <cellStyle name="Calculation 3 2 2 5 2 2" xfId="5714" xr:uid="{00000000-0005-0000-0000-000065040000}"/>
    <cellStyle name="Calculation 3 2 2 5 2 3" xfId="5720" xr:uid="{00000000-0005-0000-0000-000066040000}"/>
    <cellStyle name="Calculation 3 2 2 5 2 4" xfId="5727" xr:uid="{00000000-0005-0000-0000-000067040000}"/>
    <cellStyle name="Calculation 3 2 2 5 3" xfId="5735" xr:uid="{00000000-0005-0000-0000-000068040000}"/>
    <cellStyle name="Calculation 3 2 2 5 4" xfId="5742" xr:uid="{00000000-0005-0000-0000-000069040000}"/>
    <cellStyle name="Calculation 3 2 2 5 5" xfId="5747" xr:uid="{00000000-0005-0000-0000-00006A040000}"/>
    <cellStyle name="Calculation 3 2 2 6" xfId="790" xr:uid="{00000000-0005-0000-0000-00006B040000}"/>
    <cellStyle name="Calculation 3 2 2 6 2" xfId="802" xr:uid="{00000000-0005-0000-0000-00006C040000}"/>
    <cellStyle name="Calculation 3 2 2 6 3" xfId="816" xr:uid="{00000000-0005-0000-0000-00006D040000}"/>
    <cellStyle name="Calculation 3 2 2 6 4" xfId="828" xr:uid="{00000000-0005-0000-0000-00006E040000}"/>
    <cellStyle name="Calculation 3 2 2 7" xfId="830" xr:uid="{00000000-0005-0000-0000-00006F040000}"/>
    <cellStyle name="Calculation 3 2 2 8" xfId="832" xr:uid="{00000000-0005-0000-0000-000070040000}"/>
    <cellStyle name="Calculation 3 2 2 9" xfId="850" xr:uid="{00000000-0005-0000-0000-000071040000}"/>
    <cellStyle name="Calculation 3 2 3" xfId="5748" xr:uid="{00000000-0005-0000-0000-000072040000}"/>
    <cellStyle name="Calculation 3 2 3 2" xfId="5278" xr:uid="{00000000-0005-0000-0000-000073040000}"/>
    <cellStyle name="Calculation 3 2 3 2 2" xfId="5752" xr:uid="{00000000-0005-0000-0000-000074040000}"/>
    <cellStyle name="Calculation 3 2 3 2 2 2" xfId="2614" xr:uid="{00000000-0005-0000-0000-000075040000}"/>
    <cellStyle name="Calculation 3 2 3 2 2 2 2" xfId="2624" xr:uid="{00000000-0005-0000-0000-000076040000}"/>
    <cellStyle name="Calculation 3 2 3 2 2 2 2 2" xfId="5766" xr:uid="{00000000-0005-0000-0000-000077040000}"/>
    <cellStyle name="Calculation 3 2 3 2 2 2 2 2 2" xfId="5767" xr:uid="{00000000-0005-0000-0000-000078040000}"/>
    <cellStyle name="Calculation 3 2 3 2 2 2 2 2 3" xfId="5776" xr:uid="{00000000-0005-0000-0000-000079040000}"/>
    <cellStyle name="Calculation 3 2 3 2 2 2 2 2 4" xfId="5783" xr:uid="{00000000-0005-0000-0000-00007A040000}"/>
    <cellStyle name="Calculation 3 2 3 2 2 2 2 3" xfId="5793" xr:uid="{00000000-0005-0000-0000-00007B040000}"/>
    <cellStyle name="Calculation 3 2 3 2 2 2 2 4" xfId="5797" xr:uid="{00000000-0005-0000-0000-00007C040000}"/>
    <cellStyle name="Calculation 3 2 3 2 2 2 2 5" xfId="5798" xr:uid="{00000000-0005-0000-0000-00007D040000}"/>
    <cellStyle name="Calculation 3 2 3 2 2 2 3" xfId="1340" xr:uid="{00000000-0005-0000-0000-00007E040000}"/>
    <cellStyle name="Calculation 3 2 3 2 2 2 3 2" xfId="1356" xr:uid="{00000000-0005-0000-0000-00007F040000}"/>
    <cellStyle name="Calculation 3 2 3 2 2 2 3 3" xfId="1363" xr:uid="{00000000-0005-0000-0000-000080040000}"/>
    <cellStyle name="Calculation 3 2 3 2 2 2 3 4" xfId="1372" xr:uid="{00000000-0005-0000-0000-000081040000}"/>
    <cellStyle name="Calculation 3 2 3 2 2 2 4" xfId="1390" xr:uid="{00000000-0005-0000-0000-000082040000}"/>
    <cellStyle name="Calculation 3 2 3 2 2 2 5" xfId="5443" xr:uid="{00000000-0005-0000-0000-000083040000}"/>
    <cellStyle name="Calculation 3 2 3 2 2 2 6" xfId="5444" xr:uid="{00000000-0005-0000-0000-000084040000}"/>
    <cellStyle name="Calculation 3 2 3 2 2 3" xfId="2638" xr:uid="{00000000-0005-0000-0000-000085040000}"/>
    <cellStyle name="Calculation 3 2 3 2 2 3 2" xfId="5804" xr:uid="{00000000-0005-0000-0000-000086040000}"/>
    <cellStyle name="Calculation 3 2 3 2 2 3 2 2" xfId="5811" xr:uid="{00000000-0005-0000-0000-000087040000}"/>
    <cellStyle name="Calculation 3 2 3 2 2 3 2 3" xfId="5814" xr:uid="{00000000-0005-0000-0000-000088040000}"/>
    <cellStyle name="Calculation 3 2 3 2 2 3 2 4" xfId="5817" xr:uid="{00000000-0005-0000-0000-000089040000}"/>
    <cellStyle name="Calculation 3 2 3 2 2 3 3" xfId="5827" xr:uid="{00000000-0005-0000-0000-00008A040000}"/>
    <cellStyle name="Calculation 3 2 3 2 2 3 4" xfId="5834" xr:uid="{00000000-0005-0000-0000-00008B040000}"/>
    <cellStyle name="Calculation 3 2 3 2 2 3 5" xfId="5835" xr:uid="{00000000-0005-0000-0000-00008C040000}"/>
    <cellStyle name="Calculation 3 2 3 2 2 4" xfId="2653" xr:uid="{00000000-0005-0000-0000-00008D040000}"/>
    <cellStyle name="Calculation 3 2 3 2 2 4 2" xfId="1858" xr:uid="{00000000-0005-0000-0000-00008E040000}"/>
    <cellStyle name="Calculation 3 2 3 2 2 4 3" xfId="119" xr:uid="{00000000-0005-0000-0000-00008F040000}"/>
    <cellStyle name="Calculation 3 2 3 2 2 4 4" xfId="5837" xr:uid="{00000000-0005-0000-0000-000090040000}"/>
    <cellStyle name="Calculation 3 2 3 2 2 5" xfId="2671" xr:uid="{00000000-0005-0000-0000-000091040000}"/>
    <cellStyle name="Calculation 3 2 3 2 2 6" xfId="5845" xr:uid="{00000000-0005-0000-0000-000092040000}"/>
    <cellStyle name="Calculation 3 2 3 2 2 7" xfId="5849" xr:uid="{00000000-0005-0000-0000-000093040000}"/>
    <cellStyle name="Calculation 3 2 3 2 3" xfId="5857" xr:uid="{00000000-0005-0000-0000-000094040000}"/>
    <cellStyle name="Calculation 3 2 3 2 3 2" xfId="108" xr:uid="{00000000-0005-0000-0000-000095040000}"/>
    <cellStyle name="Calculation 3 2 3 2 3 2 2" xfId="5869" xr:uid="{00000000-0005-0000-0000-000096040000}"/>
    <cellStyle name="Calculation 3 2 3 2 3 2 2 2" xfId="5196" xr:uid="{00000000-0005-0000-0000-000097040000}"/>
    <cellStyle name="Calculation 3 2 3 2 3 2 2 3" xfId="5199" xr:uid="{00000000-0005-0000-0000-000098040000}"/>
    <cellStyle name="Calculation 3 2 3 2 3 2 2 4" xfId="5871" xr:uid="{00000000-0005-0000-0000-000099040000}"/>
    <cellStyle name="Calculation 3 2 3 2 3 2 3" xfId="5878" xr:uid="{00000000-0005-0000-0000-00009A040000}"/>
    <cellStyle name="Calculation 3 2 3 2 3 2 4" xfId="5885" xr:uid="{00000000-0005-0000-0000-00009B040000}"/>
    <cellStyle name="Calculation 3 2 3 2 3 2 5" xfId="5887" xr:uid="{00000000-0005-0000-0000-00009C040000}"/>
    <cellStyle name="Calculation 3 2 3 2 3 3" xfId="541" xr:uid="{00000000-0005-0000-0000-00009D040000}"/>
    <cellStyle name="Calculation 3 2 3 2 3 3 2" xfId="2283" xr:uid="{00000000-0005-0000-0000-00009E040000}"/>
    <cellStyle name="Calculation 3 2 3 2 3 3 3" xfId="2292" xr:uid="{00000000-0005-0000-0000-00009F040000}"/>
    <cellStyle name="Calculation 3 2 3 2 3 3 4" xfId="5894" xr:uid="{00000000-0005-0000-0000-0000A0040000}"/>
    <cellStyle name="Calculation 3 2 3 2 3 4" xfId="598" xr:uid="{00000000-0005-0000-0000-0000A1040000}"/>
    <cellStyle name="Calculation 3 2 3 2 3 5" xfId="5906" xr:uid="{00000000-0005-0000-0000-0000A2040000}"/>
    <cellStyle name="Calculation 3 2 3 2 3 6" xfId="5910" xr:uid="{00000000-0005-0000-0000-0000A3040000}"/>
    <cellStyle name="Calculation 3 2 3 2 4" xfId="5915" xr:uid="{00000000-0005-0000-0000-0000A4040000}"/>
    <cellStyle name="Calculation 3 2 3 2 4 2" xfId="2719" xr:uid="{00000000-0005-0000-0000-0000A5040000}"/>
    <cellStyle name="Calculation 3 2 3 2 4 2 2" xfId="39" xr:uid="{00000000-0005-0000-0000-0000A6040000}"/>
    <cellStyle name="Calculation 3 2 3 2 4 2 3" xfId="75" xr:uid="{00000000-0005-0000-0000-0000A7040000}"/>
    <cellStyle name="Calculation 3 2 3 2 4 2 4" xfId="2832" xr:uid="{00000000-0005-0000-0000-0000A8040000}"/>
    <cellStyle name="Calculation 3 2 3 2 4 3" xfId="2743" xr:uid="{00000000-0005-0000-0000-0000A9040000}"/>
    <cellStyle name="Calculation 3 2 3 2 4 4" xfId="5938" xr:uid="{00000000-0005-0000-0000-0000AA040000}"/>
    <cellStyle name="Calculation 3 2 3 2 4 5" xfId="5953" xr:uid="{00000000-0005-0000-0000-0000AB040000}"/>
    <cellStyle name="Calculation 3 2 3 2 5" xfId="1052" xr:uid="{00000000-0005-0000-0000-0000AC040000}"/>
    <cellStyle name="Calculation 3 2 3 2 5 2" xfId="1065" xr:uid="{00000000-0005-0000-0000-0000AD040000}"/>
    <cellStyle name="Calculation 3 2 3 2 5 3" xfId="1075" xr:uid="{00000000-0005-0000-0000-0000AE040000}"/>
    <cellStyle name="Calculation 3 2 3 2 5 4" xfId="1082" xr:uid="{00000000-0005-0000-0000-0000AF040000}"/>
    <cellStyle name="Calculation 3 2 3 2 6" xfId="1096" xr:uid="{00000000-0005-0000-0000-0000B0040000}"/>
    <cellStyle name="Calculation 3 2 3 2 7" xfId="1061" xr:uid="{00000000-0005-0000-0000-0000B1040000}"/>
    <cellStyle name="Calculation 3 2 3 2 8" xfId="1073" xr:uid="{00000000-0005-0000-0000-0000B2040000}"/>
    <cellStyle name="Calculation 3 2 3 3" xfId="5177" xr:uid="{00000000-0005-0000-0000-0000B3040000}"/>
    <cellStyle name="Calculation 3 2 3 3 2" xfId="5963" xr:uid="{00000000-0005-0000-0000-0000B4040000}"/>
    <cellStyle name="Calculation 3 2 3 3 2 2" xfId="2805" xr:uid="{00000000-0005-0000-0000-0000B5040000}"/>
    <cellStyle name="Calculation 3 2 3 3 2 2 2" xfId="4671" xr:uid="{00000000-0005-0000-0000-0000B6040000}"/>
    <cellStyle name="Calculation 3 2 3 3 2 2 2 2" xfId="5970" xr:uid="{00000000-0005-0000-0000-0000B7040000}"/>
    <cellStyle name="Calculation 3 2 3 3 2 2 2 3" xfId="5976" xr:uid="{00000000-0005-0000-0000-0000B8040000}"/>
    <cellStyle name="Calculation 3 2 3 3 2 2 2 4" xfId="5979" xr:uid="{00000000-0005-0000-0000-0000B9040000}"/>
    <cellStyle name="Calculation 3 2 3 3 2 2 3" xfId="34" xr:uid="{00000000-0005-0000-0000-0000BA040000}"/>
    <cellStyle name="Calculation 3 2 3 3 2 2 4" xfId="5987" xr:uid="{00000000-0005-0000-0000-0000BB040000}"/>
    <cellStyle name="Calculation 3 2 3 3 2 2 5" xfId="5994" xr:uid="{00000000-0005-0000-0000-0000BC040000}"/>
    <cellStyle name="Calculation 3 2 3 3 2 3" xfId="2823" xr:uid="{00000000-0005-0000-0000-0000BD040000}"/>
    <cellStyle name="Calculation 3 2 3 3 2 3 2" xfId="4685" xr:uid="{00000000-0005-0000-0000-0000BE040000}"/>
    <cellStyle name="Calculation 3 2 3 3 2 3 3" xfId="5999" xr:uid="{00000000-0005-0000-0000-0000BF040000}"/>
    <cellStyle name="Calculation 3 2 3 3 2 3 4" xfId="6005" xr:uid="{00000000-0005-0000-0000-0000C0040000}"/>
    <cellStyle name="Calculation 3 2 3 3 2 4" xfId="2224" xr:uid="{00000000-0005-0000-0000-0000C1040000}"/>
    <cellStyle name="Calculation 3 2 3 3 2 5" xfId="6017" xr:uid="{00000000-0005-0000-0000-0000C2040000}"/>
    <cellStyle name="Calculation 3 2 3 3 2 6" xfId="6022" xr:uid="{00000000-0005-0000-0000-0000C3040000}"/>
    <cellStyle name="Calculation 3 2 3 3 3" xfId="6034" xr:uid="{00000000-0005-0000-0000-0000C4040000}"/>
    <cellStyle name="Calculation 3 2 3 3 3 2" xfId="2870" xr:uid="{00000000-0005-0000-0000-0000C5040000}"/>
    <cellStyle name="Calculation 3 2 3 3 3 2 2" xfId="4728" xr:uid="{00000000-0005-0000-0000-0000C6040000}"/>
    <cellStyle name="Calculation 3 2 3 3 3 2 3" xfId="6041" xr:uid="{00000000-0005-0000-0000-0000C7040000}"/>
    <cellStyle name="Calculation 3 2 3 3 3 2 4" xfId="6050" xr:uid="{00000000-0005-0000-0000-0000C8040000}"/>
    <cellStyle name="Calculation 3 2 3 3 3 3" xfId="2882" xr:uid="{00000000-0005-0000-0000-0000C9040000}"/>
    <cellStyle name="Calculation 3 2 3 3 3 4" xfId="6063" xr:uid="{00000000-0005-0000-0000-0000CA040000}"/>
    <cellStyle name="Calculation 3 2 3 3 3 5" xfId="6074" xr:uid="{00000000-0005-0000-0000-0000CB040000}"/>
    <cellStyle name="Calculation 3 2 3 3 4" xfId="6083" xr:uid="{00000000-0005-0000-0000-0000CC040000}"/>
    <cellStyle name="Calculation 3 2 3 3 4 2" xfId="2908" xr:uid="{00000000-0005-0000-0000-0000CD040000}"/>
    <cellStyle name="Calculation 3 2 3 3 4 3" xfId="6098" xr:uid="{00000000-0005-0000-0000-0000CE040000}"/>
    <cellStyle name="Calculation 3 2 3 3 4 4" xfId="6113" xr:uid="{00000000-0005-0000-0000-0000CF040000}"/>
    <cellStyle name="Calculation 3 2 3 3 5" xfId="6121" xr:uid="{00000000-0005-0000-0000-0000D0040000}"/>
    <cellStyle name="Calculation 3 2 3 3 6" xfId="6130" xr:uid="{00000000-0005-0000-0000-0000D1040000}"/>
    <cellStyle name="Calculation 3 2 3 3 7" xfId="1107" xr:uid="{00000000-0005-0000-0000-0000D2040000}"/>
    <cellStyle name="Calculation 3 2 3 4" xfId="1482" xr:uid="{00000000-0005-0000-0000-0000D3040000}"/>
    <cellStyle name="Calculation 3 2 3 4 2" xfId="1505" xr:uid="{00000000-0005-0000-0000-0000D4040000}"/>
    <cellStyle name="Calculation 3 2 3 4 2 2" xfId="1523" xr:uid="{00000000-0005-0000-0000-0000D5040000}"/>
    <cellStyle name="Calculation 3 2 3 4 2 2 2" xfId="4493" xr:uid="{00000000-0005-0000-0000-0000D6040000}"/>
    <cellStyle name="Calculation 3 2 3 4 2 2 3" xfId="4645" xr:uid="{00000000-0005-0000-0000-0000D7040000}"/>
    <cellStyle name="Calculation 3 2 3 4 2 2 4" xfId="4709" xr:uid="{00000000-0005-0000-0000-0000D8040000}"/>
    <cellStyle name="Calculation 3 2 3 4 2 3" xfId="1539" xr:uid="{00000000-0005-0000-0000-0000D9040000}"/>
    <cellStyle name="Calculation 3 2 3 4 2 4" xfId="1552" xr:uid="{00000000-0005-0000-0000-0000DA040000}"/>
    <cellStyle name="Calculation 3 2 3 4 2 5" xfId="2367" xr:uid="{00000000-0005-0000-0000-0000DB040000}"/>
    <cellStyle name="Calculation 3 2 3 4 3" xfId="1576" xr:uid="{00000000-0005-0000-0000-0000DC040000}"/>
    <cellStyle name="Calculation 3 2 3 4 3 2" xfId="721" xr:uid="{00000000-0005-0000-0000-0000DD040000}"/>
    <cellStyle name="Calculation 3 2 3 4 3 3" xfId="760" xr:uid="{00000000-0005-0000-0000-0000DE040000}"/>
    <cellStyle name="Calculation 3 2 3 4 3 4" xfId="2390" xr:uid="{00000000-0005-0000-0000-0000DF040000}"/>
    <cellStyle name="Calculation 3 2 3 4 4" xfId="1595" xr:uid="{00000000-0005-0000-0000-0000E0040000}"/>
    <cellStyle name="Calculation 3 2 3 4 5" xfId="1619" xr:uid="{00000000-0005-0000-0000-0000E1040000}"/>
    <cellStyle name="Calculation 3 2 3 4 6" xfId="1630" xr:uid="{00000000-0005-0000-0000-0000E2040000}"/>
    <cellStyle name="Calculation 3 2 3 5" xfId="1656" xr:uid="{00000000-0005-0000-0000-0000E3040000}"/>
    <cellStyle name="Calculation 3 2 3 5 2" xfId="6147" xr:uid="{00000000-0005-0000-0000-0000E4040000}"/>
    <cellStyle name="Calculation 3 2 3 5 2 2" xfId="3014" xr:uid="{00000000-0005-0000-0000-0000E5040000}"/>
    <cellStyle name="Calculation 3 2 3 5 2 3" xfId="3383" xr:uid="{00000000-0005-0000-0000-0000E6040000}"/>
    <cellStyle name="Calculation 3 2 3 5 2 4" xfId="3399" xr:uid="{00000000-0005-0000-0000-0000E7040000}"/>
    <cellStyle name="Calculation 3 2 3 5 3" xfId="6163" xr:uid="{00000000-0005-0000-0000-0000E8040000}"/>
    <cellStyle name="Calculation 3 2 3 5 4" xfId="6177" xr:uid="{00000000-0005-0000-0000-0000E9040000}"/>
    <cellStyle name="Calculation 3 2 3 5 5" xfId="6185" xr:uid="{00000000-0005-0000-0000-0000EA040000}"/>
    <cellStyle name="Calculation 3 2 3 6" xfId="1658" xr:uid="{00000000-0005-0000-0000-0000EB040000}"/>
    <cellStyle name="Calculation 3 2 3 6 2" xfId="6195" xr:uid="{00000000-0005-0000-0000-0000EC040000}"/>
    <cellStyle name="Calculation 3 2 3 6 3" xfId="6207" xr:uid="{00000000-0005-0000-0000-0000ED040000}"/>
    <cellStyle name="Calculation 3 2 3 6 4" xfId="6212" xr:uid="{00000000-0005-0000-0000-0000EE040000}"/>
    <cellStyle name="Calculation 3 2 3 7" xfId="6213" xr:uid="{00000000-0005-0000-0000-0000EF040000}"/>
    <cellStyle name="Calculation 3 2 3 8" xfId="368" xr:uid="{00000000-0005-0000-0000-0000F0040000}"/>
    <cellStyle name="Calculation 3 2 3 9" xfId="2263" xr:uid="{00000000-0005-0000-0000-0000F1040000}"/>
    <cellStyle name="Calculation 3 2 4" xfId="6214" xr:uid="{00000000-0005-0000-0000-0000F2040000}"/>
    <cellStyle name="Calculation 3 2 4 2" xfId="6216" xr:uid="{00000000-0005-0000-0000-0000F3040000}"/>
    <cellStyle name="Calculation 3 2 4 2 2" xfId="6228" xr:uid="{00000000-0005-0000-0000-0000F4040000}"/>
    <cellStyle name="Calculation 3 2 4 2 2 2" xfId="3072" xr:uid="{00000000-0005-0000-0000-0000F5040000}"/>
    <cellStyle name="Calculation 3 2 4 2 2 2 2" xfId="2958" xr:uid="{00000000-0005-0000-0000-0000F6040000}"/>
    <cellStyle name="Calculation 3 2 4 2 2 2 2 2" xfId="6238" xr:uid="{00000000-0005-0000-0000-0000F7040000}"/>
    <cellStyle name="Calculation 3 2 4 2 2 2 2 3" xfId="6247" xr:uid="{00000000-0005-0000-0000-0000F8040000}"/>
    <cellStyle name="Calculation 3 2 4 2 2 2 2 4" xfId="6252" xr:uid="{00000000-0005-0000-0000-0000F9040000}"/>
    <cellStyle name="Calculation 3 2 4 2 2 2 3" xfId="2974" xr:uid="{00000000-0005-0000-0000-0000FA040000}"/>
    <cellStyle name="Calculation 3 2 4 2 2 2 4" xfId="1855" xr:uid="{00000000-0005-0000-0000-0000FB040000}"/>
    <cellStyle name="Calculation 3 2 4 2 2 2 5" xfId="6259" xr:uid="{00000000-0005-0000-0000-0000FC040000}"/>
    <cellStyle name="Calculation 3 2 4 2 2 3" xfId="2937" xr:uid="{00000000-0005-0000-0000-0000FD040000}"/>
    <cellStyle name="Calculation 3 2 4 2 2 3 2" xfId="6264" xr:uid="{00000000-0005-0000-0000-0000FE040000}"/>
    <cellStyle name="Calculation 3 2 4 2 2 3 3" xfId="6271" xr:uid="{00000000-0005-0000-0000-0000FF040000}"/>
    <cellStyle name="Calculation 3 2 4 2 2 3 4" xfId="1881" xr:uid="{00000000-0005-0000-0000-000000050000}"/>
    <cellStyle name="Calculation 3 2 4 2 2 4" xfId="2949" xr:uid="{00000000-0005-0000-0000-000001050000}"/>
    <cellStyle name="Calculation 3 2 4 2 2 5" xfId="2964" xr:uid="{00000000-0005-0000-0000-000002050000}"/>
    <cellStyle name="Calculation 3 2 4 2 2 6" xfId="6277" xr:uid="{00000000-0005-0000-0000-000003050000}"/>
    <cellStyle name="Calculation 3 2 4 2 3" xfId="6291" xr:uid="{00000000-0005-0000-0000-000004050000}"/>
    <cellStyle name="Calculation 3 2 4 2 3 2" xfId="3101" xr:uid="{00000000-0005-0000-0000-000005050000}"/>
    <cellStyle name="Calculation 3 2 4 2 3 2 2" xfId="2539" xr:uid="{00000000-0005-0000-0000-000006050000}"/>
    <cellStyle name="Calculation 3 2 4 2 3 2 3" xfId="2551" xr:uid="{00000000-0005-0000-0000-000007050000}"/>
    <cellStyle name="Calculation 3 2 4 2 3 2 4" xfId="6297" xr:uid="{00000000-0005-0000-0000-000008050000}"/>
    <cellStyle name="Calculation 3 2 4 2 3 3" xfId="3109" xr:uid="{00000000-0005-0000-0000-000009050000}"/>
    <cellStyle name="Calculation 3 2 4 2 3 4" xfId="3119" xr:uid="{00000000-0005-0000-0000-00000A050000}"/>
    <cellStyle name="Calculation 3 2 4 2 3 5" xfId="6308" xr:uid="{00000000-0005-0000-0000-00000B050000}"/>
    <cellStyle name="Calculation 3 2 4 2 4" xfId="6319" xr:uid="{00000000-0005-0000-0000-00000C050000}"/>
    <cellStyle name="Calculation 3 2 4 2 4 2" xfId="3150" xr:uid="{00000000-0005-0000-0000-00000D050000}"/>
    <cellStyle name="Calculation 3 2 4 2 4 3" xfId="3160" xr:uid="{00000000-0005-0000-0000-00000E050000}"/>
    <cellStyle name="Calculation 3 2 4 2 4 4" xfId="6326" xr:uid="{00000000-0005-0000-0000-00000F050000}"/>
    <cellStyle name="Calculation 3 2 4 2 5" xfId="1203" xr:uid="{00000000-0005-0000-0000-000010050000}"/>
    <cellStyle name="Calculation 3 2 4 2 6" xfId="1231" xr:uid="{00000000-0005-0000-0000-000011050000}"/>
    <cellStyle name="Calculation 3 2 4 2 7" xfId="1240" xr:uid="{00000000-0005-0000-0000-000012050000}"/>
    <cellStyle name="Calculation 3 2 4 3" xfId="6328" xr:uid="{00000000-0005-0000-0000-000013050000}"/>
    <cellStyle name="Calculation 3 2 4 3 2" xfId="6340" xr:uid="{00000000-0005-0000-0000-000014050000}"/>
    <cellStyle name="Calculation 3 2 4 3 2 2" xfId="3191" xr:uid="{00000000-0005-0000-0000-000015050000}"/>
    <cellStyle name="Calculation 3 2 4 3 2 2 2" xfId="4887" xr:uid="{00000000-0005-0000-0000-000016050000}"/>
    <cellStyle name="Calculation 3 2 4 3 2 2 3" xfId="6348" xr:uid="{00000000-0005-0000-0000-000017050000}"/>
    <cellStyle name="Calculation 3 2 4 3 2 2 4" xfId="413" xr:uid="{00000000-0005-0000-0000-000018050000}"/>
    <cellStyle name="Calculation 3 2 4 3 2 3" xfId="745" xr:uid="{00000000-0005-0000-0000-000019050000}"/>
    <cellStyle name="Calculation 3 2 4 3 2 4" xfId="2532" xr:uid="{00000000-0005-0000-0000-00001A050000}"/>
    <cellStyle name="Calculation 3 2 4 3 2 5" xfId="6358" xr:uid="{00000000-0005-0000-0000-00001B050000}"/>
    <cellStyle name="Calculation 3 2 4 3 3" xfId="6369" xr:uid="{00000000-0005-0000-0000-00001C050000}"/>
    <cellStyle name="Calculation 3 2 4 3 3 2" xfId="3248" xr:uid="{00000000-0005-0000-0000-00001D050000}"/>
    <cellStyle name="Calculation 3 2 4 3 3 3" xfId="634" xr:uid="{00000000-0005-0000-0000-00001E050000}"/>
    <cellStyle name="Calculation 3 2 4 3 3 4" xfId="6375" xr:uid="{00000000-0005-0000-0000-00001F050000}"/>
    <cellStyle name="Calculation 3 2 4 3 4" xfId="319" xr:uid="{00000000-0005-0000-0000-000020050000}"/>
    <cellStyle name="Calculation 3 2 4 3 5" xfId="438" xr:uid="{00000000-0005-0000-0000-000021050000}"/>
    <cellStyle name="Calculation 3 2 4 3 6" xfId="468" xr:uid="{00000000-0005-0000-0000-000022050000}"/>
    <cellStyle name="Calculation 3 2 4 4" xfId="1661" xr:uid="{00000000-0005-0000-0000-000023050000}"/>
    <cellStyle name="Calculation 3 2 4 4 2" xfId="1678" xr:uid="{00000000-0005-0000-0000-000024050000}"/>
    <cellStyle name="Calculation 3 2 4 4 2 2" xfId="1686" xr:uid="{00000000-0005-0000-0000-000025050000}"/>
    <cellStyle name="Calculation 3 2 4 4 2 3" xfId="1693" xr:uid="{00000000-0005-0000-0000-000026050000}"/>
    <cellStyle name="Calculation 3 2 4 4 2 4" xfId="1702" xr:uid="{00000000-0005-0000-0000-000027050000}"/>
    <cellStyle name="Calculation 3 2 4 4 3" xfId="1725" xr:uid="{00000000-0005-0000-0000-000028050000}"/>
    <cellStyle name="Calculation 3 2 4 4 4" xfId="1762" xr:uid="{00000000-0005-0000-0000-000029050000}"/>
    <cellStyle name="Calculation 3 2 4 4 5" xfId="1785" xr:uid="{00000000-0005-0000-0000-00002A050000}"/>
    <cellStyle name="Calculation 3 2 4 5" xfId="1813" xr:uid="{00000000-0005-0000-0000-00002B050000}"/>
    <cellStyle name="Calculation 3 2 4 5 2" xfId="4310" xr:uid="{00000000-0005-0000-0000-00002C050000}"/>
    <cellStyle name="Calculation 3 2 4 5 3" xfId="4328" xr:uid="{00000000-0005-0000-0000-00002D050000}"/>
    <cellStyle name="Calculation 3 2 4 5 4" xfId="6378" xr:uid="{00000000-0005-0000-0000-00002E050000}"/>
    <cellStyle name="Calculation 3 2 4 6" xfId="1815" xr:uid="{00000000-0005-0000-0000-00002F050000}"/>
    <cellStyle name="Calculation 3 2 4 7" xfId="6379" xr:uid="{00000000-0005-0000-0000-000030050000}"/>
    <cellStyle name="Calculation 3 2 4 8" xfId="5867" xr:uid="{00000000-0005-0000-0000-000031050000}"/>
    <cellStyle name="Calculation 3 2 5" xfId="6263" xr:uid="{00000000-0005-0000-0000-000032050000}"/>
    <cellStyle name="Calculation 3 2 5 2" xfId="6381" xr:uid="{00000000-0005-0000-0000-000033050000}"/>
    <cellStyle name="Calculation 3 2 5 2 2" xfId="6401" xr:uid="{00000000-0005-0000-0000-000034050000}"/>
    <cellStyle name="Calculation 3 2 5 2 2 2" xfId="3429" xr:uid="{00000000-0005-0000-0000-000035050000}"/>
    <cellStyle name="Calculation 3 2 5 2 2 2 2" xfId="6403" xr:uid="{00000000-0005-0000-0000-000036050000}"/>
    <cellStyle name="Calculation 3 2 5 2 2 2 3" xfId="6404" xr:uid="{00000000-0005-0000-0000-000037050000}"/>
    <cellStyle name="Calculation 3 2 5 2 2 2 4" xfId="6405" xr:uid="{00000000-0005-0000-0000-000038050000}"/>
    <cellStyle name="Calculation 3 2 5 2 2 3" xfId="3440" xr:uid="{00000000-0005-0000-0000-000039050000}"/>
    <cellStyle name="Calculation 3 2 5 2 2 4" xfId="3445" xr:uid="{00000000-0005-0000-0000-00003A050000}"/>
    <cellStyle name="Calculation 3 2 5 2 2 5" xfId="6408" xr:uid="{00000000-0005-0000-0000-00003B050000}"/>
    <cellStyle name="Calculation 3 2 5 2 3" xfId="6418" xr:uid="{00000000-0005-0000-0000-00003C050000}"/>
    <cellStyle name="Calculation 3 2 5 2 3 2" xfId="3457" xr:uid="{00000000-0005-0000-0000-00003D050000}"/>
    <cellStyle name="Calculation 3 2 5 2 3 3" xfId="3462" xr:uid="{00000000-0005-0000-0000-00003E050000}"/>
    <cellStyle name="Calculation 3 2 5 2 3 4" xfId="6421" xr:uid="{00000000-0005-0000-0000-00003F050000}"/>
    <cellStyle name="Calculation 3 2 5 2 4" xfId="6429" xr:uid="{00000000-0005-0000-0000-000040050000}"/>
    <cellStyle name="Calculation 3 2 5 2 5" xfId="1332" xr:uid="{00000000-0005-0000-0000-000041050000}"/>
    <cellStyle name="Calculation 3 2 5 2 6" xfId="1378" xr:uid="{00000000-0005-0000-0000-000042050000}"/>
    <cellStyle name="Calculation 3 2 5 3" xfId="6431" xr:uid="{00000000-0005-0000-0000-000043050000}"/>
    <cellStyle name="Calculation 3 2 5 3 2" xfId="6446" xr:uid="{00000000-0005-0000-0000-000044050000}"/>
    <cellStyle name="Calculation 3 2 5 3 2 2" xfId="3539" xr:uid="{00000000-0005-0000-0000-000045050000}"/>
    <cellStyle name="Calculation 3 2 5 3 2 3" xfId="3545" xr:uid="{00000000-0005-0000-0000-000046050000}"/>
    <cellStyle name="Calculation 3 2 5 3 2 4" xfId="6452" xr:uid="{00000000-0005-0000-0000-000047050000}"/>
    <cellStyle name="Calculation 3 2 5 3 3" xfId="6459" xr:uid="{00000000-0005-0000-0000-000048050000}"/>
    <cellStyle name="Calculation 3 2 5 3 4" xfId="6467" xr:uid="{00000000-0005-0000-0000-000049050000}"/>
    <cellStyle name="Calculation 3 2 5 3 5" xfId="6473" xr:uid="{00000000-0005-0000-0000-00004A050000}"/>
    <cellStyle name="Calculation 3 2 5 4" xfId="1819" xr:uid="{00000000-0005-0000-0000-00004B050000}"/>
    <cellStyle name="Calculation 3 2 5 4 2" xfId="1829" xr:uid="{00000000-0005-0000-0000-00004C050000}"/>
    <cellStyle name="Calculation 3 2 5 4 3" xfId="986" xr:uid="{00000000-0005-0000-0000-00004D050000}"/>
    <cellStyle name="Calculation 3 2 5 4 4" xfId="1867" xr:uid="{00000000-0005-0000-0000-00004E050000}"/>
    <cellStyle name="Calculation 3 2 5 5" xfId="1911" xr:uid="{00000000-0005-0000-0000-00004F050000}"/>
    <cellStyle name="Calculation 3 2 5 6" xfId="1914" xr:uid="{00000000-0005-0000-0000-000050050000}"/>
    <cellStyle name="Calculation 3 2 5 7" xfId="3875" xr:uid="{00000000-0005-0000-0000-000051050000}"/>
    <cellStyle name="Calculation 3 2 6" xfId="6270" xr:uid="{00000000-0005-0000-0000-000052050000}"/>
    <cellStyle name="Calculation 3 2 6 2" xfId="6475" xr:uid="{00000000-0005-0000-0000-000053050000}"/>
    <cellStyle name="Calculation 3 2 6 2 2" xfId="6486" xr:uid="{00000000-0005-0000-0000-000054050000}"/>
    <cellStyle name="Calculation 3 2 6 2 2 2" xfId="3637" xr:uid="{00000000-0005-0000-0000-000055050000}"/>
    <cellStyle name="Calculation 3 2 6 2 2 3" xfId="3640" xr:uid="{00000000-0005-0000-0000-000056050000}"/>
    <cellStyle name="Calculation 3 2 6 2 2 4" xfId="6491" xr:uid="{00000000-0005-0000-0000-000057050000}"/>
    <cellStyle name="Calculation 3 2 6 2 3" xfId="6500" xr:uid="{00000000-0005-0000-0000-000058050000}"/>
    <cellStyle name="Calculation 3 2 6 2 4" xfId="2275" xr:uid="{00000000-0005-0000-0000-000059050000}"/>
    <cellStyle name="Calculation 3 2 6 2 5" xfId="2279" xr:uid="{00000000-0005-0000-0000-00005A050000}"/>
    <cellStyle name="Calculation 3 2 6 3" xfId="6502" xr:uid="{00000000-0005-0000-0000-00005B050000}"/>
    <cellStyle name="Calculation 3 2 6 3 2" xfId="6511" xr:uid="{00000000-0005-0000-0000-00005C050000}"/>
    <cellStyle name="Calculation 3 2 6 3 3" xfId="6516" xr:uid="{00000000-0005-0000-0000-00005D050000}"/>
    <cellStyle name="Calculation 3 2 6 3 4" xfId="2289" xr:uid="{00000000-0005-0000-0000-00005E050000}"/>
    <cellStyle name="Calculation 3 2 6 4" xfId="1918" xr:uid="{00000000-0005-0000-0000-00005F050000}"/>
    <cellStyle name="Calculation 3 2 6 5" xfId="1976" xr:uid="{00000000-0005-0000-0000-000060050000}"/>
    <cellStyle name="Calculation 3 2 6 6" xfId="1923" xr:uid="{00000000-0005-0000-0000-000061050000}"/>
    <cellStyle name="Calculation 3 2 7" xfId="1880" xr:uid="{00000000-0005-0000-0000-000062050000}"/>
    <cellStyle name="Calculation 3 2 7 2" xfId="1029" xr:uid="{00000000-0005-0000-0000-000063050000}"/>
    <cellStyle name="Calculation 3 2 7 2 2" xfId="4636" xr:uid="{00000000-0005-0000-0000-000064050000}"/>
    <cellStyle name="Calculation 3 2 7 2 3" xfId="4643" xr:uid="{00000000-0005-0000-0000-000065050000}"/>
    <cellStyle name="Calculation 3 2 7 2 4" xfId="6517" xr:uid="{00000000-0005-0000-0000-000066050000}"/>
    <cellStyle name="Calculation 3 2 7 3" xfId="6518" xr:uid="{00000000-0005-0000-0000-000067050000}"/>
    <cellStyle name="Calculation 3 2 7 4" xfId="1978" xr:uid="{00000000-0005-0000-0000-000068050000}"/>
    <cellStyle name="Calculation 3 2 7 5" xfId="2103" xr:uid="{00000000-0005-0000-0000-000069050000}"/>
    <cellStyle name="Calculation 3 2 8" xfId="6521" xr:uid="{00000000-0005-0000-0000-00006A050000}"/>
    <cellStyle name="Calculation 3 2 8 2" xfId="6522" xr:uid="{00000000-0005-0000-0000-00006B050000}"/>
    <cellStyle name="Calculation 3 2 8 3" xfId="6523" xr:uid="{00000000-0005-0000-0000-00006C050000}"/>
    <cellStyle name="Calculation 3 2 8 4" xfId="2118" xr:uid="{00000000-0005-0000-0000-00006D050000}"/>
    <cellStyle name="Calculation 3 2 9" xfId="4879" xr:uid="{00000000-0005-0000-0000-00006E050000}"/>
    <cellStyle name="Calculation 3 3" xfId="6524" xr:uid="{00000000-0005-0000-0000-00006F050000}"/>
    <cellStyle name="Calculation 3 3 2" xfId="6536" xr:uid="{00000000-0005-0000-0000-000070050000}"/>
    <cellStyle name="Calculation 3 3 2 2" xfId="4258" xr:uid="{00000000-0005-0000-0000-000071050000}"/>
    <cellStyle name="Calculation 3 3 2 2 2" xfId="6538" xr:uid="{00000000-0005-0000-0000-000072050000}"/>
    <cellStyle name="Calculation 3 3 2 2 2 2" xfId="6539" xr:uid="{00000000-0005-0000-0000-000073050000}"/>
    <cellStyle name="Calculation 3 3 2 2 2 2 2" xfId="6541" xr:uid="{00000000-0005-0000-0000-000074050000}"/>
    <cellStyle name="Calculation 3 3 2 2 2 2 2 2" xfId="5606" xr:uid="{00000000-0005-0000-0000-000075050000}"/>
    <cellStyle name="Calculation 3 3 2 2 2 2 2 3" xfId="6553" xr:uid="{00000000-0005-0000-0000-000076050000}"/>
    <cellStyle name="Calculation 3 3 2 2 2 2 2 4" xfId="6569" xr:uid="{00000000-0005-0000-0000-000077050000}"/>
    <cellStyle name="Calculation 3 3 2 2 2 2 3" xfId="6573" xr:uid="{00000000-0005-0000-0000-000078050000}"/>
    <cellStyle name="Calculation 3 3 2 2 2 2 4" xfId="5762" xr:uid="{00000000-0005-0000-0000-000079050000}"/>
    <cellStyle name="Calculation 3 3 2 2 2 2 5" xfId="5788" xr:uid="{00000000-0005-0000-0000-00007A050000}"/>
    <cellStyle name="Calculation 3 3 2 2 2 3" xfId="6574" xr:uid="{00000000-0005-0000-0000-00007B050000}"/>
    <cellStyle name="Calculation 3 3 2 2 2 3 2" xfId="2758" xr:uid="{00000000-0005-0000-0000-00007C050000}"/>
    <cellStyle name="Calculation 3 3 2 2 2 3 3" xfId="2920" xr:uid="{00000000-0005-0000-0000-00007D050000}"/>
    <cellStyle name="Calculation 3 3 2 2 2 3 4" xfId="1353" xr:uid="{00000000-0005-0000-0000-00007E050000}"/>
    <cellStyle name="Calculation 3 3 2 2 2 4" xfId="6578" xr:uid="{00000000-0005-0000-0000-00007F050000}"/>
    <cellStyle name="Calculation 3 3 2 2 2 5" xfId="6582" xr:uid="{00000000-0005-0000-0000-000080050000}"/>
    <cellStyle name="Calculation 3 3 2 2 2 6" xfId="6587" xr:uid="{00000000-0005-0000-0000-000081050000}"/>
    <cellStyle name="Calculation 3 3 2 2 3" xfId="6592" xr:uid="{00000000-0005-0000-0000-000082050000}"/>
    <cellStyle name="Calculation 3 3 2 2 3 2" xfId="6593" xr:uid="{00000000-0005-0000-0000-000083050000}"/>
    <cellStyle name="Calculation 3 3 2 2 3 2 2" xfId="347" xr:uid="{00000000-0005-0000-0000-000084050000}"/>
    <cellStyle name="Calculation 3 3 2 2 3 2 3" xfId="4" xr:uid="{00000000-0005-0000-0000-000085050000}"/>
    <cellStyle name="Calculation 3 3 2 2 3 2 4" xfId="5810" xr:uid="{00000000-0005-0000-0000-000086050000}"/>
    <cellStyle name="Calculation 3 3 2 2 3 3" xfId="6594" xr:uid="{00000000-0005-0000-0000-000087050000}"/>
    <cellStyle name="Calculation 3 3 2 2 3 4" xfId="6597" xr:uid="{00000000-0005-0000-0000-000088050000}"/>
    <cellStyle name="Calculation 3 3 2 2 3 5" xfId="6602" xr:uid="{00000000-0005-0000-0000-000089050000}"/>
    <cellStyle name="Calculation 3 3 2 2 4" xfId="6605" xr:uid="{00000000-0005-0000-0000-00008A050000}"/>
    <cellStyle name="Calculation 3 3 2 2 4 2" xfId="6606" xr:uid="{00000000-0005-0000-0000-00008B050000}"/>
    <cellStyle name="Calculation 3 3 2 2 4 3" xfId="6607" xr:uid="{00000000-0005-0000-0000-00008C050000}"/>
    <cellStyle name="Calculation 3 3 2 2 4 4" xfId="6608" xr:uid="{00000000-0005-0000-0000-00008D050000}"/>
    <cellStyle name="Calculation 3 3 2 2 5" xfId="6611" xr:uid="{00000000-0005-0000-0000-00008E050000}"/>
    <cellStyle name="Calculation 3 3 2 2 6" xfId="6614" xr:uid="{00000000-0005-0000-0000-00008F050000}"/>
    <cellStyle name="Calculation 3 3 2 2 7" xfId="6616" xr:uid="{00000000-0005-0000-0000-000090050000}"/>
    <cellStyle name="Calculation 3 3 2 3" xfId="5138" xr:uid="{00000000-0005-0000-0000-000091050000}"/>
    <cellStyle name="Calculation 3 3 2 3 2" xfId="5158" xr:uid="{00000000-0005-0000-0000-000092050000}"/>
    <cellStyle name="Calculation 3 3 2 3 2 2" xfId="5159" xr:uid="{00000000-0005-0000-0000-000093050000}"/>
    <cellStyle name="Calculation 3 3 2 3 2 2 2" xfId="5167" xr:uid="{00000000-0005-0000-0000-000094050000}"/>
    <cellStyle name="Calculation 3 3 2 3 2 2 3" xfId="5185" xr:uid="{00000000-0005-0000-0000-000095050000}"/>
    <cellStyle name="Calculation 3 3 2 3 2 2 4" xfId="5188" xr:uid="{00000000-0005-0000-0000-000096050000}"/>
    <cellStyle name="Calculation 3 3 2 3 2 3" xfId="5200" xr:uid="{00000000-0005-0000-0000-000097050000}"/>
    <cellStyle name="Calculation 3 3 2 3 2 4" xfId="5164" xr:uid="{00000000-0005-0000-0000-000098050000}"/>
    <cellStyle name="Calculation 3 3 2 3 2 5" xfId="5181" xr:uid="{00000000-0005-0000-0000-000099050000}"/>
    <cellStyle name="Calculation 3 3 2 3 3" xfId="5236" xr:uid="{00000000-0005-0000-0000-00009A050000}"/>
    <cellStyle name="Calculation 3 3 2 3 3 2" xfId="5242" xr:uid="{00000000-0005-0000-0000-00009B050000}"/>
    <cellStyle name="Calculation 3 3 2 3 3 3" xfId="5129" xr:uid="{00000000-0005-0000-0000-00009C050000}"/>
    <cellStyle name="Calculation 3 3 2 3 3 4" xfId="5207" xr:uid="{00000000-0005-0000-0000-00009D050000}"/>
    <cellStyle name="Calculation 3 3 2 3 4" xfId="5270" xr:uid="{00000000-0005-0000-0000-00009E050000}"/>
    <cellStyle name="Calculation 3 3 2 3 5" xfId="5285" xr:uid="{00000000-0005-0000-0000-00009F050000}"/>
    <cellStyle name="Calculation 3 3 2 3 6" xfId="5292" xr:uid="{00000000-0005-0000-0000-0000A0050000}"/>
    <cellStyle name="Calculation 3 3 2 4" xfId="5300" xr:uid="{00000000-0005-0000-0000-0000A1050000}"/>
    <cellStyle name="Calculation 3 3 2 4 2" xfId="5309" xr:uid="{00000000-0005-0000-0000-0000A2050000}"/>
    <cellStyle name="Calculation 3 3 2 4 2 2" xfId="5319" xr:uid="{00000000-0005-0000-0000-0000A3050000}"/>
    <cellStyle name="Calculation 3 3 2 4 2 3" xfId="5347" xr:uid="{00000000-0005-0000-0000-0000A4050000}"/>
    <cellStyle name="Calculation 3 3 2 4 2 4" xfId="5251" xr:uid="{00000000-0005-0000-0000-0000A5050000}"/>
    <cellStyle name="Calculation 3 3 2 4 3" xfId="5351" xr:uid="{00000000-0005-0000-0000-0000A6050000}"/>
    <cellStyle name="Calculation 3 3 2 4 4" xfId="5363" xr:uid="{00000000-0005-0000-0000-0000A7050000}"/>
    <cellStyle name="Calculation 3 3 2 4 5" xfId="5371" xr:uid="{00000000-0005-0000-0000-0000A8050000}"/>
    <cellStyle name="Calculation 3 3 2 5" xfId="5376" xr:uid="{00000000-0005-0000-0000-0000A9050000}"/>
    <cellStyle name="Calculation 3 3 2 5 2" xfId="5384" xr:uid="{00000000-0005-0000-0000-0000AA050000}"/>
    <cellStyle name="Calculation 3 3 2 5 3" xfId="5396" xr:uid="{00000000-0005-0000-0000-0000AB050000}"/>
    <cellStyle name="Calculation 3 3 2 5 4" xfId="5413" xr:uid="{00000000-0005-0000-0000-0000AC050000}"/>
    <cellStyle name="Calculation 3 3 2 6" xfId="915" xr:uid="{00000000-0005-0000-0000-0000AD050000}"/>
    <cellStyle name="Calculation 3 3 2 7" xfId="962" xr:uid="{00000000-0005-0000-0000-0000AE050000}"/>
    <cellStyle name="Calculation 3 3 2 8" xfId="991" xr:uid="{00000000-0005-0000-0000-0000AF050000}"/>
    <cellStyle name="Calculation 3 3 3" xfId="6617" xr:uid="{00000000-0005-0000-0000-0000B0050000}"/>
    <cellStyle name="Calculation 3 3 3 2" xfId="6626" xr:uid="{00000000-0005-0000-0000-0000B1050000}"/>
    <cellStyle name="Calculation 3 3 3 2 2" xfId="6635" xr:uid="{00000000-0005-0000-0000-0000B2050000}"/>
    <cellStyle name="Calculation 3 3 3 2 2 2" xfId="3962" xr:uid="{00000000-0005-0000-0000-0000B3050000}"/>
    <cellStyle name="Calculation 3 3 3 2 2 2 2" xfId="3754" xr:uid="{00000000-0005-0000-0000-0000B4050000}"/>
    <cellStyle name="Calculation 3 3 3 2 2 2 3" xfId="3764" xr:uid="{00000000-0005-0000-0000-0000B5050000}"/>
    <cellStyle name="Calculation 3 3 3 2 2 2 4" xfId="5965" xr:uid="{00000000-0005-0000-0000-0000B6050000}"/>
    <cellStyle name="Calculation 3 3 3 2 2 3" xfId="3981" xr:uid="{00000000-0005-0000-0000-0000B7050000}"/>
    <cellStyle name="Calculation 3 3 3 2 2 4" xfId="4008" xr:uid="{00000000-0005-0000-0000-0000B8050000}"/>
    <cellStyle name="Calculation 3 3 3 2 2 5" xfId="6638" xr:uid="{00000000-0005-0000-0000-0000B9050000}"/>
    <cellStyle name="Calculation 3 3 3 2 3" xfId="6641" xr:uid="{00000000-0005-0000-0000-0000BA050000}"/>
    <cellStyle name="Calculation 3 3 3 2 3 2" xfId="4054" xr:uid="{00000000-0005-0000-0000-0000BB050000}"/>
    <cellStyle name="Calculation 3 3 3 2 3 3" xfId="4073" xr:uid="{00000000-0005-0000-0000-0000BC050000}"/>
    <cellStyle name="Calculation 3 3 3 2 3 4" xfId="6644" xr:uid="{00000000-0005-0000-0000-0000BD050000}"/>
    <cellStyle name="Calculation 3 3 3 2 4" xfId="6646" xr:uid="{00000000-0005-0000-0000-0000BE050000}"/>
    <cellStyle name="Calculation 3 3 3 2 5" xfId="2988" xr:uid="{00000000-0005-0000-0000-0000BF050000}"/>
    <cellStyle name="Calculation 3 3 3 2 6" xfId="3003" xr:uid="{00000000-0005-0000-0000-0000C0050000}"/>
    <cellStyle name="Calculation 3 3 3 3" xfId="5419" xr:uid="{00000000-0005-0000-0000-0000C1050000}"/>
    <cellStyle name="Calculation 3 3 3 3 2" xfId="5424" xr:uid="{00000000-0005-0000-0000-0000C2050000}"/>
    <cellStyle name="Calculation 3 3 3 3 2 2" xfId="4120" xr:uid="{00000000-0005-0000-0000-0000C3050000}"/>
    <cellStyle name="Calculation 3 3 3 3 2 3" xfId="4133" xr:uid="{00000000-0005-0000-0000-0000C4050000}"/>
    <cellStyle name="Calculation 3 3 3 3 2 4" xfId="5325" xr:uid="{00000000-0005-0000-0000-0000C5050000}"/>
    <cellStyle name="Calculation 3 3 3 3 3" xfId="5453" xr:uid="{00000000-0005-0000-0000-0000C6050000}"/>
    <cellStyle name="Calculation 3 3 3 3 4" xfId="5495" xr:uid="{00000000-0005-0000-0000-0000C7050000}"/>
    <cellStyle name="Calculation 3 3 3 3 5" xfId="5502" xr:uid="{00000000-0005-0000-0000-0000C8050000}"/>
    <cellStyle name="Calculation 3 3 3 4" xfId="5512" xr:uid="{00000000-0005-0000-0000-0000C9050000}"/>
    <cellStyle name="Calculation 3 3 3 4 2" xfId="5515" xr:uid="{00000000-0005-0000-0000-0000CA050000}"/>
    <cellStyle name="Calculation 3 3 3 4 3" xfId="5538" xr:uid="{00000000-0005-0000-0000-0000CB050000}"/>
    <cellStyle name="Calculation 3 3 3 4 4" xfId="5553" xr:uid="{00000000-0005-0000-0000-0000CC050000}"/>
    <cellStyle name="Calculation 3 3 3 5" xfId="5563" xr:uid="{00000000-0005-0000-0000-0000CD050000}"/>
    <cellStyle name="Calculation 3 3 3 6" xfId="5614" xr:uid="{00000000-0005-0000-0000-0000CE050000}"/>
    <cellStyle name="Calculation 3 3 3 7" xfId="5622" xr:uid="{00000000-0005-0000-0000-0000CF050000}"/>
    <cellStyle name="Calculation 3 3 4" xfId="6653" xr:uid="{00000000-0005-0000-0000-0000D0050000}"/>
    <cellStyle name="Calculation 3 3 4 2" xfId="4508" xr:uid="{00000000-0005-0000-0000-0000D1050000}"/>
    <cellStyle name="Calculation 3 3 4 2 2" xfId="6659" xr:uid="{00000000-0005-0000-0000-0000D2050000}"/>
    <cellStyle name="Calculation 3 3 4 2 2 2" xfId="1721" xr:uid="{00000000-0005-0000-0000-0000D3050000}"/>
    <cellStyle name="Calculation 3 3 4 2 2 3" xfId="1759" xr:uid="{00000000-0005-0000-0000-0000D4050000}"/>
    <cellStyle name="Calculation 3 3 4 2 2 4" xfId="1782" xr:uid="{00000000-0005-0000-0000-0000D5050000}"/>
    <cellStyle name="Calculation 3 3 4 2 3" xfId="6663" xr:uid="{00000000-0005-0000-0000-0000D6050000}"/>
    <cellStyle name="Calculation 3 3 4 2 4" xfId="6668" xr:uid="{00000000-0005-0000-0000-0000D7050000}"/>
    <cellStyle name="Calculation 3 3 4 2 5" xfId="6671" xr:uid="{00000000-0005-0000-0000-0000D8050000}"/>
    <cellStyle name="Calculation 3 3 4 3" xfId="5638" xr:uid="{00000000-0005-0000-0000-0000D9050000}"/>
    <cellStyle name="Calculation 3 3 4 3 2" xfId="5641" xr:uid="{00000000-0005-0000-0000-0000DA050000}"/>
    <cellStyle name="Calculation 3 3 4 3 3" xfId="5651" xr:uid="{00000000-0005-0000-0000-0000DB050000}"/>
    <cellStyle name="Calculation 3 3 4 3 4" xfId="5660" xr:uid="{00000000-0005-0000-0000-0000DC050000}"/>
    <cellStyle name="Calculation 3 3 4 4" xfId="5678" xr:uid="{00000000-0005-0000-0000-0000DD050000}"/>
    <cellStyle name="Calculation 3 3 4 5" xfId="5684" xr:uid="{00000000-0005-0000-0000-0000DE050000}"/>
    <cellStyle name="Calculation 3 3 4 6" xfId="5692" xr:uid="{00000000-0005-0000-0000-0000DF050000}"/>
    <cellStyle name="Calculation 3 3 5" xfId="6675" xr:uid="{00000000-0005-0000-0000-0000E0050000}"/>
    <cellStyle name="Calculation 3 3 5 2" xfId="6682" xr:uid="{00000000-0005-0000-0000-0000E1050000}"/>
    <cellStyle name="Calculation 3 3 5 2 2" xfId="6685" xr:uid="{00000000-0005-0000-0000-0000E2050000}"/>
    <cellStyle name="Calculation 3 3 5 2 3" xfId="6689" xr:uid="{00000000-0005-0000-0000-0000E3050000}"/>
    <cellStyle name="Calculation 3 3 5 2 4" xfId="6692" xr:uid="{00000000-0005-0000-0000-0000E4050000}"/>
    <cellStyle name="Calculation 3 3 5 3" xfId="5707" xr:uid="{00000000-0005-0000-0000-0000E5050000}"/>
    <cellStyle name="Calculation 3 3 5 4" xfId="5733" xr:uid="{00000000-0005-0000-0000-0000E6050000}"/>
    <cellStyle name="Calculation 3 3 5 5" xfId="5738" xr:uid="{00000000-0005-0000-0000-0000E7050000}"/>
    <cellStyle name="Calculation 3 3 6" xfId="6695" xr:uid="{00000000-0005-0000-0000-0000E8050000}"/>
    <cellStyle name="Calculation 3 3 6 2" xfId="6699" xr:uid="{00000000-0005-0000-0000-0000E9050000}"/>
    <cellStyle name="Calculation 3 3 6 3" xfId="800" xr:uid="{00000000-0005-0000-0000-0000EA050000}"/>
    <cellStyle name="Calculation 3 3 6 4" xfId="813" xr:uid="{00000000-0005-0000-0000-0000EB050000}"/>
    <cellStyle name="Calculation 3 3 7" xfId="1897" xr:uid="{00000000-0005-0000-0000-0000EC050000}"/>
    <cellStyle name="Calculation 3 3 8" xfId="6700" xr:uid="{00000000-0005-0000-0000-0000ED050000}"/>
    <cellStyle name="Calculation 3 3 9" xfId="4745" xr:uid="{00000000-0005-0000-0000-0000EE050000}"/>
    <cellStyle name="Calculation 3 4" xfId="6134" xr:uid="{00000000-0005-0000-0000-0000EF050000}"/>
    <cellStyle name="Calculation 3 4 2" xfId="3008" xr:uid="{00000000-0005-0000-0000-0000F0050000}"/>
    <cellStyle name="Calculation 3 4 2 2" xfId="6702" xr:uid="{00000000-0005-0000-0000-0000F1050000}"/>
    <cellStyle name="Calculation 3 4 2 2 2" xfId="6708" xr:uid="{00000000-0005-0000-0000-0000F2050000}"/>
    <cellStyle name="Calculation 3 4 2 2 2 2" xfId="6716" xr:uid="{00000000-0005-0000-0000-0000F3050000}"/>
    <cellStyle name="Calculation 3 4 2 2 2 2 2" xfId="6721" xr:uid="{00000000-0005-0000-0000-0000F4050000}"/>
    <cellStyle name="Calculation 3 4 2 2 2 2 2 2" xfId="6725" xr:uid="{00000000-0005-0000-0000-0000F5050000}"/>
    <cellStyle name="Calculation 3 4 2 2 2 2 2 3" xfId="6729" xr:uid="{00000000-0005-0000-0000-0000F6050000}"/>
    <cellStyle name="Calculation 3 4 2 2 2 2 2 4" xfId="6734" xr:uid="{00000000-0005-0000-0000-0000F7050000}"/>
    <cellStyle name="Calculation 3 4 2 2 2 2 3" xfId="6737" xr:uid="{00000000-0005-0000-0000-0000F8050000}"/>
    <cellStyle name="Calculation 3 4 2 2 2 2 4" xfId="6230" xr:uid="{00000000-0005-0000-0000-0000F9050000}"/>
    <cellStyle name="Calculation 3 4 2 2 2 2 5" xfId="6240" xr:uid="{00000000-0005-0000-0000-0000FA050000}"/>
    <cellStyle name="Calculation 3 4 2 2 2 3" xfId="6740" xr:uid="{00000000-0005-0000-0000-0000FB050000}"/>
    <cellStyle name="Calculation 3 4 2 2 2 3 2" xfId="6744" xr:uid="{00000000-0005-0000-0000-0000FC050000}"/>
    <cellStyle name="Calculation 3 4 2 2 2 3 3" xfId="6745" xr:uid="{00000000-0005-0000-0000-0000FD050000}"/>
    <cellStyle name="Calculation 3 4 2 2 2 3 4" xfId="6747" xr:uid="{00000000-0005-0000-0000-0000FE050000}"/>
    <cellStyle name="Calculation 3 4 2 2 2 4" xfId="6751" xr:uid="{00000000-0005-0000-0000-0000FF050000}"/>
    <cellStyle name="Calculation 3 4 2 2 2 5" xfId="6757" xr:uid="{00000000-0005-0000-0000-000000060000}"/>
    <cellStyle name="Calculation 3 4 2 2 2 6" xfId="6763" xr:uid="{00000000-0005-0000-0000-000001060000}"/>
    <cellStyle name="Calculation 3 4 2 2 3" xfId="6769" xr:uid="{00000000-0005-0000-0000-000002060000}"/>
    <cellStyle name="Calculation 3 4 2 2 3 2" xfId="6777" xr:uid="{00000000-0005-0000-0000-000003060000}"/>
    <cellStyle name="Calculation 3 4 2 2 3 2 2" xfId="6781" xr:uid="{00000000-0005-0000-0000-000004060000}"/>
    <cellStyle name="Calculation 3 4 2 2 3 2 3" xfId="6792" xr:uid="{00000000-0005-0000-0000-000005060000}"/>
    <cellStyle name="Calculation 3 4 2 2 3 2 4" xfId="6391" xr:uid="{00000000-0005-0000-0000-000006060000}"/>
    <cellStyle name="Calculation 3 4 2 2 3 3" xfId="6796" xr:uid="{00000000-0005-0000-0000-000007060000}"/>
    <cellStyle name="Calculation 3 4 2 2 3 4" xfId="6803" xr:uid="{00000000-0005-0000-0000-000008060000}"/>
    <cellStyle name="Calculation 3 4 2 2 3 5" xfId="6811" xr:uid="{00000000-0005-0000-0000-000009060000}"/>
    <cellStyle name="Calculation 3 4 2 2 4" xfId="6813" xr:uid="{00000000-0005-0000-0000-00000A060000}"/>
    <cellStyle name="Calculation 3 4 2 2 4 2" xfId="1744" xr:uid="{00000000-0005-0000-0000-00000B060000}"/>
    <cellStyle name="Calculation 3 4 2 2 4 3" xfId="1771" xr:uid="{00000000-0005-0000-0000-00000C060000}"/>
    <cellStyle name="Calculation 3 4 2 2 4 4" xfId="1796" xr:uid="{00000000-0005-0000-0000-00000D060000}"/>
    <cellStyle name="Calculation 3 4 2 2 5" xfId="6820" xr:uid="{00000000-0005-0000-0000-00000E060000}"/>
    <cellStyle name="Calculation 3 4 2 2 6" xfId="6825" xr:uid="{00000000-0005-0000-0000-00000F060000}"/>
    <cellStyle name="Calculation 3 4 2 2 7" xfId="6831" xr:uid="{00000000-0005-0000-0000-000010060000}"/>
    <cellStyle name="Calculation 3 4 2 3" xfId="5754" xr:uid="{00000000-0005-0000-0000-000011060000}"/>
    <cellStyle name="Calculation 3 4 2 3 2" xfId="2604" xr:uid="{00000000-0005-0000-0000-000012060000}"/>
    <cellStyle name="Calculation 3 4 2 3 2 2" xfId="2616" xr:uid="{00000000-0005-0000-0000-000013060000}"/>
    <cellStyle name="Calculation 3 4 2 3 2 2 2" xfId="5763" xr:uid="{00000000-0005-0000-0000-000014060000}"/>
    <cellStyle name="Calculation 3 4 2 3 2 2 3" xfId="5789" xr:uid="{00000000-0005-0000-0000-000015060000}"/>
    <cellStyle name="Calculation 3 4 2 3 2 2 4" xfId="5794" xr:uid="{00000000-0005-0000-0000-000016060000}"/>
    <cellStyle name="Calculation 3 4 2 3 2 3" xfId="1333" xr:uid="{00000000-0005-0000-0000-000017060000}"/>
    <cellStyle name="Calculation 3 4 2 3 2 4" xfId="1379" xr:uid="{00000000-0005-0000-0000-000018060000}"/>
    <cellStyle name="Calculation 3 4 2 3 2 5" xfId="5436" xr:uid="{00000000-0005-0000-0000-000019060000}"/>
    <cellStyle name="Calculation 3 4 2 3 3" xfId="2629" xr:uid="{00000000-0005-0000-0000-00001A060000}"/>
    <cellStyle name="Calculation 3 4 2 3 3 2" xfId="5801" xr:uid="{00000000-0005-0000-0000-00001B060000}"/>
    <cellStyle name="Calculation 3 4 2 3 3 3" xfId="5824" xr:uid="{00000000-0005-0000-0000-00001C060000}"/>
    <cellStyle name="Calculation 3 4 2 3 3 4" xfId="5832" xr:uid="{00000000-0005-0000-0000-00001D060000}"/>
    <cellStyle name="Calculation 3 4 2 3 4" xfId="2645" xr:uid="{00000000-0005-0000-0000-00001E060000}"/>
    <cellStyle name="Calculation 3 4 2 3 5" xfId="2665" xr:uid="{00000000-0005-0000-0000-00001F060000}"/>
    <cellStyle name="Calculation 3 4 2 3 6" xfId="5840" xr:uid="{00000000-0005-0000-0000-000020060000}"/>
    <cellStyle name="Calculation 3 4 2 4" xfId="5858" xr:uid="{00000000-0005-0000-0000-000021060000}"/>
    <cellStyle name="Calculation 3 4 2 4 2" xfId="98" xr:uid="{00000000-0005-0000-0000-000022060000}"/>
    <cellStyle name="Calculation 3 4 2 4 2 2" xfId="5866" xr:uid="{00000000-0005-0000-0000-000023060000}"/>
    <cellStyle name="Calculation 3 4 2 4 2 3" xfId="5876" xr:uid="{00000000-0005-0000-0000-000024060000}"/>
    <cellStyle name="Calculation 3 4 2 4 2 4" xfId="5883" xr:uid="{00000000-0005-0000-0000-000025060000}"/>
    <cellStyle name="Calculation 3 4 2 4 3" xfId="532" xr:uid="{00000000-0005-0000-0000-000026060000}"/>
    <cellStyle name="Calculation 3 4 2 4 4" xfId="591" xr:uid="{00000000-0005-0000-0000-000027060000}"/>
    <cellStyle name="Calculation 3 4 2 4 5" xfId="5898" xr:uid="{00000000-0005-0000-0000-000028060000}"/>
    <cellStyle name="Calculation 3 4 2 5" xfId="5918" xr:uid="{00000000-0005-0000-0000-000029060000}"/>
    <cellStyle name="Calculation 3 4 2 5 2" xfId="2707" xr:uid="{00000000-0005-0000-0000-00002A060000}"/>
    <cellStyle name="Calculation 3 4 2 5 3" xfId="2724" xr:uid="{00000000-0005-0000-0000-00002B060000}"/>
    <cellStyle name="Calculation 3 4 2 5 4" xfId="5927" xr:uid="{00000000-0005-0000-0000-00002C060000}"/>
    <cellStyle name="Calculation 3 4 2 6" xfId="1044" xr:uid="{00000000-0005-0000-0000-00002D060000}"/>
    <cellStyle name="Calculation 3 4 2 7" xfId="1089" xr:uid="{00000000-0005-0000-0000-00002E060000}"/>
    <cellStyle name="Calculation 3 4 2 8" xfId="1055" xr:uid="{00000000-0005-0000-0000-00002F060000}"/>
    <cellStyle name="Calculation 3 4 3" xfId="3378" xr:uid="{00000000-0005-0000-0000-000030060000}"/>
    <cellStyle name="Calculation 3 4 3 2" xfId="6835" xr:uid="{00000000-0005-0000-0000-000031060000}"/>
    <cellStyle name="Calculation 3 4 3 2 2" xfId="6846" xr:uid="{00000000-0005-0000-0000-000032060000}"/>
    <cellStyle name="Calculation 3 4 3 2 2 2" xfId="4557" xr:uid="{00000000-0005-0000-0000-000033060000}"/>
    <cellStyle name="Calculation 3 4 3 2 2 2 2" xfId="3638" xr:uid="{00000000-0005-0000-0000-000034060000}"/>
    <cellStyle name="Calculation 3 4 3 2 2 2 3" xfId="6490" xr:uid="{00000000-0005-0000-0000-000035060000}"/>
    <cellStyle name="Calculation 3 4 3 2 2 2 4" xfId="6856" xr:uid="{00000000-0005-0000-0000-000036060000}"/>
    <cellStyle name="Calculation 3 4 3 2 2 3" xfId="4566" xr:uid="{00000000-0005-0000-0000-000037060000}"/>
    <cellStyle name="Calculation 3 4 3 2 2 4" xfId="4575" xr:uid="{00000000-0005-0000-0000-000038060000}"/>
    <cellStyle name="Calculation 3 4 3 2 2 5" xfId="6861" xr:uid="{00000000-0005-0000-0000-000039060000}"/>
    <cellStyle name="Calculation 3 4 3 2 3" xfId="6865" xr:uid="{00000000-0005-0000-0000-00003A060000}"/>
    <cellStyle name="Calculation 3 4 3 2 3 2" xfId="4605" xr:uid="{00000000-0005-0000-0000-00003B060000}"/>
    <cellStyle name="Calculation 3 4 3 2 3 3" xfId="215" xr:uid="{00000000-0005-0000-0000-00003C060000}"/>
    <cellStyle name="Calculation 3 4 3 2 3 4" xfId="139" xr:uid="{00000000-0005-0000-0000-00003D060000}"/>
    <cellStyle name="Calculation 3 4 3 2 4" xfId="6873" xr:uid="{00000000-0005-0000-0000-00003E060000}"/>
    <cellStyle name="Calculation 3 4 3 2 5" xfId="6881" xr:uid="{00000000-0005-0000-0000-00003F060000}"/>
    <cellStyle name="Calculation 3 4 3 2 6" xfId="6885" xr:uid="{00000000-0005-0000-0000-000040060000}"/>
    <cellStyle name="Calculation 3 4 3 3" xfId="5955" xr:uid="{00000000-0005-0000-0000-000041060000}"/>
    <cellStyle name="Calculation 3 4 3 3 2" xfId="2791" xr:uid="{00000000-0005-0000-0000-000042060000}"/>
    <cellStyle name="Calculation 3 4 3 3 2 2" xfId="4668" xr:uid="{00000000-0005-0000-0000-000043060000}"/>
    <cellStyle name="Calculation 3 4 3 3 2 3" xfId="29" xr:uid="{00000000-0005-0000-0000-000044060000}"/>
    <cellStyle name="Calculation 3 4 3 3 2 4" xfId="5981" xr:uid="{00000000-0005-0000-0000-000045060000}"/>
    <cellStyle name="Calculation 3 4 3 3 3" xfId="2811" xr:uid="{00000000-0005-0000-0000-000046060000}"/>
    <cellStyle name="Calculation 3 4 3 3 4" xfId="2215" xr:uid="{00000000-0005-0000-0000-000047060000}"/>
    <cellStyle name="Calculation 3 4 3 3 5" xfId="6009" xr:uid="{00000000-0005-0000-0000-000048060000}"/>
    <cellStyle name="Calculation 3 4 3 4" xfId="6026" xr:uid="{00000000-0005-0000-0000-000049060000}"/>
    <cellStyle name="Calculation 3 4 3 4 2" xfId="2859" xr:uid="{00000000-0005-0000-0000-00004A060000}"/>
    <cellStyle name="Calculation 3 4 3 4 3" xfId="2875" xr:uid="{00000000-0005-0000-0000-00004B060000}"/>
    <cellStyle name="Calculation 3 4 3 4 4" xfId="6056" xr:uid="{00000000-0005-0000-0000-00004C060000}"/>
    <cellStyle name="Calculation 3 4 3 5" xfId="6077" xr:uid="{00000000-0005-0000-0000-00004D060000}"/>
    <cellStyle name="Calculation 3 4 3 6" xfId="6116" xr:uid="{00000000-0005-0000-0000-00004E060000}"/>
    <cellStyle name="Calculation 3 4 3 7" xfId="6128" xr:uid="{00000000-0005-0000-0000-00004F060000}"/>
    <cellStyle name="Calculation 3 4 4" xfId="3393" xr:uid="{00000000-0005-0000-0000-000050060000}"/>
    <cellStyle name="Calculation 3 4 4 2" xfId="3844" xr:uid="{00000000-0005-0000-0000-000051060000}"/>
    <cellStyle name="Calculation 3 4 4 2 2" xfId="482" xr:uid="{00000000-0005-0000-0000-000052060000}"/>
    <cellStyle name="Calculation 3 4 4 2 2 2" xfId="547" xr:uid="{00000000-0005-0000-0000-000053060000}"/>
    <cellStyle name="Calculation 3 4 4 2 2 3" xfId="2345" xr:uid="{00000000-0005-0000-0000-000054060000}"/>
    <cellStyle name="Calculation 3 4 4 2 2 4" xfId="4193" xr:uid="{00000000-0005-0000-0000-000055060000}"/>
    <cellStyle name="Calculation 3 4 4 2 3" xfId="506" xr:uid="{00000000-0005-0000-0000-000056060000}"/>
    <cellStyle name="Calculation 3 4 4 2 4" xfId="564" xr:uid="{00000000-0005-0000-0000-000057060000}"/>
    <cellStyle name="Calculation 3 4 4 2 5" xfId="2355" xr:uid="{00000000-0005-0000-0000-000058060000}"/>
    <cellStyle name="Calculation 3 4 4 3" xfId="1497" xr:uid="{00000000-0005-0000-0000-000059060000}"/>
    <cellStyle name="Calculation 3 4 4 3 2" xfId="1513" xr:uid="{00000000-0005-0000-0000-00005A060000}"/>
    <cellStyle name="Calculation 3 4 4 3 3" xfId="1533" xr:uid="{00000000-0005-0000-0000-00005B060000}"/>
    <cellStyle name="Calculation 3 4 4 3 4" xfId="1547" xr:uid="{00000000-0005-0000-0000-00005C060000}"/>
    <cellStyle name="Calculation 3 4 4 4" xfId="1570" xr:uid="{00000000-0005-0000-0000-00005D060000}"/>
    <cellStyle name="Calculation 3 4 4 5" xfId="1590" xr:uid="{00000000-0005-0000-0000-00005E060000}"/>
    <cellStyle name="Calculation 3 4 4 6" xfId="1616" xr:uid="{00000000-0005-0000-0000-00005F060000}"/>
    <cellStyle name="Calculation 3 4 5" xfId="3407" xr:uid="{00000000-0005-0000-0000-000060060000}"/>
    <cellStyle name="Calculation 3 4 5 2" xfId="6527" xr:uid="{00000000-0005-0000-0000-000061060000}"/>
    <cellStyle name="Calculation 3 4 5 2 2" xfId="6537" xr:uid="{00000000-0005-0000-0000-000062060000}"/>
    <cellStyle name="Calculation 3 4 5 2 3" xfId="6620" xr:uid="{00000000-0005-0000-0000-000063060000}"/>
    <cellStyle name="Calculation 3 4 5 2 4" xfId="6655" xr:uid="{00000000-0005-0000-0000-000064060000}"/>
    <cellStyle name="Calculation 3 4 5 3" xfId="6138" xr:uid="{00000000-0005-0000-0000-000065060000}"/>
    <cellStyle name="Calculation 3 4 5 4" xfId="6154" xr:uid="{00000000-0005-0000-0000-000066060000}"/>
    <cellStyle name="Calculation 3 4 5 5" xfId="6169" xr:uid="{00000000-0005-0000-0000-000067060000}"/>
    <cellStyle name="Calculation 3 4 6" xfId="6890" xr:uid="{00000000-0005-0000-0000-000068060000}"/>
    <cellStyle name="Calculation 3 4 6 2" xfId="6894" xr:uid="{00000000-0005-0000-0000-000069060000}"/>
    <cellStyle name="Calculation 3 4 6 3" xfId="6190" xr:uid="{00000000-0005-0000-0000-00006A060000}"/>
    <cellStyle name="Calculation 3 4 6 4" xfId="6203" xr:uid="{00000000-0005-0000-0000-00006B060000}"/>
    <cellStyle name="Calculation 3 4 7" xfId="300" xr:uid="{00000000-0005-0000-0000-00006C060000}"/>
    <cellStyle name="Calculation 3 4 8" xfId="6900" xr:uid="{00000000-0005-0000-0000-00006D060000}"/>
    <cellStyle name="Calculation 3 4 9" xfId="6902" xr:uid="{00000000-0005-0000-0000-00006E060000}"/>
    <cellStyle name="Calculation 3 5" xfId="6160" xr:uid="{00000000-0005-0000-0000-00006F060000}"/>
    <cellStyle name="Calculation 3 5 2" xfId="6906" xr:uid="{00000000-0005-0000-0000-000070060000}"/>
    <cellStyle name="Calculation 3 5 2 2" xfId="6910" xr:uid="{00000000-0005-0000-0000-000071060000}"/>
    <cellStyle name="Calculation 3 5 2 2 2" xfId="3549" xr:uid="{00000000-0005-0000-0000-000072060000}"/>
    <cellStyle name="Calculation 3 5 2 2 2 2" xfId="2326" xr:uid="{00000000-0005-0000-0000-000073060000}"/>
    <cellStyle name="Calculation 3 5 2 2 2 2 2" xfId="6920" xr:uid="{00000000-0005-0000-0000-000074060000}"/>
    <cellStyle name="Calculation 3 5 2 2 2 2 3" xfId="6921" xr:uid="{00000000-0005-0000-0000-000075060000}"/>
    <cellStyle name="Calculation 3 5 2 2 2 2 4" xfId="6922" xr:uid="{00000000-0005-0000-0000-000076060000}"/>
    <cellStyle name="Calculation 3 5 2 2 2 3" xfId="3555" xr:uid="{00000000-0005-0000-0000-000077060000}"/>
    <cellStyle name="Calculation 3 5 2 2 2 4" xfId="3567" xr:uid="{00000000-0005-0000-0000-000078060000}"/>
    <cellStyle name="Calculation 3 5 2 2 2 5" xfId="6925" xr:uid="{00000000-0005-0000-0000-000079060000}"/>
    <cellStyle name="Calculation 3 5 2 2 3" xfId="3580" xr:uid="{00000000-0005-0000-0000-00007A060000}"/>
    <cellStyle name="Calculation 3 5 2 2 3 2" xfId="339" xr:uid="{00000000-0005-0000-0000-00007B060000}"/>
    <cellStyle name="Calculation 3 5 2 2 3 3" xfId="19" xr:uid="{00000000-0005-0000-0000-00007C060000}"/>
    <cellStyle name="Calculation 3 5 2 2 3 4" xfId="3816" xr:uid="{00000000-0005-0000-0000-00007D060000}"/>
    <cellStyle name="Calculation 3 5 2 2 4" xfId="3588" xr:uid="{00000000-0005-0000-0000-00007E060000}"/>
    <cellStyle name="Calculation 3 5 2 2 5" xfId="3595" xr:uid="{00000000-0005-0000-0000-00007F060000}"/>
    <cellStyle name="Calculation 3 5 2 2 6" xfId="6927" xr:uid="{00000000-0005-0000-0000-000080060000}"/>
    <cellStyle name="Calculation 3 5 2 3" xfId="6221" xr:uid="{00000000-0005-0000-0000-000081060000}"/>
    <cellStyle name="Calculation 3 5 2 3 2" xfId="3065" xr:uid="{00000000-0005-0000-0000-000082060000}"/>
    <cellStyle name="Calculation 3 5 2 3 2 2" xfId="2955" xr:uid="{00000000-0005-0000-0000-000083060000}"/>
    <cellStyle name="Calculation 3 5 2 3 2 3" xfId="2968" xr:uid="{00000000-0005-0000-0000-000084060000}"/>
    <cellStyle name="Calculation 3 5 2 3 2 4" xfId="1849" xr:uid="{00000000-0005-0000-0000-000085060000}"/>
    <cellStyle name="Calculation 3 5 2 3 3" xfId="2932" xr:uid="{00000000-0005-0000-0000-000086060000}"/>
    <cellStyle name="Calculation 3 5 2 3 4" xfId="2944" xr:uid="{00000000-0005-0000-0000-000087060000}"/>
    <cellStyle name="Calculation 3 5 2 3 5" xfId="2960" xr:uid="{00000000-0005-0000-0000-000088060000}"/>
    <cellStyle name="Calculation 3 5 2 4" xfId="6281" xr:uid="{00000000-0005-0000-0000-000089060000}"/>
    <cellStyle name="Calculation 3 5 2 4 2" xfId="3095" xr:uid="{00000000-0005-0000-0000-00008A060000}"/>
    <cellStyle name="Calculation 3 5 2 4 3" xfId="3103" xr:uid="{00000000-0005-0000-0000-00008B060000}"/>
    <cellStyle name="Calculation 3 5 2 4 4" xfId="3112" xr:uid="{00000000-0005-0000-0000-00008C060000}"/>
    <cellStyle name="Calculation 3 5 2 5" xfId="6310" xr:uid="{00000000-0005-0000-0000-00008D060000}"/>
    <cellStyle name="Calculation 3 5 2 6" xfId="1198" xr:uid="{00000000-0005-0000-0000-00008E060000}"/>
    <cellStyle name="Calculation 3 5 2 7" xfId="1226" xr:uid="{00000000-0005-0000-0000-00008F060000}"/>
    <cellStyle name="Calculation 3 5 3" xfId="6933" xr:uid="{00000000-0005-0000-0000-000090060000}"/>
    <cellStyle name="Calculation 3 5 3 2" xfId="6936" xr:uid="{00000000-0005-0000-0000-000091060000}"/>
    <cellStyle name="Calculation 3 5 3 2 2" xfId="3703" xr:uid="{00000000-0005-0000-0000-000092060000}"/>
    <cellStyle name="Calculation 3 5 3 2 2 2" xfId="4834" xr:uid="{00000000-0005-0000-0000-000093060000}"/>
    <cellStyle name="Calculation 3 5 3 2 2 3" xfId="4838" xr:uid="{00000000-0005-0000-0000-000094060000}"/>
    <cellStyle name="Calculation 3 5 3 2 2 4" xfId="6945" xr:uid="{00000000-0005-0000-0000-000095060000}"/>
    <cellStyle name="Calculation 3 5 3 2 3" xfId="3713" xr:uid="{00000000-0005-0000-0000-000096060000}"/>
    <cellStyle name="Calculation 3 5 3 2 4" xfId="264" xr:uid="{00000000-0005-0000-0000-000097060000}"/>
    <cellStyle name="Calculation 3 5 3 2 5" xfId="6948" xr:uid="{00000000-0005-0000-0000-000098060000}"/>
    <cellStyle name="Calculation 3 5 3 3" xfId="6333" xr:uid="{00000000-0005-0000-0000-000099060000}"/>
    <cellStyle name="Calculation 3 5 3 3 2" xfId="3182" xr:uid="{00000000-0005-0000-0000-00009A060000}"/>
    <cellStyle name="Calculation 3 5 3 3 3" xfId="738" xr:uid="{00000000-0005-0000-0000-00009B060000}"/>
    <cellStyle name="Calculation 3 5 3 3 4" xfId="2525" xr:uid="{00000000-0005-0000-0000-00009C060000}"/>
    <cellStyle name="Calculation 3 5 3 4" xfId="6364" xr:uid="{00000000-0005-0000-0000-00009D060000}"/>
    <cellStyle name="Calculation 3 5 3 5" xfId="313" xr:uid="{00000000-0005-0000-0000-00009E060000}"/>
    <cellStyle name="Calculation 3 5 3 6" xfId="433" xr:uid="{00000000-0005-0000-0000-00009F060000}"/>
    <cellStyle name="Calculation 3 5 4" xfId="4229" xr:uid="{00000000-0005-0000-0000-0000A0060000}"/>
    <cellStyle name="Calculation 3 5 4 2" xfId="4246" xr:uid="{00000000-0005-0000-0000-0000A1060000}"/>
    <cellStyle name="Calculation 3 5 4 2 2" xfId="3787" xr:uid="{00000000-0005-0000-0000-0000A2060000}"/>
    <cellStyle name="Calculation 3 5 4 2 3" xfId="3797" xr:uid="{00000000-0005-0000-0000-0000A3060000}"/>
    <cellStyle name="Calculation 3 5 4 2 4" xfId="4262" xr:uid="{00000000-0005-0000-0000-0000A4060000}"/>
    <cellStyle name="Calculation 3 5 4 3" xfId="1673" xr:uid="{00000000-0005-0000-0000-0000A5060000}"/>
    <cellStyle name="Calculation 3 5 4 4" xfId="1716" xr:uid="{00000000-0005-0000-0000-0000A6060000}"/>
    <cellStyle name="Calculation 3 5 4 5" xfId="1753" xr:uid="{00000000-0005-0000-0000-0000A7060000}"/>
    <cellStyle name="Calculation 3 5 5" xfId="4283" xr:uid="{00000000-0005-0000-0000-0000A8060000}"/>
    <cellStyle name="Calculation 3 5 5 2" xfId="4290" xr:uid="{00000000-0005-0000-0000-0000A9060000}"/>
    <cellStyle name="Calculation 3 5 5 3" xfId="4307" xr:uid="{00000000-0005-0000-0000-0000AA060000}"/>
    <cellStyle name="Calculation 3 5 5 4" xfId="4326" xr:uid="{00000000-0005-0000-0000-0000AB060000}"/>
    <cellStyle name="Calculation 3 5 6" xfId="4337" xr:uid="{00000000-0005-0000-0000-0000AC060000}"/>
    <cellStyle name="Calculation 3 5 7" xfId="4350" xr:uid="{00000000-0005-0000-0000-0000AD060000}"/>
    <cellStyle name="Calculation 3 5 8" xfId="195" xr:uid="{00000000-0005-0000-0000-0000AE060000}"/>
    <cellStyle name="Calculation 3 6" xfId="6173" xr:uid="{00000000-0005-0000-0000-0000AF060000}"/>
    <cellStyle name="Calculation 3 6 2" xfId="6953" xr:uid="{00000000-0005-0000-0000-0000B0060000}"/>
    <cellStyle name="Calculation 3 6 2 2" xfId="6955" xr:uid="{00000000-0005-0000-0000-0000B1060000}"/>
    <cellStyle name="Calculation 3 6 2 2 2" xfId="4045" xr:uid="{00000000-0005-0000-0000-0000B2060000}"/>
    <cellStyle name="Calculation 3 6 2 2 2 2" xfId="6963" xr:uid="{00000000-0005-0000-0000-0000B3060000}"/>
    <cellStyle name="Calculation 3 6 2 2 2 3" xfId="6974" xr:uid="{00000000-0005-0000-0000-0000B4060000}"/>
    <cellStyle name="Calculation 3 6 2 2 2 4" xfId="6981" xr:uid="{00000000-0005-0000-0000-0000B5060000}"/>
    <cellStyle name="Calculation 3 6 2 2 3" xfId="4064" xr:uid="{00000000-0005-0000-0000-0000B6060000}"/>
    <cellStyle name="Calculation 3 6 2 2 4" xfId="6983" xr:uid="{00000000-0005-0000-0000-0000B7060000}"/>
    <cellStyle name="Calculation 3 6 2 2 5" xfId="6988" xr:uid="{00000000-0005-0000-0000-0000B8060000}"/>
    <cellStyle name="Calculation 3 6 2 3" xfId="6393" xr:uid="{00000000-0005-0000-0000-0000B9060000}"/>
    <cellStyle name="Calculation 3 6 2 3 2" xfId="3426" xr:uid="{00000000-0005-0000-0000-0000BA060000}"/>
    <cellStyle name="Calculation 3 6 2 3 3" xfId="3437" xr:uid="{00000000-0005-0000-0000-0000BB060000}"/>
    <cellStyle name="Calculation 3 6 2 3 4" xfId="3442" xr:uid="{00000000-0005-0000-0000-0000BC060000}"/>
    <cellStyle name="Calculation 3 6 2 4" xfId="6412" xr:uid="{00000000-0005-0000-0000-0000BD060000}"/>
    <cellStyle name="Calculation 3 6 2 5" xfId="6423" xr:uid="{00000000-0005-0000-0000-0000BE060000}"/>
    <cellStyle name="Calculation 3 6 2 6" xfId="1328" xr:uid="{00000000-0005-0000-0000-0000BF060000}"/>
    <cellStyle name="Calculation 3 6 3" xfId="6995" xr:uid="{00000000-0005-0000-0000-0000C0060000}"/>
    <cellStyle name="Calculation 3 6 3 2" xfId="6999" xr:uid="{00000000-0005-0000-0000-0000C1060000}"/>
    <cellStyle name="Calculation 3 6 3 2 2" xfId="7007" xr:uid="{00000000-0005-0000-0000-0000C2060000}"/>
    <cellStyle name="Calculation 3 6 3 2 3" xfId="7010" xr:uid="{00000000-0005-0000-0000-0000C3060000}"/>
    <cellStyle name="Calculation 3 6 3 2 4" xfId="7013" xr:uid="{00000000-0005-0000-0000-0000C4060000}"/>
    <cellStyle name="Calculation 3 6 3 3" xfId="6439" xr:uid="{00000000-0005-0000-0000-0000C5060000}"/>
    <cellStyle name="Calculation 3 6 3 4" xfId="6456" xr:uid="{00000000-0005-0000-0000-0000C6060000}"/>
    <cellStyle name="Calculation 3 6 3 5" xfId="6461" xr:uid="{00000000-0005-0000-0000-0000C7060000}"/>
    <cellStyle name="Calculation 3 6 4" xfId="4374" xr:uid="{00000000-0005-0000-0000-0000C8060000}"/>
    <cellStyle name="Calculation 3 6 4 2" xfId="4383" xr:uid="{00000000-0005-0000-0000-0000C9060000}"/>
    <cellStyle name="Calculation 3 6 4 3" xfId="1826" xr:uid="{00000000-0005-0000-0000-0000CA060000}"/>
    <cellStyle name="Calculation 3 6 4 4" xfId="980" xr:uid="{00000000-0005-0000-0000-0000CB060000}"/>
    <cellStyle name="Calculation 3 6 5" xfId="4406" xr:uid="{00000000-0005-0000-0000-0000CC060000}"/>
    <cellStyle name="Calculation 3 6 6" xfId="4426" xr:uid="{00000000-0005-0000-0000-0000CD060000}"/>
    <cellStyle name="Calculation 3 6 7" xfId="4445" xr:uid="{00000000-0005-0000-0000-0000CE060000}"/>
    <cellStyle name="Calculation 3 7" xfId="6180" xr:uid="{00000000-0005-0000-0000-0000CF060000}"/>
    <cellStyle name="Calculation 3 7 2" xfId="7018" xr:uid="{00000000-0005-0000-0000-0000D0060000}"/>
    <cellStyle name="Calculation 3 7 2 2" xfId="7021" xr:uid="{00000000-0005-0000-0000-0000D1060000}"/>
    <cellStyle name="Calculation 3 7 2 2 2" xfId="4302" xr:uid="{00000000-0005-0000-0000-0000D2060000}"/>
    <cellStyle name="Calculation 3 7 2 2 3" xfId="4318" xr:uid="{00000000-0005-0000-0000-0000D3060000}"/>
    <cellStyle name="Calculation 3 7 2 2 4" xfId="4550" xr:uid="{00000000-0005-0000-0000-0000D4060000}"/>
    <cellStyle name="Calculation 3 7 2 3" xfId="6481" xr:uid="{00000000-0005-0000-0000-0000D5060000}"/>
    <cellStyle name="Calculation 3 7 2 4" xfId="6494" xr:uid="{00000000-0005-0000-0000-0000D6060000}"/>
    <cellStyle name="Calculation 3 7 2 5" xfId="2269" xr:uid="{00000000-0005-0000-0000-0000D7060000}"/>
    <cellStyle name="Calculation 3 7 3" xfId="7031" xr:uid="{00000000-0005-0000-0000-0000D8060000}"/>
    <cellStyle name="Calculation 3 7 3 2" xfId="7035" xr:uid="{00000000-0005-0000-0000-0000D9060000}"/>
    <cellStyle name="Calculation 3 7 3 3" xfId="6507" xr:uid="{00000000-0005-0000-0000-0000DA060000}"/>
    <cellStyle name="Calculation 3 7 3 4" xfId="6512" xr:uid="{00000000-0005-0000-0000-0000DB060000}"/>
    <cellStyle name="Calculation 3 7 4" xfId="65" xr:uid="{00000000-0005-0000-0000-0000DC060000}"/>
    <cellStyle name="Calculation 3 7 5" xfId="4462" xr:uid="{00000000-0005-0000-0000-0000DD060000}"/>
    <cellStyle name="Calculation 3 7 6" xfId="4473" xr:uid="{00000000-0005-0000-0000-0000DE060000}"/>
    <cellStyle name="Calculation 3 8" xfId="7039" xr:uid="{00000000-0005-0000-0000-0000DF060000}"/>
    <cellStyle name="Calculation 3 8 2" xfId="7044" xr:uid="{00000000-0005-0000-0000-0000E0060000}"/>
    <cellStyle name="Calculation 3 8 2 2" xfId="4623" xr:uid="{00000000-0005-0000-0000-0000E1060000}"/>
    <cellStyle name="Calculation 3 8 2 3" xfId="4633" xr:uid="{00000000-0005-0000-0000-0000E2060000}"/>
    <cellStyle name="Calculation 3 8 2 4" xfId="4642" xr:uid="{00000000-0005-0000-0000-0000E3060000}"/>
    <cellStyle name="Calculation 3 8 3" xfId="7053" xr:uid="{00000000-0005-0000-0000-0000E4060000}"/>
    <cellStyle name="Calculation 3 8 4" xfId="7060" xr:uid="{00000000-0005-0000-0000-0000E5060000}"/>
    <cellStyle name="Calculation 3 8 5" xfId="7068" xr:uid="{00000000-0005-0000-0000-0000E6060000}"/>
    <cellStyle name="Calculation 3 9" xfId="1119" xr:uid="{00000000-0005-0000-0000-0000E7060000}"/>
    <cellStyle name="Calculation 3 9 2" xfId="1973" xr:uid="{00000000-0005-0000-0000-0000E8060000}"/>
    <cellStyle name="Calculation 3 9 3" xfId="1975" xr:uid="{00000000-0005-0000-0000-0000E9060000}"/>
    <cellStyle name="Calculation 3 9 4" xfId="7069" xr:uid="{00000000-0005-0000-0000-0000EA060000}"/>
    <cellStyle name="Calculation 4" xfId="7076" xr:uid="{00000000-0005-0000-0000-0000EB060000}"/>
    <cellStyle name="Calculation 4 10" xfId="3446" xr:uid="{00000000-0005-0000-0000-0000EC060000}"/>
    <cellStyle name="Calculation 4 11" xfId="3463" xr:uid="{00000000-0005-0000-0000-0000ED060000}"/>
    <cellStyle name="Calculation 4 12" xfId="3478" xr:uid="{00000000-0005-0000-0000-0000EE060000}"/>
    <cellStyle name="Calculation 4 13" xfId="3482" xr:uid="{00000000-0005-0000-0000-0000EF060000}"/>
    <cellStyle name="Calculation 4 2" xfId="7078" xr:uid="{00000000-0005-0000-0000-0000F0060000}"/>
    <cellStyle name="Calculation 4 2 10" xfId="7081" xr:uid="{00000000-0005-0000-0000-0000F1060000}"/>
    <cellStyle name="Calculation 4 2 11" xfId="863" xr:uid="{00000000-0005-0000-0000-0000F2060000}"/>
    <cellStyle name="Calculation 4 2 12" xfId="878" xr:uid="{00000000-0005-0000-0000-0000F3060000}"/>
    <cellStyle name="Calculation 4 2 2" xfId="7082" xr:uid="{00000000-0005-0000-0000-0000F4060000}"/>
    <cellStyle name="Calculation 4 2 2 2" xfId="5470" xr:uid="{00000000-0005-0000-0000-0000F5060000}"/>
    <cellStyle name="Calculation 4 2 2 2 2" xfId="5888" xr:uid="{00000000-0005-0000-0000-0000F6060000}"/>
    <cellStyle name="Calculation 4 2 2 2 2 2" xfId="5566" xr:uid="{00000000-0005-0000-0000-0000F7060000}"/>
    <cellStyle name="Calculation 4 2 2 2 2 2 2" xfId="5571" xr:uid="{00000000-0005-0000-0000-0000F8060000}"/>
    <cellStyle name="Calculation 4 2 2 2 2 2 2 2" xfId="5112" xr:uid="{00000000-0005-0000-0000-0000F9060000}"/>
    <cellStyle name="Calculation 4 2 2 2 2 2 2 2 2" xfId="4706" xr:uid="{00000000-0005-0000-0000-0000FA060000}"/>
    <cellStyle name="Calculation 4 2 2 2 2 2 2 2 3" xfId="1889" xr:uid="{00000000-0005-0000-0000-0000FB060000}"/>
    <cellStyle name="Calculation 4 2 2 2 2 2 2 2 4" xfId="4736" xr:uid="{00000000-0005-0000-0000-0000FC060000}"/>
    <cellStyle name="Calculation 4 2 2 2 2 2 2 3" xfId="5116" xr:uid="{00000000-0005-0000-0000-0000FD060000}"/>
    <cellStyle name="Calculation 4 2 2 2 2 2 2 4" xfId="5120" xr:uid="{00000000-0005-0000-0000-0000FE060000}"/>
    <cellStyle name="Calculation 4 2 2 2 2 2 2 5" xfId="7083" xr:uid="{00000000-0005-0000-0000-0000FF060000}"/>
    <cellStyle name="Calculation 4 2 2 2 2 2 3" xfId="5585" xr:uid="{00000000-0005-0000-0000-000000070000}"/>
    <cellStyle name="Calculation 4 2 2 2 2 2 3 2" xfId="7085" xr:uid="{00000000-0005-0000-0000-000001070000}"/>
    <cellStyle name="Calculation 4 2 2 2 2 2 3 3" xfId="7089" xr:uid="{00000000-0005-0000-0000-000002070000}"/>
    <cellStyle name="Calculation 4 2 2 2 2 2 3 4" xfId="6629" xr:uid="{00000000-0005-0000-0000-000003070000}"/>
    <cellStyle name="Calculation 4 2 2 2 2 2 4" xfId="5598" xr:uid="{00000000-0005-0000-0000-000004070000}"/>
    <cellStyle name="Calculation 4 2 2 2 2 2 5" xfId="6545" xr:uid="{00000000-0005-0000-0000-000005070000}"/>
    <cellStyle name="Calculation 4 2 2 2 2 2 6" xfId="6558" xr:uid="{00000000-0005-0000-0000-000006070000}"/>
    <cellStyle name="Calculation 4 2 2 2 2 3" xfId="5616" xr:uid="{00000000-0005-0000-0000-000007070000}"/>
    <cellStyle name="Calculation 4 2 2 2 2 3 2" xfId="7095" xr:uid="{00000000-0005-0000-0000-000008070000}"/>
    <cellStyle name="Calculation 4 2 2 2 2 3 2 2" xfId="7100" xr:uid="{00000000-0005-0000-0000-000009070000}"/>
    <cellStyle name="Calculation 4 2 2 2 2 3 2 3" xfId="7102" xr:uid="{00000000-0005-0000-0000-00000A070000}"/>
    <cellStyle name="Calculation 4 2 2 2 2 3 2 4" xfId="7108" xr:uid="{00000000-0005-0000-0000-00000B070000}"/>
    <cellStyle name="Calculation 4 2 2 2 2 3 3" xfId="7112" xr:uid="{00000000-0005-0000-0000-00000C070000}"/>
    <cellStyle name="Calculation 4 2 2 2 2 3 4" xfId="7114" xr:uid="{00000000-0005-0000-0000-00000D070000}"/>
    <cellStyle name="Calculation 4 2 2 2 2 3 5" xfId="7116" xr:uid="{00000000-0005-0000-0000-00000E070000}"/>
    <cellStyle name="Calculation 4 2 2 2 2 4" xfId="5621" xr:uid="{00000000-0005-0000-0000-00000F070000}"/>
    <cellStyle name="Calculation 4 2 2 2 2 4 2" xfId="7121" xr:uid="{00000000-0005-0000-0000-000010070000}"/>
    <cellStyle name="Calculation 4 2 2 2 2 4 3" xfId="7131" xr:uid="{00000000-0005-0000-0000-000011070000}"/>
    <cellStyle name="Calculation 4 2 2 2 2 4 4" xfId="5772" xr:uid="{00000000-0005-0000-0000-000012070000}"/>
    <cellStyle name="Calculation 4 2 2 2 2 5" xfId="5629" xr:uid="{00000000-0005-0000-0000-000013070000}"/>
    <cellStyle name="Calculation 4 2 2 2 2 6" xfId="7132" xr:uid="{00000000-0005-0000-0000-000014070000}"/>
    <cellStyle name="Calculation 4 2 2 2 2 7" xfId="7137" xr:uid="{00000000-0005-0000-0000-000015070000}"/>
    <cellStyle name="Calculation 4 2 2 2 3" xfId="7139" xr:uid="{00000000-0005-0000-0000-000016070000}"/>
    <cellStyle name="Calculation 4 2 2 2 3 2" xfId="5688" xr:uid="{00000000-0005-0000-0000-000017070000}"/>
    <cellStyle name="Calculation 4 2 2 2 3 2 2" xfId="7149" xr:uid="{00000000-0005-0000-0000-000018070000}"/>
    <cellStyle name="Calculation 4 2 2 2 3 2 2 2" xfId="2022" xr:uid="{00000000-0005-0000-0000-000019070000}"/>
    <cellStyle name="Calculation 4 2 2 2 3 2 2 3" xfId="2040" xr:uid="{00000000-0005-0000-0000-00001A070000}"/>
    <cellStyle name="Calculation 4 2 2 2 3 2 2 4" xfId="2062" xr:uid="{00000000-0005-0000-0000-00001B070000}"/>
    <cellStyle name="Calculation 4 2 2 2 3 2 3" xfId="7152" xr:uid="{00000000-0005-0000-0000-00001C070000}"/>
    <cellStyle name="Calculation 4 2 2 2 3 2 4" xfId="82" xr:uid="{00000000-0005-0000-0000-00001D070000}"/>
    <cellStyle name="Calculation 4 2 2 2 3 2 5" xfId="2833" xr:uid="{00000000-0005-0000-0000-00001E070000}"/>
    <cellStyle name="Calculation 4 2 2 2 3 3" xfId="5693" xr:uid="{00000000-0005-0000-0000-00001F070000}"/>
    <cellStyle name="Calculation 4 2 2 2 3 3 2" xfId="7158" xr:uid="{00000000-0005-0000-0000-000020070000}"/>
    <cellStyle name="Calculation 4 2 2 2 3 3 3" xfId="7163" xr:uid="{00000000-0005-0000-0000-000021070000}"/>
    <cellStyle name="Calculation 4 2 2 2 3 3 4" xfId="2924" xr:uid="{00000000-0005-0000-0000-000022070000}"/>
    <cellStyle name="Calculation 4 2 2 2 3 4" xfId="5699" xr:uid="{00000000-0005-0000-0000-000023070000}"/>
    <cellStyle name="Calculation 4 2 2 2 3 5" xfId="38" xr:uid="{00000000-0005-0000-0000-000024070000}"/>
    <cellStyle name="Calculation 4 2 2 2 3 6" xfId="70" xr:uid="{00000000-0005-0000-0000-000025070000}"/>
    <cellStyle name="Calculation 4 2 2 2 4" xfId="7165" xr:uid="{00000000-0005-0000-0000-000026070000}"/>
    <cellStyle name="Calculation 4 2 2 2 4 2" xfId="5740" xr:uid="{00000000-0005-0000-0000-000027070000}"/>
    <cellStyle name="Calculation 4 2 2 2 4 2 2" xfId="6973" xr:uid="{00000000-0005-0000-0000-000028070000}"/>
    <cellStyle name="Calculation 4 2 2 2 4 2 3" xfId="6980" xr:uid="{00000000-0005-0000-0000-000029070000}"/>
    <cellStyle name="Calculation 4 2 2 2 4 2 4" xfId="1644" xr:uid="{00000000-0005-0000-0000-00002A070000}"/>
    <cellStyle name="Calculation 4 2 2 2 4 3" xfId="5744" xr:uid="{00000000-0005-0000-0000-00002B070000}"/>
    <cellStyle name="Calculation 4 2 2 2 4 4" xfId="7169" xr:uid="{00000000-0005-0000-0000-00002C070000}"/>
    <cellStyle name="Calculation 4 2 2 2 4 5" xfId="7172" xr:uid="{00000000-0005-0000-0000-00002D070000}"/>
    <cellStyle name="Calculation 4 2 2 2 5" xfId="7173" xr:uid="{00000000-0005-0000-0000-00002E070000}"/>
    <cellStyle name="Calculation 4 2 2 2 5 2" xfId="826" xr:uid="{00000000-0005-0000-0000-00002F070000}"/>
    <cellStyle name="Calculation 4 2 2 2 5 3" xfId="7175" xr:uid="{00000000-0005-0000-0000-000030070000}"/>
    <cellStyle name="Calculation 4 2 2 2 5 4" xfId="7178" xr:uid="{00000000-0005-0000-0000-000031070000}"/>
    <cellStyle name="Calculation 4 2 2 2 6" xfId="334" xr:uid="{00000000-0005-0000-0000-000032070000}"/>
    <cellStyle name="Calculation 4 2 2 2 7" xfId="3128" xr:uid="{00000000-0005-0000-0000-000033070000}"/>
    <cellStyle name="Calculation 4 2 2 2 8" xfId="2486" xr:uid="{00000000-0005-0000-0000-000034070000}"/>
    <cellStyle name="Calculation 4 2 2 3" xfId="5481" xr:uid="{00000000-0005-0000-0000-000035070000}"/>
    <cellStyle name="Calculation 4 2 2 3 2" xfId="7179" xr:uid="{00000000-0005-0000-0000-000036070000}"/>
    <cellStyle name="Calculation 4 2 2 3 2 2" xfId="6082" xr:uid="{00000000-0005-0000-0000-000037070000}"/>
    <cellStyle name="Calculation 4 2 2 3 2 2 2" xfId="2897" xr:uid="{00000000-0005-0000-0000-000038070000}"/>
    <cellStyle name="Calculation 4 2 2 3 2 2 2 2" xfId="7183" xr:uid="{00000000-0005-0000-0000-000039070000}"/>
    <cellStyle name="Calculation 4 2 2 3 2 2 2 3" xfId="7189" xr:uid="{00000000-0005-0000-0000-00003A070000}"/>
    <cellStyle name="Calculation 4 2 2 3 2 2 2 4" xfId="7191" xr:uid="{00000000-0005-0000-0000-00003B070000}"/>
    <cellStyle name="Calculation 4 2 2 3 2 2 3" xfId="6088" xr:uid="{00000000-0005-0000-0000-00003C070000}"/>
    <cellStyle name="Calculation 4 2 2 3 2 2 4" xfId="6106" xr:uid="{00000000-0005-0000-0000-00003D070000}"/>
    <cellStyle name="Calculation 4 2 2 3 2 2 5" xfId="7204" xr:uid="{00000000-0005-0000-0000-00003E070000}"/>
    <cellStyle name="Calculation 4 2 2 3 2 3" xfId="6120" xr:uid="{00000000-0005-0000-0000-00003F070000}"/>
    <cellStyle name="Calculation 4 2 2 3 2 3 2" xfId="1236" xr:uid="{00000000-0005-0000-0000-000040070000}"/>
    <cellStyle name="Calculation 4 2 2 3 2 3 3" xfId="1251" xr:uid="{00000000-0005-0000-0000-000041070000}"/>
    <cellStyle name="Calculation 4 2 2 3 2 3 4" xfId="1261" xr:uid="{00000000-0005-0000-0000-000042070000}"/>
    <cellStyle name="Calculation 4 2 2 3 2 4" xfId="6126" xr:uid="{00000000-0005-0000-0000-000043070000}"/>
    <cellStyle name="Calculation 4 2 2 3 2 5" xfId="1103" xr:uid="{00000000-0005-0000-0000-000044070000}"/>
    <cellStyle name="Calculation 4 2 2 3 2 6" xfId="7206" xr:uid="{00000000-0005-0000-0000-000045070000}"/>
    <cellStyle name="Calculation 4 2 2 3 3" xfId="7210" xr:uid="{00000000-0005-0000-0000-000046070000}"/>
    <cellStyle name="Calculation 4 2 2 3 3 2" xfId="1584" xr:uid="{00000000-0005-0000-0000-000047070000}"/>
    <cellStyle name="Calculation 4 2 2 3 3 2 2" xfId="1601" xr:uid="{00000000-0005-0000-0000-000048070000}"/>
    <cellStyle name="Calculation 4 2 2 3 3 2 3" xfId="5035" xr:uid="{00000000-0005-0000-0000-000049070000}"/>
    <cellStyle name="Calculation 4 2 2 3 3 2 4" xfId="4079" xr:uid="{00000000-0005-0000-0000-00004A070000}"/>
    <cellStyle name="Calculation 4 2 2 3 3 3" xfId="1611" xr:uid="{00000000-0005-0000-0000-00004B070000}"/>
    <cellStyle name="Calculation 4 2 2 3 3 4" xfId="1622" xr:uid="{00000000-0005-0000-0000-00004C070000}"/>
    <cellStyle name="Calculation 4 2 2 3 3 5" xfId="1108" xr:uid="{00000000-0005-0000-0000-00004D070000}"/>
    <cellStyle name="Calculation 4 2 2 3 4" xfId="7211" xr:uid="{00000000-0005-0000-0000-00004E070000}"/>
    <cellStyle name="Calculation 4 2 2 3 4 2" xfId="6172" xr:uid="{00000000-0005-0000-0000-00004F070000}"/>
    <cellStyle name="Calculation 4 2 2 3 4 3" xfId="6179" xr:uid="{00000000-0005-0000-0000-000050070000}"/>
    <cellStyle name="Calculation 4 2 2 3 4 4" xfId="7038" xr:uid="{00000000-0005-0000-0000-000051070000}"/>
    <cellStyle name="Calculation 4 2 2 3 5" xfId="7212" xr:uid="{00000000-0005-0000-0000-000052070000}"/>
    <cellStyle name="Calculation 4 2 2 3 6" xfId="2565" xr:uid="{00000000-0005-0000-0000-000053070000}"/>
    <cellStyle name="Calculation 4 2 2 3 7" xfId="2574" xr:uid="{00000000-0005-0000-0000-000054070000}"/>
    <cellStyle name="Calculation 4 2 2 4" xfId="7216" xr:uid="{00000000-0005-0000-0000-000055070000}"/>
    <cellStyle name="Calculation 4 2 2 4 2" xfId="7225" xr:uid="{00000000-0005-0000-0000-000056070000}"/>
    <cellStyle name="Calculation 4 2 2 4 2 2" xfId="310" xr:uid="{00000000-0005-0000-0000-000057070000}"/>
    <cellStyle name="Calculation 4 2 2 4 2 2 2" xfId="678" xr:uid="{00000000-0005-0000-0000-000058070000}"/>
    <cellStyle name="Calculation 4 2 2 4 2 2 3" xfId="779" xr:uid="{00000000-0005-0000-0000-000059070000}"/>
    <cellStyle name="Calculation 4 2 2 4 2 2 4" xfId="784" xr:uid="{00000000-0005-0000-0000-00005A070000}"/>
    <cellStyle name="Calculation 4 2 2 4 2 3" xfId="431" xr:uid="{00000000-0005-0000-0000-00005B070000}"/>
    <cellStyle name="Calculation 4 2 2 4 2 4" xfId="464" xr:uid="{00000000-0005-0000-0000-00005C070000}"/>
    <cellStyle name="Calculation 4 2 2 4 2 5" xfId="489" xr:uid="{00000000-0005-0000-0000-00005D070000}"/>
    <cellStyle name="Calculation 4 2 2 4 3" xfId="7234" xr:uid="{00000000-0005-0000-0000-00005E070000}"/>
    <cellStyle name="Calculation 4 2 2 4 3 2" xfId="1756" xr:uid="{00000000-0005-0000-0000-00005F070000}"/>
    <cellStyle name="Calculation 4 2 2 4 3 3" xfId="1778" xr:uid="{00000000-0005-0000-0000-000060070000}"/>
    <cellStyle name="Calculation 4 2 2 4 3 4" xfId="1798" xr:uid="{00000000-0005-0000-0000-000061070000}"/>
    <cellStyle name="Calculation 4 2 2 4 4" xfId="7235" xr:uid="{00000000-0005-0000-0000-000062070000}"/>
    <cellStyle name="Calculation 4 2 2 4 5" xfId="7236" xr:uid="{00000000-0005-0000-0000-000063070000}"/>
    <cellStyle name="Calculation 4 2 2 4 6" xfId="7237" xr:uid="{00000000-0005-0000-0000-000064070000}"/>
    <cellStyle name="Calculation 4 2 2 5" xfId="7240" xr:uid="{00000000-0005-0000-0000-000065070000}"/>
    <cellStyle name="Calculation 4 2 2 5 2" xfId="7247" xr:uid="{00000000-0005-0000-0000-000066070000}"/>
    <cellStyle name="Calculation 4 2 2 5 2 2" xfId="6463" xr:uid="{00000000-0005-0000-0000-000067070000}"/>
    <cellStyle name="Calculation 4 2 2 5 2 3" xfId="6470" xr:uid="{00000000-0005-0000-0000-000068070000}"/>
    <cellStyle name="Calculation 4 2 2 5 2 4" xfId="7248" xr:uid="{00000000-0005-0000-0000-000069070000}"/>
    <cellStyle name="Calculation 4 2 2 5 3" xfId="7255" xr:uid="{00000000-0005-0000-0000-00006A070000}"/>
    <cellStyle name="Calculation 4 2 2 5 4" xfId="7256" xr:uid="{00000000-0005-0000-0000-00006B070000}"/>
    <cellStyle name="Calculation 4 2 2 5 5" xfId="7258" xr:uid="{00000000-0005-0000-0000-00006C070000}"/>
    <cellStyle name="Calculation 4 2 2 6" xfId="7261" xr:uid="{00000000-0005-0000-0000-00006D070000}"/>
    <cellStyle name="Calculation 4 2 2 6 2" xfId="522" xr:uid="{00000000-0005-0000-0000-00006E070000}"/>
    <cellStyle name="Calculation 4 2 2 6 3" xfId="581" xr:uid="{00000000-0005-0000-0000-00006F070000}"/>
    <cellStyle name="Calculation 4 2 2 6 4" xfId="7266" xr:uid="{00000000-0005-0000-0000-000070070000}"/>
    <cellStyle name="Calculation 4 2 2 7" xfId="7269" xr:uid="{00000000-0005-0000-0000-000071070000}"/>
    <cellStyle name="Calculation 4 2 2 8" xfId="2806" xr:uid="{00000000-0005-0000-0000-000072070000}"/>
    <cellStyle name="Calculation 4 2 2 9" xfId="2226" xr:uid="{00000000-0005-0000-0000-000073070000}"/>
    <cellStyle name="Calculation 4 2 3" xfId="7271" xr:uid="{00000000-0005-0000-0000-000074070000}"/>
    <cellStyle name="Calculation 4 2 3 2" xfId="7275" xr:uid="{00000000-0005-0000-0000-000075070000}"/>
    <cellStyle name="Calculation 4 2 3 2 2" xfId="7278" xr:uid="{00000000-0005-0000-0000-000076070000}"/>
    <cellStyle name="Calculation 4 2 3 2 2 2" xfId="5269" xr:uid="{00000000-0005-0000-0000-000077070000}"/>
    <cellStyle name="Calculation 4 2 3 2 2 2 2" xfId="5273" xr:uid="{00000000-0005-0000-0000-000078070000}"/>
    <cellStyle name="Calculation 4 2 3 2 2 2 2 2" xfId="5393" xr:uid="{00000000-0005-0000-0000-000079070000}"/>
    <cellStyle name="Calculation 4 2 3 2 2 2 2 2 2" xfId="7284" xr:uid="{00000000-0005-0000-0000-00007A070000}"/>
    <cellStyle name="Calculation 4 2 3 2 2 2 2 2 3" xfId="7288" xr:uid="{00000000-0005-0000-0000-00007B070000}"/>
    <cellStyle name="Calculation 4 2 3 2 2 2 2 2 4" xfId="7291" xr:uid="{00000000-0005-0000-0000-00007C070000}"/>
    <cellStyle name="Calculation 4 2 3 2 2 2 2 3" xfId="7292" xr:uid="{00000000-0005-0000-0000-00007D070000}"/>
    <cellStyle name="Calculation 4 2 3 2 2 2 2 4" xfId="7294" xr:uid="{00000000-0005-0000-0000-00007E070000}"/>
    <cellStyle name="Calculation 4 2 3 2 2 2 2 5" xfId="2692" xr:uid="{00000000-0005-0000-0000-00007F070000}"/>
    <cellStyle name="Calculation 4 2 3 2 2 2 3" xfId="5276" xr:uid="{00000000-0005-0000-0000-000080070000}"/>
    <cellStyle name="Calculation 4 2 3 2 2 2 3 2" xfId="5751" xr:uid="{00000000-0005-0000-0000-000081070000}"/>
    <cellStyle name="Calculation 4 2 3 2 2 2 3 3" xfId="5856" xr:uid="{00000000-0005-0000-0000-000082070000}"/>
    <cellStyle name="Calculation 4 2 3 2 2 2 3 4" xfId="5914" xr:uid="{00000000-0005-0000-0000-000083070000}"/>
    <cellStyle name="Calculation 4 2 3 2 2 2 4" xfId="5175" xr:uid="{00000000-0005-0000-0000-000084070000}"/>
    <cellStyle name="Calculation 4 2 3 2 2 2 5" xfId="1480" xr:uid="{00000000-0005-0000-0000-000085070000}"/>
    <cellStyle name="Calculation 4 2 3 2 2 2 6" xfId="1655" xr:uid="{00000000-0005-0000-0000-000086070000}"/>
    <cellStyle name="Calculation 4 2 3 2 2 3" xfId="5284" xr:uid="{00000000-0005-0000-0000-000087070000}"/>
    <cellStyle name="Calculation 4 2 3 2 2 3 2" xfId="7299" xr:uid="{00000000-0005-0000-0000-000088070000}"/>
    <cellStyle name="Calculation 4 2 3 2 2 3 2 2" xfId="7303" xr:uid="{00000000-0005-0000-0000-000089070000}"/>
    <cellStyle name="Calculation 4 2 3 2 2 3 2 3" xfId="7307" xr:uid="{00000000-0005-0000-0000-00008A070000}"/>
    <cellStyle name="Calculation 4 2 3 2 2 3 2 4" xfId="7315" xr:uid="{00000000-0005-0000-0000-00008B070000}"/>
    <cellStyle name="Calculation 4 2 3 2 2 3 3" xfId="6219" xr:uid="{00000000-0005-0000-0000-00008C070000}"/>
    <cellStyle name="Calculation 4 2 3 2 2 3 4" xfId="6331" xr:uid="{00000000-0005-0000-0000-00008D070000}"/>
    <cellStyle name="Calculation 4 2 3 2 2 3 5" xfId="1663" xr:uid="{00000000-0005-0000-0000-00008E070000}"/>
    <cellStyle name="Calculation 4 2 3 2 2 4" xfId="5289" xr:uid="{00000000-0005-0000-0000-00008F070000}"/>
    <cellStyle name="Calculation 4 2 3 2 2 4 2" xfId="6789" xr:uid="{00000000-0005-0000-0000-000090070000}"/>
    <cellStyle name="Calculation 4 2 3 2 2 4 3" xfId="6388" xr:uid="{00000000-0005-0000-0000-000091070000}"/>
    <cellStyle name="Calculation 4 2 3 2 2 4 4" xfId="6436" xr:uid="{00000000-0005-0000-0000-000092070000}"/>
    <cellStyle name="Calculation 4 2 3 2 2 5" xfId="5298" xr:uid="{00000000-0005-0000-0000-000093070000}"/>
    <cellStyle name="Calculation 4 2 3 2 2 6" xfId="7317" xr:uid="{00000000-0005-0000-0000-000094070000}"/>
    <cellStyle name="Calculation 4 2 3 2 2 7" xfId="7324" xr:uid="{00000000-0005-0000-0000-000095070000}"/>
    <cellStyle name="Calculation 4 2 3 2 3" xfId="2165" xr:uid="{00000000-0005-0000-0000-000096070000}"/>
    <cellStyle name="Calculation 4 2 3 2 3 2" xfId="5362" xr:uid="{00000000-0005-0000-0000-000097070000}"/>
    <cellStyle name="Calculation 4 2 3 2 3 2 2" xfId="7329" xr:uid="{00000000-0005-0000-0000-000098070000}"/>
    <cellStyle name="Calculation 4 2 3 2 3 2 2 2" xfId="5121" xr:uid="{00000000-0005-0000-0000-000099070000}"/>
    <cellStyle name="Calculation 4 2 3 2 3 2 2 3" xfId="7084" xr:uid="{00000000-0005-0000-0000-00009A070000}"/>
    <cellStyle name="Calculation 4 2 3 2 3 2 2 4" xfId="7330" xr:uid="{00000000-0005-0000-0000-00009B070000}"/>
    <cellStyle name="Calculation 4 2 3 2 3 2 3" xfId="6622" xr:uid="{00000000-0005-0000-0000-00009C070000}"/>
    <cellStyle name="Calculation 4 2 3 2 3 2 4" xfId="5415" xr:uid="{00000000-0005-0000-0000-00009D070000}"/>
    <cellStyle name="Calculation 4 2 3 2 3 2 5" xfId="5509" xr:uid="{00000000-0005-0000-0000-00009E070000}"/>
    <cellStyle name="Calculation 4 2 3 2 3 3" xfId="5370" xr:uid="{00000000-0005-0000-0000-00009F070000}"/>
    <cellStyle name="Calculation 4 2 3 2 3 3 2" xfId="4534" xr:uid="{00000000-0005-0000-0000-0000A0070000}"/>
    <cellStyle name="Calculation 4 2 3 2 3 3 3" xfId="4511" xr:uid="{00000000-0005-0000-0000-0000A1070000}"/>
    <cellStyle name="Calculation 4 2 3 2 3 3 4" xfId="5639" xr:uid="{00000000-0005-0000-0000-0000A2070000}"/>
    <cellStyle name="Calculation 4 2 3 2 3 4" xfId="5375" xr:uid="{00000000-0005-0000-0000-0000A3070000}"/>
    <cellStyle name="Calculation 4 2 3 2 3 5" xfId="7182" xr:uid="{00000000-0005-0000-0000-0000A4070000}"/>
    <cellStyle name="Calculation 4 2 3 2 3 6" xfId="7186" xr:uid="{00000000-0005-0000-0000-0000A5070000}"/>
    <cellStyle name="Calculation 4 2 3 2 4" xfId="7331" xr:uid="{00000000-0005-0000-0000-0000A6070000}"/>
    <cellStyle name="Calculation 4 2 3 2 4 2" xfId="5412" xr:uid="{00000000-0005-0000-0000-0000A7070000}"/>
    <cellStyle name="Calculation 4 2 3 2 4 2 2" xfId="7341" xr:uid="{00000000-0005-0000-0000-0000A8070000}"/>
    <cellStyle name="Calculation 4 2 3 2 4 2 3" xfId="6843" xr:uid="{00000000-0005-0000-0000-0000A9070000}"/>
    <cellStyle name="Calculation 4 2 3 2 4 2 4" xfId="5962" xr:uid="{00000000-0005-0000-0000-0000AA070000}"/>
    <cellStyle name="Calculation 4 2 3 2 4 3" xfId="1403" xr:uid="{00000000-0005-0000-0000-0000AB070000}"/>
    <cellStyle name="Calculation 4 2 3 2 4 4" xfId="5103" xr:uid="{00000000-0005-0000-0000-0000AC070000}"/>
    <cellStyle name="Calculation 4 2 3 2 4 5" xfId="7073" xr:uid="{00000000-0005-0000-0000-0000AD070000}"/>
    <cellStyle name="Calculation 4 2 3 2 5" xfId="7342" xr:uid="{00000000-0005-0000-0000-0000AE070000}"/>
    <cellStyle name="Calculation 4 2 3 2 5 2" xfId="959" xr:uid="{00000000-0005-0000-0000-0000AF070000}"/>
    <cellStyle name="Calculation 4 2 3 2 5 3" xfId="7346" xr:uid="{00000000-0005-0000-0000-0000B0070000}"/>
    <cellStyle name="Calculation 4 2 3 2 5 4" xfId="7349" xr:uid="{00000000-0005-0000-0000-0000B1070000}"/>
    <cellStyle name="Calculation 4 2 3 2 6" xfId="7350" xr:uid="{00000000-0005-0000-0000-0000B2070000}"/>
    <cellStyle name="Calculation 4 2 3 2 7" xfId="7352" xr:uid="{00000000-0005-0000-0000-0000B3070000}"/>
    <cellStyle name="Calculation 4 2 3 2 8" xfId="7353" xr:uid="{00000000-0005-0000-0000-0000B4070000}"/>
    <cellStyle name="Calculation 4 2 3 3" xfId="7355" xr:uid="{00000000-0005-0000-0000-0000B5070000}"/>
    <cellStyle name="Calculation 4 2 3 3 2" xfId="7357" xr:uid="{00000000-0005-0000-0000-0000B6070000}"/>
    <cellStyle name="Calculation 4 2 3 3 2 2" xfId="5491" xr:uid="{00000000-0005-0000-0000-0000B7070000}"/>
    <cellStyle name="Calculation 4 2 3 3 2 2 2" xfId="7360" xr:uid="{00000000-0005-0000-0000-0000B8070000}"/>
    <cellStyle name="Calculation 4 2 3 3 2 2 2 2" xfId="2825" xr:uid="{00000000-0005-0000-0000-0000B9070000}"/>
    <cellStyle name="Calculation 4 2 3 3 2 2 2 3" xfId="2139" xr:uid="{00000000-0005-0000-0000-0000BA070000}"/>
    <cellStyle name="Calculation 4 2 3 3 2 2 2 4" xfId="1187" xr:uid="{00000000-0005-0000-0000-0000BB070000}"/>
    <cellStyle name="Calculation 4 2 3 3 2 2 3" xfId="7274" xr:uid="{00000000-0005-0000-0000-0000BC070000}"/>
    <cellStyle name="Calculation 4 2 3 3 2 2 4" xfId="7354" xr:uid="{00000000-0005-0000-0000-0000BD070000}"/>
    <cellStyle name="Calculation 4 2 3 3 2 2 5" xfId="7361" xr:uid="{00000000-0005-0000-0000-0000BE070000}"/>
    <cellStyle name="Calculation 4 2 3 3 2 3" xfId="5501" xr:uid="{00000000-0005-0000-0000-0000BF070000}"/>
    <cellStyle name="Calculation 4 2 3 3 2 3 2" xfId="7365" xr:uid="{00000000-0005-0000-0000-0000C0070000}"/>
    <cellStyle name="Calculation 4 2 3 3 2 3 3" xfId="7366" xr:uid="{00000000-0005-0000-0000-0000C1070000}"/>
    <cellStyle name="Calculation 4 2 3 3 2 3 4" xfId="7370" xr:uid="{00000000-0005-0000-0000-0000C2070000}"/>
    <cellStyle name="Calculation 4 2 3 3 2 4" xfId="5506" xr:uid="{00000000-0005-0000-0000-0000C3070000}"/>
    <cellStyle name="Calculation 4 2 3 3 2 5" xfId="902" xr:uid="{00000000-0005-0000-0000-0000C4070000}"/>
    <cellStyle name="Calculation 4 2 3 3 2 6" xfId="7374" xr:uid="{00000000-0005-0000-0000-0000C5070000}"/>
    <cellStyle name="Calculation 4 2 3 3 3" xfId="2089" xr:uid="{00000000-0005-0000-0000-0000C6070000}"/>
    <cellStyle name="Calculation 4 2 3 3 3 2" xfId="5550" xr:uid="{00000000-0005-0000-0000-0000C7070000}"/>
    <cellStyle name="Calculation 4 2 3 3 3 2 2" xfId="7377" xr:uid="{00000000-0005-0000-0000-0000C8070000}"/>
    <cellStyle name="Calculation 4 2 3 3 3 2 3" xfId="7379" xr:uid="{00000000-0005-0000-0000-0000C9070000}"/>
    <cellStyle name="Calculation 4 2 3 3 3 2 4" xfId="5149" xr:uid="{00000000-0005-0000-0000-0000CA070000}"/>
    <cellStyle name="Calculation 4 2 3 3 3 3" xfId="5558" xr:uid="{00000000-0005-0000-0000-0000CB070000}"/>
    <cellStyle name="Calculation 4 2 3 3 3 4" xfId="7385" xr:uid="{00000000-0005-0000-0000-0000CC070000}"/>
    <cellStyle name="Calculation 4 2 3 3 3 5" xfId="1243" xr:uid="{00000000-0005-0000-0000-0000CD070000}"/>
    <cellStyle name="Calculation 4 2 3 3 4" xfId="6542" xr:uid="{00000000-0005-0000-0000-0000CE070000}"/>
    <cellStyle name="Calculation 4 2 3 3 4 2" xfId="5608" xr:uid="{00000000-0005-0000-0000-0000CF070000}"/>
    <cellStyle name="Calculation 4 2 3 3 4 3" xfId="6547" xr:uid="{00000000-0005-0000-0000-0000D0070000}"/>
    <cellStyle name="Calculation 4 2 3 3 4 4" xfId="6560" xr:uid="{00000000-0005-0000-0000-0000D1070000}"/>
    <cellStyle name="Calculation 4 2 3 3 5" xfId="6571" xr:uid="{00000000-0005-0000-0000-0000D2070000}"/>
    <cellStyle name="Calculation 4 2 3 3 6" xfId="5760" xr:uid="{00000000-0005-0000-0000-0000D3070000}"/>
    <cellStyle name="Calculation 4 2 3 3 7" xfId="5786" xr:uid="{00000000-0005-0000-0000-0000D4070000}"/>
    <cellStyle name="Calculation 4 2 3 4" xfId="7363" xr:uid="{00000000-0005-0000-0000-0000D5070000}"/>
    <cellStyle name="Calculation 4 2 3 4 2" xfId="7389" xr:uid="{00000000-0005-0000-0000-0000D6070000}"/>
    <cellStyle name="Calculation 4 2 3 4 2 2" xfId="5665" xr:uid="{00000000-0005-0000-0000-0000D7070000}"/>
    <cellStyle name="Calculation 4 2 3 4 2 2 2" xfId="7393" xr:uid="{00000000-0005-0000-0000-0000D8070000}"/>
    <cellStyle name="Calculation 4 2 3 4 2 2 3" xfId="7396" xr:uid="{00000000-0005-0000-0000-0000D9070000}"/>
    <cellStyle name="Calculation 4 2 3 4 2 2 4" xfId="7280" xr:uid="{00000000-0005-0000-0000-0000DA070000}"/>
    <cellStyle name="Calculation 4 2 3 4 2 3" xfId="5673" xr:uid="{00000000-0005-0000-0000-0000DB070000}"/>
    <cellStyle name="Calculation 4 2 3 4 2 4" xfId="7400" xr:uid="{00000000-0005-0000-0000-0000DC070000}"/>
    <cellStyle name="Calculation 4 2 3 4 2 5" xfId="229" xr:uid="{00000000-0005-0000-0000-0000DD070000}"/>
    <cellStyle name="Calculation 4 2 3 4 3" xfId="2194" xr:uid="{00000000-0005-0000-0000-0000DE070000}"/>
    <cellStyle name="Calculation 4 2 3 4 3 2" xfId="2476" xr:uid="{00000000-0005-0000-0000-0000DF070000}"/>
    <cellStyle name="Calculation 4 2 3 4 3 3" xfId="189" xr:uid="{00000000-0005-0000-0000-0000E0070000}"/>
    <cellStyle name="Calculation 4 2 3 4 3 4" xfId="2685" xr:uid="{00000000-0005-0000-0000-0000E1070000}"/>
    <cellStyle name="Calculation 4 2 3 4 4" xfId="2755" xr:uid="{00000000-0005-0000-0000-0000E2070000}"/>
    <cellStyle name="Calculation 4 2 3 4 5" xfId="2917" xr:uid="{00000000-0005-0000-0000-0000E3070000}"/>
    <cellStyle name="Calculation 4 2 3 4 6" xfId="1350" xr:uid="{00000000-0005-0000-0000-0000E4070000}"/>
    <cellStyle name="Calculation 4 2 3 5" xfId="7404" xr:uid="{00000000-0005-0000-0000-0000E5070000}"/>
    <cellStyle name="Calculation 4 2 3 5 2" xfId="7408" xr:uid="{00000000-0005-0000-0000-0000E6070000}"/>
    <cellStyle name="Calculation 4 2 3 5 2 2" xfId="5725" xr:uid="{00000000-0005-0000-0000-0000E7070000}"/>
    <cellStyle name="Calculation 4 2 3 5 2 3" xfId="7412" xr:uid="{00000000-0005-0000-0000-0000E8070000}"/>
    <cellStyle name="Calculation 4 2 3 5 2 4" xfId="7414" xr:uid="{00000000-0005-0000-0000-0000E9070000}"/>
    <cellStyle name="Calculation 4 2 3 5 3" xfId="2205" xr:uid="{00000000-0005-0000-0000-0000EA070000}"/>
    <cellStyle name="Calculation 4 2 3 5 4" xfId="2838" xr:uid="{00000000-0005-0000-0000-0000EB070000}"/>
    <cellStyle name="Calculation 4 2 3 5 5" xfId="3271" xr:uid="{00000000-0005-0000-0000-0000EC070000}"/>
    <cellStyle name="Calculation 4 2 3 6" xfId="7417" xr:uid="{00000000-0005-0000-0000-0000ED070000}"/>
    <cellStyle name="Calculation 4 2 3 6 2" xfId="7419" xr:uid="{00000000-0005-0000-0000-0000EE070000}"/>
    <cellStyle name="Calculation 4 2 3 6 3" xfId="3367" xr:uid="{00000000-0005-0000-0000-0000EF070000}"/>
    <cellStyle name="Calculation 4 2 3 6 4" xfId="3489" xr:uid="{00000000-0005-0000-0000-0000F0070000}"/>
    <cellStyle name="Calculation 4 2 3 7" xfId="7422" xr:uid="{00000000-0005-0000-0000-0000F1070000}"/>
    <cellStyle name="Calculation 4 2 3 8" xfId="7424" xr:uid="{00000000-0005-0000-0000-0000F2070000}"/>
    <cellStyle name="Calculation 4 2 3 9" xfId="7425" xr:uid="{00000000-0005-0000-0000-0000F3070000}"/>
    <cellStyle name="Calculation 4 2 4" xfId="7426" xr:uid="{00000000-0005-0000-0000-0000F4070000}"/>
    <cellStyle name="Calculation 4 2 4 2" xfId="7367" xr:uid="{00000000-0005-0000-0000-0000F5070000}"/>
    <cellStyle name="Calculation 4 2 4 2 2" xfId="7428" xr:uid="{00000000-0005-0000-0000-0000F6070000}"/>
    <cellStyle name="Calculation 4 2 4 2 2 2" xfId="2651" xr:uid="{00000000-0005-0000-0000-0000F7070000}"/>
    <cellStyle name="Calculation 4 2 4 2 2 2 2" xfId="1860" xr:uid="{00000000-0005-0000-0000-0000F8070000}"/>
    <cellStyle name="Calculation 4 2 4 2 2 2 2 2" xfId="7430" xr:uid="{00000000-0005-0000-0000-0000F9070000}"/>
    <cellStyle name="Calculation 4 2 4 2 2 2 2 3" xfId="7431" xr:uid="{00000000-0005-0000-0000-0000FA070000}"/>
    <cellStyle name="Calculation 4 2 4 2 2 2 2 4" xfId="7432" xr:uid="{00000000-0005-0000-0000-0000FB070000}"/>
    <cellStyle name="Calculation 4 2 4 2 2 2 3" xfId="118" xr:uid="{00000000-0005-0000-0000-0000FC070000}"/>
    <cellStyle name="Calculation 4 2 4 2 2 2 4" xfId="5836" xr:uid="{00000000-0005-0000-0000-0000FD070000}"/>
    <cellStyle name="Calculation 4 2 4 2 2 2 5" xfId="7439" xr:uid="{00000000-0005-0000-0000-0000FE070000}"/>
    <cellStyle name="Calculation 4 2 4 2 2 3" xfId="2670" xr:uid="{00000000-0005-0000-0000-0000FF070000}"/>
    <cellStyle name="Calculation 4 2 4 2 2 3 2" xfId="7445" xr:uid="{00000000-0005-0000-0000-000000080000}"/>
    <cellStyle name="Calculation 4 2 4 2 2 3 3" xfId="7451" xr:uid="{00000000-0005-0000-0000-000001080000}"/>
    <cellStyle name="Calculation 4 2 4 2 2 3 4" xfId="7454" xr:uid="{00000000-0005-0000-0000-000002080000}"/>
    <cellStyle name="Calculation 4 2 4 2 2 4" xfId="5847" xr:uid="{00000000-0005-0000-0000-000003080000}"/>
    <cellStyle name="Calculation 4 2 4 2 2 5" xfId="5853" xr:uid="{00000000-0005-0000-0000-000004080000}"/>
    <cellStyle name="Calculation 4 2 4 2 2 6" xfId="7457" xr:uid="{00000000-0005-0000-0000-000005080000}"/>
    <cellStyle name="Calculation 4 2 4 2 3" xfId="7460" xr:uid="{00000000-0005-0000-0000-000006080000}"/>
    <cellStyle name="Calculation 4 2 4 2 3 2" xfId="597" xr:uid="{00000000-0005-0000-0000-000007080000}"/>
    <cellStyle name="Calculation 4 2 4 2 3 2 2" xfId="7462" xr:uid="{00000000-0005-0000-0000-000008080000}"/>
    <cellStyle name="Calculation 4 2 4 2 3 2 3" xfId="7463" xr:uid="{00000000-0005-0000-0000-000009080000}"/>
    <cellStyle name="Calculation 4 2 4 2 3 2 4" xfId="7464" xr:uid="{00000000-0005-0000-0000-00000A080000}"/>
    <cellStyle name="Calculation 4 2 4 2 3 3" xfId="5905" xr:uid="{00000000-0005-0000-0000-00000B080000}"/>
    <cellStyle name="Calculation 4 2 4 2 3 4" xfId="5912" xr:uid="{00000000-0005-0000-0000-00000C080000}"/>
    <cellStyle name="Calculation 4 2 4 2 3 5" xfId="5020" xr:uid="{00000000-0005-0000-0000-00000D080000}"/>
    <cellStyle name="Calculation 4 2 4 2 4" xfId="7466" xr:uid="{00000000-0005-0000-0000-00000E080000}"/>
    <cellStyle name="Calculation 4 2 4 2 4 2" xfId="5943" xr:uid="{00000000-0005-0000-0000-00000F080000}"/>
    <cellStyle name="Calculation 4 2 4 2 4 3" xfId="5952" xr:uid="{00000000-0005-0000-0000-000010080000}"/>
    <cellStyle name="Calculation 4 2 4 2 4 4" xfId="7477" xr:uid="{00000000-0005-0000-0000-000011080000}"/>
    <cellStyle name="Calculation 4 2 4 2 5" xfId="7479" xr:uid="{00000000-0005-0000-0000-000012080000}"/>
    <cellStyle name="Calculation 4 2 4 2 6" xfId="7481" xr:uid="{00000000-0005-0000-0000-000013080000}"/>
    <cellStyle name="Calculation 4 2 4 2 7" xfId="7483" xr:uid="{00000000-0005-0000-0000-000014080000}"/>
    <cellStyle name="Calculation 4 2 4 3" xfId="7371" xr:uid="{00000000-0005-0000-0000-000015080000}"/>
    <cellStyle name="Calculation 4 2 4 3 2" xfId="7484" xr:uid="{00000000-0005-0000-0000-000016080000}"/>
    <cellStyle name="Calculation 4 2 4 3 2 2" xfId="2222" xr:uid="{00000000-0005-0000-0000-000017080000}"/>
    <cellStyle name="Calculation 4 2 4 3 2 2 2" xfId="7488" xr:uid="{00000000-0005-0000-0000-000018080000}"/>
    <cellStyle name="Calculation 4 2 4 3 2 2 3" xfId="7492" xr:uid="{00000000-0005-0000-0000-000019080000}"/>
    <cellStyle name="Calculation 4 2 4 3 2 2 4" xfId="7494" xr:uid="{00000000-0005-0000-0000-00001A080000}"/>
    <cellStyle name="Calculation 4 2 4 3 2 3" xfId="6015" xr:uid="{00000000-0005-0000-0000-00001B080000}"/>
    <cellStyle name="Calculation 4 2 4 3 2 4" xfId="6024" xr:uid="{00000000-0005-0000-0000-00001C080000}"/>
    <cellStyle name="Calculation 4 2 4 3 2 5" xfId="7498" xr:uid="{00000000-0005-0000-0000-00001D080000}"/>
    <cellStyle name="Calculation 4 2 4 3 3" xfId="7499" xr:uid="{00000000-0005-0000-0000-00001E080000}"/>
    <cellStyle name="Calculation 4 2 4 3 3 2" xfId="6061" xr:uid="{00000000-0005-0000-0000-00001F080000}"/>
    <cellStyle name="Calculation 4 2 4 3 3 3" xfId="6072" xr:uid="{00000000-0005-0000-0000-000020080000}"/>
    <cellStyle name="Calculation 4 2 4 3 3 4" xfId="7502" xr:uid="{00000000-0005-0000-0000-000021080000}"/>
    <cellStyle name="Calculation 4 2 4 3 4" xfId="345" xr:uid="{00000000-0005-0000-0000-000022080000}"/>
    <cellStyle name="Calculation 4 2 4 3 5" xfId="2" xr:uid="{00000000-0005-0000-0000-000023080000}"/>
    <cellStyle name="Calculation 4 2 4 3 6" xfId="5807" xr:uid="{00000000-0005-0000-0000-000024080000}"/>
    <cellStyle name="Calculation 4 2 4 4" xfId="7506" xr:uid="{00000000-0005-0000-0000-000025080000}"/>
    <cellStyle name="Calculation 4 2 4 4 2" xfId="496" xr:uid="{00000000-0005-0000-0000-000026080000}"/>
    <cellStyle name="Calculation 4 2 4 4 2 2" xfId="1551" xr:uid="{00000000-0005-0000-0000-000027080000}"/>
    <cellStyle name="Calculation 4 2 4 4 2 3" xfId="2366" xr:uid="{00000000-0005-0000-0000-000028080000}"/>
    <cellStyle name="Calculation 4 2 4 4 2 4" xfId="7507" xr:uid="{00000000-0005-0000-0000-000029080000}"/>
    <cellStyle name="Calculation 4 2 4 4 3" xfId="548" xr:uid="{00000000-0005-0000-0000-00002A080000}"/>
    <cellStyle name="Calculation 4 2 4 4 4" xfId="2346" xr:uid="{00000000-0005-0000-0000-00002B080000}"/>
    <cellStyle name="Calculation 4 2 4 4 5" xfId="4194" xr:uid="{00000000-0005-0000-0000-00002C080000}"/>
    <cellStyle name="Calculation 4 2 4 5" xfId="7510" xr:uid="{00000000-0005-0000-0000-00002D080000}"/>
    <cellStyle name="Calculation 4 2 4 5 2" xfId="1525" xr:uid="{00000000-0005-0000-0000-00002E080000}"/>
    <cellStyle name="Calculation 4 2 4 5 3" xfId="1558" xr:uid="{00000000-0005-0000-0000-00002F080000}"/>
    <cellStyle name="Calculation 4 2 4 5 4" xfId="2378" xr:uid="{00000000-0005-0000-0000-000030080000}"/>
    <cellStyle name="Calculation 4 2 4 6" xfId="4724" xr:uid="{00000000-0005-0000-0000-000031080000}"/>
    <cellStyle name="Calculation 4 2 4 7" xfId="4726" xr:uid="{00000000-0005-0000-0000-000032080000}"/>
    <cellStyle name="Calculation 4 2 4 8" xfId="4732" xr:uid="{00000000-0005-0000-0000-000033080000}"/>
    <cellStyle name="Calculation 4 2 5" xfId="7511" xr:uid="{00000000-0005-0000-0000-000034080000}"/>
    <cellStyle name="Calculation 4 2 5 2" xfId="5820" xr:uid="{00000000-0005-0000-0000-000035080000}"/>
    <cellStyle name="Calculation 4 2 5 2 2" xfId="7513" xr:uid="{00000000-0005-0000-0000-000036080000}"/>
    <cellStyle name="Calculation 4 2 5 2 2 2" xfId="2948" xr:uid="{00000000-0005-0000-0000-000037080000}"/>
    <cellStyle name="Calculation 4 2 5 2 2 2 2" xfId="6674" xr:uid="{00000000-0005-0000-0000-000038080000}"/>
    <cellStyle name="Calculation 4 2 5 2 2 2 3" xfId="6694" xr:uid="{00000000-0005-0000-0000-000039080000}"/>
    <cellStyle name="Calculation 4 2 5 2 2 2 4" xfId="1898" xr:uid="{00000000-0005-0000-0000-00003A080000}"/>
    <cellStyle name="Calculation 4 2 5 2 2 3" xfId="2963" xr:uid="{00000000-0005-0000-0000-00003B080000}"/>
    <cellStyle name="Calculation 4 2 5 2 2 4" xfId="6279" xr:uid="{00000000-0005-0000-0000-00003C080000}"/>
    <cellStyle name="Calculation 4 2 5 2 2 5" xfId="7518" xr:uid="{00000000-0005-0000-0000-00003D080000}"/>
    <cellStyle name="Calculation 4 2 5 2 3" xfId="7519" xr:uid="{00000000-0005-0000-0000-00003E080000}"/>
    <cellStyle name="Calculation 4 2 5 2 3 2" xfId="3117" xr:uid="{00000000-0005-0000-0000-00003F080000}"/>
    <cellStyle name="Calculation 4 2 5 2 3 3" xfId="6306" xr:uid="{00000000-0005-0000-0000-000040080000}"/>
    <cellStyle name="Calculation 4 2 5 2 3 4" xfId="7524" xr:uid="{00000000-0005-0000-0000-000041080000}"/>
    <cellStyle name="Calculation 4 2 5 2 4" xfId="7529" xr:uid="{00000000-0005-0000-0000-000042080000}"/>
    <cellStyle name="Calculation 4 2 5 2 5" xfId="7536" xr:uid="{00000000-0005-0000-0000-000043080000}"/>
    <cellStyle name="Calculation 4 2 5 2 6" xfId="7544" xr:uid="{00000000-0005-0000-0000-000044080000}"/>
    <cellStyle name="Calculation 4 2 5 3" xfId="7546" xr:uid="{00000000-0005-0000-0000-000045080000}"/>
    <cellStyle name="Calculation 4 2 5 3 2" xfId="7549" xr:uid="{00000000-0005-0000-0000-000046080000}"/>
    <cellStyle name="Calculation 4 2 5 3 2 2" xfId="2530" xr:uid="{00000000-0005-0000-0000-000047080000}"/>
    <cellStyle name="Calculation 4 2 5 3 2 3" xfId="6356" xr:uid="{00000000-0005-0000-0000-000048080000}"/>
    <cellStyle name="Calculation 4 2 5 3 2 4" xfId="7555" xr:uid="{00000000-0005-0000-0000-000049080000}"/>
    <cellStyle name="Calculation 4 2 5 3 3" xfId="7558" xr:uid="{00000000-0005-0000-0000-00004A080000}"/>
    <cellStyle name="Calculation 4 2 5 3 4" xfId="7559" xr:uid="{00000000-0005-0000-0000-00004B080000}"/>
    <cellStyle name="Calculation 4 2 5 3 5" xfId="7560" xr:uid="{00000000-0005-0000-0000-00004C080000}"/>
    <cellStyle name="Calculation 4 2 5 4" xfId="7561" xr:uid="{00000000-0005-0000-0000-00004D080000}"/>
    <cellStyle name="Calculation 4 2 5 4 2" xfId="4757" xr:uid="{00000000-0005-0000-0000-00004E080000}"/>
    <cellStyle name="Calculation 4 2 5 4 3" xfId="4498" xr:uid="{00000000-0005-0000-0000-00004F080000}"/>
    <cellStyle name="Calculation 4 2 5 4 4" xfId="4649" xr:uid="{00000000-0005-0000-0000-000050080000}"/>
    <cellStyle name="Calculation 4 2 5 5" xfId="7562" xr:uid="{00000000-0005-0000-0000-000051080000}"/>
    <cellStyle name="Calculation 4 2 5 6" xfId="7563" xr:uid="{00000000-0005-0000-0000-000052080000}"/>
    <cellStyle name="Calculation 4 2 5 7" xfId="7565" xr:uid="{00000000-0005-0000-0000-000053080000}"/>
    <cellStyle name="Calculation 4 2 6" xfId="7567" xr:uid="{00000000-0005-0000-0000-000054080000}"/>
    <cellStyle name="Calculation 4 2 6 2" xfId="7569" xr:uid="{00000000-0005-0000-0000-000055080000}"/>
    <cellStyle name="Calculation 4 2 6 2 2" xfId="7571" xr:uid="{00000000-0005-0000-0000-000056080000}"/>
    <cellStyle name="Calculation 4 2 6 2 2 2" xfId="3444" xr:uid="{00000000-0005-0000-0000-000057080000}"/>
    <cellStyle name="Calculation 4 2 6 2 2 3" xfId="6406" xr:uid="{00000000-0005-0000-0000-000058080000}"/>
    <cellStyle name="Calculation 4 2 6 2 2 4" xfId="7573" xr:uid="{00000000-0005-0000-0000-000059080000}"/>
    <cellStyle name="Calculation 4 2 6 2 3" xfId="7577" xr:uid="{00000000-0005-0000-0000-00005A080000}"/>
    <cellStyle name="Calculation 4 2 6 2 4" xfId="7580" xr:uid="{00000000-0005-0000-0000-00005B080000}"/>
    <cellStyle name="Calculation 4 2 6 2 5" xfId="7582" xr:uid="{00000000-0005-0000-0000-00005C080000}"/>
    <cellStyle name="Calculation 4 2 6 3" xfId="7583" xr:uid="{00000000-0005-0000-0000-00005D080000}"/>
    <cellStyle name="Calculation 4 2 6 3 2" xfId="7586" xr:uid="{00000000-0005-0000-0000-00005E080000}"/>
    <cellStyle name="Calculation 4 2 6 3 3" xfId="7588" xr:uid="{00000000-0005-0000-0000-00005F080000}"/>
    <cellStyle name="Calculation 4 2 6 3 4" xfId="7590" xr:uid="{00000000-0005-0000-0000-000060080000}"/>
    <cellStyle name="Calculation 4 2 6 4" xfId="7591" xr:uid="{00000000-0005-0000-0000-000061080000}"/>
    <cellStyle name="Calculation 4 2 6 5" xfId="7592" xr:uid="{00000000-0005-0000-0000-000062080000}"/>
    <cellStyle name="Calculation 4 2 6 6" xfId="7594" xr:uid="{00000000-0005-0000-0000-000063080000}"/>
    <cellStyle name="Calculation 4 2 7" xfId="7595" xr:uid="{00000000-0005-0000-0000-000064080000}"/>
    <cellStyle name="Calculation 4 2 7 2" xfId="7596" xr:uid="{00000000-0005-0000-0000-000065080000}"/>
    <cellStyle name="Calculation 4 2 7 2 2" xfId="7598" xr:uid="{00000000-0005-0000-0000-000066080000}"/>
    <cellStyle name="Calculation 4 2 7 2 3" xfId="7600" xr:uid="{00000000-0005-0000-0000-000067080000}"/>
    <cellStyle name="Calculation 4 2 7 2 4" xfId="6723" xr:uid="{00000000-0005-0000-0000-000068080000}"/>
    <cellStyle name="Calculation 4 2 7 3" xfId="7602" xr:uid="{00000000-0005-0000-0000-000069080000}"/>
    <cellStyle name="Calculation 4 2 7 4" xfId="7604" xr:uid="{00000000-0005-0000-0000-00006A080000}"/>
    <cellStyle name="Calculation 4 2 7 5" xfId="7607" xr:uid="{00000000-0005-0000-0000-00006B080000}"/>
    <cellStyle name="Calculation 4 2 8" xfId="7609" xr:uid="{00000000-0005-0000-0000-00006C080000}"/>
    <cellStyle name="Calculation 4 2 8 2" xfId="7610" xr:uid="{00000000-0005-0000-0000-00006D080000}"/>
    <cellStyle name="Calculation 4 2 8 3" xfId="7613" xr:uid="{00000000-0005-0000-0000-00006E080000}"/>
    <cellStyle name="Calculation 4 2 8 4" xfId="7615" xr:uid="{00000000-0005-0000-0000-00006F080000}"/>
    <cellStyle name="Calculation 4 2 9" xfId="4975" xr:uid="{00000000-0005-0000-0000-000070080000}"/>
    <cellStyle name="Calculation 4 3" xfId="6892" xr:uid="{00000000-0005-0000-0000-000071080000}"/>
    <cellStyle name="Calculation 4 3 2" xfId="7616" xr:uid="{00000000-0005-0000-0000-000072080000}"/>
    <cellStyle name="Calculation 4 3 2 2" xfId="7617" xr:uid="{00000000-0005-0000-0000-000073080000}"/>
    <cellStyle name="Calculation 4 3 2 2 2" xfId="7619" xr:uid="{00000000-0005-0000-0000-000074080000}"/>
    <cellStyle name="Calculation 4 3 2 2 2 2" xfId="7620" xr:uid="{00000000-0005-0000-0000-000075080000}"/>
    <cellStyle name="Calculation 4 3 2 2 2 2 2" xfId="6175" xr:uid="{00000000-0005-0000-0000-000076080000}"/>
    <cellStyle name="Calculation 4 3 2 2 2 2 2 2" xfId="7621" xr:uid="{00000000-0005-0000-0000-000077080000}"/>
    <cellStyle name="Calculation 4 3 2 2 2 2 2 3" xfId="7622" xr:uid="{00000000-0005-0000-0000-000078080000}"/>
    <cellStyle name="Calculation 4 3 2 2 2 2 2 4" xfId="4379" xr:uid="{00000000-0005-0000-0000-000079080000}"/>
    <cellStyle name="Calculation 4 3 2 2 2 2 3" xfId="6182" xr:uid="{00000000-0005-0000-0000-00007A080000}"/>
    <cellStyle name="Calculation 4 3 2 2 2 2 4" xfId="7624" xr:uid="{00000000-0005-0000-0000-00007B080000}"/>
    <cellStyle name="Calculation 4 3 2 2 2 2 5" xfId="1123" xr:uid="{00000000-0005-0000-0000-00007C080000}"/>
    <cellStyle name="Calculation 4 3 2 2 2 3" xfId="7625" xr:uid="{00000000-0005-0000-0000-00007D080000}"/>
    <cellStyle name="Calculation 4 3 2 2 2 3 2" xfId="6209" xr:uid="{00000000-0005-0000-0000-00007E080000}"/>
    <cellStyle name="Calculation 4 3 2 2 2 3 3" xfId="7626" xr:uid="{00000000-0005-0000-0000-00007F080000}"/>
    <cellStyle name="Calculation 4 3 2 2 2 3 4" xfId="7627" xr:uid="{00000000-0005-0000-0000-000080080000}"/>
    <cellStyle name="Calculation 4 3 2 2 2 4" xfId="2567" xr:uid="{00000000-0005-0000-0000-000081080000}"/>
    <cellStyle name="Calculation 4 3 2 2 2 5" xfId="2576" xr:uid="{00000000-0005-0000-0000-000082080000}"/>
    <cellStyle name="Calculation 4 3 2 2 2 6" xfId="2582" xr:uid="{00000000-0005-0000-0000-000083080000}"/>
    <cellStyle name="Calculation 4 3 2 2 3" xfId="7628" xr:uid="{00000000-0005-0000-0000-000084080000}"/>
    <cellStyle name="Calculation 4 3 2 2 3 2" xfId="7629" xr:uid="{00000000-0005-0000-0000-000085080000}"/>
    <cellStyle name="Calculation 4 3 2 2 3 2 2" xfId="6377" xr:uid="{00000000-0005-0000-0000-000086080000}"/>
    <cellStyle name="Calculation 4 3 2 2 3 2 3" xfId="7630" xr:uid="{00000000-0005-0000-0000-000087080000}"/>
    <cellStyle name="Calculation 4 3 2 2 3 2 4" xfId="7636" xr:uid="{00000000-0005-0000-0000-000088080000}"/>
    <cellStyle name="Calculation 4 3 2 2 3 3" xfId="7637" xr:uid="{00000000-0005-0000-0000-000089080000}"/>
    <cellStyle name="Calculation 4 3 2 2 3 4" xfId="7641" xr:uid="{00000000-0005-0000-0000-00008A080000}"/>
    <cellStyle name="Calculation 4 3 2 2 3 5" xfId="7644" xr:uid="{00000000-0005-0000-0000-00008B080000}"/>
    <cellStyle name="Calculation 4 3 2 2 4" xfId="7645" xr:uid="{00000000-0005-0000-0000-00008C080000}"/>
    <cellStyle name="Calculation 4 3 2 2 4 2" xfId="7647" xr:uid="{00000000-0005-0000-0000-00008D080000}"/>
    <cellStyle name="Calculation 4 3 2 2 4 3" xfId="7649" xr:uid="{00000000-0005-0000-0000-00008E080000}"/>
    <cellStyle name="Calculation 4 3 2 2 4 4" xfId="7651" xr:uid="{00000000-0005-0000-0000-00008F080000}"/>
    <cellStyle name="Calculation 4 3 2 2 5" xfId="7652" xr:uid="{00000000-0005-0000-0000-000090080000}"/>
    <cellStyle name="Calculation 4 3 2 2 6" xfId="7653" xr:uid="{00000000-0005-0000-0000-000091080000}"/>
    <cellStyle name="Calculation 4 3 2 2 7" xfId="7656" xr:uid="{00000000-0005-0000-0000-000092080000}"/>
    <cellStyle name="Calculation 4 3 2 3" xfId="7657" xr:uid="{00000000-0005-0000-0000-000093080000}"/>
    <cellStyle name="Calculation 4 3 2 3 2" xfId="7661" xr:uid="{00000000-0005-0000-0000-000094080000}"/>
    <cellStyle name="Calculation 4 3 2 3 2 2" xfId="7662" xr:uid="{00000000-0005-0000-0000-000095080000}"/>
    <cellStyle name="Calculation 4 3 2 3 2 2 2" xfId="5596" xr:uid="{00000000-0005-0000-0000-000096080000}"/>
    <cellStyle name="Calculation 4 3 2 3 2 2 3" xfId="6543" xr:uid="{00000000-0005-0000-0000-000097080000}"/>
    <cellStyle name="Calculation 4 3 2 3 2 2 4" xfId="6556" xr:uid="{00000000-0005-0000-0000-000098080000}"/>
    <cellStyle name="Calculation 4 3 2 3 2 3" xfId="7663" xr:uid="{00000000-0005-0000-0000-000099080000}"/>
    <cellStyle name="Calculation 4 3 2 3 2 4" xfId="5765" xr:uid="{00000000-0005-0000-0000-00009A080000}"/>
    <cellStyle name="Calculation 4 3 2 3 2 5" xfId="5792" xr:uid="{00000000-0005-0000-0000-00009B080000}"/>
    <cellStyle name="Calculation 4 3 2 3 3" xfId="7664" xr:uid="{00000000-0005-0000-0000-00009C080000}"/>
    <cellStyle name="Calculation 4 3 2 3 3 2" xfId="7665" xr:uid="{00000000-0005-0000-0000-00009D080000}"/>
    <cellStyle name="Calculation 4 3 2 3 3 3" xfId="7666" xr:uid="{00000000-0005-0000-0000-00009E080000}"/>
    <cellStyle name="Calculation 4 3 2 3 3 4" xfId="1354" xr:uid="{00000000-0005-0000-0000-00009F080000}"/>
    <cellStyle name="Calculation 4 3 2 3 4" xfId="7667" xr:uid="{00000000-0005-0000-0000-0000A0080000}"/>
    <cellStyle name="Calculation 4 3 2 3 5" xfId="7668" xr:uid="{00000000-0005-0000-0000-0000A1080000}"/>
    <cellStyle name="Calculation 4 3 2 3 6" xfId="7669" xr:uid="{00000000-0005-0000-0000-0000A2080000}"/>
    <cellStyle name="Calculation 4 3 2 4" xfId="7670" xr:uid="{00000000-0005-0000-0000-0000A3080000}"/>
    <cellStyle name="Calculation 4 3 2 4 2" xfId="7673" xr:uid="{00000000-0005-0000-0000-0000A4080000}"/>
    <cellStyle name="Calculation 4 3 2 4 2 2" xfId="354" xr:uid="{00000000-0005-0000-0000-0000A5080000}"/>
    <cellStyle name="Calculation 4 3 2 4 2 3" xfId="5" xr:uid="{00000000-0005-0000-0000-0000A6080000}"/>
    <cellStyle name="Calculation 4 3 2 4 2 4" xfId="5813" xr:uid="{00000000-0005-0000-0000-0000A7080000}"/>
    <cellStyle name="Calculation 4 3 2 4 3" xfId="7674" xr:uid="{00000000-0005-0000-0000-0000A8080000}"/>
    <cellStyle name="Calculation 4 3 2 4 4" xfId="7675" xr:uid="{00000000-0005-0000-0000-0000A9080000}"/>
    <cellStyle name="Calculation 4 3 2 4 5" xfId="7676" xr:uid="{00000000-0005-0000-0000-0000AA080000}"/>
    <cellStyle name="Calculation 4 3 2 5" xfId="7677" xr:uid="{00000000-0005-0000-0000-0000AB080000}"/>
    <cellStyle name="Calculation 4 3 2 5 2" xfId="7680" xr:uid="{00000000-0005-0000-0000-0000AC080000}"/>
    <cellStyle name="Calculation 4 3 2 5 3" xfId="7681" xr:uid="{00000000-0005-0000-0000-0000AD080000}"/>
    <cellStyle name="Calculation 4 3 2 5 4" xfId="7683" xr:uid="{00000000-0005-0000-0000-0000AE080000}"/>
    <cellStyle name="Calculation 4 3 2 6" xfId="7684" xr:uid="{00000000-0005-0000-0000-0000AF080000}"/>
    <cellStyle name="Calculation 4 3 2 7" xfId="7686" xr:uid="{00000000-0005-0000-0000-0000B0080000}"/>
    <cellStyle name="Calculation 4 3 2 8" xfId="7688" xr:uid="{00000000-0005-0000-0000-0000B1080000}"/>
    <cellStyle name="Calculation 4 3 3" xfId="7689" xr:uid="{00000000-0005-0000-0000-0000B2080000}"/>
    <cellStyle name="Calculation 4 3 3 2" xfId="7383" xr:uid="{00000000-0005-0000-0000-0000B3080000}"/>
    <cellStyle name="Calculation 4 3 3 2 2" xfId="7694" xr:uid="{00000000-0005-0000-0000-0000B4080000}"/>
    <cellStyle name="Calculation 4 3 3 2 2 2" xfId="6577" xr:uid="{00000000-0005-0000-0000-0000B5080000}"/>
    <cellStyle name="Calculation 4 3 3 2 2 2 2" xfId="2843" xr:uid="{00000000-0005-0000-0000-0000B6080000}"/>
    <cellStyle name="Calculation 4 3 3 2 2 2 3" xfId="3277" xr:uid="{00000000-0005-0000-0000-0000B7080000}"/>
    <cellStyle name="Calculation 4 3 3 2 2 2 4" xfId="172" xr:uid="{00000000-0005-0000-0000-0000B8080000}"/>
    <cellStyle name="Calculation 4 3 3 2 2 3" xfId="6581" xr:uid="{00000000-0005-0000-0000-0000B9080000}"/>
    <cellStyle name="Calculation 4 3 3 2 2 4" xfId="6590" xr:uid="{00000000-0005-0000-0000-0000BA080000}"/>
    <cellStyle name="Calculation 4 3 3 2 2 5" xfId="7702" xr:uid="{00000000-0005-0000-0000-0000BB080000}"/>
    <cellStyle name="Calculation 4 3 3 2 3" xfId="7706" xr:uid="{00000000-0005-0000-0000-0000BC080000}"/>
    <cellStyle name="Calculation 4 3 3 2 3 2" xfId="6595" xr:uid="{00000000-0005-0000-0000-0000BD080000}"/>
    <cellStyle name="Calculation 4 3 3 2 3 3" xfId="6598" xr:uid="{00000000-0005-0000-0000-0000BE080000}"/>
    <cellStyle name="Calculation 4 3 3 2 3 4" xfId="7708" xr:uid="{00000000-0005-0000-0000-0000BF080000}"/>
    <cellStyle name="Calculation 4 3 3 2 4" xfId="7713" xr:uid="{00000000-0005-0000-0000-0000C0080000}"/>
    <cellStyle name="Calculation 4 3 3 2 5" xfId="7714" xr:uid="{00000000-0005-0000-0000-0000C1080000}"/>
    <cellStyle name="Calculation 4 3 3 2 6" xfId="7715" xr:uid="{00000000-0005-0000-0000-0000C2080000}"/>
    <cellStyle name="Calculation 4 3 3 3" xfId="5153" xr:uid="{00000000-0005-0000-0000-0000C3080000}"/>
    <cellStyle name="Calculation 4 3 3 3 2" xfId="5160" xr:uid="{00000000-0005-0000-0000-0000C4080000}"/>
    <cellStyle name="Calculation 4 3 3 3 2 2" xfId="5163" xr:uid="{00000000-0005-0000-0000-0000C5080000}"/>
    <cellStyle name="Calculation 4 3 3 3 2 3" xfId="5180" xr:uid="{00000000-0005-0000-0000-0000C6080000}"/>
    <cellStyle name="Calculation 4 3 3 3 2 4" xfId="5193" xr:uid="{00000000-0005-0000-0000-0000C7080000}"/>
    <cellStyle name="Calculation 4 3 3 3 3" xfId="5201" xr:uid="{00000000-0005-0000-0000-0000C8080000}"/>
    <cellStyle name="Calculation 4 3 3 3 4" xfId="5166" xr:uid="{00000000-0005-0000-0000-0000C9080000}"/>
    <cellStyle name="Calculation 4 3 3 3 5" xfId="5184" xr:uid="{00000000-0005-0000-0000-0000CA080000}"/>
    <cellStyle name="Calculation 4 3 3 4" xfId="5240" xr:uid="{00000000-0005-0000-0000-0000CB080000}"/>
    <cellStyle name="Calculation 4 3 3 4 2" xfId="5243" xr:uid="{00000000-0005-0000-0000-0000CC080000}"/>
    <cellStyle name="Calculation 4 3 3 4 3" xfId="5130" xr:uid="{00000000-0005-0000-0000-0000CD080000}"/>
    <cellStyle name="Calculation 4 3 3 4 4" xfId="5208" xr:uid="{00000000-0005-0000-0000-0000CE080000}"/>
    <cellStyle name="Calculation 4 3 3 5" xfId="5267" xr:uid="{00000000-0005-0000-0000-0000CF080000}"/>
    <cellStyle name="Calculation 4 3 3 6" xfId="5281" xr:uid="{00000000-0005-0000-0000-0000D0080000}"/>
    <cellStyle name="Calculation 4 3 3 7" xfId="5290" xr:uid="{00000000-0005-0000-0000-0000D1080000}"/>
    <cellStyle name="Calculation 4 3 4" xfId="7716" xr:uid="{00000000-0005-0000-0000-0000D2080000}"/>
    <cellStyle name="Calculation 4 3 4 2" xfId="7720" xr:uid="{00000000-0005-0000-0000-0000D3080000}"/>
    <cellStyle name="Calculation 4 3 4 2 2" xfId="7722" xr:uid="{00000000-0005-0000-0000-0000D4080000}"/>
    <cellStyle name="Calculation 4 3 4 2 2 2" xfId="4003" xr:uid="{00000000-0005-0000-0000-0000D5080000}"/>
    <cellStyle name="Calculation 4 3 4 2 2 3" xfId="6636" xr:uid="{00000000-0005-0000-0000-0000D6080000}"/>
    <cellStyle name="Calculation 4 3 4 2 2 4" xfId="7724" xr:uid="{00000000-0005-0000-0000-0000D7080000}"/>
    <cellStyle name="Calculation 4 3 4 2 3" xfId="7725" xr:uid="{00000000-0005-0000-0000-0000D8080000}"/>
    <cellStyle name="Calculation 4 3 4 2 4" xfId="7727" xr:uid="{00000000-0005-0000-0000-0000D9080000}"/>
    <cellStyle name="Calculation 4 3 4 2 5" xfId="7731" xr:uid="{00000000-0005-0000-0000-0000DA080000}"/>
    <cellStyle name="Calculation 4 3 4 3" xfId="5313" xr:uid="{00000000-0005-0000-0000-0000DB080000}"/>
    <cellStyle name="Calculation 4 3 4 3 2" xfId="5320" xr:uid="{00000000-0005-0000-0000-0000DC080000}"/>
    <cellStyle name="Calculation 4 3 4 3 3" xfId="5348" xr:uid="{00000000-0005-0000-0000-0000DD080000}"/>
    <cellStyle name="Calculation 4 3 4 3 4" xfId="5252" xr:uid="{00000000-0005-0000-0000-0000DE080000}"/>
    <cellStyle name="Calculation 4 3 4 4" xfId="5356" xr:uid="{00000000-0005-0000-0000-0000DF080000}"/>
    <cellStyle name="Calculation 4 3 4 5" xfId="5359" xr:uid="{00000000-0005-0000-0000-0000E0080000}"/>
    <cellStyle name="Calculation 4 3 4 6" xfId="5367" xr:uid="{00000000-0005-0000-0000-0000E1080000}"/>
    <cellStyle name="Calculation 4 3 5" xfId="7732" xr:uid="{00000000-0005-0000-0000-0000E2080000}"/>
    <cellStyle name="Calculation 4 3 5 2" xfId="7435" xr:uid="{00000000-0005-0000-0000-0000E3080000}"/>
    <cellStyle name="Calculation 4 3 5 2 2" xfId="1317" xr:uid="{00000000-0005-0000-0000-0000E4080000}"/>
    <cellStyle name="Calculation 4 3 5 2 3" xfId="7734" xr:uid="{00000000-0005-0000-0000-0000E5080000}"/>
    <cellStyle name="Calculation 4 3 5 2 4" xfId="7736" xr:uid="{00000000-0005-0000-0000-0000E6080000}"/>
    <cellStyle name="Calculation 4 3 5 3" xfId="5386" xr:uid="{00000000-0005-0000-0000-0000E7080000}"/>
    <cellStyle name="Calculation 4 3 5 4" xfId="5400" xr:uid="{00000000-0005-0000-0000-0000E8080000}"/>
    <cellStyle name="Calculation 4 3 5 5" xfId="5408" xr:uid="{00000000-0005-0000-0000-0000E9080000}"/>
    <cellStyle name="Calculation 4 3 6" xfId="7738" xr:uid="{00000000-0005-0000-0000-0000EA080000}"/>
    <cellStyle name="Calculation 4 3 6 2" xfId="7741" xr:uid="{00000000-0005-0000-0000-0000EB080000}"/>
    <cellStyle name="Calculation 4 3 6 3" xfId="928" xr:uid="{00000000-0005-0000-0000-0000EC080000}"/>
    <cellStyle name="Calculation 4 3 6 4" xfId="948" xr:uid="{00000000-0005-0000-0000-0000ED080000}"/>
    <cellStyle name="Calculation 4 3 7" xfId="7743" xr:uid="{00000000-0005-0000-0000-0000EE080000}"/>
    <cellStyle name="Calculation 4 3 8" xfId="7745" xr:uid="{00000000-0005-0000-0000-0000EF080000}"/>
    <cellStyle name="Calculation 4 3 9" xfId="7750" xr:uid="{00000000-0005-0000-0000-0000F0080000}"/>
    <cellStyle name="Calculation 4 4" xfId="6186" xr:uid="{00000000-0005-0000-0000-0000F1080000}"/>
    <cellStyle name="Calculation 4 4 2" xfId="3509" xr:uid="{00000000-0005-0000-0000-0000F2080000}"/>
    <cellStyle name="Calculation 4 4 2 2" xfId="7755" xr:uid="{00000000-0005-0000-0000-0000F3080000}"/>
    <cellStyle name="Calculation 4 4 2 2 2" xfId="4990" xr:uid="{00000000-0005-0000-0000-0000F4080000}"/>
    <cellStyle name="Calculation 4 4 2 2 2 2" xfId="7747" xr:uid="{00000000-0005-0000-0000-0000F5080000}"/>
    <cellStyle name="Calculation 4 4 2 2 2 2 2" xfId="7762" xr:uid="{00000000-0005-0000-0000-0000F6080000}"/>
    <cellStyle name="Calculation 4 4 2 2 2 2 2 2" xfId="7770" xr:uid="{00000000-0005-0000-0000-0000F7080000}"/>
    <cellStyle name="Calculation 4 4 2 2 2 2 2 3" xfId="7773" xr:uid="{00000000-0005-0000-0000-0000F8080000}"/>
    <cellStyle name="Calculation 4 4 2 2 2 2 2 4" xfId="7776" xr:uid="{00000000-0005-0000-0000-0000F9080000}"/>
    <cellStyle name="Calculation 4 4 2 2 2 2 3" xfId="1015" xr:uid="{00000000-0005-0000-0000-0000FA080000}"/>
    <cellStyle name="Calculation 4 4 2 2 2 2 4" xfId="7778" xr:uid="{00000000-0005-0000-0000-0000FB080000}"/>
    <cellStyle name="Calculation 4 4 2 2 2 2 5" xfId="7779" xr:uid="{00000000-0005-0000-0000-0000FC080000}"/>
    <cellStyle name="Calculation 4 4 2 2 2 3" xfId="7780" xr:uid="{00000000-0005-0000-0000-0000FD080000}"/>
    <cellStyle name="Calculation 4 4 2 2 2 3 2" xfId="7783" xr:uid="{00000000-0005-0000-0000-0000FE080000}"/>
    <cellStyle name="Calculation 4 4 2 2 2 3 3" xfId="1019" xr:uid="{00000000-0005-0000-0000-0000FF080000}"/>
    <cellStyle name="Calculation 4 4 2 2 2 3 4" xfId="7784" xr:uid="{00000000-0005-0000-0000-000000090000}"/>
    <cellStyle name="Calculation 4 4 2 2 2 4" xfId="7787" xr:uid="{00000000-0005-0000-0000-000001090000}"/>
    <cellStyle name="Calculation 4 4 2 2 2 5" xfId="7793" xr:uid="{00000000-0005-0000-0000-000002090000}"/>
    <cellStyle name="Calculation 4 4 2 2 2 6" xfId="7797" xr:uid="{00000000-0005-0000-0000-000003090000}"/>
    <cellStyle name="Calculation 4 4 2 2 3" xfId="4998" xr:uid="{00000000-0005-0000-0000-000004090000}"/>
    <cellStyle name="Calculation 4 4 2 2 3 2" xfId="7810" xr:uid="{00000000-0005-0000-0000-000005090000}"/>
    <cellStyle name="Calculation 4 4 2 2 3 2 2" xfId="7818" xr:uid="{00000000-0005-0000-0000-000006090000}"/>
    <cellStyle name="Calculation 4 4 2 2 3 2 3" xfId="7824" xr:uid="{00000000-0005-0000-0000-000007090000}"/>
    <cellStyle name="Calculation 4 4 2 2 3 2 4" xfId="7831" xr:uid="{00000000-0005-0000-0000-000008090000}"/>
    <cellStyle name="Calculation 4 4 2 2 3 3" xfId="7836" xr:uid="{00000000-0005-0000-0000-000009090000}"/>
    <cellStyle name="Calculation 4 4 2 2 3 4" xfId="7845" xr:uid="{00000000-0005-0000-0000-00000A090000}"/>
    <cellStyle name="Calculation 4 4 2 2 3 5" xfId="7853" xr:uid="{00000000-0005-0000-0000-00000B090000}"/>
    <cellStyle name="Calculation 4 4 2 2 4" xfId="5006" xr:uid="{00000000-0005-0000-0000-00000C090000}"/>
    <cellStyle name="Calculation 4 4 2 2 4 2" xfId="4817" xr:uid="{00000000-0005-0000-0000-00000D090000}"/>
    <cellStyle name="Calculation 4 4 2 2 4 3" xfId="4826" xr:uid="{00000000-0005-0000-0000-00000E090000}"/>
    <cellStyle name="Calculation 4 4 2 2 4 4" xfId="7861" xr:uid="{00000000-0005-0000-0000-00000F090000}"/>
    <cellStyle name="Calculation 4 4 2 2 5" xfId="7867" xr:uid="{00000000-0005-0000-0000-000010090000}"/>
    <cellStyle name="Calculation 4 4 2 2 6" xfId="7118" xr:uid="{00000000-0005-0000-0000-000011090000}"/>
    <cellStyle name="Calculation 4 4 2 2 7" xfId="7129" xr:uid="{00000000-0005-0000-0000-000012090000}"/>
    <cellStyle name="Calculation 4 4 2 3" xfId="7871" xr:uid="{00000000-0005-0000-0000-000013090000}"/>
    <cellStyle name="Calculation 4 4 2 3 2" xfId="3966" xr:uid="{00000000-0005-0000-0000-000014090000}"/>
    <cellStyle name="Calculation 4 4 2 3 2 2" xfId="3762" xr:uid="{00000000-0005-0000-0000-000015090000}"/>
    <cellStyle name="Calculation 4 4 2 3 2 2 2" xfId="7623" xr:uid="{00000000-0005-0000-0000-000016090000}"/>
    <cellStyle name="Calculation 4 4 2 3 2 2 3" xfId="1122" xr:uid="{00000000-0005-0000-0000-000017090000}"/>
    <cellStyle name="Calculation 4 4 2 3 2 2 4" xfId="7878" xr:uid="{00000000-0005-0000-0000-000018090000}"/>
    <cellStyle name="Calculation 4 4 2 3 2 3" xfId="3766" xr:uid="{00000000-0005-0000-0000-000019090000}"/>
    <cellStyle name="Calculation 4 4 2 3 2 4" xfId="5967" xr:uid="{00000000-0005-0000-0000-00001A090000}"/>
    <cellStyle name="Calculation 4 4 2 3 2 5" xfId="5973" xr:uid="{00000000-0005-0000-0000-00001B090000}"/>
    <cellStyle name="Calculation 4 4 2 3 3" xfId="3985" xr:uid="{00000000-0005-0000-0000-00001C090000}"/>
    <cellStyle name="Calculation 4 4 2 3 3 2" xfId="7890" xr:uid="{00000000-0005-0000-0000-00001D090000}"/>
    <cellStyle name="Calculation 4 4 2 3 3 3" xfId="7895" xr:uid="{00000000-0005-0000-0000-00001E090000}"/>
    <cellStyle name="Calculation 4 4 2 3 3 4" xfId="7901" xr:uid="{00000000-0005-0000-0000-00001F090000}"/>
    <cellStyle name="Calculation 4 4 2 3 4" xfId="7904" xr:uid="{00000000-0005-0000-0000-000020090000}"/>
    <cellStyle name="Calculation 4 4 2 3 5" xfId="7914" xr:uid="{00000000-0005-0000-0000-000021090000}"/>
    <cellStyle name="Calculation 4 4 2 3 6" xfId="7916" xr:uid="{00000000-0005-0000-0000-000022090000}"/>
    <cellStyle name="Calculation 4 4 2 4" xfId="7922" xr:uid="{00000000-0005-0000-0000-000023090000}"/>
    <cellStyle name="Calculation 4 4 2 4 2" xfId="4062" xr:uid="{00000000-0005-0000-0000-000024090000}"/>
    <cellStyle name="Calculation 4 4 2 4 2 2" xfId="7937" xr:uid="{00000000-0005-0000-0000-000025090000}"/>
    <cellStyle name="Calculation 4 4 2 4 2 3" xfId="7943" xr:uid="{00000000-0005-0000-0000-000026090000}"/>
    <cellStyle name="Calculation 4 4 2 4 2 4" xfId="7948" xr:uid="{00000000-0005-0000-0000-000027090000}"/>
    <cellStyle name="Calculation 4 4 2 4 3" xfId="7956" xr:uid="{00000000-0005-0000-0000-000028090000}"/>
    <cellStyle name="Calculation 4 4 2 4 4" xfId="7962" xr:uid="{00000000-0005-0000-0000-000029090000}"/>
    <cellStyle name="Calculation 4 4 2 4 5" xfId="7967" xr:uid="{00000000-0005-0000-0000-00002A090000}"/>
    <cellStyle name="Calculation 4 4 2 5" xfId="7969" xr:uid="{00000000-0005-0000-0000-00002B090000}"/>
    <cellStyle name="Calculation 4 4 2 5 2" xfId="7974" xr:uid="{00000000-0005-0000-0000-00002C090000}"/>
    <cellStyle name="Calculation 4 4 2 5 3" xfId="7976" xr:uid="{00000000-0005-0000-0000-00002D090000}"/>
    <cellStyle name="Calculation 4 4 2 5 4" xfId="7983" xr:uid="{00000000-0005-0000-0000-00002E090000}"/>
    <cellStyle name="Calculation 4 4 2 6" xfId="7988" xr:uid="{00000000-0005-0000-0000-00002F090000}"/>
    <cellStyle name="Calculation 4 4 2 7" xfId="7993" xr:uid="{00000000-0005-0000-0000-000030090000}"/>
    <cellStyle name="Calculation 4 4 2 8" xfId="7995" xr:uid="{00000000-0005-0000-0000-000031090000}"/>
    <cellStyle name="Calculation 4 4 3" xfId="3517" xr:uid="{00000000-0005-0000-0000-000032090000}"/>
    <cellStyle name="Calculation 4 4 3 2" xfId="7999" xr:uid="{00000000-0005-0000-0000-000033090000}"/>
    <cellStyle name="Calculation 4 4 3 2 2" xfId="5056" xr:uid="{00000000-0005-0000-0000-000034090000}"/>
    <cellStyle name="Calculation 4 4 3 2 2 2" xfId="6749" xr:uid="{00000000-0005-0000-0000-000035090000}"/>
    <cellStyle name="Calculation 4 4 3 2 2 2 2" xfId="8006" xr:uid="{00000000-0005-0000-0000-000036090000}"/>
    <cellStyle name="Calculation 4 4 3 2 2 2 3" xfId="8008" xr:uid="{00000000-0005-0000-0000-000037090000}"/>
    <cellStyle name="Calculation 4 4 3 2 2 2 4" xfId="8010" xr:uid="{00000000-0005-0000-0000-000038090000}"/>
    <cellStyle name="Calculation 4 4 3 2 2 3" xfId="6755" xr:uid="{00000000-0005-0000-0000-000039090000}"/>
    <cellStyle name="Calculation 4 4 3 2 2 4" xfId="6761" xr:uid="{00000000-0005-0000-0000-00003A090000}"/>
    <cellStyle name="Calculation 4 4 3 2 2 5" xfId="8016" xr:uid="{00000000-0005-0000-0000-00003B090000}"/>
    <cellStyle name="Calculation 4 4 3 2 3" xfId="5062" xr:uid="{00000000-0005-0000-0000-00003C090000}"/>
    <cellStyle name="Calculation 4 4 3 2 3 2" xfId="6805" xr:uid="{00000000-0005-0000-0000-00003D090000}"/>
    <cellStyle name="Calculation 4 4 3 2 3 3" xfId="6809" xr:uid="{00000000-0005-0000-0000-00003E090000}"/>
    <cellStyle name="Calculation 4 4 3 2 3 4" xfId="8022" xr:uid="{00000000-0005-0000-0000-00003F090000}"/>
    <cellStyle name="Calculation 4 4 3 2 4" xfId="8024" xr:uid="{00000000-0005-0000-0000-000040090000}"/>
    <cellStyle name="Calculation 4 4 3 2 5" xfId="8029" xr:uid="{00000000-0005-0000-0000-000041090000}"/>
    <cellStyle name="Calculation 4 4 3 2 6" xfId="8033" xr:uid="{00000000-0005-0000-0000-000042090000}"/>
    <cellStyle name="Calculation 4 4 3 3" xfId="5427" xr:uid="{00000000-0005-0000-0000-000043090000}"/>
    <cellStyle name="Calculation 4 4 3 3 2" xfId="4122" xr:uid="{00000000-0005-0000-0000-000044090000}"/>
    <cellStyle name="Calculation 4 4 3 3 2 2" xfId="1381" xr:uid="{00000000-0005-0000-0000-000045090000}"/>
    <cellStyle name="Calculation 4 4 3 3 2 3" xfId="5435" xr:uid="{00000000-0005-0000-0000-000046090000}"/>
    <cellStyle name="Calculation 4 4 3 3 2 4" xfId="5445" xr:uid="{00000000-0005-0000-0000-000047090000}"/>
    <cellStyle name="Calculation 4 4 3 3 3" xfId="4135" xr:uid="{00000000-0005-0000-0000-000048090000}"/>
    <cellStyle name="Calculation 4 4 3 3 4" xfId="5328" xr:uid="{00000000-0005-0000-0000-000049090000}"/>
    <cellStyle name="Calculation 4 4 3 3 5" xfId="5336" xr:uid="{00000000-0005-0000-0000-00004A090000}"/>
    <cellStyle name="Calculation 4 4 3 4" xfId="5456" xr:uid="{00000000-0005-0000-0000-00004B090000}"/>
    <cellStyle name="Calculation 4 4 3 4 2" xfId="4152" xr:uid="{00000000-0005-0000-0000-00004C090000}"/>
    <cellStyle name="Calculation 4 4 3 4 3" xfId="5468" xr:uid="{00000000-0005-0000-0000-00004D090000}"/>
    <cellStyle name="Calculation 4 4 3 4 4" xfId="5479" xr:uid="{00000000-0005-0000-0000-00004E090000}"/>
    <cellStyle name="Calculation 4 4 3 5" xfId="5486" xr:uid="{00000000-0005-0000-0000-00004F090000}"/>
    <cellStyle name="Calculation 4 4 3 6" xfId="5497" xr:uid="{00000000-0005-0000-0000-000050090000}"/>
    <cellStyle name="Calculation 4 4 3 7" xfId="5508" xr:uid="{00000000-0005-0000-0000-000051090000}"/>
    <cellStyle name="Calculation 4 4 4" xfId="8037" xr:uid="{00000000-0005-0000-0000-000052090000}"/>
    <cellStyle name="Calculation 4 4 4 2" xfId="8042" xr:uid="{00000000-0005-0000-0000-000053090000}"/>
    <cellStyle name="Calculation 4 4 4 2 2" xfId="5092" xr:uid="{00000000-0005-0000-0000-000054090000}"/>
    <cellStyle name="Calculation 4 4 4 2 2 2" xfId="4580" xr:uid="{00000000-0005-0000-0000-000055090000}"/>
    <cellStyle name="Calculation 4 4 4 2 2 3" xfId="6858" xr:uid="{00000000-0005-0000-0000-000056090000}"/>
    <cellStyle name="Calculation 4 4 4 2 2 4" xfId="8050" xr:uid="{00000000-0005-0000-0000-000057090000}"/>
    <cellStyle name="Calculation 4 4 4 2 3" xfId="8053" xr:uid="{00000000-0005-0000-0000-000058090000}"/>
    <cellStyle name="Calculation 4 4 4 2 4" xfId="8056" xr:uid="{00000000-0005-0000-0000-000059090000}"/>
    <cellStyle name="Calculation 4 4 4 2 5" xfId="8061" xr:uid="{00000000-0005-0000-0000-00005A090000}"/>
    <cellStyle name="Calculation 4 4 4 3" xfId="5517" xr:uid="{00000000-0005-0000-0000-00005B090000}"/>
    <cellStyle name="Calculation 4 4 4 3 2" xfId="4197" xr:uid="{00000000-0005-0000-0000-00005C090000}"/>
    <cellStyle name="Calculation 4 4 4 3 3" xfId="5528" xr:uid="{00000000-0005-0000-0000-00005D090000}"/>
    <cellStyle name="Calculation 4 4 4 3 4" xfId="5534" xr:uid="{00000000-0005-0000-0000-00005E090000}"/>
    <cellStyle name="Calculation 4 4 4 4" xfId="5540" xr:uid="{00000000-0005-0000-0000-00005F090000}"/>
    <cellStyle name="Calculation 4 4 4 5" xfId="5548" xr:uid="{00000000-0005-0000-0000-000060090000}"/>
    <cellStyle name="Calculation 4 4 4 6" xfId="5556" xr:uid="{00000000-0005-0000-0000-000061090000}"/>
    <cellStyle name="Calculation 4 4 5" xfId="8063" xr:uid="{00000000-0005-0000-0000-000062090000}"/>
    <cellStyle name="Calculation 4 4 5 2" xfId="8071" xr:uid="{00000000-0005-0000-0000-000063090000}"/>
    <cellStyle name="Calculation 4 4 5 2 2" xfId="8079" xr:uid="{00000000-0005-0000-0000-000064090000}"/>
    <cellStyle name="Calculation 4 4 5 2 3" xfId="8086" xr:uid="{00000000-0005-0000-0000-000065090000}"/>
    <cellStyle name="Calculation 4 4 5 2 4" xfId="8092" xr:uid="{00000000-0005-0000-0000-000066090000}"/>
    <cellStyle name="Calculation 4 4 5 3" xfId="5574" xr:uid="{00000000-0005-0000-0000-000067090000}"/>
    <cellStyle name="Calculation 4 4 5 4" xfId="5590" xr:uid="{00000000-0005-0000-0000-000068090000}"/>
    <cellStyle name="Calculation 4 4 5 5" xfId="5604" xr:uid="{00000000-0005-0000-0000-000069090000}"/>
    <cellStyle name="Calculation 4 4 6" xfId="8095" xr:uid="{00000000-0005-0000-0000-00006A090000}"/>
    <cellStyle name="Calculation 4 4 6 2" xfId="8101" xr:uid="{00000000-0005-0000-0000-00006B090000}"/>
    <cellStyle name="Calculation 4 4 6 3" xfId="8104" xr:uid="{00000000-0005-0000-0000-00006C090000}"/>
    <cellStyle name="Calculation 4 4 6 4" xfId="8108" xr:uid="{00000000-0005-0000-0000-00006D090000}"/>
    <cellStyle name="Calculation 4 4 7" xfId="8110" xr:uid="{00000000-0005-0000-0000-00006E090000}"/>
    <cellStyle name="Calculation 4 4 8" xfId="8116" xr:uid="{00000000-0005-0000-0000-00006F090000}"/>
    <cellStyle name="Calculation 4 4 9" xfId="7801" xr:uid="{00000000-0005-0000-0000-000070090000}"/>
    <cellStyle name="Calculation 4 5" xfId="6197" xr:uid="{00000000-0005-0000-0000-000071090000}"/>
    <cellStyle name="Calculation 4 5 2" xfId="8122" xr:uid="{00000000-0005-0000-0000-000072090000}"/>
    <cellStyle name="Calculation 4 5 2 2" xfId="8127" xr:uid="{00000000-0005-0000-0000-000073090000}"/>
    <cellStyle name="Calculation 4 5 2 2 2" xfId="6360" xr:uid="{00000000-0005-0000-0000-000074090000}"/>
    <cellStyle name="Calculation 4 5 2 2 2 2" xfId="8139" xr:uid="{00000000-0005-0000-0000-000075090000}"/>
    <cellStyle name="Calculation 4 5 2 2 2 2 2" xfId="8141" xr:uid="{00000000-0005-0000-0000-000076090000}"/>
    <cellStyle name="Calculation 4 5 2 2 2 2 3" xfId="8142" xr:uid="{00000000-0005-0000-0000-000077090000}"/>
    <cellStyle name="Calculation 4 5 2 2 2 2 4" xfId="8143" xr:uid="{00000000-0005-0000-0000-000078090000}"/>
    <cellStyle name="Calculation 4 5 2 2 2 3" xfId="8145" xr:uid="{00000000-0005-0000-0000-000079090000}"/>
    <cellStyle name="Calculation 4 5 2 2 2 4" xfId="8148" xr:uid="{00000000-0005-0000-0000-00007A090000}"/>
    <cellStyle name="Calculation 4 5 2 2 2 5" xfId="8150" xr:uid="{00000000-0005-0000-0000-00007B090000}"/>
    <cellStyle name="Calculation 4 5 2 2 3" xfId="315" xr:uid="{00000000-0005-0000-0000-00007C090000}"/>
    <cellStyle name="Calculation 4 5 2 2 3 2" xfId="673" xr:uid="{00000000-0005-0000-0000-00007D090000}"/>
    <cellStyle name="Calculation 4 5 2 2 3 3" xfId="777" xr:uid="{00000000-0005-0000-0000-00007E090000}"/>
    <cellStyle name="Calculation 4 5 2 2 3 4" xfId="782" xr:uid="{00000000-0005-0000-0000-00007F090000}"/>
    <cellStyle name="Calculation 4 5 2 2 4" xfId="434" xr:uid="{00000000-0005-0000-0000-000080090000}"/>
    <cellStyle name="Calculation 4 5 2 2 5" xfId="465" xr:uid="{00000000-0005-0000-0000-000081090000}"/>
    <cellStyle name="Calculation 4 5 2 2 6" xfId="491" xr:uid="{00000000-0005-0000-0000-000082090000}"/>
    <cellStyle name="Calculation 4 5 2 3" xfId="8151" xr:uid="{00000000-0005-0000-0000-000083090000}"/>
    <cellStyle name="Calculation 4 5 2 3 2" xfId="1719" xr:uid="{00000000-0005-0000-0000-000084090000}"/>
    <cellStyle name="Calculation 4 5 2 3 2 2" xfId="1732" xr:uid="{00000000-0005-0000-0000-000085090000}"/>
    <cellStyle name="Calculation 4 5 2 3 2 3" xfId="8161" xr:uid="{00000000-0005-0000-0000-000086090000}"/>
    <cellStyle name="Calculation 4 5 2 3 2 4" xfId="8162" xr:uid="{00000000-0005-0000-0000-000087090000}"/>
    <cellStyle name="Calculation 4 5 2 3 3" xfId="1755" xr:uid="{00000000-0005-0000-0000-000088090000}"/>
    <cellStyle name="Calculation 4 5 2 3 4" xfId="1777" xr:uid="{00000000-0005-0000-0000-000089090000}"/>
    <cellStyle name="Calculation 4 5 2 3 5" xfId="1804" xr:uid="{00000000-0005-0000-0000-00008A090000}"/>
    <cellStyle name="Calculation 4 5 2 4" xfId="8165" xr:uid="{00000000-0005-0000-0000-00008B090000}"/>
    <cellStyle name="Calculation 4 5 2 4 2" xfId="4327" xr:uid="{00000000-0005-0000-0000-00008C090000}"/>
    <cellStyle name="Calculation 4 5 2 4 3" xfId="8169" xr:uid="{00000000-0005-0000-0000-00008D090000}"/>
    <cellStyle name="Calculation 4 5 2 4 4" xfId="8170" xr:uid="{00000000-0005-0000-0000-00008E090000}"/>
    <cellStyle name="Calculation 4 5 2 5" xfId="8172" xr:uid="{00000000-0005-0000-0000-00008F090000}"/>
    <cellStyle name="Calculation 4 5 2 6" xfId="8176" xr:uid="{00000000-0005-0000-0000-000090090000}"/>
    <cellStyle name="Calculation 4 5 2 7" xfId="8178" xr:uid="{00000000-0005-0000-0000-000091090000}"/>
    <cellStyle name="Calculation 4 5 3" xfId="8183" xr:uid="{00000000-0005-0000-0000-000092090000}"/>
    <cellStyle name="Calculation 4 5 3 2" xfId="8188" xr:uid="{00000000-0005-0000-0000-000093090000}"/>
    <cellStyle name="Calculation 4 5 3 2 2" xfId="6453" xr:uid="{00000000-0005-0000-0000-000094090000}"/>
    <cellStyle name="Calculation 4 5 3 2 2 2" xfId="3570" xr:uid="{00000000-0005-0000-0000-000095090000}"/>
    <cellStyle name="Calculation 4 5 3 2 2 3" xfId="6924" xr:uid="{00000000-0005-0000-0000-000096090000}"/>
    <cellStyle name="Calculation 4 5 3 2 2 4" xfId="8196" xr:uid="{00000000-0005-0000-0000-000097090000}"/>
    <cellStyle name="Calculation 4 5 3 2 3" xfId="6462" xr:uid="{00000000-0005-0000-0000-000098090000}"/>
    <cellStyle name="Calculation 4 5 3 2 4" xfId="6469" xr:uid="{00000000-0005-0000-0000-000099090000}"/>
    <cellStyle name="Calculation 4 5 3 2 5" xfId="7252" xr:uid="{00000000-0005-0000-0000-00009A090000}"/>
    <cellStyle name="Calculation 4 5 3 3" xfId="5643" xr:uid="{00000000-0005-0000-0000-00009B090000}"/>
    <cellStyle name="Calculation 4 5 3 3 2" xfId="982" xr:uid="{00000000-0005-0000-0000-00009C090000}"/>
    <cellStyle name="Calculation 4 5 3 3 3" xfId="1871" xr:uid="{00000000-0005-0000-0000-00009D090000}"/>
    <cellStyle name="Calculation 4 5 3 3 4" xfId="128" xr:uid="{00000000-0005-0000-0000-00009E090000}"/>
    <cellStyle name="Calculation 4 5 3 4" xfId="5652" xr:uid="{00000000-0005-0000-0000-00009F090000}"/>
    <cellStyle name="Calculation 4 5 3 5" xfId="5662" xr:uid="{00000000-0005-0000-0000-0000A0090000}"/>
    <cellStyle name="Calculation 4 5 3 6" xfId="5670" xr:uid="{00000000-0005-0000-0000-0000A1090000}"/>
    <cellStyle name="Calculation 4 5 4" xfId="8201" xr:uid="{00000000-0005-0000-0000-0000A2090000}"/>
    <cellStyle name="Calculation 4 5 4 2" xfId="8206" xr:uid="{00000000-0005-0000-0000-0000A3090000}"/>
    <cellStyle name="Calculation 4 5 4 2 2" xfId="6513" xr:uid="{00000000-0005-0000-0000-0000A4090000}"/>
    <cellStyle name="Calculation 4 5 4 2 3" xfId="2291" xr:uid="{00000000-0005-0000-0000-0000A5090000}"/>
    <cellStyle name="Calculation 4 5 4 2 4" xfId="2301" xr:uid="{00000000-0005-0000-0000-0000A6090000}"/>
    <cellStyle name="Calculation 4 5 4 3" xfId="3886" xr:uid="{00000000-0005-0000-0000-0000A7090000}"/>
    <cellStyle name="Calculation 4 5 4 4" xfId="3914" xr:uid="{00000000-0005-0000-0000-0000A8090000}"/>
    <cellStyle name="Calculation 4 5 4 5" xfId="2473" xr:uid="{00000000-0005-0000-0000-0000A9090000}"/>
    <cellStyle name="Calculation 4 5 5" xfId="8212" xr:uid="{00000000-0005-0000-0000-0000AA090000}"/>
    <cellStyle name="Calculation 4 5 5 2" xfId="8215" xr:uid="{00000000-0005-0000-0000-0000AB090000}"/>
    <cellStyle name="Calculation 4 5 5 3" xfId="8218" xr:uid="{00000000-0005-0000-0000-0000AC090000}"/>
    <cellStyle name="Calculation 4 5 5 4" xfId="8221" xr:uid="{00000000-0005-0000-0000-0000AD090000}"/>
    <cellStyle name="Calculation 4 5 6" xfId="8224" xr:uid="{00000000-0005-0000-0000-0000AE090000}"/>
    <cellStyle name="Calculation 4 5 7" xfId="8228" xr:uid="{00000000-0005-0000-0000-0000AF090000}"/>
    <cellStyle name="Calculation 4 5 8" xfId="3993" xr:uid="{00000000-0005-0000-0000-0000B0090000}"/>
    <cellStyle name="Calculation 4 6" xfId="8231" xr:uid="{00000000-0005-0000-0000-0000B1090000}"/>
    <cellStyle name="Calculation 4 6 2" xfId="8236" xr:uid="{00000000-0005-0000-0000-0000B2090000}"/>
    <cellStyle name="Calculation 4 6 2 2" xfId="8241" xr:uid="{00000000-0005-0000-0000-0000B3090000}"/>
    <cellStyle name="Calculation 4 6 2 2 2" xfId="5655" xr:uid="{00000000-0005-0000-0000-0000B4090000}"/>
    <cellStyle name="Calculation 4 6 2 2 2 2" xfId="8249" xr:uid="{00000000-0005-0000-0000-0000B5090000}"/>
    <cellStyle name="Calculation 4 6 2 2 2 3" xfId="8254" xr:uid="{00000000-0005-0000-0000-0000B6090000}"/>
    <cellStyle name="Calculation 4 6 2 2 2 4" xfId="8259" xr:uid="{00000000-0005-0000-0000-0000B7090000}"/>
    <cellStyle name="Calculation 4 6 2 2 3" xfId="5663" xr:uid="{00000000-0005-0000-0000-0000B8090000}"/>
    <cellStyle name="Calculation 4 6 2 2 4" xfId="5671" xr:uid="{00000000-0005-0000-0000-0000B9090000}"/>
    <cellStyle name="Calculation 4 6 2 2 5" xfId="7402" xr:uid="{00000000-0005-0000-0000-0000BA090000}"/>
    <cellStyle name="Calculation 4 6 2 3" xfId="8260" xr:uid="{00000000-0005-0000-0000-0000BB090000}"/>
    <cellStyle name="Calculation 4 6 2 3 2" xfId="3915" xr:uid="{00000000-0005-0000-0000-0000BC090000}"/>
    <cellStyle name="Calculation 4 6 2 3 3" xfId="2474" xr:uid="{00000000-0005-0000-0000-0000BD090000}"/>
    <cellStyle name="Calculation 4 6 2 3 4" xfId="186" xr:uid="{00000000-0005-0000-0000-0000BE090000}"/>
    <cellStyle name="Calculation 4 6 2 4" xfId="8265" xr:uid="{00000000-0005-0000-0000-0000BF090000}"/>
    <cellStyle name="Calculation 4 6 2 5" xfId="8270" xr:uid="{00000000-0005-0000-0000-0000C0090000}"/>
    <cellStyle name="Calculation 4 6 2 6" xfId="26" xr:uid="{00000000-0005-0000-0000-0000C1090000}"/>
    <cellStyle name="Calculation 4 6 3" xfId="8280" xr:uid="{00000000-0005-0000-0000-0000C2090000}"/>
    <cellStyle name="Calculation 4 6 3 2" xfId="8285" xr:uid="{00000000-0005-0000-0000-0000C3090000}"/>
    <cellStyle name="Calculation 4 6 3 2 2" xfId="5715" xr:uid="{00000000-0005-0000-0000-0000C4090000}"/>
    <cellStyle name="Calculation 4 6 3 2 3" xfId="5723" xr:uid="{00000000-0005-0000-0000-0000C5090000}"/>
    <cellStyle name="Calculation 4 6 3 2 4" xfId="7410" xr:uid="{00000000-0005-0000-0000-0000C6090000}"/>
    <cellStyle name="Calculation 4 6 3 3" xfId="5710" xr:uid="{00000000-0005-0000-0000-0000C7090000}"/>
    <cellStyle name="Calculation 4 6 3 4" xfId="5716" xr:uid="{00000000-0005-0000-0000-0000C8090000}"/>
    <cellStyle name="Calculation 4 6 3 5" xfId="5722" xr:uid="{00000000-0005-0000-0000-0000C9090000}"/>
    <cellStyle name="Calculation 4 6 4" xfId="8293" xr:uid="{00000000-0005-0000-0000-0000CA090000}"/>
    <cellStyle name="Calculation 4 6 4 2" xfId="8295" xr:uid="{00000000-0005-0000-0000-0000CB090000}"/>
    <cellStyle name="Calculation 4 6 4 3" xfId="8297" xr:uid="{00000000-0005-0000-0000-0000CC090000}"/>
    <cellStyle name="Calculation 4 6 4 4" xfId="8300" xr:uid="{00000000-0005-0000-0000-0000CD090000}"/>
    <cellStyle name="Calculation 4 6 5" xfId="4046" xr:uid="{00000000-0005-0000-0000-0000CE090000}"/>
    <cellStyle name="Calculation 4 6 6" xfId="4065" xr:uid="{00000000-0005-0000-0000-0000CF090000}"/>
    <cellStyle name="Calculation 4 6 7" xfId="6984" xr:uid="{00000000-0005-0000-0000-0000D0090000}"/>
    <cellStyle name="Calculation 4 7" xfId="8302" xr:uid="{00000000-0005-0000-0000-0000D1090000}"/>
    <cellStyle name="Calculation 4 7 2" xfId="8305" xr:uid="{00000000-0005-0000-0000-0000D2090000}"/>
    <cellStyle name="Calculation 4 7 2 2" xfId="8307" xr:uid="{00000000-0005-0000-0000-0000D3090000}"/>
    <cellStyle name="Calculation 4 7 2 2 2" xfId="1534" xr:uid="{00000000-0005-0000-0000-0000D4090000}"/>
    <cellStyle name="Calculation 4 7 2 2 3" xfId="1550" xr:uid="{00000000-0005-0000-0000-0000D5090000}"/>
    <cellStyle name="Calculation 4 7 2 2 4" xfId="2365" xr:uid="{00000000-0005-0000-0000-0000D6090000}"/>
    <cellStyle name="Calculation 4 7 2 3" xfId="8310" xr:uid="{00000000-0005-0000-0000-0000D7090000}"/>
    <cellStyle name="Calculation 4 7 2 4" xfId="8312" xr:uid="{00000000-0005-0000-0000-0000D8090000}"/>
    <cellStyle name="Calculation 4 7 2 5" xfId="8316" xr:uid="{00000000-0005-0000-0000-0000D9090000}"/>
    <cellStyle name="Calculation 4 7 3" xfId="8319" xr:uid="{00000000-0005-0000-0000-0000DA090000}"/>
    <cellStyle name="Calculation 4 7 3 2" xfId="8321" xr:uid="{00000000-0005-0000-0000-0000DB090000}"/>
    <cellStyle name="Calculation 4 7 3 3" xfId="8323" xr:uid="{00000000-0005-0000-0000-0000DC090000}"/>
    <cellStyle name="Calculation 4 7 3 4" xfId="8325" xr:uid="{00000000-0005-0000-0000-0000DD090000}"/>
    <cellStyle name="Calculation 4 7 4" xfId="8326" xr:uid="{00000000-0005-0000-0000-0000DE090000}"/>
    <cellStyle name="Calculation 4 7 5" xfId="3427" xr:uid="{00000000-0005-0000-0000-0000DF090000}"/>
    <cellStyle name="Calculation 4 7 6" xfId="3438" xr:uid="{00000000-0005-0000-0000-0000E0090000}"/>
    <cellStyle name="Calculation 4 8" xfId="8329" xr:uid="{00000000-0005-0000-0000-0000E1090000}"/>
    <cellStyle name="Calculation 4 8 2" xfId="8331" xr:uid="{00000000-0005-0000-0000-0000E2090000}"/>
    <cellStyle name="Calculation 4 8 2 2" xfId="4856" xr:uid="{00000000-0005-0000-0000-0000E3090000}"/>
    <cellStyle name="Calculation 4 8 2 3" xfId="4863" xr:uid="{00000000-0005-0000-0000-0000E4090000}"/>
    <cellStyle name="Calculation 4 8 2 4" xfId="8332" xr:uid="{00000000-0005-0000-0000-0000E5090000}"/>
    <cellStyle name="Calculation 4 8 3" xfId="8333" xr:uid="{00000000-0005-0000-0000-0000E6090000}"/>
    <cellStyle name="Calculation 4 8 4" xfId="8334" xr:uid="{00000000-0005-0000-0000-0000E7090000}"/>
    <cellStyle name="Calculation 4 8 5" xfId="8335" xr:uid="{00000000-0005-0000-0000-0000E8090000}"/>
    <cellStyle name="Calculation 4 9" xfId="8336" xr:uid="{00000000-0005-0000-0000-0000E9090000}"/>
    <cellStyle name="Calculation 4 9 2" xfId="2087" xr:uid="{00000000-0005-0000-0000-0000EA090000}"/>
    <cellStyle name="Calculation 4 9 3" xfId="2094" xr:uid="{00000000-0005-0000-0000-0000EB090000}"/>
    <cellStyle name="Calculation 4 9 4" xfId="8339" xr:uid="{00000000-0005-0000-0000-0000EC090000}"/>
    <cellStyle name="Calculation 5" xfId="8343" xr:uid="{00000000-0005-0000-0000-0000ED090000}"/>
    <cellStyle name="Calculation 5 10" xfId="1209" xr:uid="{00000000-0005-0000-0000-0000EE090000}"/>
    <cellStyle name="Calculation 5 11" xfId="1216" xr:uid="{00000000-0005-0000-0000-0000EF090000}"/>
    <cellStyle name="Calculation 5 12" xfId="1224" xr:uid="{00000000-0005-0000-0000-0000F0090000}"/>
    <cellStyle name="Calculation 5 13" xfId="8353" xr:uid="{00000000-0005-0000-0000-0000F1090000}"/>
    <cellStyle name="Calculation 5 2" xfId="8354" xr:uid="{00000000-0005-0000-0000-0000F2090000}"/>
    <cellStyle name="Calculation 5 2 10" xfId="6562" xr:uid="{00000000-0005-0000-0000-0000F3090000}"/>
    <cellStyle name="Calculation 5 2 11" xfId="8355" xr:uid="{00000000-0005-0000-0000-0000F4090000}"/>
    <cellStyle name="Calculation 5 2 12" xfId="8362" xr:uid="{00000000-0005-0000-0000-0000F5090000}"/>
    <cellStyle name="Calculation 5 2 2" xfId="7257" xr:uid="{00000000-0005-0000-0000-0000F6090000}"/>
    <cellStyle name="Calculation 5 2 2 2" xfId="8251" xr:uid="{00000000-0005-0000-0000-0000F7090000}"/>
    <cellStyle name="Calculation 5 2 2 2 2" xfId="8366" xr:uid="{00000000-0005-0000-0000-0000F8090000}"/>
    <cellStyle name="Calculation 5 2 2 2 2 2" xfId="4489" xr:uid="{00000000-0005-0000-0000-0000F9090000}"/>
    <cellStyle name="Calculation 5 2 2 2 2 2 2" xfId="6826" xr:uid="{00000000-0005-0000-0000-0000FA090000}"/>
    <cellStyle name="Calculation 5 2 2 2 2 2 2 2" xfId="6488" xr:uid="{00000000-0005-0000-0000-0000FB090000}"/>
    <cellStyle name="Calculation 5 2 2 2 2 2 2 2 2" xfId="8374" xr:uid="{00000000-0005-0000-0000-0000FC090000}"/>
    <cellStyle name="Calculation 5 2 2 2 2 2 2 2 3" xfId="8383" xr:uid="{00000000-0005-0000-0000-0000FD090000}"/>
    <cellStyle name="Calculation 5 2 2 2 2 2 2 2 4" xfId="4298" xr:uid="{00000000-0005-0000-0000-0000FE090000}"/>
    <cellStyle name="Calculation 5 2 2 2 2 2 2 3" xfId="6853" xr:uid="{00000000-0005-0000-0000-0000FF090000}"/>
    <cellStyle name="Calculation 5 2 2 2 2 2 2 4" xfId="8389" xr:uid="{00000000-0005-0000-0000-0000000A0000}"/>
    <cellStyle name="Calculation 5 2 2 2 2 2 2 5" xfId="8394" xr:uid="{00000000-0005-0000-0000-0000010A0000}"/>
    <cellStyle name="Calculation 5 2 2 2 2 2 3" xfId="6832" xr:uid="{00000000-0005-0000-0000-0000020A0000}"/>
    <cellStyle name="Calculation 5 2 2 2 2 2 3 2" xfId="8397" xr:uid="{00000000-0005-0000-0000-0000030A0000}"/>
    <cellStyle name="Calculation 5 2 2 2 2 2 3 3" xfId="8400" xr:uid="{00000000-0005-0000-0000-0000040A0000}"/>
    <cellStyle name="Calculation 5 2 2 2 2 2 3 4" xfId="8403" xr:uid="{00000000-0005-0000-0000-0000050A0000}"/>
    <cellStyle name="Calculation 5 2 2 2 2 2 4" xfId="8409" xr:uid="{00000000-0005-0000-0000-0000060A0000}"/>
    <cellStyle name="Calculation 5 2 2 2 2 2 5" xfId="8415" xr:uid="{00000000-0005-0000-0000-0000070A0000}"/>
    <cellStyle name="Calculation 5 2 2 2 2 2 6" xfId="8421" xr:uid="{00000000-0005-0000-0000-0000080A0000}"/>
    <cellStyle name="Calculation 5 2 2 2 2 3" xfId="8422" xr:uid="{00000000-0005-0000-0000-0000090A0000}"/>
    <cellStyle name="Calculation 5 2 2 2 2 3 2" xfId="5841" xr:uid="{00000000-0005-0000-0000-00000A0A0000}"/>
    <cellStyle name="Calculation 5 2 2 2 2 3 2 2" xfId="8426" xr:uid="{00000000-0005-0000-0000-00000B0A0000}"/>
    <cellStyle name="Calculation 5 2 2 2 2 3 2 3" xfId="8431" xr:uid="{00000000-0005-0000-0000-00000C0A0000}"/>
    <cellStyle name="Calculation 5 2 2 2 2 3 2 4" xfId="8435" xr:uid="{00000000-0005-0000-0000-00000D0A0000}"/>
    <cellStyle name="Calculation 5 2 2 2 2 3 3" xfId="8439" xr:uid="{00000000-0005-0000-0000-00000E0A0000}"/>
    <cellStyle name="Calculation 5 2 2 2 2 3 4" xfId="8441" xr:uid="{00000000-0005-0000-0000-00000F0A0000}"/>
    <cellStyle name="Calculation 5 2 2 2 2 3 5" xfId="8445" xr:uid="{00000000-0005-0000-0000-0000100A0000}"/>
    <cellStyle name="Calculation 5 2 2 2 2 4" xfId="3289" xr:uid="{00000000-0005-0000-0000-0000110A0000}"/>
    <cellStyle name="Calculation 5 2 2 2 2 4 2" xfId="8453" xr:uid="{00000000-0005-0000-0000-0000120A0000}"/>
    <cellStyle name="Calculation 5 2 2 2 2 4 3" xfId="8456" xr:uid="{00000000-0005-0000-0000-0000130A0000}"/>
    <cellStyle name="Calculation 5 2 2 2 2 4 4" xfId="8459" xr:uid="{00000000-0005-0000-0000-0000140A0000}"/>
    <cellStyle name="Calculation 5 2 2 2 2 5" xfId="3293" xr:uid="{00000000-0005-0000-0000-0000150A0000}"/>
    <cellStyle name="Calculation 5 2 2 2 2 6" xfId="3301" xr:uid="{00000000-0005-0000-0000-0000160A0000}"/>
    <cellStyle name="Calculation 5 2 2 2 2 7" xfId="8462" xr:uid="{00000000-0005-0000-0000-0000170A0000}"/>
    <cellStyle name="Calculation 5 2 2 2 3" xfId="8470" xr:uid="{00000000-0005-0000-0000-0000180A0000}"/>
    <cellStyle name="Calculation 5 2 2 2 3 2" xfId="8476" xr:uid="{00000000-0005-0000-0000-0000190A0000}"/>
    <cellStyle name="Calculation 5 2 2 2 3 2 2" xfId="6886" xr:uid="{00000000-0005-0000-0000-00001A0A0000}"/>
    <cellStyle name="Calculation 5 2 2 2 3 2 2 2" xfId="8479" xr:uid="{00000000-0005-0000-0000-00001B0A0000}"/>
    <cellStyle name="Calculation 5 2 2 2 3 2 2 3" xfId="8480" xr:uid="{00000000-0005-0000-0000-00001C0A0000}"/>
    <cellStyle name="Calculation 5 2 2 2 3 2 2 4" xfId="8481" xr:uid="{00000000-0005-0000-0000-00001D0A0000}"/>
    <cellStyle name="Calculation 5 2 2 2 3 2 3" xfId="1346" xr:uid="{00000000-0005-0000-0000-00001E0A0000}"/>
    <cellStyle name="Calculation 5 2 2 2 3 2 4" xfId="1359" xr:uid="{00000000-0005-0000-0000-00001F0A0000}"/>
    <cellStyle name="Calculation 5 2 2 2 3 2 5" xfId="1368" xr:uid="{00000000-0005-0000-0000-0000200A0000}"/>
    <cellStyle name="Calculation 5 2 2 2 3 3" xfId="8487" xr:uid="{00000000-0005-0000-0000-0000210A0000}"/>
    <cellStyle name="Calculation 5 2 2 2 3 3 2" xfId="8490" xr:uid="{00000000-0005-0000-0000-0000220A0000}"/>
    <cellStyle name="Calculation 5 2 2 2 3 3 3" xfId="175" xr:uid="{00000000-0005-0000-0000-0000230A0000}"/>
    <cellStyle name="Calculation 5 2 2 2 3 3 4" xfId="8493" xr:uid="{00000000-0005-0000-0000-0000240A0000}"/>
    <cellStyle name="Calculation 5 2 2 2 3 4" xfId="8500" xr:uid="{00000000-0005-0000-0000-0000250A0000}"/>
    <cellStyle name="Calculation 5 2 2 2 3 5" xfId="8503" xr:uid="{00000000-0005-0000-0000-0000260A0000}"/>
    <cellStyle name="Calculation 5 2 2 2 3 6" xfId="8510" xr:uid="{00000000-0005-0000-0000-0000270A0000}"/>
    <cellStyle name="Calculation 5 2 2 2 4" xfId="8517" xr:uid="{00000000-0005-0000-0000-0000280A0000}"/>
    <cellStyle name="Calculation 5 2 2 2 4 2" xfId="8521" xr:uid="{00000000-0005-0000-0000-0000290A0000}"/>
    <cellStyle name="Calculation 5 2 2 2 4 2 2" xfId="4181" xr:uid="{00000000-0005-0000-0000-00002A0A0000}"/>
    <cellStyle name="Calculation 5 2 2 2 4 2 3" xfId="4203" xr:uid="{00000000-0005-0000-0000-00002B0A0000}"/>
    <cellStyle name="Calculation 5 2 2 2 4 2 4" xfId="4214" xr:uid="{00000000-0005-0000-0000-00002C0A0000}"/>
    <cellStyle name="Calculation 5 2 2 2 4 3" xfId="8526" xr:uid="{00000000-0005-0000-0000-00002D0A0000}"/>
    <cellStyle name="Calculation 5 2 2 2 4 4" xfId="8532" xr:uid="{00000000-0005-0000-0000-00002E0A0000}"/>
    <cellStyle name="Calculation 5 2 2 2 4 5" xfId="8536" xr:uid="{00000000-0005-0000-0000-00002F0A0000}"/>
    <cellStyle name="Calculation 5 2 2 2 5" xfId="8541" xr:uid="{00000000-0005-0000-0000-0000300A0000}"/>
    <cellStyle name="Calculation 5 2 2 2 5 2" xfId="8546" xr:uid="{00000000-0005-0000-0000-0000310A0000}"/>
    <cellStyle name="Calculation 5 2 2 2 5 3" xfId="8550" xr:uid="{00000000-0005-0000-0000-0000320A0000}"/>
    <cellStyle name="Calculation 5 2 2 2 5 4" xfId="8553" xr:uid="{00000000-0005-0000-0000-0000330A0000}"/>
    <cellStyle name="Calculation 5 2 2 2 6" xfId="8558" xr:uid="{00000000-0005-0000-0000-0000340A0000}"/>
    <cellStyle name="Calculation 5 2 2 2 7" xfId="8563" xr:uid="{00000000-0005-0000-0000-0000350A0000}"/>
    <cellStyle name="Calculation 5 2 2 2 8" xfId="8566" xr:uid="{00000000-0005-0000-0000-0000360A0000}"/>
    <cellStyle name="Calculation 5 2 2 3" xfId="8256" xr:uid="{00000000-0005-0000-0000-0000370A0000}"/>
    <cellStyle name="Calculation 5 2 2 3 2" xfId="8568" xr:uid="{00000000-0005-0000-0000-0000380A0000}"/>
    <cellStyle name="Calculation 5 2 2 3 2 2" xfId="4788" xr:uid="{00000000-0005-0000-0000-0000390A0000}"/>
    <cellStyle name="Calculation 5 2 2 3 2 2 2" xfId="6928" xr:uid="{00000000-0005-0000-0000-00003A0A0000}"/>
    <cellStyle name="Calculation 5 2 2 3 2 2 2 2" xfId="2401" xr:uid="{00000000-0005-0000-0000-00003B0A0000}"/>
    <cellStyle name="Calculation 5 2 2 3 2 2 2 3" xfId="2421" xr:uid="{00000000-0005-0000-0000-00003C0A0000}"/>
    <cellStyle name="Calculation 5 2 2 3 2 2 2 4" xfId="2436" xr:uid="{00000000-0005-0000-0000-00003D0A0000}"/>
    <cellStyle name="Calculation 5 2 2 3 2 2 3" xfId="8571" xr:uid="{00000000-0005-0000-0000-00003E0A0000}"/>
    <cellStyle name="Calculation 5 2 2 3 2 2 4" xfId="8575" xr:uid="{00000000-0005-0000-0000-00003F0A0000}"/>
    <cellStyle name="Calculation 5 2 2 3 2 2 5" xfId="8581" xr:uid="{00000000-0005-0000-0000-0000400A0000}"/>
    <cellStyle name="Calculation 5 2 2 3 2 3" xfId="8583" xr:uid="{00000000-0005-0000-0000-0000410A0000}"/>
    <cellStyle name="Calculation 5 2 2 3 2 3 2" xfId="8585" xr:uid="{00000000-0005-0000-0000-0000420A0000}"/>
    <cellStyle name="Calculation 5 2 2 3 2 3 3" xfId="8586" xr:uid="{00000000-0005-0000-0000-0000430A0000}"/>
    <cellStyle name="Calculation 5 2 2 3 2 3 4" xfId="8589" xr:uid="{00000000-0005-0000-0000-0000440A0000}"/>
    <cellStyle name="Calculation 5 2 2 3 2 4" xfId="8592" xr:uid="{00000000-0005-0000-0000-0000450A0000}"/>
    <cellStyle name="Calculation 5 2 2 3 2 5" xfId="8593" xr:uid="{00000000-0005-0000-0000-0000460A0000}"/>
    <cellStyle name="Calculation 5 2 2 3 2 6" xfId="8599" xr:uid="{00000000-0005-0000-0000-0000470A0000}"/>
    <cellStyle name="Calculation 5 2 2 3 3" xfId="8606" xr:uid="{00000000-0005-0000-0000-0000480A0000}"/>
    <cellStyle name="Calculation 5 2 2 3 3 2" xfId="8611" xr:uid="{00000000-0005-0000-0000-0000490A0000}"/>
    <cellStyle name="Calculation 5 2 2 3 3 2 2" xfId="8615" xr:uid="{00000000-0005-0000-0000-00004A0A0000}"/>
    <cellStyle name="Calculation 5 2 2 3 3 2 3" xfId="8619" xr:uid="{00000000-0005-0000-0000-00004B0A0000}"/>
    <cellStyle name="Calculation 5 2 2 3 3 2 4" xfId="8623" xr:uid="{00000000-0005-0000-0000-00004C0A0000}"/>
    <cellStyle name="Calculation 5 2 2 3 3 3" xfId="8628" xr:uid="{00000000-0005-0000-0000-00004D0A0000}"/>
    <cellStyle name="Calculation 5 2 2 3 3 4" xfId="8632" xr:uid="{00000000-0005-0000-0000-00004E0A0000}"/>
    <cellStyle name="Calculation 5 2 2 3 3 5" xfId="8638" xr:uid="{00000000-0005-0000-0000-00004F0A0000}"/>
    <cellStyle name="Calculation 5 2 2 3 4" xfId="8641" xr:uid="{00000000-0005-0000-0000-0000500A0000}"/>
    <cellStyle name="Calculation 5 2 2 3 4 2" xfId="8646" xr:uid="{00000000-0005-0000-0000-0000510A0000}"/>
    <cellStyle name="Calculation 5 2 2 3 4 3" xfId="8650" xr:uid="{00000000-0005-0000-0000-0000520A0000}"/>
    <cellStyle name="Calculation 5 2 2 3 4 4" xfId="8654" xr:uid="{00000000-0005-0000-0000-0000530A0000}"/>
    <cellStyle name="Calculation 5 2 2 3 5" xfId="8655" xr:uid="{00000000-0005-0000-0000-0000540A0000}"/>
    <cellStyle name="Calculation 5 2 2 3 6" xfId="8656" xr:uid="{00000000-0005-0000-0000-0000550A0000}"/>
    <cellStyle name="Calculation 5 2 2 3 7" xfId="8658" xr:uid="{00000000-0005-0000-0000-0000560A0000}"/>
    <cellStyle name="Calculation 5 2 2 4" xfId="8660" xr:uid="{00000000-0005-0000-0000-0000570A0000}"/>
    <cellStyle name="Calculation 5 2 2 4 2" xfId="8662" xr:uid="{00000000-0005-0000-0000-0000580A0000}"/>
    <cellStyle name="Calculation 5 2 2 4 2 2" xfId="7863" xr:uid="{00000000-0005-0000-0000-0000590A0000}"/>
    <cellStyle name="Calculation 5 2 2 4 2 2 2" xfId="8664" xr:uid="{00000000-0005-0000-0000-00005A0A0000}"/>
    <cellStyle name="Calculation 5 2 2 4 2 2 3" xfId="8665" xr:uid="{00000000-0005-0000-0000-00005B0A0000}"/>
    <cellStyle name="Calculation 5 2 2 4 2 2 4" xfId="8666" xr:uid="{00000000-0005-0000-0000-00005C0A0000}"/>
    <cellStyle name="Calculation 5 2 2 4 2 3" xfId="7123" xr:uid="{00000000-0005-0000-0000-00005D0A0000}"/>
    <cellStyle name="Calculation 5 2 2 4 2 4" xfId="7127" xr:uid="{00000000-0005-0000-0000-00005E0A0000}"/>
    <cellStyle name="Calculation 5 2 2 4 2 5" xfId="5769" xr:uid="{00000000-0005-0000-0000-00005F0A0000}"/>
    <cellStyle name="Calculation 5 2 2 4 3" xfId="8667" xr:uid="{00000000-0005-0000-0000-0000600A0000}"/>
    <cellStyle name="Calculation 5 2 2 4 3 2" xfId="7911" xr:uid="{00000000-0005-0000-0000-0000610A0000}"/>
    <cellStyle name="Calculation 5 2 2 4 3 3" xfId="7921" xr:uid="{00000000-0005-0000-0000-0000620A0000}"/>
    <cellStyle name="Calculation 5 2 2 4 3 4" xfId="8670" xr:uid="{00000000-0005-0000-0000-0000630A0000}"/>
    <cellStyle name="Calculation 5 2 2 4 4" xfId="8675" xr:uid="{00000000-0005-0000-0000-0000640A0000}"/>
    <cellStyle name="Calculation 5 2 2 4 5" xfId="8676" xr:uid="{00000000-0005-0000-0000-0000650A0000}"/>
    <cellStyle name="Calculation 5 2 2 4 6" xfId="8677" xr:uid="{00000000-0005-0000-0000-0000660A0000}"/>
    <cellStyle name="Calculation 5 2 2 5" xfId="8680" xr:uid="{00000000-0005-0000-0000-0000670A0000}"/>
    <cellStyle name="Calculation 5 2 2 5 2" xfId="3991" xr:uid="{00000000-0005-0000-0000-0000680A0000}"/>
    <cellStyle name="Calculation 5 2 2 5 2 2" xfId="8027" xr:uid="{00000000-0005-0000-0000-0000690A0000}"/>
    <cellStyle name="Calculation 5 2 2 5 2 3" xfId="8035" xr:uid="{00000000-0005-0000-0000-00006A0A0000}"/>
    <cellStyle name="Calculation 5 2 2 5 2 4" xfId="8684" xr:uid="{00000000-0005-0000-0000-00006B0A0000}"/>
    <cellStyle name="Calculation 5 2 2 5 3" xfId="8688" xr:uid="{00000000-0005-0000-0000-00006C0A0000}"/>
    <cellStyle name="Calculation 5 2 2 5 4" xfId="8689" xr:uid="{00000000-0005-0000-0000-00006D0A0000}"/>
    <cellStyle name="Calculation 5 2 2 5 5" xfId="8690" xr:uid="{00000000-0005-0000-0000-00006E0A0000}"/>
    <cellStyle name="Calculation 5 2 2 6" xfId="8692" xr:uid="{00000000-0005-0000-0000-00006F0A0000}"/>
    <cellStyle name="Calculation 5 2 2 6 2" xfId="8693" xr:uid="{00000000-0005-0000-0000-0000700A0000}"/>
    <cellStyle name="Calculation 5 2 2 6 3" xfId="8694" xr:uid="{00000000-0005-0000-0000-0000710A0000}"/>
    <cellStyle name="Calculation 5 2 2 6 4" xfId="8697" xr:uid="{00000000-0005-0000-0000-0000720A0000}"/>
    <cellStyle name="Calculation 5 2 2 7" xfId="7570" xr:uid="{00000000-0005-0000-0000-0000730A0000}"/>
    <cellStyle name="Calculation 5 2 2 8" xfId="7575" xr:uid="{00000000-0005-0000-0000-0000740A0000}"/>
    <cellStyle name="Calculation 5 2 2 9" xfId="7578" xr:uid="{00000000-0005-0000-0000-0000750A0000}"/>
    <cellStyle name="Calculation 5 2 3" xfId="7259" xr:uid="{00000000-0005-0000-0000-0000760A0000}"/>
    <cellStyle name="Calculation 5 2 3 2" xfId="7397" xr:uid="{00000000-0005-0000-0000-0000770A0000}"/>
    <cellStyle name="Calculation 5 2 3 2 2" xfId="8700" xr:uid="{00000000-0005-0000-0000-0000780A0000}"/>
    <cellStyle name="Calculation 5 2 3 2 2 2" xfId="5620" xr:uid="{00000000-0005-0000-0000-0000790A0000}"/>
    <cellStyle name="Calculation 5 2 3 2 2 2 2" xfId="7119" xr:uid="{00000000-0005-0000-0000-00007A0A0000}"/>
    <cellStyle name="Calculation 5 2 3 2 2 2 2 2" xfId="8702" xr:uid="{00000000-0005-0000-0000-00007B0A0000}"/>
    <cellStyle name="Calculation 5 2 3 2 2 2 2 2 2" xfId="6642" xr:uid="{00000000-0005-0000-0000-00007C0A0000}"/>
    <cellStyle name="Calculation 5 2 3 2 2 2 2 2 3" xfId="6647" xr:uid="{00000000-0005-0000-0000-00007D0A0000}"/>
    <cellStyle name="Calculation 5 2 3 2 2 2 2 2 4" xfId="2989" xr:uid="{00000000-0005-0000-0000-00007E0A0000}"/>
    <cellStyle name="Calculation 5 2 3 2 2 2 2 3" xfId="8704" xr:uid="{00000000-0005-0000-0000-00007F0A0000}"/>
    <cellStyle name="Calculation 5 2 3 2 2 2 2 4" xfId="8706" xr:uid="{00000000-0005-0000-0000-0000800A0000}"/>
    <cellStyle name="Calculation 5 2 3 2 2 2 2 5" xfId="8707" xr:uid="{00000000-0005-0000-0000-0000810A0000}"/>
    <cellStyle name="Calculation 5 2 3 2 2 2 3" xfId="7130" xr:uid="{00000000-0005-0000-0000-0000820A0000}"/>
    <cellStyle name="Calculation 5 2 3 2 2 2 3 2" xfId="8711" xr:uid="{00000000-0005-0000-0000-0000830A0000}"/>
    <cellStyle name="Calculation 5 2 3 2 2 2 3 3" xfId="8716" xr:uid="{00000000-0005-0000-0000-0000840A0000}"/>
    <cellStyle name="Calculation 5 2 3 2 2 2 3 4" xfId="6687" xr:uid="{00000000-0005-0000-0000-0000850A0000}"/>
    <cellStyle name="Calculation 5 2 3 2 2 2 4" xfId="5771" xr:uid="{00000000-0005-0000-0000-0000860A0000}"/>
    <cellStyle name="Calculation 5 2 3 2 2 2 5" xfId="5778" xr:uid="{00000000-0005-0000-0000-0000870A0000}"/>
    <cellStyle name="Calculation 5 2 3 2 2 2 6" xfId="5785" xr:uid="{00000000-0005-0000-0000-0000880A0000}"/>
    <cellStyle name="Calculation 5 2 3 2 2 3" xfId="5628" xr:uid="{00000000-0005-0000-0000-0000890A0000}"/>
    <cellStyle name="Calculation 5 2 3 2 2 3 2" xfId="7917" xr:uid="{00000000-0005-0000-0000-00008A0A0000}"/>
    <cellStyle name="Calculation 5 2 3 2 2 3 2 2" xfId="8721" xr:uid="{00000000-0005-0000-0000-00008B0A0000}"/>
    <cellStyle name="Calculation 5 2 3 2 2 3 2 3" xfId="8724" xr:uid="{00000000-0005-0000-0000-00008C0A0000}"/>
    <cellStyle name="Calculation 5 2 3 2 2 3 2 4" xfId="8726" xr:uid="{00000000-0005-0000-0000-00008D0A0000}"/>
    <cellStyle name="Calculation 5 2 3 2 2 3 3" xfId="8672" xr:uid="{00000000-0005-0000-0000-00008E0A0000}"/>
    <cellStyle name="Calculation 5 2 3 2 2 3 4" xfId="8728" xr:uid="{00000000-0005-0000-0000-00008F0A0000}"/>
    <cellStyle name="Calculation 5 2 3 2 2 3 5" xfId="8733" xr:uid="{00000000-0005-0000-0000-0000900A0000}"/>
    <cellStyle name="Calculation 5 2 3 2 2 4" xfId="7134" xr:uid="{00000000-0005-0000-0000-0000910A0000}"/>
    <cellStyle name="Calculation 5 2 3 2 2 4 2" xfId="8740" xr:uid="{00000000-0005-0000-0000-0000920A0000}"/>
    <cellStyle name="Calculation 5 2 3 2 2 4 3" xfId="8742" xr:uid="{00000000-0005-0000-0000-0000930A0000}"/>
    <cellStyle name="Calculation 5 2 3 2 2 4 4" xfId="8744" xr:uid="{00000000-0005-0000-0000-0000940A0000}"/>
    <cellStyle name="Calculation 5 2 3 2 2 5" xfId="7135" xr:uid="{00000000-0005-0000-0000-0000950A0000}"/>
    <cellStyle name="Calculation 5 2 3 2 2 6" xfId="8746" xr:uid="{00000000-0005-0000-0000-0000960A0000}"/>
    <cellStyle name="Calculation 5 2 3 2 2 7" xfId="8751" xr:uid="{00000000-0005-0000-0000-0000970A0000}"/>
    <cellStyle name="Calculation 5 2 3 2 3" xfId="8760" xr:uid="{00000000-0005-0000-0000-0000980A0000}"/>
    <cellStyle name="Calculation 5 2 3 2 3 2" xfId="5698" xr:uid="{00000000-0005-0000-0000-0000990A0000}"/>
    <cellStyle name="Calculation 5 2 3 2 3 2 2" xfId="8034" xr:uid="{00000000-0005-0000-0000-00009A0A0000}"/>
    <cellStyle name="Calculation 5 2 3 2 3 2 2 2" xfId="8387" xr:uid="{00000000-0005-0000-0000-00009B0A0000}"/>
    <cellStyle name="Calculation 5 2 3 2 3 2 2 3" xfId="8392" xr:uid="{00000000-0005-0000-0000-00009C0A0000}"/>
    <cellStyle name="Calculation 5 2 3 2 3 2 2 4" xfId="5126" xr:uid="{00000000-0005-0000-0000-00009D0A0000}"/>
    <cellStyle name="Calculation 5 2 3 2 3 2 3" xfId="8687" xr:uid="{00000000-0005-0000-0000-00009E0A0000}"/>
    <cellStyle name="Calculation 5 2 3 2 3 2 4" xfId="8763" xr:uid="{00000000-0005-0000-0000-00009F0A0000}"/>
    <cellStyle name="Calculation 5 2 3 2 3 2 5" xfId="8767" xr:uid="{00000000-0005-0000-0000-0000A00A0000}"/>
    <cellStyle name="Calculation 5 2 3 2 3 3" xfId="37" xr:uid="{00000000-0005-0000-0000-0000A10A0000}"/>
    <cellStyle name="Calculation 5 2 3 2 3 3 2" xfId="8771" xr:uid="{00000000-0005-0000-0000-0000A20A0000}"/>
    <cellStyle name="Calculation 5 2 3 2 3 3 3" xfId="8773" xr:uid="{00000000-0005-0000-0000-0000A30A0000}"/>
    <cellStyle name="Calculation 5 2 3 2 3 3 4" xfId="8774" xr:uid="{00000000-0005-0000-0000-0000A40A0000}"/>
    <cellStyle name="Calculation 5 2 3 2 3 4" xfId="72" xr:uid="{00000000-0005-0000-0000-0000A50A0000}"/>
    <cellStyle name="Calculation 5 2 3 2 3 5" xfId="2827" xr:uid="{00000000-0005-0000-0000-0000A60A0000}"/>
    <cellStyle name="Calculation 5 2 3 2 3 6" xfId="2135" xr:uid="{00000000-0005-0000-0000-0000A70A0000}"/>
    <cellStyle name="Calculation 5 2 3 2 4" xfId="3944" xr:uid="{00000000-0005-0000-0000-0000A80A0000}"/>
    <cellStyle name="Calculation 5 2 3 2 4 2" xfId="7167" xr:uid="{00000000-0005-0000-0000-0000A90A0000}"/>
    <cellStyle name="Calculation 5 2 3 2 4 2 2" xfId="8779" xr:uid="{00000000-0005-0000-0000-0000AA0A0000}"/>
    <cellStyle name="Calculation 5 2 3 2 4 2 3" xfId="8783" xr:uid="{00000000-0005-0000-0000-0000AB0A0000}"/>
    <cellStyle name="Calculation 5 2 3 2 4 2 4" xfId="8784" xr:uid="{00000000-0005-0000-0000-0000AC0A0000}"/>
    <cellStyle name="Calculation 5 2 3 2 4 3" xfId="7170" xr:uid="{00000000-0005-0000-0000-0000AD0A0000}"/>
    <cellStyle name="Calculation 5 2 3 2 4 4" xfId="8787" xr:uid="{00000000-0005-0000-0000-0000AE0A0000}"/>
    <cellStyle name="Calculation 5 2 3 2 4 5" xfId="7279" xr:uid="{00000000-0005-0000-0000-0000AF0A0000}"/>
    <cellStyle name="Calculation 5 2 3 2 5" xfId="3948" xr:uid="{00000000-0005-0000-0000-0000B00A0000}"/>
    <cellStyle name="Calculation 5 2 3 2 5 2" xfId="7176" xr:uid="{00000000-0005-0000-0000-0000B10A0000}"/>
    <cellStyle name="Calculation 5 2 3 2 5 3" xfId="8788" xr:uid="{00000000-0005-0000-0000-0000B20A0000}"/>
    <cellStyle name="Calculation 5 2 3 2 5 4" xfId="8789" xr:uid="{00000000-0005-0000-0000-0000B30A0000}"/>
    <cellStyle name="Calculation 5 2 3 2 6" xfId="3954" xr:uid="{00000000-0005-0000-0000-0000B40A0000}"/>
    <cellStyle name="Calculation 5 2 3 2 7" xfId="8790" xr:uid="{00000000-0005-0000-0000-0000B50A0000}"/>
    <cellStyle name="Calculation 5 2 3 2 8" xfId="8791" xr:uid="{00000000-0005-0000-0000-0000B60A0000}"/>
    <cellStyle name="Calculation 5 2 3 3" xfId="7281" xr:uid="{00000000-0005-0000-0000-0000B70A0000}"/>
    <cellStyle name="Calculation 5 2 3 3 2" xfId="8793" xr:uid="{00000000-0005-0000-0000-0000B80A0000}"/>
    <cellStyle name="Calculation 5 2 3 3 2 2" xfId="6125" xr:uid="{00000000-0005-0000-0000-0000B90A0000}"/>
    <cellStyle name="Calculation 5 2 3 3 2 2 2" xfId="492" xr:uid="{00000000-0005-0000-0000-0000BA0A0000}"/>
    <cellStyle name="Calculation 5 2 3 3 2 2 2 2" xfId="1039" xr:uid="{00000000-0005-0000-0000-0000BB0A0000}"/>
    <cellStyle name="Calculation 5 2 3 3 2 2 2 3" xfId="1166" xr:uid="{00000000-0005-0000-0000-0000BC0A0000}"/>
    <cellStyle name="Calculation 5 2 3 3 2 2 2 4" xfId="1171" xr:uid="{00000000-0005-0000-0000-0000BD0A0000}"/>
    <cellStyle name="Calculation 5 2 3 3 2 2 3" xfId="405" xr:uid="{00000000-0005-0000-0000-0000BE0A0000}"/>
    <cellStyle name="Calculation 5 2 3 3 2 2 4" xfId="442" xr:uid="{00000000-0005-0000-0000-0000BF0A0000}"/>
    <cellStyle name="Calculation 5 2 3 3 2 2 5" xfId="8796" xr:uid="{00000000-0005-0000-0000-0000C00A0000}"/>
    <cellStyle name="Calculation 5 2 3 3 2 3" xfId="1102" xr:uid="{00000000-0005-0000-0000-0000C10A0000}"/>
    <cellStyle name="Calculation 5 2 3 3 2 3 2" xfId="1808" xr:uid="{00000000-0005-0000-0000-0000C20A0000}"/>
    <cellStyle name="Calculation 5 2 3 3 2 3 3" xfId="1812" xr:uid="{00000000-0005-0000-0000-0000C30A0000}"/>
    <cellStyle name="Calculation 5 2 3 3 2 3 4" xfId="8797" xr:uid="{00000000-0005-0000-0000-0000C40A0000}"/>
    <cellStyle name="Calculation 5 2 3 3 2 4" xfId="7209" xr:uid="{00000000-0005-0000-0000-0000C50A0000}"/>
    <cellStyle name="Calculation 5 2 3 3 2 5" xfId="8799" xr:uid="{00000000-0005-0000-0000-0000C60A0000}"/>
    <cellStyle name="Calculation 5 2 3 3 2 6" xfId="8803" xr:uid="{00000000-0005-0000-0000-0000C70A0000}"/>
    <cellStyle name="Calculation 5 2 3 3 3" xfId="8808" xr:uid="{00000000-0005-0000-0000-0000C80A0000}"/>
    <cellStyle name="Calculation 5 2 3 3 3 2" xfId="1625" xr:uid="{00000000-0005-0000-0000-0000C90A0000}"/>
    <cellStyle name="Calculation 5 2 3 3 3 2 2" xfId="1639" xr:uid="{00000000-0005-0000-0000-0000CA0A0000}"/>
    <cellStyle name="Calculation 5 2 3 3 3 2 3" xfId="5099" xr:uid="{00000000-0005-0000-0000-0000CB0A0000}"/>
    <cellStyle name="Calculation 5 2 3 3 3 2 4" xfId="4212" xr:uid="{00000000-0005-0000-0000-0000CC0A0000}"/>
    <cellStyle name="Calculation 5 2 3 3 3 3" xfId="1111" xr:uid="{00000000-0005-0000-0000-0000CD0A0000}"/>
    <cellStyle name="Calculation 5 2 3 3 3 4" xfId="1650" xr:uid="{00000000-0005-0000-0000-0000CE0A0000}"/>
    <cellStyle name="Calculation 5 2 3 3 3 5" xfId="8811" xr:uid="{00000000-0005-0000-0000-0000CF0A0000}"/>
    <cellStyle name="Calculation 5 2 3 3 4" xfId="3753" xr:uid="{00000000-0005-0000-0000-0000D00A0000}"/>
    <cellStyle name="Calculation 5 2 3 3 4 2" xfId="7041" xr:uid="{00000000-0005-0000-0000-0000D10A0000}"/>
    <cellStyle name="Calculation 5 2 3 3 4 3" xfId="1121" xr:uid="{00000000-0005-0000-0000-0000D20A0000}"/>
    <cellStyle name="Calculation 5 2 3 3 4 4" xfId="8813" xr:uid="{00000000-0005-0000-0000-0000D30A0000}"/>
    <cellStyle name="Calculation 5 2 3 3 5" xfId="3763" xr:uid="{00000000-0005-0000-0000-0000D40A0000}"/>
    <cellStyle name="Calculation 5 2 3 3 6" xfId="5964" xr:uid="{00000000-0005-0000-0000-0000D50A0000}"/>
    <cellStyle name="Calculation 5 2 3 3 7" xfId="8478" xr:uid="{00000000-0005-0000-0000-0000D60A0000}"/>
    <cellStyle name="Calculation 5 2 3 4" xfId="7286" xr:uid="{00000000-0005-0000-0000-0000D70A0000}"/>
    <cellStyle name="Calculation 5 2 3 4 2" xfId="8814" xr:uid="{00000000-0005-0000-0000-0000D80A0000}"/>
    <cellStyle name="Calculation 5 2 3 4 2 2" xfId="463" xr:uid="{00000000-0005-0000-0000-0000D90A0000}"/>
    <cellStyle name="Calculation 5 2 3 4 2 2 2" xfId="231" xr:uid="{00000000-0005-0000-0000-0000DA0A0000}"/>
    <cellStyle name="Calculation 5 2 3 4 2 2 3" xfId="248" xr:uid="{00000000-0005-0000-0000-0000DB0A0000}"/>
    <cellStyle name="Calculation 5 2 3 4 2 2 4" xfId="1026" xr:uid="{00000000-0005-0000-0000-0000DC0A0000}"/>
    <cellStyle name="Calculation 5 2 3 4 2 3" xfId="488" xr:uid="{00000000-0005-0000-0000-0000DD0A0000}"/>
    <cellStyle name="Calculation 5 2 3 4 2 4" xfId="404" xr:uid="{00000000-0005-0000-0000-0000DE0A0000}"/>
    <cellStyle name="Calculation 5 2 3 4 2 5" xfId="440" xr:uid="{00000000-0005-0000-0000-0000DF0A0000}"/>
    <cellStyle name="Calculation 5 2 3 4 3" xfId="8815" xr:uid="{00000000-0005-0000-0000-0000E00A0000}"/>
    <cellStyle name="Calculation 5 2 3 4 3 2" xfId="1800" xr:uid="{00000000-0005-0000-0000-0000E10A0000}"/>
    <cellStyle name="Calculation 5 2 3 4 3 3" xfId="1806" xr:uid="{00000000-0005-0000-0000-0000E20A0000}"/>
    <cellStyle name="Calculation 5 2 3 4 3 4" xfId="1810" xr:uid="{00000000-0005-0000-0000-0000E30A0000}"/>
    <cellStyle name="Calculation 5 2 3 4 4" xfId="8816" xr:uid="{00000000-0005-0000-0000-0000E40A0000}"/>
    <cellStyle name="Calculation 5 2 3 4 5" xfId="8817" xr:uid="{00000000-0005-0000-0000-0000E50A0000}"/>
    <cellStyle name="Calculation 5 2 3 4 6" xfId="8818" xr:uid="{00000000-0005-0000-0000-0000E60A0000}"/>
    <cellStyle name="Calculation 5 2 3 5" xfId="7290" xr:uid="{00000000-0005-0000-0000-0000E70A0000}"/>
    <cellStyle name="Calculation 5 2 3 5 2" xfId="8820" xr:uid="{00000000-0005-0000-0000-0000E80A0000}"/>
    <cellStyle name="Calculation 5 2 3 5 2 2" xfId="7250" xr:uid="{00000000-0005-0000-0000-0000E90A0000}"/>
    <cellStyle name="Calculation 5 2 3 5 2 3" xfId="1635" xr:uid="{00000000-0005-0000-0000-0000EA0A0000}"/>
    <cellStyle name="Calculation 5 2 3 5 2 4" xfId="5096" xr:uid="{00000000-0005-0000-0000-0000EB0A0000}"/>
    <cellStyle name="Calculation 5 2 3 5 3" xfId="8822" xr:uid="{00000000-0005-0000-0000-0000EC0A0000}"/>
    <cellStyle name="Calculation 5 2 3 5 4" xfId="8823" xr:uid="{00000000-0005-0000-0000-0000ED0A0000}"/>
    <cellStyle name="Calculation 5 2 3 5 5" xfId="8824" xr:uid="{00000000-0005-0000-0000-0000EE0A0000}"/>
    <cellStyle name="Calculation 5 2 3 6" xfId="8826" xr:uid="{00000000-0005-0000-0000-0000EF0A0000}"/>
    <cellStyle name="Calculation 5 2 3 6 2" xfId="8827" xr:uid="{00000000-0005-0000-0000-0000F00A0000}"/>
    <cellStyle name="Calculation 5 2 3 6 3" xfId="8828" xr:uid="{00000000-0005-0000-0000-0000F10A0000}"/>
    <cellStyle name="Calculation 5 2 3 6 4" xfId="8829" xr:uid="{00000000-0005-0000-0000-0000F20A0000}"/>
    <cellStyle name="Calculation 5 2 3 7" xfId="7584" xr:uid="{00000000-0005-0000-0000-0000F30A0000}"/>
    <cellStyle name="Calculation 5 2 3 8" xfId="7587" xr:uid="{00000000-0005-0000-0000-0000F40A0000}"/>
    <cellStyle name="Calculation 5 2 3 9" xfId="7589" xr:uid="{00000000-0005-0000-0000-0000F50A0000}"/>
    <cellStyle name="Calculation 5 2 4" xfId="8830" xr:uid="{00000000-0005-0000-0000-0000F60A0000}"/>
    <cellStyle name="Calculation 5 2 4 2" xfId="8832" xr:uid="{00000000-0005-0000-0000-0000F70A0000}"/>
    <cellStyle name="Calculation 5 2 4 2 2" xfId="8837" xr:uid="{00000000-0005-0000-0000-0000F80A0000}"/>
    <cellStyle name="Calculation 5 2 4 2 2 2" xfId="5288" xr:uid="{00000000-0005-0000-0000-0000F90A0000}"/>
    <cellStyle name="Calculation 5 2 4 2 2 2 2" xfId="6787" xr:uid="{00000000-0005-0000-0000-0000FA0A0000}"/>
    <cellStyle name="Calculation 5 2 4 2 2 2 2 2" xfId="8588" xr:uid="{00000000-0005-0000-0000-0000FB0A0000}"/>
    <cellStyle name="Calculation 5 2 4 2 2 2 2 3" xfId="8839" xr:uid="{00000000-0005-0000-0000-0000FC0A0000}"/>
    <cellStyle name="Calculation 5 2 4 2 2 2 2 4" xfId="8840" xr:uid="{00000000-0005-0000-0000-0000FD0A0000}"/>
    <cellStyle name="Calculation 5 2 4 2 2 2 3" xfId="6386" xr:uid="{00000000-0005-0000-0000-0000FE0A0000}"/>
    <cellStyle name="Calculation 5 2 4 2 2 2 4" xfId="6435" xr:uid="{00000000-0005-0000-0000-0000FF0A0000}"/>
    <cellStyle name="Calculation 5 2 4 2 2 2 5" xfId="1820" xr:uid="{00000000-0005-0000-0000-0000000B0000}"/>
    <cellStyle name="Calculation 5 2 4 2 2 3" xfId="5296" xr:uid="{00000000-0005-0000-0000-0000010B0000}"/>
    <cellStyle name="Calculation 5 2 4 2 2 3 2" xfId="8843" xr:uid="{00000000-0005-0000-0000-0000020B0000}"/>
    <cellStyle name="Calculation 5 2 4 2 2 3 3" xfId="6479" xr:uid="{00000000-0005-0000-0000-0000030B0000}"/>
    <cellStyle name="Calculation 5 2 4 2 2 3 4" xfId="6504" xr:uid="{00000000-0005-0000-0000-0000040B0000}"/>
    <cellStyle name="Calculation 5 2 4 2 2 4" xfId="7319" xr:uid="{00000000-0005-0000-0000-0000050B0000}"/>
    <cellStyle name="Calculation 5 2 4 2 2 5" xfId="7321" xr:uid="{00000000-0005-0000-0000-0000060B0000}"/>
    <cellStyle name="Calculation 5 2 4 2 2 6" xfId="8370" xr:uid="{00000000-0005-0000-0000-0000070B0000}"/>
    <cellStyle name="Calculation 5 2 4 2 3" xfId="8845" xr:uid="{00000000-0005-0000-0000-0000080B0000}"/>
    <cellStyle name="Calculation 5 2 4 2 3 2" xfId="5374" xr:uid="{00000000-0005-0000-0000-0000090B0000}"/>
    <cellStyle name="Calculation 5 2 4 2 3 2 2" xfId="8850" xr:uid="{00000000-0005-0000-0000-00000A0B0000}"/>
    <cellStyle name="Calculation 5 2 4 2 3 2 3" xfId="6683" xr:uid="{00000000-0005-0000-0000-00000B0B0000}"/>
    <cellStyle name="Calculation 5 2 4 2 3 2 4" xfId="5708" xr:uid="{00000000-0005-0000-0000-00000C0B0000}"/>
    <cellStyle name="Calculation 5 2 4 2 3 3" xfId="7180" xr:uid="{00000000-0005-0000-0000-00000D0B0000}"/>
    <cellStyle name="Calculation 5 2 4 2 3 4" xfId="7188" xr:uid="{00000000-0005-0000-0000-00000E0B0000}"/>
    <cellStyle name="Calculation 5 2 4 2 3 5" xfId="7198" xr:uid="{00000000-0005-0000-0000-00000F0B0000}"/>
    <cellStyle name="Calculation 5 2 4 2 4" xfId="8853" xr:uid="{00000000-0005-0000-0000-0000100B0000}"/>
    <cellStyle name="Calculation 5 2 4 2 4 2" xfId="5101" xr:uid="{00000000-0005-0000-0000-0000110B0000}"/>
    <cellStyle name="Calculation 5 2 4 2 4 3" xfId="7070" xr:uid="{00000000-0005-0000-0000-0000120B0000}"/>
    <cellStyle name="Calculation 5 2 4 2 4 4" xfId="8341" xr:uid="{00000000-0005-0000-0000-0000130B0000}"/>
    <cellStyle name="Calculation 5 2 4 2 5" xfId="8856" xr:uid="{00000000-0005-0000-0000-0000140B0000}"/>
    <cellStyle name="Calculation 5 2 4 2 6" xfId="8858" xr:uid="{00000000-0005-0000-0000-0000150B0000}"/>
    <cellStyle name="Calculation 5 2 4 2 7" xfId="8859" xr:uid="{00000000-0005-0000-0000-0000160B0000}"/>
    <cellStyle name="Calculation 5 2 4 3" xfId="8860" xr:uid="{00000000-0005-0000-0000-0000170B0000}"/>
    <cellStyle name="Calculation 5 2 4 3 2" xfId="8863" xr:uid="{00000000-0005-0000-0000-0000180B0000}"/>
    <cellStyle name="Calculation 5 2 4 3 2 2" xfId="5504" xr:uid="{00000000-0005-0000-0000-0000190B0000}"/>
    <cellStyle name="Calculation 5 2 4 3 2 2 2" xfId="5815" xr:uid="{00000000-0005-0000-0000-00001A0B0000}"/>
    <cellStyle name="Calculation 5 2 4 3 2 2 3" xfId="5818" xr:uid="{00000000-0005-0000-0000-00001B0B0000}"/>
    <cellStyle name="Calculation 5 2 4 3 2 2 4" xfId="7547" xr:uid="{00000000-0005-0000-0000-00001C0B0000}"/>
    <cellStyle name="Calculation 5 2 4 3 2 3" xfId="899" xr:uid="{00000000-0005-0000-0000-00001D0B0000}"/>
    <cellStyle name="Calculation 5 2 4 3 2 4" xfId="7376" xr:uid="{00000000-0005-0000-0000-00001E0B0000}"/>
    <cellStyle name="Calculation 5 2 4 3 2 5" xfId="8867" xr:uid="{00000000-0005-0000-0000-00001F0B0000}"/>
    <cellStyle name="Calculation 5 2 4 3 3" xfId="8868" xr:uid="{00000000-0005-0000-0000-0000200B0000}"/>
    <cellStyle name="Calculation 5 2 4 3 3 2" xfId="7387" xr:uid="{00000000-0005-0000-0000-0000210B0000}"/>
    <cellStyle name="Calculation 5 2 4 3 3 3" xfId="1245" xr:uid="{00000000-0005-0000-0000-0000220B0000}"/>
    <cellStyle name="Calculation 5 2 4 3 3 4" xfId="8871" xr:uid="{00000000-0005-0000-0000-0000230B0000}"/>
    <cellStyle name="Calculation 5 2 4 3 4" xfId="8872" xr:uid="{00000000-0005-0000-0000-0000240B0000}"/>
    <cellStyle name="Calculation 5 2 4 3 5" xfId="8873" xr:uid="{00000000-0005-0000-0000-0000250B0000}"/>
    <cellStyle name="Calculation 5 2 4 3 6" xfId="8874" xr:uid="{00000000-0005-0000-0000-0000260B0000}"/>
    <cellStyle name="Calculation 5 2 4 4" xfId="8875" xr:uid="{00000000-0005-0000-0000-0000270B0000}"/>
    <cellStyle name="Calculation 5 2 4 4 2" xfId="4953" xr:uid="{00000000-0005-0000-0000-0000280B0000}"/>
    <cellStyle name="Calculation 5 2 4 4 2 2" xfId="7399" xr:uid="{00000000-0005-0000-0000-0000290B0000}"/>
    <cellStyle name="Calculation 5 2 4 4 2 3" xfId="227" xr:uid="{00000000-0005-0000-0000-00002A0B0000}"/>
    <cellStyle name="Calculation 5 2 4 4 2 4" xfId="247" xr:uid="{00000000-0005-0000-0000-00002B0B0000}"/>
    <cellStyle name="Calculation 5 2 4 4 3" xfId="4956" xr:uid="{00000000-0005-0000-0000-00002C0B0000}"/>
    <cellStyle name="Calculation 5 2 4 4 4" xfId="8877" xr:uid="{00000000-0005-0000-0000-00002D0B0000}"/>
    <cellStyle name="Calculation 5 2 4 4 5" xfId="8878" xr:uid="{00000000-0005-0000-0000-00002E0B0000}"/>
    <cellStyle name="Calculation 5 2 4 5" xfId="8879" xr:uid="{00000000-0005-0000-0000-00002F0B0000}"/>
    <cellStyle name="Calculation 5 2 4 5 2" xfId="8881" xr:uid="{00000000-0005-0000-0000-0000300B0000}"/>
    <cellStyle name="Calculation 5 2 4 5 3" xfId="8882" xr:uid="{00000000-0005-0000-0000-0000310B0000}"/>
    <cellStyle name="Calculation 5 2 4 5 4" xfId="8883" xr:uid="{00000000-0005-0000-0000-0000320B0000}"/>
    <cellStyle name="Calculation 5 2 4 6" xfId="8884" xr:uid="{00000000-0005-0000-0000-0000330B0000}"/>
    <cellStyle name="Calculation 5 2 4 7" xfId="8885" xr:uid="{00000000-0005-0000-0000-0000340B0000}"/>
    <cellStyle name="Calculation 5 2 4 8" xfId="4792" xr:uid="{00000000-0005-0000-0000-0000350B0000}"/>
    <cellStyle name="Calculation 5 2 5" xfId="8886" xr:uid="{00000000-0005-0000-0000-0000360B0000}"/>
    <cellStyle name="Calculation 5 2 5 2" xfId="8890" xr:uid="{00000000-0005-0000-0000-0000370B0000}"/>
    <cellStyle name="Calculation 5 2 5 2 2" xfId="7601" xr:uid="{00000000-0005-0000-0000-0000380B0000}"/>
    <cellStyle name="Calculation 5 2 5 2 2 2" xfId="5846" xr:uid="{00000000-0005-0000-0000-0000390B0000}"/>
    <cellStyle name="Calculation 5 2 5 2 2 2 2" xfId="51" xr:uid="{00000000-0005-0000-0000-00003A0B0000}"/>
    <cellStyle name="Calculation 5 2 5 2 2 2 3" xfId="8893" xr:uid="{00000000-0005-0000-0000-00003B0B0000}"/>
    <cellStyle name="Calculation 5 2 5 2 2 2 4" xfId="8900" xr:uid="{00000000-0005-0000-0000-00003C0B0000}"/>
    <cellStyle name="Calculation 5 2 5 2 2 3" xfId="5850" xr:uid="{00000000-0005-0000-0000-00003D0B0000}"/>
    <cellStyle name="Calculation 5 2 5 2 2 4" xfId="7459" xr:uid="{00000000-0005-0000-0000-00003E0B0000}"/>
    <cellStyle name="Calculation 5 2 5 2 2 5" xfId="8903" xr:uid="{00000000-0005-0000-0000-00003F0B0000}"/>
    <cellStyle name="Calculation 5 2 5 2 3" xfId="7603" xr:uid="{00000000-0005-0000-0000-0000400B0000}"/>
    <cellStyle name="Calculation 5 2 5 2 3 2" xfId="5911" xr:uid="{00000000-0005-0000-0000-0000410B0000}"/>
    <cellStyle name="Calculation 5 2 5 2 3 3" xfId="5016" xr:uid="{00000000-0005-0000-0000-0000420B0000}"/>
    <cellStyle name="Calculation 5 2 5 2 3 4" xfId="5025" xr:uid="{00000000-0005-0000-0000-0000430B0000}"/>
    <cellStyle name="Calculation 5 2 5 2 4" xfId="7606" xr:uid="{00000000-0005-0000-0000-0000440B0000}"/>
    <cellStyle name="Calculation 5 2 5 2 5" xfId="8910" xr:uid="{00000000-0005-0000-0000-0000450B0000}"/>
    <cellStyle name="Calculation 5 2 5 2 6" xfId="8911" xr:uid="{00000000-0005-0000-0000-0000460B0000}"/>
    <cellStyle name="Calculation 5 2 5 3" xfId="8913" xr:uid="{00000000-0005-0000-0000-0000470B0000}"/>
    <cellStyle name="Calculation 5 2 5 3 2" xfId="7612" xr:uid="{00000000-0005-0000-0000-0000480B0000}"/>
    <cellStyle name="Calculation 5 2 5 3 2 2" xfId="6023" xr:uid="{00000000-0005-0000-0000-0000490B0000}"/>
    <cellStyle name="Calculation 5 2 5 3 2 3" xfId="7495" xr:uid="{00000000-0005-0000-0000-00004A0B0000}"/>
    <cellStyle name="Calculation 5 2 5 3 2 4" xfId="8915" xr:uid="{00000000-0005-0000-0000-00004B0B0000}"/>
    <cellStyle name="Calculation 5 2 5 3 3" xfId="7614" xr:uid="{00000000-0005-0000-0000-00004C0B0000}"/>
    <cellStyle name="Calculation 5 2 5 3 4" xfId="8916" xr:uid="{00000000-0005-0000-0000-00004D0B0000}"/>
    <cellStyle name="Calculation 5 2 5 3 5" xfId="1997" xr:uid="{00000000-0005-0000-0000-00004E0B0000}"/>
    <cellStyle name="Calculation 5 2 5 4" xfId="8918" xr:uid="{00000000-0005-0000-0000-00004F0B0000}"/>
    <cellStyle name="Calculation 5 2 5 4 2" xfId="8920" xr:uid="{00000000-0005-0000-0000-0000500B0000}"/>
    <cellStyle name="Calculation 5 2 5 4 3" xfId="8921" xr:uid="{00000000-0005-0000-0000-0000510B0000}"/>
    <cellStyle name="Calculation 5 2 5 4 4" xfId="8922" xr:uid="{00000000-0005-0000-0000-0000520B0000}"/>
    <cellStyle name="Calculation 5 2 5 5" xfId="8923" xr:uid="{00000000-0005-0000-0000-0000530B0000}"/>
    <cellStyle name="Calculation 5 2 5 6" xfId="8924" xr:uid="{00000000-0005-0000-0000-0000540B0000}"/>
    <cellStyle name="Calculation 5 2 5 7" xfId="8925" xr:uid="{00000000-0005-0000-0000-0000550B0000}"/>
    <cellStyle name="Calculation 5 2 6" xfId="8930" xr:uid="{00000000-0005-0000-0000-0000560B0000}"/>
    <cellStyle name="Calculation 5 2 6 2" xfId="966" xr:uid="{00000000-0005-0000-0000-0000570B0000}"/>
    <cellStyle name="Calculation 5 2 6 2 2" xfId="988" xr:uid="{00000000-0005-0000-0000-0000580B0000}"/>
    <cellStyle name="Calculation 5 2 6 2 2 2" xfId="6278" xr:uid="{00000000-0005-0000-0000-0000590B0000}"/>
    <cellStyle name="Calculation 5 2 6 2 2 3" xfId="7515" xr:uid="{00000000-0005-0000-0000-00005A0B0000}"/>
    <cellStyle name="Calculation 5 2 6 2 2 4" xfId="8933" xr:uid="{00000000-0005-0000-0000-00005B0B0000}"/>
    <cellStyle name="Calculation 5 2 6 2 3" xfId="8935" xr:uid="{00000000-0005-0000-0000-00005C0B0000}"/>
    <cellStyle name="Calculation 5 2 6 2 4" xfId="134" xr:uid="{00000000-0005-0000-0000-00005D0B0000}"/>
    <cellStyle name="Calculation 5 2 6 2 5" xfId="8937" xr:uid="{00000000-0005-0000-0000-00005E0B0000}"/>
    <cellStyle name="Calculation 5 2 6 3" xfId="995" xr:uid="{00000000-0005-0000-0000-00005F0B0000}"/>
    <cellStyle name="Calculation 5 2 6 3 2" xfId="24" xr:uid="{00000000-0005-0000-0000-0000600B0000}"/>
    <cellStyle name="Calculation 5 2 6 3 3" xfId="8938" xr:uid="{00000000-0005-0000-0000-0000610B0000}"/>
    <cellStyle name="Calculation 5 2 6 3 4" xfId="8940" xr:uid="{00000000-0005-0000-0000-0000620B0000}"/>
    <cellStyle name="Calculation 5 2 6 4" xfId="1008" xr:uid="{00000000-0005-0000-0000-0000630B0000}"/>
    <cellStyle name="Calculation 5 2 6 5" xfId="205" xr:uid="{00000000-0005-0000-0000-0000640B0000}"/>
    <cellStyle name="Calculation 5 2 6 6" xfId="143" xr:uid="{00000000-0005-0000-0000-0000650B0000}"/>
    <cellStyle name="Calculation 5 2 7" xfId="8945" xr:uid="{00000000-0005-0000-0000-0000660B0000}"/>
    <cellStyle name="Calculation 5 2 7 2" xfId="5623" xr:uid="{00000000-0005-0000-0000-0000670B0000}"/>
    <cellStyle name="Calculation 5 2 7 2 2" xfId="8949" xr:uid="{00000000-0005-0000-0000-0000680B0000}"/>
    <cellStyle name="Calculation 5 2 7 2 3" xfId="8953" xr:uid="{00000000-0005-0000-0000-0000690B0000}"/>
    <cellStyle name="Calculation 5 2 7 2 4" xfId="8959" xr:uid="{00000000-0005-0000-0000-00006A0B0000}"/>
    <cellStyle name="Calculation 5 2 7 3" xfId="5632" xr:uid="{00000000-0005-0000-0000-00006B0B0000}"/>
    <cellStyle name="Calculation 5 2 7 4" xfId="8963" xr:uid="{00000000-0005-0000-0000-00006C0B0000}"/>
    <cellStyle name="Calculation 5 2 7 5" xfId="8967" xr:uid="{00000000-0005-0000-0000-00006D0B0000}"/>
    <cellStyle name="Calculation 5 2 8" xfId="8970" xr:uid="{00000000-0005-0000-0000-00006E0B0000}"/>
    <cellStyle name="Calculation 5 2 8 2" xfId="5700" xr:uid="{00000000-0005-0000-0000-00006F0B0000}"/>
    <cellStyle name="Calculation 5 2 8 3" xfId="41" xr:uid="{00000000-0005-0000-0000-0000700B0000}"/>
    <cellStyle name="Calculation 5 2 8 4" xfId="77" xr:uid="{00000000-0005-0000-0000-0000710B0000}"/>
    <cellStyle name="Calculation 5 2 9" xfId="8975" xr:uid="{00000000-0005-0000-0000-0000720B0000}"/>
    <cellStyle name="Calculation 5 3" xfId="8977" xr:uid="{00000000-0005-0000-0000-0000730B0000}"/>
    <cellStyle name="Calculation 5 3 2" xfId="7267" xr:uid="{00000000-0005-0000-0000-0000740B0000}"/>
    <cellStyle name="Calculation 5 3 2 2" xfId="8981" xr:uid="{00000000-0005-0000-0000-0000750B0000}"/>
    <cellStyle name="Calculation 5 3 2 2 2" xfId="8986" xr:uid="{00000000-0005-0000-0000-0000760B0000}"/>
    <cellStyle name="Calculation 5 3 2 2 2 2" xfId="8987" xr:uid="{00000000-0005-0000-0000-0000770B0000}"/>
    <cellStyle name="Calculation 5 3 2 2 2 2 2" xfId="8988" xr:uid="{00000000-0005-0000-0000-0000780B0000}"/>
    <cellStyle name="Calculation 5 3 2 2 2 2 2 2" xfId="8007" xr:uid="{00000000-0005-0000-0000-0000790B0000}"/>
    <cellStyle name="Calculation 5 3 2 2 2 2 2 3" xfId="8009" xr:uid="{00000000-0005-0000-0000-00007A0B0000}"/>
    <cellStyle name="Calculation 5 3 2 2 2 2 2 4" xfId="8990" xr:uid="{00000000-0005-0000-0000-00007B0B0000}"/>
    <cellStyle name="Calculation 5 3 2 2 2 2 3" xfId="8991" xr:uid="{00000000-0005-0000-0000-00007C0B0000}"/>
    <cellStyle name="Calculation 5 3 2 2 2 2 4" xfId="8993" xr:uid="{00000000-0005-0000-0000-00007D0B0000}"/>
    <cellStyle name="Calculation 5 3 2 2 2 2 5" xfId="8999" xr:uid="{00000000-0005-0000-0000-00007E0B0000}"/>
    <cellStyle name="Calculation 5 3 2 2 2 3" xfId="9000" xr:uid="{00000000-0005-0000-0000-00007F0B0000}"/>
    <cellStyle name="Calculation 5 3 2 2 2 3 2" xfId="9002" xr:uid="{00000000-0005-0000-0000-0000800B0000}"/>
    <cellStyle name="Calculation 5 3 2 2 2 3 3" xfId="9008" xr:uid="{00000000-0005-0000-0000-0000810B0000}"/>
    <cellStyle name="Calculation 5 3 2 2 2 3 4" xfId="9015" xr:uid="{00000000-0005-0000-0000-0000820B0000}"/>
    <cellStyle name="Calculation 5 3 2 2 2 4" xfId="2338" xr:uid="{00000000-0005-0000-0000-0000830B0000}"/>
    <cellStyle name="Calculation 5 3 2 2 2 5" xfId="3042" xr:uid="{00000000-0005-0000-0000-0000840B0000}"/>
    <cellStyle name="Calculation 5 3 2 2 2 6" xfId="3051" xr:uid="{00000000-0005-0000-0000-0000850B0000}"/>
    <cellStyle name="Calculation 5 3 2 2 3" xfId="9021" xr:uid="{00000000-0005-0000-0000-0000860B0000}"/>
    <cellStyle name="Calculation 5 3 2 2 3 2" xfId="9025" xr:uid="{00000000-0005-0000-0000-0000870B0000}"/>
    <cellStyle name="Calculation 5 3 2 2 3 2 2" xfId="1211" xr:uid="{00000000-0005-0000-0000-0000880B0000}"/>
    <cellStyle name="Calculation 5 3 2 2 3 2 3" xfId="1218" xr:uid="{00000000-0005-0000-0000-0000890B0000}"/>
    <cellStyle name="Calculation 5 3 2 2 3 2 4" xfId="8346" xr:uid="{00000000-0005-0000-0000-00008A0B0000}"/>
    <cellStyle name="Calculation 5 3 2 2 3 3" xfId="9031" xr:uid="{00000000-0005-0000-0000-00008B0B0000}"/>
    <cellStyle name="Calculation 5 3 2 2 3 4" xfId="9039" xr:uid="{00000000-0005-0000-0000-00008C0B0000}"/>
    <cellStyle name="Calculation 5 3 2 2 3 5" xfId="9042" xr:uid="{00000000-0005-0000-0000-00008D0B0000}"/>
    <cellStyle name="Calculation 5 3 2 2 4" xfId="9047" xr:uid="{00000000-0005-0000-0000-00008E0B0000}"/>
    <cellStyle name="Calculation 5 3 2 2 4 2" xfId="9050" xr:uid="{00000000-0005-0000-0000-00008F0B0000}"/>
    <cellStyle name="Calculation 5 3 2 2 4 3" xfId="9053" xr:uid="{00000000-0005-0000-0000-0000900B0000}"/>
    <cellStyle name="Calculation 5 3 2 2 4 4" xfId="9056" xr:uid="{00000000-0005-0000-0000-0000910B0000}"/>
    <cellStyle name="Calculation 5 3 2 2 5" xfId="9061" xr:uid="{00000000-0005-0000-0000-0000920B0000}"/>
    <cellStyle name="Calculation 5 3 2 2 6" xfId="9064" xr:uid="{00000000-0005-0000-0000-0000930B0000}"/>
    <cellStyle name="Calculation 5 3 2 2 7" xfId="3626" xr:uid="{00000000-0005-0000-0000-0000940B0000}"/>
    <cellStyle name="Calculation 5 3 2 3" xfId="9067" xr:uid="{00000000-0005-0000-0000-0000950B0000}"/>
    <cellStyle name="Calculation 5 3 2 3 2" xfId="9069" xr:uid="{00000000-0005-0000-0000-0000960B0000}"/>
    <cellStyle name="Calculation 5 3 2 3 2 2" xfId="9070" xr:uid="{00000000-0005-0000-0000-0000970B0000}"/>
    <cellStyle name="Calculation 5 3 2 3 2 2 2" xfId="8408" xr:uid="{00000000-0005-0000-0000-0000980B0000}"/>
    <cellStyle name="Calculation 5 3 2 3 2 2 3" xfId="8414" xr:uid="{00000000-0005-0000-0000-0000990B0000}"/>
    <cellStyle name="Calculation 5 3 2 3 2 2 4" xfId="8420" xr:uid="{00000000-0005-0000-0000-00009A0B0000}"/>
    <cellStyle name="Calculation 5 3 2 3 2 3" xfId="9071" xr:uid="{00000000-0005-0000-0000-00009B0B0000}"/>
    <cellStyle name="Calculation 5 3 2 3 2 4" xfId="6234" xr:uid="{00000000-0005-0000-0000-00009C0B0000}"/>
    <cellStyle name="Calculation 5 3 2 3 2 5" xfId="6242" xr:uid="{00000000-0005-0000-0000-00009D0B0000}"/>
    <cellStyle name="Calculation 5 3 2 3 3" xfId="9072" xr:uid="{00000000-0005-0000-0000-00009E0B0000}"/>
    <cellStyle name="Calculation 5 3 2 3 3 2" xfId="9075" xr:uid="{00000000-0005-0000-0000-00009F0B0000}"/>
    <cellStyle name="Calculation 5 3 2 3 3 3" xfId="9078" xr:uid="{00000000-0005-0000-0000-0000A00B0000}"/>
    <cellStyle name="Calculation 5 3 2 3 3 4" xfId="9080" xr:uid="{00000000-0005-0000-0000-0000A10B0000}"/>
    <cellStyle name="Calculation 5 3 2 3 4" xfId="9081" xr:uid="{00000000-0005-0000-0000-0000A20B0000}"/>
    <cellStyle name="Calculation 5 3 2 3 5" xfId="9082" xr:uid="{00000000-0005-0000-0000-0000A30B0000}"/>
    <cellStyle name="Calculation 5 3 2 3 6" xfId="9083" xr:uid="{00000000-0005-0000-0000-0000A40B0000}"/>
    <cellStyle name="Calculation 5 3 2 4" xfId="9086" xr:uid="{00000000-0005-0000-0000-0000A50B0000}"/>
    <cellStyle name="Calculation 5 3 2 4 2" xfId="9089" xr:uid="{00000000-0005-0000-0000-0000A60B0000}"/>
    <cellStyle name="Calculation 5 3 2 4 2 2" xfId="9097" xr:uid="{00000000-0005-0000-0000-0000A70B0000}"/>
    <cellStyle name="Calculation 5 3 2 4 2 3" xfId="6790" xr:uid="{00000000-0005-0000-0000-0000A80B0000}"/>
    <cellStyle name="Calculation 5 3 2 4 2 4" xfId="6389" xr:uid="{00000000-0005-0000-0000-0000A90B0000}"/>
    <cellStyle name="Calculation 5 3 2 4 3" xfId="9099" xr:uid="{00000000-0005-0000-0000-0000AA0B0000}"/>
    <cellStyle name="Calculation 5 3 2 4 4" xfId="9101" xr:uid="{00000000-0005-0000-0000-0000AB0B0000}"/>
    <cellStyle name="Calculation 5 3 2 4 5" xfId="9102" xr:uid="{00000000-0005-0000-0000-0000AC0B0000}"/>
    <cellStyle name="Calculation 5 3 2 5" xfId="9104" xr:uid="{00000000-0005-0000-0000-0000AD0B0000}"/>
    <cellStyle name="Calculation 5 3 2 5 2" xfId="1748" xr:uid="{00000000-0005-0000-0000-0000AE0B0000}"/>
    <cellStyle name="Calculation 5 3 2 5 3" xfId="9106" xr:uid="{00000000-0005-0000-0000-0000AF0B0000}"/>
    <cellStyle name="Calculation 5 3 2 5 4" xfId="9108" xr:uid="{00000000-0005-0000-0000-0000B00B0000}"/>
    <cellStyle name="Calculation 5 3 2 6" xfId="9109" xr:uid="{00000000-0005-0000-0000-0000B10B0000}"/>
    <cellStyle name="Calculation 5 3 2 7" xfId="7597" xr:uid="{00000000-0005-0000-0000-0000B20B0000}"/>
    <cellStyle name="Calculation 5 3 2 8" xfId="7599" xr:uid="{00000000-0005-0000-0000-0000B30B0000}"/>
    <cellStyle name="Calculation 5 3 3" xfId="9113" xr:uid="{00000000-0005-0000-0000-0000B40B0000}"/>
    <cellStyle name="Calculation 5 3 3 2" xfId="1953" xr:uid="{00000000-0005-0000-0000-0000B50B0000}"/>
    <cellStyle name="Calculation 5 3 3 2 2" xfId="2560" xr:uid="{00000000-0005-0000-0000-0000B60B0000}"/>
    <cellStyle name="Calculation 5 3 3 2 2 2" xfId="2566" xr:uid="{00000000-0005-0000-0000-0000B70B0000}"/>
    <cellStyle name="Calculation 5 3 3 2 2 2 2" xfId="9118" xr:uid="{00000000-0005-0000-0000-0000B80B0000}"/>
    <cellStyle name="Calculation 5 3 3 2 2 2 3" xfId="9125" xr:uid="{00000000-0005-0000-0000-0000B90B0000}"/>
    <cellStyle name="Calculation 5 3 3 2 2 2 4" xfId="9132" xr:uid="{00000000-0005-0000-0000-0000BA0B0000}"/>
    <cellStyle name="Calculation 5 3 3 2 2 3" xfId="2575" xr:uid="{00000000-0005-0000-0000-0000BB0B0000}"/>
    <cellStyle name="Calculation 5 3 3 2 2 4" xfId="2585" xr:uid="{00000000-0005-0000-0000-0000BC0B0000}"/>
    <cellStyle name="Calculation 5 3 3 2 2 5" xfId="9134" xr:uid="{00000000-0005-0000-0000-0000BD0B0000}"/>
    <cellStyle name="Calculation 5 3 3 2 3" xfId="2593" xr:uid="{00000000-0005-0000-0000-0000BE0B0000}"/>
    <cellStyle name="Calculation 5 3 3 2 3 2" xfId="7640" xr:uid="{00000000-0005-0000-0000-0000BF0B0000}"/>
    <cellStyle name="Calculation 5 3 3 2 3 3" xfId="7643" xr:uid="{00000000-0005-0000-0000-0000C00B0000}"/>
    <cellStyle name="Calculation 5 3 3 2 3 4" xfId="9138" xr:uid="{00000000-0005-0000-0000-0000C10B0000}"/>
    <cellStyle name="Calculation 5 3 3 2 4" xfId="2599" xr:uid="{00000000-0005-0000-0000-0000C20B0000}"/>
    <cellStyle name="Calculation 5 3 3 2 5" xfId="1609" xr:uid="{00000000-0005-0000-0000-0000C30B0000}"/>
    <cellStyle name="Calculation 5 3 3 2 6" xfId="9139" xr:uid="{00000000-0005-0000-0000-0000C40B0000}"/>
    <cellStyle name="Calculation 5 3 3 3" xfId="2610" xr:uid="{00000000-0005-0000-0000-0000C50B0000}"/>
    <cellStyle name="Calculation 5 3 3 3 2" xfId="2619" xr:uid="{00000000-0005-0000-0000-0000C60B0000}"/>
    <cellStyle name="Calculation 5 3 3 3 2 2" xfId="5764" xr:uid="{00000000-0005-0000-0000-0000C70B0000}"/>
    <cellStyle name="Calculation 5 3 3 3 2 3" xfId="5791" xr:uid="{00000000-0005-0000-0000-0000C80B0000}"/>
    <cellStyle name="Calculation 5 3 3 3 2 4" xfId="5796" xr:uid="{00000000-0005-0000-0000-0000C90B0000}"/>
    <cellStyle name="Calculation 5 3 3 3 3" xfId="1335" xr:uid="{00000000-0005-0000-0000-0000CA0B0000}"/>
    <cellStyle name="Calculation 5 3 3 3 4" xfId="1385" xr:uid="{00000000-0005-0000-0000-0000CB0B0000}"/>
    <cellStyle name="Calculation 5 3 3 3 5" xfId="5441" xr:uid="{00000000-0005-0000-0000-0000CC0B0000}"/>
    <cellStyle name="Calculation 5 3 3 4" xfId="2635" xr:uid="{00000000-0005-0000-0000-0000CD0B0000}"/>
    <cellStyle name="Calculation 5 3 3 4 2" xfId="5803" xr:uid="{00000000-0005-0000-0000-0000CE0B0000}"/>
    <cellStyle name="Calculation 5 3 3 4 3" xfId="5826" xr:uid="{00000000-0005-0000-0000-0000CF0B0000}"/>
    <cellStyle name="Calculation 5 3 3 4 4" xfId="5833" xr:uid="{00000000-0005-0000-0000-0000D00B0000}"/>
    <cellStyle name="Calculation 5 3 3 5" xfId="2649" xr:uid="{00000000-0005-0000-0000-0000D10B0000}"/>
    <cellStyle name="Calculation 5 3 3 6" xfId="2667" xr:uid="{00000000-0005-0000-0000-0000D20B0000}"/>
    <cellStyle name="Calculation 5 3 3 7" xfId="5843" xr:uid="{00000000-0005-0000-0000-0000D30B0000}"/>
    <cellStyle name="Calculation 5 3 4" xfId="9143" xr:uid="{00000000-0005-0000-0000-0000D40B0000}"/>
    <cellStyle name="Calculation 5 3 4 2" xfId="286" xr:uid="{00000000-0005-0000-0000-0000D50B0000}"/>
    <cellStyle name="Calculation 5 3 4 2 2" xfId="371" xr:uid="{00000000-0005-0000-0000-0000D60B0000}"/>
    <cellStyle name="Calculation 5 3 4 2 2 2" xfId="6588" xr:uid="{00000000-0005-0000-0000-0000D70B0000}"/>
    <cellStyle name="Calculation 5 3 4 2 2 3" xfId="7699" xr:uid="{00000000-0005-0000-0000-0000D80B0000}"/>
    <cellStyle name="Calculation 5 3 4 2 2 4" xfId="9149" xr:uid="{00000000-0005-0000-0000-0000D90B0000}"/>
    <cellStyle name="Calculation 5 3 4 2 3" xfId="2265" xr:uid="{00000000-0005-0000-0000-0000DA0B0000}"/>
    <cellStyle name="Calculation 5 3 4 2 4" xfId="2682" xr:uid="{00000000-0005-0000-0000-0000DB0B0000}"/>
    <cellStyle name="Calculation 5 3 4 2 5" xfId="9156" xr:uid="{00000000-0005-0000-0000-0000DC0B0000}"/>
    <cellStyle name="Calculation 5 3 4 3" xfId="104" xr:uid="{00000000-0005-0000-0000-0000DD0B0000}"/>
    <cellStyle name="Calculation 5 3 4 3 2" xfId="5868" xr:uid="{00000000-0005-0000-0000-0000DE0B0000}"/>
    <cellStyle name="Calculation 5 3 4 3 3" xfId="5877" xr:uid="{00000000-0005-0000-0000-0000DF0B0000}"/>
    <cellStyle name="Calculation 5 3 4 3 4" xfId="5884" xr:uid="{00000000-0005-0000-0000-0000E00B0000}"/>
    <cellStyle name="Calculation 5 3 4 4" xfId="537" xr:uid="{00000000-0005-0000-0000-0000E10B0000}"/>
    <cellStyle name="Calculation 5 3 4 5" xfId="595" xr:uid="{00000000-0005-0000-0000-0000E20B0000}"/>
    <cellStyle name="Calculation 5 3 4 6" xfId="5901" xr:uid="{00000000-0005-0000-0000-0000E30B0000}"/>
    <cellStyle name="Calculation 5 3 5" xfId="9159" xr:uid="{00000000-0005-0000-0000-0000E40B0000}"/>
    <cellStyle name="Calculation 5 3 5 2" xfId="2698" xr:uid="{00000000-0005-0000-0000-0000E50B0000}"/>
    <cellStyle name="Calculation 5 3 5 2 2" xfId="5630" xr:uid="{00000000-0005-0000-0000-0000E60B0000}"/>
    <cellStyle name="Calculation 5 3 5 2 3" xfId="8961" xr:uid="{00000000-0005-0000-0000-0000E70B0000}"/>
    <cellStyle name="Calculation 5 3 5 2 4" xfId="8965" xr:uid="{00000000-0005-0000-0000-0000E80B0000}"/>
    <cellStyle name="Calculation 5 3 5 3" xfId="2711" xr:uid="{00000000-0005-0000-0000-0000E90B0000}"/>
    <cellStyle name="Calculation 5 3 5 4" xfId="2737" xr:uid="{00000000-0005-0000-0000-0000EA0B0000}"/>
    <cellStyle name="Calculation 5 3 5 5" xfId="5936" xr:uid="{00000000-0005-0000-0000-0000EB0B0000}"/>
    <cellStyle name="Calculation 5 3 6" xfId="9164" xr:uid="{00000000-0005-0000-0000-0000EC0B0000}"/>
    <cellStyle name="Calculation 5 3 6 2" xfId="1093" xr:uid="{00000000-0005-0000-0000-0000ED0B0000}"/>
    <cellStyle name="Calculation 5 3 6 3" xfId="1058" xr:uid="{00000000-0005-0000-0000-0000EE0B0000}"/>
    <cellStyle name="Calculation 5 3 6 4" xfId="1070" xr:uid="{00000000-0005-0000-0000-0000EF0B0000}"/>
    <cellStyle name="Calculation 5 3 7" xfId="9170" xr:uid="{00000000-0005-0000-0000-0000F00B0000}"/>
    <cellStyle name="Calculation 5 3 8" xfId="3746" xr:uid="{00000000-0005-0000-0000-0000F10B0000}"/>
    <cellStyle name="Calculation 5 3 9" xfId="3755" xr:uid="{00000000-0005-0000-0000-0000F20B0000}"/>
    <cellStyle name="Calculation 5 4" xfId="9177" xr:uid="{00000000-0005-0000-0000-0000F30B0000}"/>
    <cellStyle name="Calculation 5 4 2" xfId="9182" xr:uid="{00000000-0005-0000-0000-0000F40B0000}"/>
    <cellStyle name="Calculation 5 4 2 2" xfId="9186" xr:uid="{00000000-0005-0000-0000-0000F50B0000}"/>
    <cellStyle name="Calculation 5 4 2 2 2" xfId="9193" xr:uid="{00000000-0005-0000-0000-0000F60B0000}"/>
    <cellStyle name="Calculation 5 4 2 2 2 2" xfId="4784" xr:uid="{00000000-0005-0000-0000-0000F70B0000}"/>
    <cellStyle name="Calculation 5 4 2 2 2 2 2" xfId="142" xr:uid="{00000000-0005-0000-0000-0000F80B0000}"/>
    <cellStyle name="Calculation 5 4 2 2 2 2 2 2" xfId="9197" xr:uid="{00000000-0005-0000-0000-0000F90B0000}"/>
    <cellStyle name="Calculation 5 4 2 2 2 2 2 3" xfId="9199" xr:uid="{00000000-0005-0000-0000-0000FA0B0000}"/>
    <cellStyle name="Calculation 5 4 2 2 2 2 2 4" xfId="9200" xr:uid="{00000000-0005-0000-0000-0000FB0B0000}"/>
    <cellStyle name="Calculation 5 4 2 2 2 2 3" xfId="233" xr:uid="{00000000-0005-0000-0000-0000FC0B0000}"/>
    <cellStyle name="Calculation 5 4 2 2 2 2 4" xfId="3853" xr:uid="{00000000-0005-0000-0000-0000FD0B0000}"/>
    <cellStyle name="Calculation 5 4 2 2 2 2 5" xfId="3930" xr:uid="{00000000-0005-0000-0000-0000FE0B0000}"/>
    <cellStyle name="Calculation 5 4 2 2 2 3" xfId="9202" xr:uid="{00000000-0005-0000-0000-0000FF0B0000}"/>
    <cellStyle name="Calculation 5 4 2 2 2 3 2" xfId="9205" xr:uid="{00000000-0005-0000-0000-0000000C0000}"/>
    <cellStyle name="Calculation 5 4 2 2 2 3 3" xfId="9206" xr:uid="{00000000-0005-0000-0000-0000010C0000}"/>
    <cellStyle name="Calculation 5 4 2 2 2 3 4" xfId="4017" xr:uid="{00000000-0005-0000-0000-0000020C0000}"/>
    <cellStyle name="Calculation 5 4 2 2 2 4" xfId="2126" xr:uid="{00000000-0005-0000-0000-0000030C0000}"/>
    <cellStyle name="Calculation 5 4 2 2 2 5" xfId="2153" xr:uid="{00000000-0005-0000-0000-0000040C0000}"/>
    <cellStyle name="Calculation 5 4 2 2 2 6" xfId="1137" xr:uid="{00000000-0005-0000-0000-0000050C0000}"/>
    <cellStyle name="Calculation 5 4 2 2 3" xfId="9210" xr:uid="{00000000-0005-0000-0000-0000060C0000}"/>
    <cellStyle name="Calculation 5 4 2 2 3 2" xfId="9220" xr:uid="{00000000-0005-0000-0000-0000070C0000}"/>
    <cellStyle name="Calculation 5 4 2 2 3 2 2" xfId="1147" xr:uid="{00000000-0005-0000-0000-0000080C0000}"/>
    <cellStyle name="Calculation 5 4 2 2 3 2 3" xfId="1158" xr:uid="{00000000-0005-0000-0000-0000090C0000}"/>
    <cellStyle name="Calculation 5 4 2 2 3 2 4" xfId="4099" xr:uid="{00000000-0005-0000-0000-00000A0C0000}"/>
    <cellStyle name="Calculation 5 4 2 2 3 3" xfId="9229" xr:uid="{00000000-0005-0000-0000-00000B0C0000}"/>
    <cellStyle name="Calculation 5 4 2 2 3 4" xfId="402" xr:uid="{00000000-0005-0000-0000-00000C0C0000}"/>
    <cellStyle name="Calculation 5 4 2 2 3 5" xfId="427" xr:uid="{00000000-0005-0000-0000-00000D0C0000}"/>
    <cellStyle name="Calculation 5 4 2 2 4" xfId="9233" xr:uid="{00000000-0005-0000-0000-00000E0C0000}"/>
    <cellStyle name="Calculation 5 4 2 2 4 2" xfId="154" xr:uid="{00000000-0005-0000-0000-00000F0C0000}"/>
    <cellStyle name="Calculation 5 4 2 2 4 3" xfId="9241" xr:uid="{00000000-0005-0000-0000-0000100C0000}"/>
    <cellStyle name="Calculation 5 4 2 2 4 4" xfId="9248" xr:uid="{00000000-0005-0000-0000-0000110C0000}"/>
    <cellStyle name="Calculation 5 4 2 2 5" xfId="9095" xr:uid="{00000000-0005-0000-0000-0000120C0000}"/>
    <cellStyle name="Calculation 5 4 2 2 6" xfId="6788" xr:uid="{00000000-0005-0000-0000-0000130C0000}"/>
    <cellStyle name="Calculation 5 4 2 2 7" xfId="6387" xr:uid="{00000000-0005-0000-0000-0000140C0000}"/>
    <cellStyle name="Calculation 5 4 2 3" xfId="9250" xr:uid="{00000000-0005-0000-0000-0000150C0000}"/>
    <cellStyle name="Calculation 5 4 2 3 2" xfId="9257" xr:uid="{00000000-0005-0000-0000-0000160C0000}"/>
    <cellStyle name="Calculation 5 4 2 3 2 2" xfId="3641" xr:uid="{00000000-0005-0000-0000-0000170C0000}"/>
    <cellStyle name="Calculation 5 4 2 3 2 2 2" xfId="8995" xr:uid="{00000000-0005-0000-0000-0000180C0000}"/>
    <cellStyle name="Calculation 5 4 2 3 2 2 3" xfId="8998" xr:uid="{00000000-0005-0000-0000-0000190C0000}"/>
    <cellStyle name="Calculation 5 4 2 3 2 2 4" xfId="4244" xr:uid="{00000000-0005-0000-0000-00001A0C0000}"/>
    <cellStyle name="Calculation 5 4 2 3 2 3" xfId="6492" xr:uid="{00000000-0005-0000-0000-00001B0C0000}"/>
    <cellStyle name="Calculation 5 4 2 3 2 4" xfId="9260" xr:uid="{00000000-0005-0000-0000-00001C0C0000}"/>
    <cellStyle name="Calculation 5 4 2 3 2 5" xfId="9263" xr:uid="{00000000-0005-0000-0000-00001D0C0000}"/>
    <cellStyle name="Calculation 5 4 2 3 3" xfId="9271" xr:uid="{00000000-0005-0000-0000-00001E0C0000}"/>
    <cellStyle name="Calculation 5 4 2 3 3 2" xfId="9278" xr:uid="{00000000-0005-0000-0000-00001F0C0000}"/>
    <cellStyle name="Calculation 5 4 2 3 3 3" xfId="9285" xr:uid="{00000000-0005-0000-0000-0000200C0000}"/>
    <cellStyle name="Calculation 5 4 2 3 3 4" xfId="9291" xr:uid="{00000000-0005-0000-0000-0000210C0000}"/>
    <cellStyle name="Calculation 5 4 2 3 4" xfId="9294" xr:uid="{00000000-0005-0000-0000-0000220C0000}"/>
    <cellStyle name="Calculation 5 4 2 3 5" xfId="9298" xr:uid="{00000000-0005-0000-0000-0000230C0000}"/>
    <cellStyle name="Calculation 5 4 2 3 6" xfId="8844" xr:uid="{00000000-0005-0000-0000-0000240C0000}"/>
    <cellStyle name="Calculation 5 4 2 4" xfId="9299" xr:uid="{00000000-0005-0000-0000-0000250C0000}"/>
    <cellStyle name="Calculation 5 4 2 4 2" xfId="9304" xr:uid="{00000000-0005-0000-0000-0000260C0000}"/>
    <cellStyle name="Calculation 5 4 2 4 2 2" xfId="9313" xr:uid="{00000000-0005-0000-0000-0000270C0000}"/>
    <cellStyle name="Calculation 5 4 2 4 2 3" xfId="53" xr:uid="{00000000-0005-0000-0000-0000280C0000}"/>
    <cellStyle name="Calculation 5 4 2 4 2 4" xfId="8899" xr:uid="{00000000-0005-0000-0000-0000290C0000}"/>
    <cellStyle name="Calculation 5 4 2 4 3" xfId="9317" xr:uid="{00000000-0005-0000-0000-00002A0C0000}"/>
    <cellStyle name="Calculation 5 4 2 4 4" xfId="9320" xr:uid="{00000000-0005-0000-0000-00002B0C0000}"/>
    <cellStyle name="Calculation 5 4 2 4 5" xfId="9323" xr:uid="{00000000-0005-0000-0000-00002C0C0000}"/>
    <cellStyle name="Calculation 5 4 2 5" xfId="9325" xr:uid="{00000000-0005-0000-0000-00002D0C0000}"/>
    <cellStyle name="Calculation 5 4 2 5 2" xfId="9329" xr:uid="{00000000-0005-0000-0000-00002E0C0000}"/>
    <cellStyle name="Calculation 5 4 2 5 3" xfId="9333" xr:uid="{00000000-0005-0000-0000-00002F0C0000}"/>
    <cellStyle name="Calculation 5 4 2 5 4" xfId="9338" xr:uid="{00000000-0005-0000-0000-0000300C0000}"/>
    <cellStyle name="Calculation 5 4 2 6" xfId="9341" xr:uid="{00000000-0005-0000-0000-0000310C0000}"/>
    <cellStyle name="Calculation 5 4 2 7" xfId="9345" xr:uid="{00000000-0005-0000-0000-0000320C0000}"/>
    <cellStyle name="Calculation 5 4 2 8" xfId="9348" xr:uid="{00000000-0005-0000-0000-0000330C0000}"/>
    <cellStyle name="Calculation 5 4 3" xfId="9353" xr:uid="{00000000-0005-0000-0000-0000340C0000}"/>
    <cellStyle name="Calculation 5 4 3 2" xfId="2774" xr:uid="{00000000-0005-0000-0000-0000350C0000}"/>
    <cellStyle name="Calculation 5 4 3 2 2" xfId="651" xr:uid="{00000000-0005-0000-0000-0000360C0000}"/>
    <cellStyle name="Calculation 5 4 3 2 2 2" xfId="7785" xr:uid="{00000000-0005-0000-0000-0000370C0000}"/>
    <cellStyle name="Calculation 5 4 3 2 2 2 2" xfId="2494" xr:uid="{00000000-0005-0000-0000-0000380C0000}"/>
    <cellStyle name="Calculation 5 4 3 2 2 2 3" xfId="9196" xr:uid="{00000000-0005-0000-0000-0000390C0000}"/>
    <cellStyle name="Calculation 5 4 3 2 2 2 4" xfId="9198" xr:uid="{00000000-0005-0000-0000-00003A0C0000}"/>
    <cellStyle name="Calculation 5 4 3 2 2 3" xfId="7791" xr:uid="{00000000-0005-0000-0000-00003B0C0000}"/>
    <cellStyle name="Calculation 5 4 3 2 2 4" xfId="7795" xr:uid="{00000000-0005-0000-0000-00003C0C0000}"/>
    <cellStyle name="Calculation 5 4 3 2 2 5" xfId="9360" xr:uid="{00000000-0005-0000-0000-00003D0C0000}"/>
    <cellStyle name="Calculation 5 4 3 2 3" xfId="666" xr:uid="{00000000-0005-0000-0000-00003E0C0000}"/>
    <cellStyle name="Calculation 5 4 3 2 3 2" xfId="7844" xr:uid="{00000000-0005-0000-0000-00003F0C0000}"/>
    <cellStyle name="Calculation 5 4 3 2 3 3" xfId="7852" xr:uid="{00000000-0005-0000-0000-0000400C0000}"/>
    <cellStyle name="Calculation 5 4 3 2 3 4" xfId="9372" xr:uid="{00000000-0005-0000-0000-0000410C0000}"/>
    <cellStyle name="Calculation 5 4 3 2 4" xfId="2787" xr:uid="{00000000-0005-0000-0000-0000420C0000}"/>
    <cellStyle name="Calculation 5 4 3 2 5" xfId="9375" xr:uid="{00000000-0005-0000-0000-0000430C0000}"/>
    <cellStyle name="Calculation 5 4 3 2 6" xfId="8851" xr:uid="{00000000-0005-0000-0000-0000440C0000}"/>
    <cellStyle name="Calculation 5 4 3 3" xfId="2796" xr:uid="{00000000-0005-0000-0000-0000450C0000}"/>
    <cellStyle name="Calculation 5 4 3 3 2" xfId="4669" xr:uid="{00000000-0005-0000-0000-0000460C0000}"/>
    <cellStyle name="Calculation 5 4 3 3 2 2" xfId="5966" xr:uid="{00000000-0005-0000-0000-0000470C0000}"/>
    <cellStyle name="Calculation 5 4 3 3 2 3" xfId="5972" xr:uid="{00000000-0005-0000-0000-0000480C0000}"/>
    <cellStyle name="Calculation 5 4 3 3 2 4" xfId="5978" xr:uid="{00000000-0005-0000-0000-0000490C0000}"/>
    <cellStyle name="Calculation 5 4 3 3 3" xfId="32" xr:uid="{00000000-0005-0000-0000-00004A0C0000}"/>
    <cellStyle name="Calculation 5 4 3 3 4" xfId="5985" xr:uid="{00000000-0005-0000-0000-00004B0C0000}"/>
    <cellStyle name="Calculation 5 4 3 3 5" xfId="5992" xr:uid="{00000000-0005-0000-0000-00004C0C0000}"/>
    <cellStyle name="Calculation 5 4 3 4" xfId="2815" xr:uid="{00000000-0005-0000-0000-00004D0C0000}"/>
    <cellStyle name="Calculation 5 4 3 4 2" xfId="4684" xr:uid="{00000000-0005-0000-0000-00004E0C0000}"/>
    <cellStyle name="Calculation 5 4 3 4 3" xfId="5998" xr:uid="{00000000-0005-0000-0000-00004F0C0000}"/>
    <cellStyle name="Calculation 5 4 3 4 4" xfId="6004" xr:uid="{00000000-0005-0000-0000-0000500C0000}"/>
    <cellStyle name="Calculation 5 4 3 5" xfId="2219" xr:uid="{00000000-0005-0000-0000-0000510C0000}"/>
    <cellStyle name="Calculation 5 4 3 6" xfId="6013" xr:uid="{00000000-0005-0000-0000-0000520C0000}"/>
    <cellStyle name="Calculation 5 4 3 7" xfId="6021" xr:uid="{00000000-0005-0000-0000-0000530C0000}"/>
    <cellStyle name="Calculation 5 4 4" xfId="9380" xr:uid="{00000000-0005-0000-0000-0000540C0000}"/>
    <cellStyle name="Calculation 5 4 4 2" xfId="2850" xr:uid="{00000000-0005-0000-0000-0000550C0000}"/>
    <cellStyle name="Calculation 5 4 4 2 2" xfId="9387" xr:uid="{00000000-0005-0000-0000-0000560C0000}"/>
    <cellStyle name="Calculation 5 4 4 2 2 2" xfId="6764" xr:uid="{00000000-0005-0000-0000-0000570C0000}"/>
    <cellStyle name="Calculation 5 4 4 2 2 3" xfId="8011" xr:uid="{00000000-0005-0000-0000-0000580C0000}"/>
    <cellStyle name="Calculation 5 4 4 2 2 4" xfId="9389" xr:uid="{00000000-0005-0000-0000-0000590C0000}"/>
    <cellStyle name="Calculation 5 4 4 2 3" xfId="9392" xr:uid="{00000000-0005-0000-0000-00005A0C0000}"/>
    <cellStyle name="Calculation 5 4 4 2 4" xfId="9399" xr:uid="{00000000-0005-0000-0000-00005B0C0000}"/>
    <cellStyle name="Calculation 5 4 4 2 5" xfId="9409" xr:uid="{00000000-0005-0000-0000-00005C0C0000}"/>
    <cellStyle name="Calculation 5 4 4 3" xfId="2862" xr:uid="{00000000-0005-0000-0000-00005D0C0000}"/>
    <cellStyle name="Calculation 5 4 4 3 2" xfId="4727" xr:uid="{00000000-0005-0000-0000-00005E0C0000}"/>
    <cellStyle name="Calculation 5 4 4 3 3" xfId="6040" xr:uid="{00000000-0005-0000-0000-00005F0C0000}"/>
    <cellStyle name="Calculation 5 4 4 3 4" xfId="6049" xr:uid="{00000000-0005-0000-0000-0000600C0000}"/>
    <cellStyle name="Calculation 5 4 4 4" xfId="2878" xr:uid="{00000000-0005-0000-0000-0000610C0000}"/>
    <cellStyle name="Calculation 5 4 4 5" xfId="6059" xr:uid="{00000000-0005-0000-0000-0000620C0000}"/>
    <cellStyle name="Calculation 5 4 4 6" xfId="6067" xr:uid="{00000000-0005-0000-0000-0000630C0000}"/>
    <cellStyle name="Calculation 5 4 5" xfId="9412" xr:uid="{00000000-0005-0000-0000-0000640C0000}"/>
    <cellStyle name="Calculation 5 4 5 2" xfId="2887" xr:uid="{00000000-0005-0000-0000-0000650C0000}"/>
    <cellStyle name="Calculation 5 4 5 2 2" xfId="9420" xr:uid="{00000000-0005-0000-0000-0000660C0000}"/>
    <cellStyle name="Calculation 5 4 5 2 3" xfId="9007" xr:uid="{00000000-0005-0000-0000-0000670C0000}"/>
    <cellStyle name="Calculation 5 4 5 2 4" xfId="9014" xr:uid="{00000000-0005-0000-0000-0000680C0000}"/>
    <cellStyle name="Calculation 5 4 5 3" xfId="2900" xr:uid="{00000000-0005-0000-0000-0000690C0000}"/>
    <cellStyle name="Calculation 5 4 5 4" xfId="6093" xr:uid="{00000000-0005-0000-0000-00006A0C0000}"/>
    <cellStyle name="Calculation 5 4 5 5" xfId="6110" xr:uid="{00000000-0005-0000-0000-00006B0C0000}"/>
    <cellStyle name="Calculation 5 4 6" xfId="9422" xr:uid="{00000000-0005-0000-0000-00006C0C0000}"/>
    <cellStyle name="Calculation 5 4 6 2" xfId="1228" xr:uid="{00000000-0005-0000-0000-00006D0C0000}"/>
    <cellStyle name="Calculation 5 4 6 3" xfId="1237" xr:uid="{00000000-0005-0000-0000-00006E0C0000}"/>
    <cellStyle name="Calculation 5 4 6 4" xfId="1252" xr:uid="{00000000-0005-0000-0000-00006F0C0000}"/>
    <cellStyle name="Calculation 5 4 7" xfId="9427" xr:uid="{00000000-0005-0000-0000-0000700C0000}"/>
    <cellStyle name="Calculation 5 4 8" xfId="9430" xr:uid="{00000000-0005-0000-0000-0000710C0000}"/>
    <cellStyle name="Calculation 5 4 9" xfId="7885" xr:uid="{00000000-0005-0000-0000-0000720C0000}"/>
    <cellStyle name="Calculation 5 5" xfId="9436" xr:uid="{00000000-0005-0000-0000-0000730C0000}"/>
    <cellStyle name="Calculation 5 5 2" xfId="9440" xr:uid="{00000000-0005-0000-0000-0000740C0000}"/>
    <cellStyle name="Calculation 5 5 2 2" xfId="460" xr:uid="{00000000-0005-0000-0000-0000750C0000}"/>
    <cellStyle name="Calculation 5 5 2 2 2" xfId="2233" xr:uid="{00000000-0005-0000-0000-0000760C0000}"/>
    <cellStyle name="Calculation 5 5 2 2 2 2" xfId="6054" xr:uid="{00000000-0005-0000-0000-0000770C0000}"/>
    <cellStyle name="Calculation 5 5 2 2 2 2 2" xfId="9445" xr:uid="{00000000-0005-0000-0000-0000780C0000}"/>
    <cellStyle name="Calculation 5 5 2 2 2 2 3" xfId="9446" xr:uid="{00000000-0005-0000-0000-0000790C0000}"/>
    <cellStyle name="Calculation 5 5 2 2 2 2 4" xfId="7660" xr:uid="{00000000-0005-0000-0000-00007A0C0000}"/>
    <cellStyle name="Calculation 5 5 2 2 2 3" xfId="9449" xr:uid="{00000000-0005-0000-0000-00007B0C0000}"/>
    <cellStyle name="Calculation 5 5 2 2 2 4" xfId="9451" xr:uid="{00000000-0005-0000-0000-00007C0C0000}"/>
    <cellStyle name="Calculation 5 5 2 2 2 5" xfId="1426" xr:uid="{00000000-0005-0000-0000-00007D0C0000}"/>
    <cellStyle name="Calculation 5 5 2 2 3" xfId="348" xr:uid="{00000000-0005-0000-0000-00007E0C0000}"/>
    <cellStyle name="Calculation 5 5 2 2 3 2" xfId="6104" xr:uid="{00000000-0005-0000-0000-00007F0C0000}"/>
    <cellStyle name="Calculation 5 5 2 2 3 3" xfId="7203" xr:uid="{00000000-0005-0000-0000-0000800C0000}"/>
    <cellStyle name="Calculation 5 5 2 2 3 4" xfId="9453" xr:uid="{00000000-0005-0000-0000-0000810C0000}"/>
    <cellStyle name="Calculation 5 5 2 2 4" xfId="8" xr:uid="{00000000-0005-0000-0000-0000820C0000}"/>
    <cellStyle name="Calculation 5 5 2 2 5" xfId="5812" xr:uid="{00000000-0005-0000-0000-0000830C0000}"/>
    <cellStyle name="Calculation 5 5 2 2 6" xfId="5816" xr:uid="{00000000-0005-0000-0000-0000840C0000}"/>
    <cellStyle name="Calculation 5 5 2 3" xfId="474" xr:uid="{00000000-0005-0000-0000-0000850C0000}"/>
    <cellStyle name="Calculation 5 5 2 3 2" xfId="551" xr:uid="{00000000-0005-0000-0000-0000860C0000}"/>
    <cellStyle name="Calculation 5 5 2 3 2 2" xfId="2391" xr:uid="{00000000-0005-0000-0000-0000870C0000}"/>
    <cellStyle name="Calculation 5 5 2 3 2 3" xfId="2406" xr:uid="{00000000-0005-0000-0000-0000880C0000}"/>
    <cellStyle name="Calculation 5 5 2 3 2 4" xfId="2427" xr:uid="{00000000-0005-0000-0000-0000890C0000}"/>
    <cellStyle name="Calculation 5 5 2 3 3" xfId="2349" xr:uid="{00000000-0005-0000-0000-00008A0C0000}"/>
    <cellStyle name="Calculation 5 5 2 3 4" xfId="9458" xr:uid="{00000000-0005-0000-0000-00008B0C0000}"/>
    <cellStyle name="Calculation 5 5 2 3 5" xfId="9460" xr:uid="{00000000-0005-0000-0000-00008C0C0000}"/>
    <cellStyle name="Calculation 5 5 2 4" xfId="497" xr:uid="{00000000-0005-0000-0000-00008D0C0000}"/>
    <cellStyle name="Calculation 5 5 2 4 2" xfId="1554" xr:uid="{00000000-0005-0000-0000-00008E0C0000}"/>
    <cellStyle name="Calculation 5 5 2 4 3" xfId="2372" xr:uid="{00000000-0005-0000-0000-00008F0C0000}"/>
    <cellStyle name="Calculation 5 5 2 4 4" xfId="9462" xr:uid="{00000000-0005-0000-0000-0000900C0000}"/>
    <cellStyle name="Calculation 5 5 2 5" xfId="554" xr:uid="{00000000-0005-0000-0000-0000910C0000}"/>
    <cellStyle name="Calculation 5 5 2 6" xfId="2359" xr:uid="{00000000-0005-0000-0000-0000920C0000}"/>
    <cellStyle name="Calculation 5 5 2 7" xfId="4188" xr:uid="{00000000-0005-0000-0000-0000930C0000}"/>
    <cellStyle name="Calculation 5 5 3" xfId="9465" xr:uid="{00000000-0005-0000-0000-0000940C0000}"/>
    <cellStyle name="Calculation 5 5 3 2" xfId="2978" xr:uid="{00000000-0005-0000-0000-0000950C0000}"/>
    <cellStyle name="Calculation 5 5 3 2 2" xfId="9471" xr:uid="{00000000-0005-0000-0000-0000960C0000}"/>
    <cellStyle name="Calculation 5 5 3 2 2 2" xfId="8146" xr:uid="{00000000-0005-0000-0000-0000970C0000}"/>
    <cellStyle name="Calculation 5 5 3 2 2 3" xfId="8149" xr:uid="{00000000-0005-0000-0000-0000980C0000}"/>
    <cellStyle name="Calculation 5 5 3 2 2 4" xfId="9472" xr:uid="{00000000-0005-0000-0000-0000990C0000}"/>
    <cellStyle name="Calculation 5 5 3 2 3" xfId="9475" xr:uid="{00000000-0005-0000-0000-00009A0C0000}"/>
    <cellStyle name="Calculation 5 5 3 2 4" xfId="9476" xr:uid="{00000000-0005-0000-0000-00009B0C0000}"/>
    <cellStyle name="Calculation 5 5 3 2 5" xfId="7429" xr:uid="{00000000-0005-0000-0000-00009C0C0000}"/>
    <cellStyle name="Calculation 5 5 3 3" xfId="1516" xr:uid="{00000000-0005-0000-0000-00009D0C0000}"/>
    <cellStyle name="Calculation 5 5 3 3 2" xfId="4492" xr:uid="{00000000-0005-0000-0000-00009E0C0000}"/>
    <cellStyle name="Calculation 5 5 3 3 3" xfId="4644" xr:uid="{00000000-0005-0000-0000-00009F0C0000}"/>
    <cellStyle name="Calculation 5 5 3 3 4" xfId="4708" xr:uid="{00000000-0005-0000-0000-0000A00C0000}"/>
    <cellStyle name="Calculation 5 5 3 4" xfId="1535" xr:uid="{00000000-0005-0000-0000-0000A10C0000}"/>
    <cellStyle name="Calculation 5 5 3 5" xfId="1549" xr:uid="{00000000-0005-0000-0000-0000A20C0000}"/>
    <cellStyle name="Calculation 5 5 3 6" xfId="2364" xr:uid="{00000000-0005-0000-0000-0000A30C0000}"/>
    <cellStyle name="Calculation 5 5 4" xfId="9478" xr:uid="{00000000-0005-0000-0000-0000A40C0000}"/>
    <cellStyle name="Calculation 5 5 4 2" xfId="614" xr:uid="{00000000-0005-0000-0000-0000A50C0000}"/>
    <cellStyle name="Calculation 5 5 4 2 2" xfId="9482" xr:uid="{00000000-0005-0000-0000-0000A60C0000}"/>
    <cellStyle name="Calculation 5 5 4 2 3" xfId="9485" xr:uid="{00000000-0005-0000-0000-0000A70C0000}"/>
    <cellStyle name="Calculation 5 5 4 2 4" xfId="9491" xr:uid="{00000000-0005-0000-0000-0000A80C0000}"/>
    <cellStyle name="Calculation 5 5 4 3" xfId="716" xr:uid="{00000000-0005-0000-0000-0000A90C0000}"/>
    <cellStyle name="Calculation 5 5 4 4" xfId="757" xr:uid="{00000000-0005-0000-0000-0000AA0C0000}"/>
    <cellStyle name="Calculation 5 5 4 5" xfId="2387" xr:uid="{00000000-0005-0000-0000-0000AB0C0000}"/>
    <cellStyle name="Calculation 5 5 5" xfId="9493" xr:uid="{00000000-0005-0000-0000-0000AC0C0000}"/>
    <cellStyle name="Calculation 5 5 5 2" xfId="9498" xr:uid="{00000000-0005-0000-0000-0000AD0C0000}"/>
    <cellStyle name="Calculation 5 5 5 3" xfId="9502" xr:uid="{00000000-0005-0000-0000-0000AE0C0000}"/>
    <cellStyle name="Calculation 5 5 5 4" xfId="9503" xr:uid="{00000000-0005-0000-0000-0000AF0C0000}"/>
    <cellStyle name="Calculation 5 5 6" xfId="9507" xr:uid="{00000000-0005-0000-0000-0000B00C0000}"/>
    <cellStyle name="Calculation 5 5 7" xfId="9512" xr:uid="{00000000-0005-0000-0000-0000B10C0000}"/>
    <cellStyle name="Calculation 5 5 8" xfId="9516" xr:uid="{00000000-0005-0000-0000-0000B20C0000}"/>
    <cellStyle name="Calculation 5 6" xfId="9522" xr:uid="{00000000-0005-0000-0000-0000B30C0000}"/>
    <cellStyle name="Calculation 5 6 2" xfId="9525" xr:uid="{00000000-0005-0000-0000-0000B40C0000}"/>
    <cellStyle name="Calculation 5 6 2 2" xfId="9527" xr:uid="{00000000-0005-0000-0000-0000B50C0000}"/>
    <cellStyle name="Calculation 5 6 2 2 2" xfId="5344" xr:uid="{00000000-0005-0000-0000-0000B60C0000}"/>
    <cellStyle name="Calculation 5 6 2 2 2 2" xfId="5476" xr:uid="{00000000-0005-0000-0000-0000B70C0000}"/>
    <cellStyle name="Calculation 5 6 2 2 2 3" xfId="7214" xr:uid="{00000000-0005-0000-0000-0000B80C0000}"/>
    <cellStyle name="Calculation 5 6 2 2 2 4" xfId="7238" xr:uid="{00000000-0005-0000-0000-0000B90C0000}"/>
    <cellStyle name="Calculation 5 6 2 2 3" xfId="5246" xr:uid="{00000000-0005-0000-0000-0000BA0C0000}"/>
    <cellStyle name="Calculation 5 6 2 2 4" xfId="5258" xr:uid="{00000000-0005-0000-0000-0000BB0C0000}"/>
    <cellStyle name="Calculation 5 6 2 2 5" xfId="5262" xr:uid="{00000000-0005-0000-0000-0000BC0C0000}"/>
    <cellStyle name="Calculation 5 6 2 3" xfId="9531" xr:uid="{00000000-0005-0000-0000-0000BD0C0000}"/>
    <cellStyle name="Calculation 5 6 2 3 2" xfId="9537" xr:uid="{00000000-0005-0000-0000-0000BE0C0000}"/>
    <cellStyle name="Calculation 5 6 2 3 3" xfId="5148" xr:uid="{00000000-0005-0000-0000-0000BF0C0000}"/>
    <cellStyle name="Calculation 5 6 2 3 4" xfId="5305" xr:uid="{00000000-0005-0000-0000-0000C00C0000}"/>
    <cellStyle name="Calculation 5 6 2 4" xfId="9539" xr:uid="{00000000-0005-0000-0000-0000C10C0000}"/>
    <cellStyle name="Calculation 5 6 2 5" xfId="9544" xr:uid="{00000000-0005-0000-0000-0000C20C0000}"/>
    <cellStyle name="Calculation 5 6 2 6" xfId="9549" xr:uid="{00000000-0005-0000-0000-0000C30C0000}"/>
    <cellStyle name="Calculation 5 6 3" xfId="9551" xr:uid="{00000000-0005-0000-0000-0000C40C0000}"/>
    <cellStyle name="Calculation 5 6 3 2" xfId="2996" xr:uid="{00000000-0005-0000-0000-0000C50C0000}"/>
    <cellStyle name="Calculation 5 6 3 2 2" xfId="9554" xr:uid="{00000000-0005-0000-0000-0000C60C0000}"/>
    <cellStyle name="Calculation 5 6 3 2 3" xfId="5394" xr:uid="{00000000-0005-0000-0000-0000C70C0000}"/>
    <cellStyle name="Calculation 5 6 3 2 4" xfId="7293" xr:uid="{00000000-0005-0000-0000-0000C80C0000}"/>
    <cellStyle name="Calculation 5 6 3 3" xfId="3011" xr:uid="{00000000-0005-0000-0000-0000C90C0000}"/>
    <cellStyle name="Calculation 5 6 3 4" xfId="3381" xr:uid="{00000000-0005-0000-0000-0000CA0C0000}"/>
    <cellStyle name="Calculation 5 6 3 5" xfId="3398" xr:uid="{00000000-0005-0000-0000-0000CB0C0000}"/>
    <cellStyle name="Calculation 5 6 4" xfId="9555" xr:uid="{00000000-0005-0000-0000-0000CC0C0000}"/>
    <cellStyle name="Calculation 5 6 4 2" xfId="9558" xr:uid="{00000000-0005-0000-0000-0000CD0C0000}"/>
    <cellStyle name="Calculation 5 6 4 3" xfId="9566" xr:uid="{00000000-0005-0000-0000-0000CE0C0000}"/>
    <cellStyle name="Calculation 5 6 4 4" xfId="9570" xr:uid="{00000000-0005-0000-0000-0000CF0C0000}"/>
    <cellStyle name="Calculation 5 6 5" xfId="7008" xr:uid="{00000000-0005-0000-0000-0000D00C0000}"/>
    <cellStyle name="Calculation 5 6 6" xfId="7011" xr:uid="{00000000-0005-0000-0000-0000D10C0000}"/>
    <cellStyle name="Calculation 5 6 7" xfId="7014" xr:uid="{00000000-0005-0000-0000-0000D20C0000}"/>
    <cellStyle name="Calculation 5 7" xfId="9576" xr:uid="{00000000-0005-0000-0000-0000D30C0000}"/>
    <cellStyle name="Calculation 5 7 2" xfId="9578" xr:uid="{00000000-0005-0000-0000-0000D40C0000}"/>
    <cellStyle name="Calculation 5 7 2 2" xfId="9579" xr:uid="{00000000-0005-0000-0000-0000D50C0000}"/>
    <cellStyle name="Calculation 5 7 2 2 2" xfId="9581" xr:uid="{00000000-0005-0000-0000-0000D60C0000}"/>
    <cellStyle name="Calculation 5 7 2 2 3" xfId="9582" xr:uid="{00000000-0005-0000-0000-0000D70C0000}"/>
    <cellStyle name="Calculation 5 7 2 2 4" xfId="9583" xr:uid="{00000000-0005-0000-0000-0000D80C0000}"/>
    <cellStyle name="Calculation 5 7 2 3" xfId="9584" xr:uid="{00000000-0005-0000-0000-0000D90C0000}"/>
    <cellStyle name="Calculation 5 7 2 4" xfId="9587" xr:uid="{00000000-0005-0000-0000-0000DA0C0000}"/>
    <cellStyle name="Calculation 5 7 2 5" xfId="9590" xr:uid="{00000000-0005-0000-0000-0000DB0C0000}"/>
    <cellStyle name="Calculation 5 7 3" xfId="9591" xr:uid="{00000000-0005-0000-0000-0000DC0C0000}"/>
    <cellStyle name="Calculation 5 7 3 2" xfId="9592" xr:uid="{00000000-0005-0000-0000-0000DD0C0000}"/>
    <cellStyle name="Calculation 5 7 3 3" xfId="9594" xr:uid="{00000000-0005-0000-0000-0000DE0C0000}"/>
    <cellStyle name="Calculation 5 7 3 4" xfId="9596" xr:uid="{00000000-0005-0000-0000-0000DF0C0000}"/>
    <cellStyle name="Calculation 5 7 4" xfId="9597" xr:uid="{00000000-0005-0000-0000-0000E00C0000}"/>
    <cellStyle name="Calculation 5 7 5" xfId="9598" xr:uid="{00000000-0005-0000-0000-0000E10C0000}"/>
    <cellStyle name="Calculation 5 7 6" xfId="9599" xr:uid="{00000000-0005-0000-0000-0000E20C0000}"/>
    <cellStyle name="Calculation 5 8" xfId="9600" xr:uid="{00000000-0005-0000-0000-0000E30C0000}"/>
    <cellStyle name="Calculation 5 8 2" xfId="9602" xr:uid="{00000000-0005-0000-0000-0000E40C0000}"/>
    <cellStyle name="Calculation 5 8 2 2" xfId="582" xr:uid="{00000000-0005-0000-0000-0000E50C0000}"/>
    <cellStyle name="Calculation 5 8 2 3" xfId="9603" xr:uid="{00000000-0005-0000-0000-0000E60C0000}"/>
    <cellStyle name="Calculation 5 8 2 4" xfId="9605" xr:uid="{00000000-0005-0000-0000-0000E70C0000}"/>
    <cellStyle name="Calculation 5 8 3" xfId="2328" xr:uid="{00000000-0005-0000-0000-0000E80C0000}"/>
    <cellStyle name="Calculation 5 8 4" xfId="3557" xr:uid="{00000000-0005-0000-0000-0000E90C0000}"/>
    <cellStyle name="Calculation 5 8 5" xfId="3571" xr:uid="{00000000-0005-0000-0000-0000EA0C0000}"/>
    <cellStyle name="Calculation 5 9" xfId="9606" xr:uid="{00000000-0005-0000-0000-0000EB0C0000}"/>
    <cellStyle name="Calculation 5 9 2" xfId="2229" xr:uid="{00000000-0005-0000-0000-0000EC0C0000}"/>
    <cellStyle name="Calculation 5 9 3" xfId="336" xr:uid="{00000000-0005-0000-0000-0000ED0C0000}"/>
    <cellStyle name="Calculation 5 9 4" xfId="17" xr:uid="{00000000-0005-0000-0000-0000EE0C0000}"/>
    <cellStyle name="Calculation 6" xfId="7690" xr:uid="{00000000-0005-0000-0000-0000EF0C0000}"/>
    <cellStyle name="Calculation 6 10" xfId="9610" xr:uid="{00000000-0005-0000-0000-0000F00C0000}"/>
    <cellStyle name="Calculation 6 11" xfId="9612" xr:uid="{00000000-0005-0000-0000-0000F10C0000}"/>
    <cellStyle name="Calculation 6 12" xfId="9614" xr:uid="{00000000-0005-0000-0000-0000F20C0000}"/>
    <cellStyle name="Calculation 6 13" xfId="9534" xr:uid="{00000000-0005-0000-0000-0000F30C0000}"/>
    <cellStyle name="Calculation 6 2" xfId="6575" xr:uid="{00000000-0005-0000-0000-0000F40C0000}"/>
    <cellStyle name="Calculation 6 2 10" xfId="3800" xr:uid="{00000000-0005-0000-0000-0000F50C0000}"/>
    <cellStyle name="Calculation 6 2 11" xfId="4271" xr:uid="{00000000-0005-0000-0000-0000F60C0000}"/>
    <cellStyle name="Calculation 6 2 12" xfId="9621" xr:uid="{00000000-0005-0000-0000-0000F70C0000}"/>
    <cellStyle name="Calculation 6 2 2" xfId="2839" xr:uid="{00000000-0005-0000-0000-0000F80C0000}"/>
    <cellStyle name="Calculation 6 2 2 2" xfId="1645" xr:uid="{00000000-0005-0000-0000-0000F90C0000}"/>
    <cellStyle name="Calculation 6 2 2 2 2" xfId="516" xr:uid="{00000000-0005-0000-0000-0000FA0C0000}"/>
    <cellStyle name="Calculation 6 2 2 2 2 2" xfId="1979" xr:uid="{00000000-0005-0000-0000-0000FB0C0000}"/>
    <cellStyle name="Calculation 6 2 2 2 2 2 2" xfId="1986" xr:uid="{00000000-0005-0000-0000-0000FC0C0000}"/>
    <cellStyle name="Calculation 6 2 2 2 2 2 2 2" xfId="1992" xr:uid="{00000000-0005-0000-0000-0000FD0C0000}"/>
    <cellStyle name="Calculation 6 2 2 2 2 2 2 2 2" xfId="1291" xr:uid="{00000000-0005-0000-0000-0000FE0C0000}"/>
    <cellStyle name="Calculation 6 2 2 2 2 2 2 2 3" xfId="9623" xr:uid="{00000000-0005-0000-0000-0000FF0C0000}"/>
    <cellStyle name="Calculation 6 2 2 2 2 2 2 2 4" xfId="9629" xr:uid="{00000000-0005-0000-0000-0000000D0000}"/>
    <cellStyle name="Calculation 6 2 2 2 2 2 2 3" xfId="1999" xr:uid="{00000000-0005-0000-0000-0000010D0000}"/>
    <cellStyle name="Calculation 6 2 2 2 2 2 2 4" xfId="2013" xr:uid="{00000000-0005-0000-0000-0000020D0000}"/>
    <cellStyle name="Calculation 6 2 2 2 2 2 2 5" xfId="9633" xr:uid="{00000000-0005-0000-0000-0000030D0000}"/>
    <cellStyle name="Calculation 6 2 2 2 2 2 3" xfId="2024" xr:uid="{00000000-0005-0000-0000-0000040D0000}"/>
    <cellStyle name="Calculation 6 2 2 2 2 2 3 2" xfId="2033" xr:uid="{00000000-0005-0000-0000-0000050D0000}"/>
    <cellStyle name="Calculation 6 2 2 2 2 2 3 3" xfId="9640" xr:uid="{00000000-0005-0000-0000-0000060D0000}"/>
    <cellStyle name="Calculation 6 2 2 2 2 2 3 4" xfId="9645" xr:uid="{00000000-0005-0000-0000-0000070D0000}"/>
    <cellStyle name="Calculation 6 2 2 2 2 2 4" xfId="2042" xr:uid="{00000000-0005-0000-0000-0000080D0000}"/>
    <cellStyle name="Calculation 6 2 2 2 2 2 5" xfId="2066" xr:uid="{00000000-0005-0000-0000-0000090D0000}"/>
    <cellStyle name="Calculation 6 2 2 2 2 2 6" xfId="2080" xr:uid="{00000000-0005-0000-0000-00000A0D0000}"/>
    <cellStyle name="Calculation 6 2 2 2 2 3" xfId="2104" xr:uid="{00000000-0005-0000-0000-00000B0D0000}"/>
    <cellStyle name="Calculation 6 2 2 2 2 3 2" xfId="9648" xr:uid="{00000000-0005-0000-0000-00000C0D0000}"/>
    <cellStyle name="Calculation 6 2 2 2 2 3 2 2" xfId="9655" xr:uid="{00000000-0005-0000-0000-00000D0D0000}"/>
    <cellStyle name="Calculation 6 2 2 2 2 3 2 3" xfId="9661" xr:uid="{00000000-0005-0000-0000-00000E0D0000}"/>
    <cellStyle name="Calculation 6 2 2 2 2 3 2 4" xfId="9667" xr:uid="{00000000-0005-0000-0000-00000F0D0000}"/>
    <cellStyle name="Calculation 6 2 2 2 2 3 3" xfId="9673" xr:uid="{00000000-0005-0000-0000-0000100D0000}"/>
    <cellStyle name="Calculation 6 2 2 2 2 3 4" xfId="9187" xr:uid="{00000000-0005-0000-0000-0000110D0000}"/>
    <cellStyle name="Calculation 6 2 2 2 2 3 5" xfId="9251" xr:uid="{00000000-0005-0000-0000-0000120D0000}"/>
    <cellStyle name="Calculation 6 2 2 2 2 4" xfId="2111" xr:uid="{00000000-0005-0000-0000-0000130D0000}"/>
    <cellStyle name="Calculation 6 2 2 2 2 4 2" xfId="9681" xr:uid="{00000000-0005-0000-0000-0000140D0000}"/>
    <cellStyle name="Calculation 6 2 2 2 2 4 3" xfId="2761" xr:uid="{00000000-0005-0000-0000-0000150D0000}"/>
    <cellStyle name="Calculation 6 2 2 2 2 4 4" xfId="2775" xr:uid="{00000000-0005-0000-0000-0000160D0000}"/>
    <cellStyle name="Calculation 6 2 2 2 2 5" xfId="3176" xr:uid="{00000000-0005-0000-0000-0000170D0000}"/>
    <cellStyle name="Calculation 6 2 2 2 2 6" xfId="9695" xr:uid="{00000000-0005-0000-0000-0000180D0000}"/>
    <cellStyle name="Calculation 6 2 2 2 2 7" xfId="9704" xr:uid="{00000000-0005-0000-0000-0000190D0000}"/>
    <cellStyle name="Calculation 6 2 2 2 3" xfId="575" xr:uid="{00000000-0005-0000-0000-00001A0D0000}"/>
    <cellStyle name="Calculation 6 2 2 2 3 2" xfId="2120" xr:uid="{00000000-0005-0000-0000-00001B0D0000}"/>
    <cellStyle name="Calculation 6 2 2 2 3 2 2" xfId="2129" xr:uid="{00000000-0005-0000-0000-00001C0D0000}"/>
    <cellStyle name="Calculation 6 2 2 2 3 2 2 2" xfId="2143" xr:uid="{00000000-0005-0000-0000-00001D0D0000}"/>
    <cellStyle name="Calculation 6 2 2 2 3 2 2 3" xfId="1189" xr:uid="{00000000-0005-0000-0000-00001E0D0000}"/>
    <cellStyle name="Calculation 6 2 2 2 3 2 2 4" xfId="1301" xr:uid="{00000000-0005-0000-0000-00001F0D0000}"/>
    <cellStyle name="Calculation 6 2 2 2 3 2 3" xfId="2156" xr:uid="{00000000-0005-0000-0000-0000200D0000}"/>
    <cellStyle name="Calculation 6 2 2 2 3 2 4" xfId="1140" xr:uid="{00000000-0005-0000-0000-0000210D0000}"/>
    <cellStyle name="Calculation 6 2 2 2 3 2 5" xfId="2177" xr:uid="{00000000-0005-0000-0000-0000220D0000}"/>
    <cellStyle name="Calculation 6 2 2 2 3 3" xfId="2239" xr:uid="{00000000-0005-0000-0000-0000230D0000}"/>
    <cellStyle name="Calculation 6 2 2 2 3 3 2" xfId="393" xr:uid="{00000000-0005-0000-0000-0000240D0000}"/>
    <cellStyle name="Calculation 6 2 2 2 3 3 3" xfId="422" xr:uid="{00000000-0005-0000-0000-0000250D0000}"/>
    <cellStyle name="Calculation 6 2 2 2 3 3 4" xfId="459" xr:uid="{00000000-0005-0000-0000-0000260D0000}"/>
    <cellStyle name="Calculation 6 2 2 2 3 4" xfId="1927" xr:uid="{00000000-0005-0000-0000-0000270D0000}"/>
    <cellStyle name="Calculation 6 2 2 2 3 5" xfId="9708" xr:uid="{00000000-0005-0000-0000-0000280D0000}"/>
    <cellStyle name="Calculation 6 2 2 2 3 6" xfId="9721" xr:uid="{00000000-0005-0000-0000-0000290D0000}"/>
    <cellStyle name="Calculation 6 2 2 2 4" xfId="3188" xr:uid="{00000000-0005-0000-0000-00002A0D0000}"/>
    <cellStyle name="Calculation 6 2 2 2 4 2" xfId="4884" xr:uid="{00000000-0005-0000-0000-00002B0D0000}"/>
    <cellStyle name="Calculation 6 2 2 2 4 2 2" xfId="9261" xr:uid="{00000000-0005-0000-0000-00002C0D0000}"/>
    <cellStyle name="Calculation 6 2 2 2 4 2 3" xfId="9266" xr:uid="{00000000-0005-0000-0000-00002D0D0000}"/>
    <cellStyle name="Calculation 6 2 2 2 4 2 4" xfId="9724" xr:uid="{00000000-0005-0000-0000-00002E0D0000}"/>
    <cellStyle name="Calculation 6 2 2 2 4 3" xfId="6343" xr:uid="{00000000-0005-0000-0000-00002F0D0000}"/>
    <cellStyle name="Calculation 6 2 2 2 4 4" xfId="407" xr:uid="{00000000-0005-0000-0000-0000300D0000}"/>
    <cellStyle name="Calculation 6 2 2 2 4 5" xfId="9730" xr:uid="{00000000-0005-0000-0000-0000310D0000}"/>
    <cellStyle name="Calculation 6 2 2 2 5" xfId="739" xr:uid="{00000000-0005-0000-0000-0000320D0000}"/>
    <cellStyle name="Calculation 6 2 2 2 5 2" xfId="9737" xr:uid="{00000000-0005-0000-0000-0000330D0000}"/>
    <cellStyle name="Calculation 6 2 2 2 5 3" xfId="9740" xr:uid="{00000000-0005-0000-0000-0000340D0000}"/>
    <cellStyle name="Calculation 6 2 2 2 5 4" xfId="9745" xr:uid="{00000000-0005-0000-0000-0000350D0000}"/>
    <cellStyle name="Calculation 6 2 2 2 6" xfId="2528" xr:uid="{00000000-0005-0000-0000-0000360D0000}"/>
    <cellStyle name="Calculation 6 2 2 2 7" xfId="6354" xr:uid="{00000000-0005-0000-0000-0000370D0000}"/>
    <cellStyle name="Calculation 6 2 2 2 8" xfId="7553" xr:uid="{00000000-0005-0000-0000-0000380D0000}"/>
    <cellStyle name="Calculation 6 2 2 3" xfId="3194" xr:uid="{00000000-0005-0000-0000-0000390D0000}"/>
    <cellStyle name="Calculation 6 2 2 3 2" xfId="3202" xr:uid="{00000000-0005-0000-0000-00003A0D0000}"/>
    <cellStyle name="Calculation 6 2 2 3 2 2" xfId="3215" xr:uid="{00000000-0005-0000-0000-00003B0D0000}"/>
    <cellStyle name="Calculation 6 2 2 3 2 2 2" xfId="2769" xr:uid="{00000000-0005-0000-0000-00003C0D0000}"/>
    <cellStyle name="Calculation 6 2 2 3 2 2 2 2" xfId="9753" xr:uid="{00000000-0005-0000-0000-00003D0D0000}"/>
    <cellStyle name="Calculation 6 2 2 3 2 2 2 3" xfId="4235" xr:uid="{00000000-0005-0000-0000-00003E0D0000}"/>
    <cellStyle name="Calculation 6 2 2 3 2 2 2 4" xfId="1665" xr:uid="{00000000-0005-0000-0000-00003F0D0000}"/>
    <cellStyle name="Calculation 6 2 2 3 2 2 3" xfId="9755" xr:uid="{00000000-0005-0000-0000-0000400D0000}"/>
    <cellStyle name="Calculation 6 2 2 3 2 2 4" xfId="3627" xr:uid="{00000000-0005-0000-0000-0000410D0000}"/>
    <cellStyle name="Calculation 6 2 2 3 2 2 5" xfId="3643" xr:uid="{00000000-0005-0000-0000-0000420D0000}"/>
    <cellStyle name="Calculation 6 2 2 3 2 3" xfId="3218" xr:uid="{00000000-0005-0000-0000-0000430D0000}"/>
    <cellStyle name="Calculation 6 2 2 3 2 3 2" xfId="9759" xr:uid="{00000000-0005-0000-0000-0000440D0000}"/>
    <cellStyle name="Calculation 6 2 2 3 2 3 3" xfId="9769" xr:uid="{00000000-0005-0000-0000-0000450D0000}"/>
    <cellStyle name="Calculation 6 2 2 3 2 3 4" xfId="3674" xr:uid="{00000000-0005-0000-0000-0000460D0000}"/>
    <cellStyle name="Calculation 6 2 2 3 2 4" xfId="3225" xr:uid="{00000000-0005-0000-0000-0000470D0000}"/>
    <cellStyle name="Calculation 6 2 2 3 2 5" xfId="9779" xr:uid="{00000000-0005-0000-0000-0000480D0000}"/>
    <cellStyle name="Calculation 6 2 2 3 2 6" xfId="9794" xr:uid="{00000000-0005-0000-0000-0000490D0000}"/>
    <cellStyle name="Calculation 6 2 2 3 3" xfId="3238" xr:uid="{00000000-0005-0000-0000-00004A0D0000}"/>
    <cellStyle name="Calculation 6 2 2 3 3 2" xfId="9798" xr:uid="{00000000-0005-0000-0000-00004B0D0000}"/>
    <cellStyle name="Calculation 6 2 2 3 3 2 2" xfId="7799" xr:uid="{00000000-0005-0000-0000-00004C0D0000}"/>
    <cellStyle name="Calculation 6 2 2 3 3 2 3" xfId="9363" xr:uid="{00000000-0005-0000-0000-00004D0D0000}"/>
    <cellStyle name="Calculation 6 2 2 3 3 2 4" xfId="1265" xr:uid="{00000000-0005-0000-0000-00004E0D0000}"/>
    <cellStyle name="Calculation 6 2 2 3 3 3" xfId="9803" xr:uid="{00000000-0005-0000-0000-00004F0D0000}"/>
    <cellStyle name="Calculation 6 2 2 3 3 4" xfId="9816" xr:uid="{00000000-0005-0000-0000-0000500D0000}"/>
    <cellStyle name="Calculation 6 2 2 3 3 5" xfId="9826" xr:uid="{00000000-0005-0000-0000-0000510D0000}"/>
    <cellStyle name="Calculation 6 2 2 3 4" xfId="3241" xr:uid="{00000000-0005-0000-0000-0000520D0000}"/>
    <cellStyle name="Calculation 6 2 2 3 4 2" xfId="9830" xr:uid="{00000000-0005-0000-0000-0000530D0000}"/>
    <cellStyle name="Calculation 6 2 2 3 4 3" xfId="9835" xr:uid="{00000000-0005-0000-0000-0000540D0000}"/>
    <cellStyle name="Calculation 6 2 2 3 4 4" xfId="9840" xr:uid="{00000000-0005-0000-0000-0000550D0000}"/>
    <cellStyle name="Calculation 6 2 2 3 5" xfId="626" xr:uid="{00000000-0005-0000-0000-0000560D0000}"/>
    <cellStyle name="Calculation 6 2 2 3 6" xfId="6370" xr:uid="{00000000-0005-0000-0000-0000570D0000}"/>
    <cellStyle name="Calculation 6 2 2 3 7" xfId="9846" xr:uid="{00000000-0005-0000-0000-0000580D0000}"/>
    <cellStyle name="Calculation 6 2 2 4" xfId="2302" xr:uid="{00000000-0005-0000-0000-0000590D0000}"/>
    <cellStyle name="Calculation 6 2 2 4 2" xfId="3249" xr:uid="{00000000-0005-0000-0000-00005A0D0000}"/>
    <cellStyle name="Calculation 6 2 2 4 2 2" xfId="7654" xr:uid="{00000000-0005-0000-0000-00005B0D0000}"/>
    <cellStyle name="Calculation 6 2 2 4 2 2 2" xfId="9851" xr:uid="{00000000-0005-0000-0000-00005C0D0000}"/>
    <cellStyle name="Calculation 6 2 2 4 2 2 3" xfId="9852" xr:uid="{00000000-0005-0000-0000-00005D0D0000}"/>
    <cellStyle name="Calculation 6 2 2 4 2 2 4" xfId="4104" xr:uid="{00000000-0005-0000-0000-00005E0D0000}"/>
    <cellStyle name="Calculation 6 2 2 4 2 3" xfId="9114" xr:uid="{00000000-0005-0000-0000-00005F0D0000}"/>
    <cellStyle name="Calculation 6 2 2 4 2 4" xfId="9120" xr:uid="{00000000-0005-0000-0000-0000600D0000}"/>
    <cellStyle name="Calculation 6 2 2 4 2 5" xfId="9131" xr:uid="{00000000-0005-0000-0000-0000610D0000}"/>
    <cellStyle name="Calculation 6 2 2 4 3" xfId="3252" xr:uid="{00000000-0005-0000-0000-0000620D0000}"/>
    <cellStyle name="Calculation 6 2 2 4 3 2" xfId="9853" xr:uid="{00000000-0005-0000-0000-0000630D0000}"/>
    <cellStyle name="Calculation 6 2 2 4 3 3" xfId="9857" xr:uid="{00000000-0005-0000-0000-0000640D0000}"/>
    <cellStyle name="Calculation 6 2 2 4 3 4" xfId="9862" xr:uid="{00000000-0005-0000-0000-0000650D0000}"/>
    <cellStyle name="Calculation 6 2 2 4 4" xfId="680" xr:uid="{00000000-0005-0000-0000-0000660D0000}"/>
    <cellStyle name="Calculation 6 2 2 4 5" xfId="9864" xr:uid="{00000000-0005-0000-0000-0000670D0000}"/>
    <cellStyle name="Calculation 6 2 2 4 6" xfId="9868" xr:uid="{00000000-0005-0000-0000-0000680D0000}"/>
    <cellStyle name="Calculation 6 2 2 5" xfId="2310" xr:uid="{00000000-0005-0000-0000-0000690D0000}"/>
    <cellStyle name="Calculation 6 2 2 5 2" xfId="6672" xr:uid="{00000000-0005-0000-0000-00006A0D0000}"/>
    <cellStyle name="Calculation 6 2 2 5 2 2" xfId="9870" xr:uid="{00000000-0005-0000-0000-00006B0D0000}"/>
    <cellStyle name="Calculation 6 2 2 5 2 3" xfId="9872" xr:uid="{00000000-0005-0000-0000-00006C0D0000}"/>
    <cellStyle name="Calculation 6 2 2 5 2 4" xfId="9877" xr:uid="{00000000-0005-0000-0000-00006D0D0000}"/>
    <cellStyle name="Calculation 6 2 2 5 3" xfId="9878" xr:uid="{00000000-0005-0000-0000-00006E0D0000}"/>
    <cellStyle name="Calculation 6 2 2 5 4" xfId="9881" xr:uid="{00000000-0005-0000-0000-00006F0D0000}"/>
    <cellStyle name="Calculation 6 2 2 5 5" xfId="9883" xr:uid="{00000000-0005-0000-0000-0000700D0000}"/>
    <cellStyle name="Calculation 6 2 2 6" xfId="3262" xr:uid="{00000000-0005-0000-0000-0000710D0000}"/>
    <cellStyle name="Calculation 6 2 2 6 2" xfId="9885" xr:uid="{00000000-0005-0000-0000-0000720D0000}"/>
    <cellStyle name="Calculation 6 2 2 6 3" xfId="9886" xr:uid="{00000000-0005-0000-0000-0000730D0000}"/>
    <cellStyle name="Calculation 6 2 2 6 4" xfId="9887" xr:uid="{00000000-0005-0000-0000-0000740D0000}"/>
    <cellStyle name="Calculation 6 2 2 7" xfId="3267" xr:uid="{00000000-0005-0000-0000-0000750D0000}"/>
    <cellStyle name="Calculation 6 2 2 8" xfId="9890" xr:uid="{00000000-0005-0000-0000-0000760D0000}"/>
    <cellStyle name="Calculation 6 2 2 9" xfId="9894" xr:uid="{00000000-0005-0000-0000-0000770D0000}"/>
    <cellStyle name="Calculation 6 2 3" xfId="3272" xr:uid="{00000000-0005-0000-0000-0000780D0000}"/>
    <cellStyle name="Calculation 6 2 3 2" xfId="3279" xr:uid="{00000000-0005-0000-0000-0000790D0000}"/>
    <cellStyle name="Calculation 6 2 3 2 2" xfId="3285" xr:uid="{00000000-0005-0000-0000-00007A0D0000}"/>
    <cellStyle name="Calculation 6 2 3 2 2 2" xfId="3288" xr:uid="{00000000-0005-0000-0000-00007B0D0000}"/>
    <cellStyle name="Calculation 6 2 3 2 2 2 2" xfId="8452" xr:uid="{00000000-0005-0000-0000-00007C0D0000}"/>
    <cellStyle name="Calculation 6 2 3 2 2 2 2 2" xfId="1947" xr:uid="{00000000-0005-0000-0000-00007D0D0000}"/>
    <cellStyle name="Calculation 6 2 3 2 2 2 2 2 2" xfId="9897" xr:uid="{00000000-0005-0000-0000-00007E0D0000}"/>
    <cellStyle name="Calculation 6 2 3 2 2 2 2 2 3" xfId="9904" xr:uid="{00000000-0005-0000-0000-00007F0D0000}"/>
    <cellStyle name="Calculation 6 2 3 2 2 2 2 2 4" xfId="9908" xr:uid="{00000000-0005-0000-0000-0000800D0000}"/>
    <cellStyle name="Calculation 6 2 3 2 2 2 2 3" xfId="9913" xr:uid="{00000000-0005-0000-0000-0000810D0000}"/>
    <cellStyle name="Calculation 6 2 3 2 2 2 2 4" xfId="7246" xr:uid="{00000000-0005-0000-0000-0000820D0000}"/>
    <cellStyle name="Calculation 6 2 3 2 2 2 2 5" xfId="7254" xr:uid="{00000000-0005-0000-0000-0000830D0000}"/>
    <cellStyle name="Calculation 6 2 3 2 2 2 3" xfId="8455" xr:uid="{00000000-0005-0000-0000-0000840D0000}"/>
    <cellStyle name="Calculation 6 2 3 2 2 2 3 2" xfId="273" xr:uid="{00000000-0005-0000-0000-0000850D0000}"/>
    <cellStyle name="Calculation 6 2 3 2 2 2 3 3" xfId="87" xr:uid="{00000000-0005-0000-0000-0000860D0000}"/>
    <cellStyle name="Calculation 6 2 3 2 2 2 3 4" xfId="519" xr:uid="{00000000-0005-0000-0000-0000870D0000}"/>
    <cellStyle name="Calculation 6 2 3 2 2 2 4" xfId="8458" xr:uid="{00000000-0005-0000-0000-0000880D0000}"/>
    <cellStyle name="Calculation 6 2 3 2 2 2 5" xfId="9915" xr:uid="{00000000-0005-0000-0000-0000890D0000}"/>
    <cellStyle name="Calculation 6 2 3 2 2 2 6" xfId="9917" xr:uid="{00000000-0005-0000-0000-00008A0D0000}"/>
    <cellStyle name="Calculation 6 2 3 2 2 3" xfId="3296" xr:uid="{00000000-0005-0000-0000-00008B0D0000}"/>
    <cellStyle name="Calculation 6 2 3 2 2 3 2" xfId="9921" xr:uid="{00000000-0005-0000-0000-00008C0D0000}"/>
    <cellStyle name="Calculation 6 2 3 2 2 3 2 2" xfId="9925" xr:uid="{00000000-0005-0000-0000-00008D0D0000}"/>
    <cellStyle name="Calculation 6 2 3 2 2 3 2 3" xfId="9929" xr:uid="{00000000-0005-0000-0000-00008E0D0000}"/>
    <cellStyle name="Calculation 6 2 3 2 2 3 2 4" xfId="7406" xr:uid="{00000000-0005-0000-0000-00008F0D0000}"/>
    <cellStyle name="Calculation 6 2 3 2 2 3 3" xfId="9931" xr:uid="{00000000-0005-0000-0000-0000900D0000}"/>
    <cellStyle name="Calculation 6 2 3 2 2 3 4" xfId="9935" xr:uid="{00000000-0005-0000-0000-0000910D0000}"/>
    <cellStyle name="Calculation 6 2 3 2 2 3 5" xfId="9939" xr:uid="{00000000-0005-0000-0000-0000920D0000}"/>
    <cellStyle name="Calculation 6 2 3 2 2 4" xfId="3304" xr:uid="{00000000-0005-0000-0000-0000930D0000}"/>
    <cellStyle name="Calculation 6 2 3 2 2 4 2" xfId="9943" xr:uid="{00000000-0005-0000-0000-0000940D0000}"/>
    <cellStyle name="Calculation 6 2 3 2 2 4 3" xfId="4094" xr:uid="{00000000-0005-0000-0000-0000950D0000}"/>
    <cellStyle name="Calculation 6 2 3 2 2 4 4" xfId="4112" xr:uid="{00000000-0005-0000-0000-0000960D0000}"/>
    <cellStyle name="Calculation 6 2 3 2 2 5" xfId="8466" xr:uid="{00000000-0005-0000-0000-0000970D0000}"/>
    <cellStyle name="Calculation 6 2 3 2 2 6" xfId="9951" xr:uid="{00000000-0005-0000-0000-0000980D0000}"/>
    <cellStyle name="Calculation 6 2 3 2 2 7" xfId="9957" xr:uid="{00000000-0005-0000-0000-0000990D0000}"/>
    <cellStyle name="Calculation 6 2 3 2 3" xfId="3310" xr:uid="{00000000-0005-0000-0000-00009A0D0000}"/>
    <cellStyle name="Calculation 6 2 3 2 3 2" xfId="8497" xr:uid="{00000000-0005-0000-0000-00009B0D0000}"/>
    <cellStyle name="Calculation 6 2 3 2 3 2 2" xfId="9452" xr:uid="{00000000-0005-0000-0000-00009C0D0000}"/>
    <cellStyle name="Calculation 6 2 3 2 3 2 2 2" xfId="2016" xr:uid="{00000000-0005-0000-0000-00009D0D0000}"/>
    <cellStyle name="Calculation 6 2 3 2 3 2 2 3" xfId="9636" xr:uid="{00000000-0005-0000-0000-00009E0D0000}"/>
    <cellStyle name="Calculation 6 2 3 2 3 2 2 4" xfId="7679" xr:uid="{00000000-0005-0000-0000-00009F0D0000}"/>
    <cellStyle name="Calculation 6 2 3 2 3 2 3" xfId="1424" xr:uid="{00000000-0005-0000-0000-0000A00D0000}"/>
    <cellStyle name="Calculation 6 2 3 2 3 2 4" xfId="9958" xr:uid="{00000000-0005-0000-0000-0000A10D0000}"/>
    <cellStyle name="Calculation 6 2 3 2 3 2 5" xfId="9961" xr:uid="{00000000-0005-0000-0000-0000A20D0000}"/>
    <cellStyle name="Calculation 6 2 3 2 3 3" xfId="8507" xr:uid="{00000000-0005-0000-0000-0000A30D0000}"/>
    <cellStyle name="Calculation 6 2 3 2 3 3 2" xfId="9455" xr:uid="{00000000-0005-0000-0000-0000A40D0000}"/>
    <cellStyle name="Calculation 6 2 3 2 3 3 3" xfId="1445" xr:uid="{00000000-0005-0000-0000-0000A50D0000}"/>
    <cellStyle name="Calculation 6 2 3 2 3 3 4" xfId="9962" xr:uid="{00000000-0005-0000-0000-0000A60D0000}"/>
    <cellStyle name="Calculation 6 2 3 2 3 4" xfId="8513" xr:uid="{00000000-0005-0000-0000-0000A70D0000}"/>
    <cellStyle name="Calculation 6 2 3 2 3 5" xfId="9967" xr:uid="{00000000-0005-0000-0000-0000A80D0000}"/>
    <cellStyle name="Calculation 6 2 3 2 3 6" xfId="9973" xr:uid="{00000000-0005-0000-0000-0000A90D0000}"/>
    <cellStyle name="Calculation 6 2 3 2 4" xfId="1682" xr:uid="{00000000-0005-0000-0000-0000AA0D0000}"/>
    <cellStyle name="Calculation 6 2 3 2 4 2" xfId="8531" xr:uid="{00000000-0005-0000-0000-0000AB0D0000}"/>
    <cellStyle name="Calculation 6 2 3 2 4 2 2" xfId="2428" xr:uid="{00000000-0005-0000-0000-0000AC0D0000}"/>
    <cellStyle name="Calculation 6 2 3 2 4 2 3" xfId="2442" xr:uid="{00000000-0005-0000-0000-0000AD0D0000}"/>
    <cellStyle name="Calculation 6 2 3 2 4 2 4" xfId="2455" xr:uid="{00000000-0005-0000-0000-0000AE0D0000}"/>
    <cellStyle name="Calculation 6 2 3 2 4 3" xfId="8535" xr:uid="{00000000-0005-0000-0000-0000AF0D0000}"/>
    <cellStyle name="Calculation 6 2 3 2 4 4" xfId="9975" xr:uid="{00000000-0005-0000-0000-0000B00D0000}"/>
    <cellStyle name="Calculation 6 2 3 2 4 5" xfId="9982" xr:uid="{00000000-0005-0000-0000-0000B10D0000}"/>
    <cellStyle name="Calculation 6 2 3 2 5" xfId="1688" xr:uid="{00000000-0005-0000-0000-0000B20D0000}"/>
    <cellStyle name="Calculation 6 2 3 2 5 2" xfId="8552" xr:uid="{00000000-0005-0000-0000-0000B30D0000}"/>
    <cellStyle name="Calculation 6 2 3 2 5 3" xfId="9984" xr:uid="{00000000-0005-0000-0000-0000B40D0000}"/>
    <cellStyle name="Calculation 6 2 3 2 5 4" xfId="9986" xr:uid="{00000000-0005-0000-0000-0000B50D0000}"/>
    <cellStyle name="Calculation 6 2 3 2 6" xfId="1700" xr:uid="{00000000-0005-0000-0000-0000B60D0000}"/>
    <cellStyle name="Calculation 6 2 3 2 7" xfId="9987" xr:uid="{00000000-0005-0000-0000-0000B70D0000}"/>
    <cellStyle name="Calculation 6 2 3 2 8" xfId="9995" xr:uid="{00000000-0005-0000-0000-0000B80D0000}"/>
    <cellStyle name="Calculation 6 2 3 3" xfId="306" xr:uid="{00000000-0005-0000-0000-0000B90D0000}"/>
    <cellStyle name="Calculation 6 2 3 3 2" xfId="2639" xr:uid="{00000000-0005-0000-0000-0000BA0D0000}"/>
    <cellStyle name="Calculation 6 2 3 3 2 2" xfId="8591" xr:uid="{00000000-0005-0000-0000-0000BB0D0000}"/>
    <cellStyle name="Calculation 6 2 3 3 2 2 2" xfId="10002" xr:uid="{00000000-0005-0000-0000-0000BC0D0000}"/>
    <cellStyle name="Calculation 6 2 3 3 2 2 2 2" xfId="3940" xr:uid="{00000000-0005-0000-0000-0000BD0D0000}"/>
    <cellStyle name="Calculation 6 2 3 3 2 2 2 3" xfId="3971" xr:uid="{00000000-0005-0000-0000-0000BE0D0000}"/>
    <cellStyle name="Calculation 6 2 3 3 2 2 2 4" xfId="3988" xr:uid="{00000000-0005-0000-0000-0000BF0D0000}"/>
    <cellStyle name="Calculation 6 2 3 3 2 2 3" xfId="10003" xr:uid="{00000000-0005-0000-0000-0000C00D0000}"/>
    <cellStyle name="Calculation 6 2 3 3 2 2 4" xfId="6400" xr:uid="{00000000-0005-0000-0000-0000C10D0000}"/>
    <cellStyle name="Calculation 6 2 3 3 2 2 5" xfId="6415" xr:uid="{00000000-0005-0000-0000-0000C20D0000}"/>
    <cellStyle name="Calculation 6 2 3 3 2 3" xfId="8596" xr:uid="{00000000-0005-0000-0000-0000C30D0000}"/>
    <cellStyle name="Calculation 6 2 3 3 2 3 2" xfId="10005" xr:uid="{00000000-0005-0000-0000-0000C40D0000}"/>
    <cellStyle name="Calculation 6 2 3 3 2 3 3" xfId="10008" xr:uid="{00000000-0005-0000-0000-0000C50D0000}"/>
    <cellStyle name="Calculation 6 2 3 3 2 3 4" xfId="6445" xr:uid="{00000000-0005-0000-0000-0000C60D0000}"/>
    <cellStyle name="Calculation 6 2 3 3 2 4" xfId="8602" xr:uid="{00000000-0005-0000-0000-0000C70D0000}"/>
    <cellStyle name="Calculation 6 2 3 3 2 5" xfId="10013" xr:uid="{00000000-0005-0000-0000-0000C80D0000}"/>
    <cellStyle name="Calculation 6 2 3 3 2 6" xfId="10019" xr:uid="{00000000-0005-0000-0000-0000C90D0000}"/>
    <cellStyle name="Calculation 6 2 3 3 3" xfId="2654" xr:uid="{00000000-0005-0000-0000-0000CA0D0000}"/>
    <cellStyle name="Calculation 6 2 3 3 3 2" xfId="8630" xr:uid="{00000000-0005-0000-0000-0000CB0D0000}"/>
    <cellStyle name="Calculation 6 2 3 3 3 2 2" xfId="9473" xr:uid="{00000000-0005-0000-0000-0000CC0D0000}"/>
    <cellStyle name="Calculation 6 2 3 3 3 2 3" xfId="10020" xr:uid="{00000000-0005-0000-0000-0000CD0D0000}"/>
    <cellStyle name="Calculation 6 2 3 3 3 2 4" xfId="6484" xr:uid="{00000000-0005-0000-0000-0000CE0D0000}"/>
    <cellStyle name="Calculation 6 2 3 3 3 3" xfId="8636" xr:uid="{00000000-0005-0000-0000-0000CF0D0000}"/>
    <cellStyle name="Calculation 6 2 3 3 3 4" xfId="10022" xr:uid="{00000000-0005-0000-0000-0000D00D0000}"/>
    <cellStyle name="Calculation 6 2 3 3 3 5" xfId="10028" xr:uid="{00000000-0005-0000-0000-0000D10D0000}"/>
    <cellStyle name="Calculation 6 2 3 3 4" xfId="1733" xr:uid="{00000000-0005-0000-0000-0000D20D0000}"/>
    <cellStyle name="Calculation 6 2 3 3 4 2" xfId="8652" xr:uid="{00000000-0005-0000-0000-0000D30D0000}"/>
    <cellStyle name="Calculation 6 2 3 3 4 3" xfId="10030" xr:uid="{00000000-0005-0000-0000-0000D40D0000}"/>
    <cellStyle name="Calculation 6 2 3 3 4 4" xfId="10033" xr:uid="{00000000-0005-0000-0000-0000D50D0000}"/>
    <cellStyle name="Calculation 6 2 3 3 5" xfId="10034" xr:uid="{00000000-0005-0000-0000-0000D60D0000}"/>
    <cellStyle name="Calculation 6 2 3 3 6" xfId="4522" xr:uid="{00000000-0005-0000-0000-0000D70D0000}"/>
    <cellStyle name="Calculation 6 2 3 3 7" xfId="4581" xr:uid="{00000000-0005-0000-0000-0000D80D0000}"/>
    <cellStyle name="Calculation 6 2 3 4" xfId="3313" xr:uid="{00000000-0005-0000-0000-0000D90D0000}"/>
    <cellStyle name="Calculation 6 2 3 4 2" xfId="10037" xr:uid="{00000000-0005-0000-0000-0000DA0D0000}"/>
    <cellStyle name="Calculation 6 2 3 4 2 2" xfId="7126" xr:uid="{00000000-0005-0000-0000-0000DB0D0000}"/>
    <cellStyle name="Calculation 6 2 3 4 2 2 2" xfId="8708" xr:uid="{00000000-0005-0000-0000-0000DC0D0000}"/>
    <cellStyle name="Calculation 6 2 3 4 2 2 3" xfId="8713" xr:uid="{00000000-0005-0000-0000-0000DD0D0000}"/>
    <cellStyle name="Calculation 6 2 3 4 2 2 4" xfId="6684" xr:uid="{00000000-0005-0000-0000-0000DE0D0000}"/>
    <cellStyle name="Calculation 6 2 3 4 2 3" xfId="5768" xr:uid="{00000000-0005-0000-0000-0000DF0D0000}"/>
    <cellStyle name="Calculation 6 2 3 4 2 4" xfId="5774" xr:uid="{00000000-0005-0000-0000-0000E00D0000}"/>
    <cellStyle name="Calculation 6 2 3 4 2 5" xfId="5781" xr:uid="{00000000-0005-0000-0000-0000E10D0000}"/>
    <cellStyle name="Calculation 6 2 3 4 3" xfId="10038" xr:uid="{00000000-0005-0000-0000-0000E20D0000}"/>
    <cellStyle name="Calculation 6 2 3 4 3 2" xfId="8668" xr:uid="{00000000-0005-0000-0000-0000E30D0000}"/>
    <cellStyle name="Calculation 6 2 3 4 3 3" xfId="8727" xr:uid="{00000000-0005-0000-0000-0000E40D0000}"/>
    <cellStyle name="Calculation 6 2 3 4 3 4" xfId="8732" xr:uid="{00000000-0005-0000-0000-0000E50D0000}"/>
    <cellStyle name="Calculation 6 2 3 4 4" xfId="10042" xr:uid="{00000000-0005-0000-0000-0000E60D0000}"/>
    <cellStyle name="Calculation 6 2 3 4 5" xfId="10044" xr:uid="{00000000-0005-0000-0000-0000E70D0000}"/>
    <cellStyle name="Calculation 6 2 3 4 6" xfId="4659" xr:uid="{00000000-0005-0000-0000-0000E80D0000}"/>
    <cellStyle name="Calculation 6 2 3 5" xfId="3316" xr:uid="{00000000-0005-0000-0000-0000E90D0000}"/>
    <cellStyle name="Calculation 6 2 3 5 2" xfId="10047" xr:uid="{00000000-0005-0000-0000-0000EA0D0000}"/>
    <cellStyle name="Calculation 6 2 3 5 2 2" xfId="8683" xr:uid="{00000000-0005-0000-0000-0000EB0D0000}"/>
    <cellStyle name="Calculation 6 2 3 5 2 3" xfId="8762" xr:uid="{00000000-0005-0000-0000-0000EC0D0000}"/>
    <cellStyle name="Calculation 6 2 3 5 2 4" xfId="8766" xr:uid="{00000000-0005-0000-0000-0000ED0D0000}"/>
    <cellStyle name="Calculation 6 2 3 5 3" xfId="10049" xr:uid="{00000000-0005-0000-0000-0000EE0D0000}"/>
    <cellStyle name="Calculation 6 2 3 5 4" xfId="10050" xr:uid="{00000000-0005-0000-0000-0000EF0D0000}"/>
    <cellStyle name="Calculation 6 2 3 5 5" xfId="10052" xr:uid="{00000000-0005-0000-0000-0000F00D0000}"/>
    <cellStyle name="Calculation 6 2 3 6" xfId="3319" xr:uid="{00000000-0005-0000-0000-0000F10D0000}"/>
    <cellStyle name="Calculation 6 2 3 6 2" xfId="10053" xr:uid="{00000000-0005-0000-0000-0000F20D0000}"/>
    <cellStyle name="Calculation 6 2 3 6 3" xfId="10054" xr:uid="{00000000-0005-0000-0000-0000F30D0000}"/>
    <cellStyle name="Calculation 6 2 3 6 4" xfId="10055" xr:uid="{00000000-0005-0000-0000-0000F40D0000}"/>
    <cellStyle name="Calculation 6 2 3 7" xfId="3633" xr:uid="{00000000-0005-0000-0000-0000F50D0000}"/>
    <cellStyle name="Calculation 6 2 3 8" xfId="887" xr:uid="{00000000-0005-0000-0000-0000F60D0000}"/>
    <cellStyle name="Calculation 6 2 3 9" xfId="10056" xr:uid="{00000000-0005-0000-0000-0000F70D0000}"/>
    <cellStyle name="Calculation 6 2 4" xfId="167" xr:uid="{00000000-0005-0000-0000-0000F80D0000}"/>
    <cellStyle name="Calculation 6 2 4 2" xfId="3325" xr:uid="{00000000-0005-0000-0000-0000F90D0000}"/>
    <cellStyle name="Calculation 6 2 4 2 2" xfId="2184" xr:uid="{00000000-0005-0000-0000-0000FA0D0000}"/>
    <cellStyle name="Calculation 6 2 4 2 2 2" xfId="7133" xr:uid="{00000000-0005-0000-0000-0000FB0D0000}"/>
    <cellStyle name="Calculation 6 2 4 2 2 2 2" xfId="8739" xr:uid="{00000000-0005-0000-0000-0000FC0D0000}"/>
    <cellStyle name="Calculation 6 2 4 2 2 2 2 2" xfId="10058" xr:uid="{00000000-0005-0000-0000-0000FD0D0000}"/>
    <cellStyle name="Calculation 6 2 4 2 2 2 2 3" xfId="10061" xr:uid="{00000000-0005-0000-0000-0000FE0D0000}"/>
    <cellStyle name="Calculation 6 2 4 2 2 2 2 4" xfId="10064" xr:uid="{00000000-0005-0000-0000-0000FF0D0000}"/>
    <cellStyle name="Calculation 6 2 4 2 2 2 3" xfId="8741" xr:uid="{00000000-0005-0000-0000-0000000E0000}"/>
    <cellStyle name="Calculation 6 2 4 2 2 2 4" xfId="8743" xr:uid="{00000000-0005-0000-0000-0000010E0000}"/>
    <cellStyle name="Calculation 6 2 4 2 2 2 5" xfId="10065" xr:uid="{00000000-0005-0000-0000-0000020E0000}"/>
    <cellStyle name="Calculation 6 2 4 2 2 3" xfId="7138" xr:uid="{00000000-0005-0000-0000-0000030E0000}"/>
    <cellStyle name="Calculation 6 2 4 2 2 3 2" xfId="10069" xr:uid="{00000000-0005-0000-0000-0000040E0000}"/>
    <cellStyle name="Calculation 6 2 4 2 2 3 3" xfId="10074" xr:uid="{00000000-0005-0000-0000-0000050E0000}"/>
    <cellStyle name="Calculation 6 2 4 2 2 3 4" xfId="10078" xr:uid="{00000000-0005-0000-0000-0000060E0000}"/>
    <cellStyle name="Calculation 6 2 4 2 2 4" xfId="8749" xr:uid="{00000000-0005-0000-0000-0000070E0000}"/>
    <cellStyle name="Calculation 6 2 4 2 2 5" xfId="8756" xr:uid="{00000000-0005-0000-0000-0000080E0000}"/>
    <cellStyle name="Calculation 6 2 4 2 2 6" xfId="4015" xr:uid="{00000000-0005-0000-0000-0000090E0000}"/>
    <cellStyle name="Calculation 6 2 4 2 3" xfId="2752" xr:uid="{00000000-0005-0000-0000-00000A0E0000}"/>
    <cellStyle name="Calculation 6 2 4 2 3 2" xfId="71" xr:uid="{00000000-0005-0000-0000-00000B0E0000}"/>
    <cellStyle name="Calculation 6 2 4 2 3 2 2" xfId="7239" xr:uid="{00000000-0005-0000-0000-00000C0E0000}"/>
    <cellStyle name="Calculation 6 2 4 2 3 2 3" xfId="7260" xr:uid="{00000000-0005-0000-0000-00000D0E0000}"/>
    <cellStyle name="Calculation 6 2 4 2 3 2 4" xfId="7268" xr:uid="{00000000-0005-0000-0000-00000E0E0000}"/>
    <cellStyle name="Calculation 6 2 4 2 3 3" xfId="2829" xr:uid="{00000000-0005-0000-0000-00000F0E0000}"/>
    <cellStyle name="Calculation 6 2 4 2 3 4" xfId="2138" xr:uid="{00000000-0005-0000-0000-0000100E0000}"/>
    <cellStyle name="Calculation 6 2 4 2 3 5" xfId="1186" xr:uid="{00000000-0005-0000-0000-0000110E0000}"/>
    <cellStyle name="Calculation 6 2 4 2 4" xfId="2912" xr:uid="{00000000-0005-0000-0000-0000120E0000}"/>
    <cellStyle name="Calculation 6 2 4 2 4 2" xfId="8786" xr:uid="{00000000-0005-0000-0000-0000130E0000}"/>
    <cellStyle name="Calculation 6 2 4 2 4 3" xfId="7277" xr:uid="{00000000-0005-0000-0000-0000140E0000}"/>
    <cellStyle name="Calculation 6 2 4 2 4 4" xfId="2164" xr:uid="{00000000-0005-0000-0000-0000150E0000}"/>
    <cellStyle name="Calculation 6 2 4 2 5" xfId="10079" xr:uid="{00000000-0005-0000-0000-0000160E0000}"/>
    <cellStyle name="Calculation 6 2 4 2 6" xfId="10090" xr:uid="{00000000-0005-0000-0000-0000170E0000}"/>
    <cellStyle name="Calculation 6 2 4 2 7" xfId="10091" xr:uid="{00000000-0005-0000-0000-0000180E0000}"/>
    <cellStyle name="Calculation 6 2 4 3" xfId="3331" xr:uid="{00000000-0005-0000-0000-0000190E0000}"/>
    <cellStyle name="Calculation 6 2 4 3 2" xfId="10103" xr:uid="{00000000-0005-0000-0000-00001A0E0000}"/>
    <cellStyle name="Calculation 6 2 4 3 2 2" xfId="7207" xr:uid="{00000000-0005-0000-0000-00001B0E0000}"/>
    <cellStyle name="Calculation 6 2 4 3 2 2 2" xfId="10104" xr:uid="{00000000-0005-0000-0000-00001C0E0000}"/>
    <cellStyle name="Calculation 6 2 4 3 2 2 3" xfId="10105" xr:uid="{00000000-0005-0000-0000-00001D0E0000}"/>
    <cellStyle name="Calculation 6 2 4 3 2 2 4" xfId="7512" xr:uid="{00000000-0005-0000-0000-00001E0E0000}"/>
    <cellStyle name="Calculation 6 2 4 3 2 3" xfId="8801" xr:uid="{00000000-0005-0000-0000-00001F0E0000}"/>
    <cellStyle name="Calculation 6 2 4 3 2 4" xfId="8806" xr:uid="{00000000-0005-0000-0000-0000200E0000}"/>
    <cellStyle name="Calculation 6 2 4 3 2 5" xfId="10112" xr:uid="{00000000-0005-0000-0000-0000210E0000}"/>
    <cellStyle name="Calculation 6 2 4 3 3" xfId="10118" xr:uid="{00000000-0005-0000-0000-0000220E0000}"/>
    <cellStyle name="Calculation 6 2 4 3 3 2" xfId="1648" xr:uid="{00000000-0005-0000-0000-0000230E0000}"/>
    <cellStyle name="Calculation 6 2 4 3 3 3" xfId="8809" xr:uid="{00000000-0005-0000-0000-0000240E0000}"/>
    <cellStyle name="Calculation 6 2 4 3 3 4" xfId="10120" xr:uid="{00000000-0005-0000-0000-0000250E0000}"/>
    <cellStyle name="Calculation 6 2 4 3 4" xfId="10123" xr:uid="{00000000-0005-0000-0000-0000260E0000}"/>
    <cellStyle name="Calculation 6 2 4 3 5" xfId="163" xr:uid="{00000000-0005-0000-0000-0000270E0000}"/>
    <cellStyle name="Calculation 6 2 4 3 6" xfId="3840" xr:uid="{00000000-0005-0000-0000-0000280E0000}"/>
    <cellStyle name="Calculation 6 2 4 4" xfId="3335" xr:uid="{00000000-0005-0000-0000-0000290E0000}"/>
    <cellStyle name="Calculation 6 2 4 4 2" xfId="10127" xr:uid="{00000000-0005-0000-0000-00002A0E0000}"/>
    <cellStyle name="Calculation 6 2 4 4 2 2" xfId="403" xr:uid="{00000000-0005-0000-0000-00002B0E0000}"/>
    <cellStyle name="Calculation 6 2 4 4 2 3" xfId="439" xr:uid="{00000000-0005-0000-0000-00002C0E0000}"/>
    <cellStyle name="Calculation 6 2 4 4 2 4" xfId="8795" xr:uid="{00000000-0005-0000-0000-00002D0E0000}"/>
    <cellStyle name="Calculation 6 2 4 4 3" xfId="10128" xr:uid="{00000000-0005-0000-0000-00002E0E0000}"/>
    <cellStyle name="Calculation 6 2 4 4 4" xfId="10129" xr:uid="{00000000-0005-0000-0000-00002F0E0000}"/>
    <cellStyle name="Calculation 6 2 4 4 5" xfId="10130" xr:uid="{00000000-0005-0000-0000-0000300E0000}"/>
    <cellStyle name="Calculation 6 2 4 5" xfId="357" xr:uid="{00000000-0005-0000-0000-0000310E0000}"/>
    <cellStyle name="Calculation 6 2 4 5 2" xfId="10131" xr:uid="{00000000-0005-0000-0000-0000320E0000}"/>
    <cellStyle name="Calculation 6 2 4 5 3" xfId="10132" xr:uid="{00000000-0005-0000-0000-0000330E0000}"/>
    <cellStyle name="Calculation 6 2 4 5 4" xfId="10133" xr:uid="{00000000-0005-0000-0000-0000340E0000}"/>
    <cellStyle name="Calculation 6 2 4 6" xfId="10134" xr:uid="{00000000-0005-0000-0000-0000350E0000}"/>
    <cellStyle name="Calculation 6 2 4 7" xfId="10135" xr:uid="{00000000-0005-0000-0000-0000360E0000}"/>
    <cellStyle name="Calculation 6 2 4 8" xfId="6908" xr:uid="{00000000-0005-0000-0000-0000370E0000}"/>
    <cellStyle name="Calculation 6 2 5" xfId="3339" xr:uid="{00000000-0005-0000-0000-0000380E0000}"/>
    <cellStyle name="Calculation 6 2 5 2" xfId="3345" xr:uid="{00000000-0005-0000-0000-0000390E0000}"/>
    <cellStyle name="Calculation 6 2 5 2 2" xfId="10138" xr:uid="{00000000-0005-0000-0000-00003A0E0000}"/>
    <cellStyle name="Calculation 6 2 5 2 2 2" xfId="7318" xr:uid="{00000000-0005-0000-0000-00003B0E0000}"/>
    <cellStyle name="Calculation 6 2 5 2 2 2 2" xfId="10142" xr:uid="{00000000-0005-0000-0000-00003C0E0000}"/>
    <cellStyle name="Calculation 6 2 5 2 2 2 3" xfId="1031" xr:uid="{00000000-0005-0000-0000-00003D0E0000}"/>
    <cellStyle name="Calculation 6 2 5 2 2 2 4" xfId="6520" xr:uid="{00000000-0005-0000-0000-00003E0E0000}"/>
    <cellStyle name="Calculation 6 2 5 2 2 3" xfId="7325" xr:uid="{00000000-0005-0000-0000-00003F0E0000}"/>
    <cellStyle name="Calculation 6 2 5 2 2 4" xfId="8375" xr:uid="{00000000-0005-0000-0000-0000400E0000}"/>
    <cellStyle name="Calculation 6 2 5 2 2 5" xfId="8384" xr:uid="{00000000-0005-0000-0000-0000410E0000}"/>
    <cellStyle name="Calculation 6 2 5 2 3" xfId="10145" xr:uid="{00000000-0005-0000-0000-0000420E0000}"/>
    <cellStyle name="Calculation 6 2 5 2 3 2" xfId="7187" xr:uid="{00000000-0005-0000-0000-0000430E0000}"/>
    <cellStyle name="Calculation 6 2 5 2 3 3" xfId="7195" xr:uid="{00000000-0005-0000-0000-0000440E0000}"/>
    <cellStyle name="Calculation 6 2 5 2 3 4" xfId="10148" xr:uid="{00000000-0005-0000-0000-0000450E0000}"/>
    <cellStyle name="Calculation 6 2 5 2 4" xfId="10152" xr:uid="{00000000-0005-0000-0000-0000460E0000}"/>
    <cellStyle name="Calculation 6 2 5 2 5" xfId="10155" xr:uid="{00000000-0005-0000-0000-0000470E0000}"/>
    <cellStyle name="Calculation 6 2 5 2 6" xfId="10156" xr:uid="{00000000-0005-0000-0000-0000480E0000}"/>
    <cellStyle name="Calculation 6 2 5 3" xfId="3348" xr:uid="{00000000-0005-0000-0000-0000490E0000}"/>
    <cellStyle name="Calculation 6 2 5 3 2" xfId="10157" xr:uid="{00000000-0005-0000-0000-00004A0E0000}"/>
    <cellStyle name="Calculation 6 2 5 3 2 2" xfId="7375" xr:uid="{00000000-0005-0000-0000-00004B0E0000}"/>
    <cellStyle name="Calculation 6 2 5 3 2 3" xfId="8865" xr:uid="{00000000-0005-0000-0000-00004C0E0000}"/>
    <cellStyle name="Calculation 6 2 5 3 2 4" xfId="10160" xr:uid="{00000000-0005-0000-0000-00004D0E0000}"/>
    <cellStyle name="Calculation 6 2 5 3 3" xfId="10161" xr:uid="{00000000-0005-0000-0000-00004E0E0000}"/>
    <cellStyle name="Calculation 6 2 5 3 4" xfId="10162" xr:uid="{00000000-0005-0000-0000-00004F0E0000}"/>
    <cellStyle name="Calculation 6 2 5 3 5" xfId="9751" xr:uid="{00000000-0005-0000-0000-0000500E0000}"/>
    <cellStyle name="Calculation 6 2 5 4" xfId="3350" xr:uid="{00000000-0005-0000-0000-0000510E0000}"/>
    <cellStyle name="Calculation 6 2 5 4 2" xfId="10163" xr:uid="{00000000-0005-0000-0000-0000520E0000}"/>
    <cellStyle name="Calculation 6 2 5 4 3" xfId="10164" xr:uid="{00000000-0005-0000-0000-0000530E0000}"/>
    <cellStyle name="Calculation 6 2 5 4 4" xfId="10165" xr:uid="{00000000-0005-0000-0000-0000540E0000}"/>
    <cellStyle name="Calculation 6 2 5 5" xfId="10166" xr:uid="{00000000-0005-0000-0000-0000550E0000}"/>
    <cellStyle name="Calculation 6 2 5 6" xfId="10167" xr:uid="{00000000-0005-0000-0000-0000560E0000}"/>
    <cellStyle name="Calculation 6 2 5 7" xfId="10168" xr:uid="{00000000-0005-0000-0000-0000570E0000}"/>
    <cellStyle name="Calculation 6 2 6" xfId="3354" xr:uid="{00000000-0005-0000-0000-0000580E0000}"/>
    <cellStyle name="Calculation 6 2 6 2" xfId="6612" xr:uid="{00000000-0005-0000-0000-0000590E0000}"/>
    <cellStyle name="Calculation 6 2 6 2 2" xfId="6738" xr:uid="{00000000-0005-0000-0000-00005A0E0000}"/>
    <cellStyle name="Calculation 6 2 6 2 2 2" xfId="7458" xr:uid="{00000000-0005-0000-0000-00005B0E0000}"/>
    <cellStyle name="Calculation 6 2 6 2 2 3" xfId="8908" xr:uid="{00000000-0005-0000-0000-00005C0E0000}"/>
    <cellStyle name="Calculation 6 2 6 2 2 4" xfId="10175" xr:uid="{00000000-0005-0000-0000-00005D0E0000}"/>
    <cellStyle name="Calculation 6 2 6 2 3" xfId="6231" xr:uid="{00000000-0005-0000-0000-00005E0E0000}"/>
    <cellStyle name="Calculation 6 2 6 2 4" xfId="6241" xr:uid="{00000000-0005-0000-0000-00005F0E0000}"/>
    <cellStyle name="Calculation 6 2 6 2 5" xfId="10178" xr:uid="{00000000-0005-0000-0000-0000600E0000}"/>
    <cellStyle name="Calculation 6 2 6 3" xfId="6615" xr:uid="{00000000-0005-0000-0000-0000610E0000}"/>
    <cellStyle name="Calculation 6 2 6 3 2" xfId="6746" xr:uid="{00000000-0005-0000-0000-0000620E0000}"/>
    <cellStyle name="Calculation 6 2 6 3 3" xfId="6748" xr:uid="{00000000-0005-0000-0000-0000630E0000}"/>
    <cellStyle name="Calculation 6 2 6 3 4" xfId="10179" xr:uid="{00000000-0005-0000-0000-0000640E0000}"/>
    <cellStyle name="Calculation 6 2 6 4" xfId="8989" xr:uid="{00000000-0005-0000-0000-0000650E0000}"/>
    <cellStyle name="Calculation 6 2 6 5" xfId="8992" xr:uid="{00000000-0005-0000-0000-0000660E0000}"/>
    <cellStyle name="Calculation 6 2 6 6" xfId="8994" xr:uid="{00000000-0005-0000-0000-0000670E0000}"/>
    <cellStyle name="Calculation 6 2 7" xfId="3358" xr:uid="{00000000-0005-0000-0000-0000680E0000}"/>
    <cellStyle name="Calculation 6 2 7 2" xfId="5291" xr:uid="{00000000-0005-0000-0000-0000690E0000}"/>
    <cellStyle name="Calculation 6 2 7 2 2" xfId="6793" xr:uid="{00000000-0005-0000-0000-00006A0E0000}"/>
    <cellStyle name="Calculation 6 2 7 2 3" xfId="6392" xr:uid="{00000000-0005-0000-0000-00006B0E0000}"/>
    <cellStyle name="Calculation 6 2 7 2 4" xfId="10181" xr:uid="{00000000-0005-0000-0000-00006C0E0000}"/>
    <cellStyle name="Calculation 6 2 7 3" xfId="9416" xr:uid="{00000000-0005-0000-0000-00006D0E0000}"/>
    <cellStyle name="Calculation 6 2 7 4" xfId="9003" xr:uid="{00000000-0005-0000-0000-00006E0E0000}"/>
    <cellStyle name="Calculation 6 2 7 5" xfId="9009" xr:uid="{00000000-0005-0000-0000-00006F0E0000}"/>
    <cellStyle name="Calculation 6 2 8" xfId="3363" xr:uid="{00000000-0005-0000-0000-0000700E0000}"/>
    <cellStyle name="Calculation 6 2 8 2" xfId="10182" xr:uid="{00000000-0005-0000-0000-0000710E0000}"/>
    <cellStyle name="Calculation 6 2 8 3" xfId="10183" xr:uid="{00000000-0005-0000-0000-0000720E0000}"/>
    <cellStyle name="Calculation 6 2 8 4" xfId="10185" xr:uid="{00000000-0005-0000-0000-0000730E0000}"/>
    <cellStyle name="Calculation 6 2 9" xfId="10188" xr:uid="{00000000-0005-0000-0000-0000740E0000}"/>
    <cellStyle name="Calculation 6 3" xfId="6580" xr:uid="{00000000-0005-0000-0000-0000750E0000}"/>
    <cellStyle name="Calculation 6 3 2" xfId="3490" xr:uid="{00000000-0005-0000-0000-0000760E0000}"/>
    <cellStyle name="Calculation 6 3 2 2" xfId="3501" xr:uid="{00000000-0005-0000-0000-0000770E0000}"/>
    <cellStyle name="Calculation 6 3 2 2 2" xfId="2317" xr:uid="{00000000-0005-0000-0000-0000780E0000}"/>
    <cellStyle name="Calculation 6 3 2 2 2 2" xfId="3504" xr:uid="{00000000-0005-0000-0000-0000790E0000}"/>
    <cellStyle name="Calculation 6 3 2 2 2 2 2" xfId="10190" xr:uid="{00000000-0005-0000-0000-00007A0E0000}"/>
    <cellStyle name="Calculation 6 3 2 2 2 2 2 2" xfId="4778" xr:uid="{00000000-0005-0000-0000-00007B0E0000}"/>
    <cellStyle name="Calculation 6 3 2 2 2 2 2 3" xfId="299" xr:uid="{00000000-0005-0000-0000-00007C0E0000}"/>
    <cellStyle name="Calculation 6 3 2 2 2 2 2 4" xfId="117" xr:uid="{00000000-0005-0000-0000-00007D0E0000}"/>
    <cellStyle name="Calculation 6 3 2 2 2 2 3" xfId="10192" xr:uid="{00000000-0005-0000-0000-00007E0E0000}"/>
    <cellStyle name="Calculation 6 3 2 2 2 2 4" xfId="10195" xr:uid="{00000000-0005-0000-0000-00007F0E0000}"/>
    <cellStyle name="Calculation 6 3 2 2 2 2 5" xfId="10197" xr:uid="{00000000-0005-0000-0000-0000800E0000}"/>
    <cellStyle name="Calculation 6 3 2 2 2 3" xfId="3511" xr:uid="{00000000-0005-0000-0000-0000810E0000}"/>
    <cellStyle name="Calculation 6 3 2 2 2 3 2" xfId="7760" xr:uid="{00000000-0005-0000-0000-0000820E0000}"/>
    <cellStyle name="Calculation 6 3 2 2 2 3 3" xfId="7876" xr:uid="{00000000-0005-0000-0000-0000830E0000}"/>
    <cellStyle name="Calculation 6 3 2 2 2 3 4" xfId="7926" xr:uid="{00000000-0005-0000-0000-0000840E0000}"/>
    <cellStyle name="Calculation 6 3 2 2 2 4" xfId="3519" xr:uid="{00000000-0005-0000-0000-0000850E0000}"/>
    <cellStyle name="Calculation 6 3 2 2 2 5" xfId="8040" xr:uid="{00000000-0005-0000-0000-0000860E0000}"/>
    <cellStyle name="Calculation 6 3 2 2 2 6" xfId="8068" xr:uid="{00000000-0005-0000-0000-0000870E0000}"/>
    <cellStyle name="Calculation 6 3 2 2 3" xfId="3530" xr:uid="{00000000-0005-0000-0000-0000880E0000}"/>
    <cellStyle name="Calculation 6 3 2 2 3 2" xfId="10201" xr:uid="{00000000-0005-0000-0000-0000890E0000}"/>
    <cellStyle name="Calculation 6 3 2 2 3 2 2" xfId="10208" xr:uid="{00000000-0005-0000-0000-00008A0E0000}"/>
    <cellStyle name="Calculation 6 3 2 2 3 2 3" xfId="10215" xr:uid="{00000000-0005-0000-0000-00008B0E0000}"/>
    <cellStyle name="Calculation 6 3 2 2 3 2 4" xfId="10223" xr:uid="{00000000-0005-0000-0000-00008C0E0000}"/>
    <cellStyle name="Calculation 6 3 2 2 3 3" xfId="8125" xr:uid="{00000000-0005-0000-0000-00008D0E0000}"/>
    <cellStyle name="Calculation 6 3 2 2 3 4" xfId="8186" xr:uid="{00000000-0005-0000-0000-00008E0E0000}"/>
    <cellStyle name="Calculation 6 3 2 2 3 5" xfId="8204" xr:uid="{00000000-0005-0000-0000-00008F0E0000}"/>
    <cellStyle name="Calculation 6 3 2 2 4" xfId="3537" xr:uid="{00000000-0005-0000-0000-0000900E0000}"/>
    <cellStyle name="Calculation 6 3 2 2 4 2" xfId="10228" xr:uid="{00000000-0005-0000-0000-0000910E0000}"/>
    <cellStyle name="Calculation 6 3 2 2 4 3" xfId="8240" xr:uid="{00000000-0005-0000-0000-0000920E0000}"/>
    <cellStyle name="Calculation 6 3 2 2 4 4" xfId="8283" xr:uid="{00000000-0005-0000-0000-0000930E0000}"/>
    <cellStyle name="Calculation 6 3 2 2 5" xfId="3541" xr:uid="{00000000-0005-0000-0000-0000940E0000}"/>
    <cellStyle name="Calculation 6 3 2 2 6" xfId="6448" xr:uid="{00000000-0005-0000-0000-0000950E0000}"/>
    <cellStyle name="Calculation 6 3 2 2 7" xfId="10231" xr:uid="{00000000-0005-0000-0000-0000960E0000}"/>
    <cellStyle name="Calculation 6 3 2 3" xfId="3552" xr:uid="{00000000-0005-0000-0000-0000970E0000}"/>
    <cellStyle name="Calculation 6 3 2 3 2" xfId="2329" xr:uid="{00000000-0005-0000-0000-0000980E0000}"/>
    <cellStyle name="Calculation 6 3 2 3 2 2" xfId="10237" xr:uid="{00000000-0005-0000-0000-0000990E0000}"/>
    <cellStyle name="Calculation 6 3 2 3 2 2 2" xfId="2044" xr:uid="{00000000-0005-0000-0000-00009A0E0000}"/>
    <cellStyle name="Calculation 6 3 2 3 2 2 3" xfId="2068" xr:uid="{00000000-0005-0000-0000-00009B0E0000}"/>
    <cellStyle name="Calculation 6 3 2 3 2 2 4" xfId="2082" xr:uid="{00000000-0005-0000-0000-00009C0E0000}"/>
    <cellStyle name="Calculation 6 3 2 3 2 3" xfId="9184" xr:uid="{00000000-0005-0000-0000-00009D0E0000}"/>
    <cellStyle name="Calculation 6 3 2 3 2 4" xfId="9357" xr:uid="{00000000-0005-0000-0000-00009E0E0000}"/>
    <cellStyle name="Calculation 6 3 2 3 2 5" xfId="9386" xr:uid="{00000000-0005-0000-0000-00009F0E0000}"/>
    <cellStyle name="Calculation 6 3 2 3 3" xfId="3565" xr:uid="{00000000-0005-0000-0000-0000A00E0000}"/>
    <cellStyle name="Calculation 6 3 2 3 3 2" xfId="10241" xr:uid="{00000000-0005-0000-0000-0000A10E0000}"/>
    <cellStyle name="Calculation 6 3 2 3 3 3" xfId="9443" xr:uid="{00000000-0005-0000-0000-0000A20E0000}"/>
    <cellStyle name="Calculation 6 3 2 3 3 4" xfId="9469" xr:uid="{00000000-0005-0000-0000-0000A30E0000}"/>
    <cellStyle name="Calculation 6 3 2 3 4" xfId="3575" xr:uid="{00000000-0005-0000-0000-0000A40E0000}"/>
    <cellStyle name="Calculation 6 3 2 3 5" xfId="10244" xr:uid="{00000000-0005-0000-0000-0000A50E0000}"/>
    <cellStyle name="Calculation 6 3 2 3 6" xfId="10248" xr:uid="{00000000-0005-0000-0000-0000A60E0000}"/>
    <cellStyle name="Calculation 6 3 2 4" xfId="3583" xr:uid="{00000000-0005-0000-0000-0000A70E0000}"/>
    <cellStyle name="Calculation 6 3 2 4 2" xfId="341" xr:uid="{00000000-0005-0000-0000-0000A80E0000}"/>
    <cellStyle name="Calculation 6 3 2 4 2 2" xfId="3621" xr:uid="{00000000-0005-0000-0000-0000A90E0000}"/>
    <cellStyle name="Calculation 6 3 2 4 2 3" xfId="3669" xr:uid="{00000000-0005-0000-0000-0000AA0E0000}"/>
    <cellStyle name="Calculation 6 3 2 4 2 4" xfId="3725" xr:uid="{00000000-0005-0000-0000-0000AB0E0000}"/>
    <cellStyle name="Calculation 6 3 2 4 3" xfId="11" xr:uid="{00000000-0005-0000-0000-0000AC0E0000}"/>
    <cellStyle name="Calculation 6 3 2 4 4" xfId="3818" xr:uid="{00000000-0005-0000-0000-0000AD0E0000}"/>
    <cellStyle name="Calculation 6 3 2 4 5" xfId="3828" xr:uid="{00000000-0005-0000-0000-0000AE0E0000}"/>
    <cellStyle name="Calculation 6 3 2 5" xfId="3591" xr:uid="{00000000-0005-0000-0000-0000AF0E0000}"/>
    <cellStyle name="Calculation 6 3 2 5 2" xfId="2352" xr:uid="{00000000-0005-0000-0000-0000B00E0000}"/>
    <cellStyle name="Calculation 6 3 2 5 3" xfId="4180" xr:uid="{00000000-0005-0000-0000-0000B10E0000}"/>
    <cellStyle name="Calculation 6 3 2 5 4" xfId="4207" xr:uid="{00000000-0005-0000-0000-0000B20E0000}"/>
    <cellStyle name="Calculation 6 3 2 6" xfId="3597" xr:uid="{00000000-0005-0000-0000-0000B30E0000}"/>
    <cellStyle name="Calculation 6 3 2 7" xfId="10249" xr:uid="{00000000-0005-0000-0000-0000B40E0000}"/>
    <cellStyle name="Calculation 6 3 2 8" xfId="10250" xr:uid="{00000000-0005-0000-0000-0000B50E0000}"/>
    <cellStyle name="Calculation 6 3 3" xfId="3601" xr:uid="{00000000-0005-0000-0000-0000B60E0000}"/>
    <cellStyle name="Calculation 6 3 3 2" xfId="2009" xr:uid="{00000000-0005-0000-0000-0000B70E0000}"/>
    <cellStyle name="Calculation 6 3 3 2 2" xfId="3037" xr:uid="{00000000-0005-0000-0000-0000B80E0000}"/>
    <cellStyle name="Calculation 6 3 3 2 2 2" xfId="2337" xr:uid="{00000000-0005-0000-0000-0000B90E0000}"/>
    <cellStyle name="Calculation 6 3 3 2 2 2 2" xfId="10184" xr:uid="{00000000-0005-0000-0000-0000BA0E0000}"/>
    <cellStyle name="Calculation 6 3 3 2 2 2 3" xfId="10251" xr:uid="{00000000-0005-0000-0000-0000BB0E0000}"/>
    <cellStyle name="Calculation 6 3 3 2 2 2 4" xfId="10252" xr:uid="{00000000-0005-0000-0000-0000BC0E0000}"/>
    <cellStyle name="Calculation 6 3 3 2 2 3" xfId="3045" xr:uid="{00000000-0005-0000-0000-0000BD0E0000}"/>
    <cellStyle name="Calculation 6 3 3 2 2 4" xfId="3053" xr:uid="{00000000-0005-0000-0000-0000BE0E0000}"/>
    <cellStyle name="Calculation 6 3 3 2 2 5" xfId="10256" xr:uid="{00000000-0005-0000-0000-0000BF0E0000}"/>
    <cellStyle name="Calculation 6 3 3 2 3" xfId="3062" xr:uid="{00000000-0005-0000-0000-0000C00E0000}"/>
    <cellStyle name="Calculation 6 3 3 2 3 2" xfId="9036" xr:uid="{00000000-0005-0000-0000-0000C10E0000}"/>
    <cellStyle name="Calculation 6 3 3 2 3 3" xfId="9045" xr:uid="{00000000-0005-0000-0000-0000C20E0000}"/>
    <cellStyle name="Calculation 6 3 3 2 3 4" xfId="10260" xr:uid="{00000000-0005-0000-0000-0000C30E0000}"/>
    <cellStyle name="Calculation 6 3 3 2 4" xfId="1834" xr:uid="{00000000-0005-0000-0000-0000C40E0000}"/>
    <cellStyle name="Calculation 6 3 3 2 5" xfId="1842" xr:uid="{00000000-0005-0000-0000-0000C50E0000}"/>
    <cellStyle name="Calculation 6 3 3 2 6" xfId="10270" xr:uid="{00000000-0005-0000-0000-0000C60E0000}"/>
    <cellStyle name="Calculation 6 3 3 3" xfId="3069" xr:uid="{00000000-0005-0000-0000-0000C70E0000}"/>
    <cellStyle name="Calculation 6 3 3 3 2" xfId="2956" xr:uid="{00000000-0005-0000-0000-0000C80E0000}"/>
    <cellStyle name="Calculation 6 3 3 3 2 2" xfId="6233" xr:uid="{00000000-0005-0000-0000-0000C90E0000}"/>
    <cellStyle name="Calculation 6 3 3 3 2 3" xfId="6244" xr:uid="{00000000-0005-0000-0000-0000CA0E0000}"/>
    <cellStyle name="Calculation 6 3 3 3 2 4" xfId="6250" xr:uid="{00000000-0005-0000-0000-0000CB0E0000}"/>
    <cellStyle name="Calculation 6 3 3 3 3" xfId="2972" xr:uid="{00000000-0005-0000-0000-0000CC0E0000}"/>
    <cellStyle name="Calculation 6 3 3 3 4" xfId="1853" xr:uid="{00000000-0005-0000-0000-0000CD0E0000}"/>
    <cellStyle name="Calculation 6 3 3 3 5" xfId="6256" xr:uid="{00000000-0005-0000-0000-0000CE0E0000}"/>
    <cellStyle name="Calculation 6 3 3 4" xfId="2935" xr:uid="{00000000-0005-0000-0000-0000CF0E0000}"/>
    <cellStyle name="Calculation 6 3 3 4 2" xfId="6262" xr:uid="{00000000-0005-0000-0000-0000D00E0000}"/>
    <cellStyle name="Calculation 6 3 3 4 3" xfId="6267" xr:uid="{00000000-0005-0000-0000-0000D10E0000}"/>
    <cellStyle name="Calculation 6 3 3 4 4" xfId="1879" xr:uid="{00000000-0005-0000-0000-0000D20E0000}"/>
    <cellStyle name="Calculation 6 3 3 5" xfId="2946" xr:uid="{00000000-0005-0000-0000-0000D30E0000}"/>
    <cellStyle name="Calculation 6 3 3 6" xfId="2961" xr:uid="{00000000-0005-0000-0000-0000D40E0000}"/>
    <cellStyle name="Calculation 6 3 3 7" xfId="6276" xr:uid="{00000000-0005-0000-0000-0000D50E0000}"/>
    <cellStyle name="Calculation 6 3 4" xfId="1416" xr:uid="{00000000-0005-0000-0000-0000D60E0000}"/>
    <cellStyle name="Calculation 6 3 4 2" xfId="3092" xr:uid="{00000000-0005-0000-0000-0000D70E0000}"/>
    <cellStyle name="Calculation 6 3 4 2 2" xfId="255" xr:uid="{00000000-0005-0000-0000-0000D80E0000}"/>
    <cellStyle name="Calculation 6 3 4 2 2 2" xfId="2583" xr:uid="{00000000-0005-0000-0000-0000D90E0000}"/>
    <cellStyle name="Calculation 6 3 4 2 2 3" xfId="9136" xr:uid="{00000000-0005-0000-0000-0000DA0E0000}"/>
    <cellStyle name="Calculation 6 3 4 2 2 4" xfId="10273" xr:uid="{00000000-0005-0000-0000-0000DB0E0000}"/>
    <cellStyle name="Calculation 6 3 4 2 3" xfId="2503" xr:uid="{00000000-0005-0000-0000-0000DC0E0000}"/>
    <cellStyle name="Calculation 6 3 4 2 4" xfId="2518" xr:uid="{00000000-0005-0000-0000-0000DD0E0000}"/>
    <cellStyle name="Calculation 6 3 4 2 5" xfId="10278" xr:uid="{00000000-0005-0000-0000-0000DE0E0000}"/>
    <cellStyle name="Calculation 6 3 4 3" xfId="3098" xr:uid="{00000000-0005-0000-0000-0000DF0E0000}"/>
    <cellStyle name="Calculation 6 3 4 3 2" xfId="2536" xr:uid="{00000000-0005-0000-0000-0000E00E0000}"/>
    <cellStyle name="Calculation 6 3 4 3 3" xfId="2549" xr:uid="{00000000-0005-0000-0000-0000E10E0000}"/>
    <cellStyle name="Calculation 6 3 4 3 4" xfId="6295" xr:uid="{00000000-0005-0000-0000-0000E20E0000}"/>
    <cellStyle name="Calculation 6 3 4 4" xfId="3106" xr:uid="{00000000-0005-0000-0000-0000E30E0000}"/>
    <cellStyle name="Calculation 6 3 4 5" xfId="3115" xr:uid="{00000000-0005-0000-0000-0000E40E0000}"/>
    <cellStyle name="Calculation 6 3 4 6" xfId="6301" xr:uid="{00000000-0005-0000-0000-0000E50E0000}"/>
    <cellStyle name="Calculation 6 3 5" xfId="3608" xr:uid="{00000000-0005-0000-0000-0000E60E0000}"/>
    <cellStyle name="Calculation 6 3 5 2" xfId="3131" xr:uid="{00000000-0005-0000-0000-0000E70E0000}"/>
    <cellStyle name="Calculation 6 3 5 2 2" xfId="2573" xr:uid="{00000000-0005-0000-0000-0000E80E0000}"/>
    <cellStyle name="Calculation 6 3 5 2 3" xfId="10280" xr:uid="{00000000-0005-0000-0000-0000E90E0000}"/>
    <cellStyle name="Calculation 6 3 5 2 4" xfId="10284" xr:uid="{00000000-0005-0000-0000-0000EA0E0000}"/>
    <cellStyle name="Calculation 6 3 5 3" xfId="3141" xr:uid="{00000000-0005-0000-0000-0000EB0E0000}"/>
    <cellStyle name="Calculation 6 3 5 4" xfId="3154" xr:uid="{00000000-0005-0000-0000-0000EC0E0000}"/>
    <cellStyle name="Calculation 6 3 5 5" xfId="6323" xr:uid="{00000000-0005-0000-0000-0000ED0E0000}"/>
    <cellStyle name="Calculation 6 3 6" xfId="3612" xr:uid="{00000000-0005-0000-0000-0000EE0E0000}"/>
    <cellStyle name="Calculation 6 3 6 2" xfId="3006" xr:uid="{00000000-0005-0000-0000-0000EF0E0000}"/>
    <cellStyle name="Calculation 6 3 6 3" xfId="1207" xr:uid="{00000000-0005-0000-0000-0000F00E0000}"/>
    <cellStyle name="Calculation 6 3 6 4" xfId="1212" xr:uid="{00000000-0005-0000-0000-0000F10E0000}"/>
    <cellStyle name="Calculation 6 3 7" xfId="3617" xr:uid="{00000000-0005-0000-0000-0000F20E0000}"/>
    <cellStyle name="Calculation 6 3 8" xfId="10286" xr:uid="{00000000-0005-0000-0000-0000F30E0000}"/>
    <cellStyle name="Calculation 6 3 9" xfId="7934" xr:uid="{00000000-0005-0000-0000-0000F40E0000}"/>
    <cellStyle name="Calculation 6 4" xfId="6585" xr:uid="{00000000-0005-0000-0000-0000F50E0000}"/>
    <cellStyle name="Calculation 6 4 2" xfId="3667" xr:uid="{00000000-0005-0000-0000-0000F60E0000}"/>
    <cellStyle name="Calculation 6 4 2 2" xfId="3675" xr:uid="{00000000-0005-0000-0000-0000F70E0000}"/>
    <cellStyle name="Calculation 6 4 2 2 2" xfId="3682" xr:uid="{00000000-0005-0000-0000-0000F80E0000}"/>
    <cellStyle name="Calculation 6 4 2 2 2 2" xfId="10290" xr:uid="{00000000-0005-0000-0000-0000F90E0000}"/>
    <cellStyle name="Calculation 6 4 2 2 2 2 2" xfId="10291" xr:uid="{00000000-0005-0000-0000-0000FA0E0000}"/>
    <cellStyle name="Calculation 6 4 2 2 2 2 2 2" xfId="10293" xr:uid="{00000000-0005-0000-0000-0000FB0E0000}"/>
    <cellStyle name="Calculation 6 4 2 2 2 2 2 3" xfId="10296" xr:uid="{00000000-0005-0000-0000-0000FC0E0000}"/>
    <cellStyle name="Calculation 6 4 2 2 2 2 2 4" xfId="10300" xr:uid="{00000000-0005-0000-0000-0000FD0E0000}"/>
    <cellStyle name="Calculation 6 4 2 2 2 2 3" xfId="10301" xr:uid="{00000000-0005-0000-0000-0000FE0E0000}"/>
    <cellStyle name="Calculation 6 4 2 2 2 2 4" xfId="10302" xr:uid="{00000000-0005-0000-0000-0000FF0E0000}"/>
    <cellStyle name="Calculation 6 4 2 2 2 2 5" xfId="10303" xr:uid="{00000000-0005-0000-0000-0000000F0000}"/>
    <cellStyle name="Calculation 6 4 2 2 2 3" xfId="10305" xr:uid="{00000000-0005-0000-0000-0000010F0000}"/>
    <cellStyle name="Calculation 6 4 2 2 2 3 2" xfId="5859" xr:uid="{00000000-0005-0000-0000-0000020F0000}"/>
    <cellStyle name="Calculation 6 4 2 2 2 3 3" xfId="5919" xr:uid="{00000000-0005-0000-0000-0000030F0000}"/>
    <cellStyle name="Calculation 6 4 2 2 2 3 4" xfId="1045" xr:uid="{00000000-0005-0000-0000-0000040F0000}"/>
    <cellStyle name="Calculation 6 4 2 2 2 4" xfId="10205" xr:uid="{00000000-0005-0000-0000-0000050F0000}"/>
    <cellStyle name="Calculation 6 4 2 2 2 5" xfId="10213" xr:uid="{00000000-0005-0000-0000-0000060F0000}"/>
    <cellStyle name="Calculation 6 4 2 2 2 6" xfId="10221" xr:uid="{00000000-0005-0000-0000-0000070F0000}"/>
    <cellStyle name="Calculation 6 4 2 2 3" xfId="3690" xr:uid="{00000000-0005-0000-0000-0000080F0000}"/>
    <cellStyle name="Calculation 6 4 2 2 3 2" xfId="10313" xr:uid="{00000000-0005-0000-0000-0000090F0000}"/>
    <cellStyle name="Calculation 6 4 2 2 3 2 2" xfId="10318" xr:uid="{00000000-0005-0000-0000-00000A0F0000}"/>
    <cellStyle name="Calculation 6 4 2 2 3 2 3" xfId="10324" xr:uid="{00000000-0005-0000-0000-00000B0F0000}"/>
    <cellStyle name="Calculation 6 4 2 2 3 2 4" xfId="10330" xr:uid="{00000000-0005-0000-0000-00000C0F0000}"/>
    <cellStyle name="Calculation 6 4 2 2 3 3" xfId="10339" xr:uid="{00000000-0005-0000-0000-00000D0F0000}"/>
    <cellStyle name="Calculation 6 4 2 2 3 4" xfId="8136" xr:uid="{00000000-0005-0000-0000-00000E0F0000}"/>
    <cellStyle name="Calculation 6 4 2 2 3 5" xfId="8159" xr:uid="{00000000-0005-0000-0000-00000F0F0000}"/>
    <cellStyle name="Calculation 6 4 2 2 4" xfId="3699" xr:uid="{00000000-0005-0000-0000-0000100F0000}"/>
    <cellStyle name="Calculation 6 4 2 2 4 2" xfId="10346" xr:uid="{00000000-0005-0000-0000-0000110F0000}"/>
    <cellStyle name="Calculation 6 4 2 2 4 3" xfId="10354" xr:uid="{00000000-0005-0000-0000-0000120F0000}"/>
    <cellStyle name="Calculation 6 4 2 2 4 4" xfId="8194" xr:uid="{00000000-0005-0000-0000-0000130F0000}"/>
    <cellStyle name="Calculation 6 4 2 2 5" xfId="9312" xr:uid="{00000000-0005-0000-0000-0000140F0000}"/>
    <cellStyle name="Calculation 6 4 2 2 6" xfId="52" xr:uid="{00000000-0005-0000-0000-0000150F0000}"/>
    <cellStyle name="Calculation 6 4 2 2 7" xfId="8894" xr:uid="{00000000-0005-0000-0000-0000160F0000}"/>
    <cellStyle name="Calculation 6 4 2 3" xfId="3706" xr:uid="{00000000-0005-0000-0000-0000170F0000}"/>
    <cellStyle name="Calculation 6 4 2 3 2" xfId="10355" xr:uid="{00000000-0005-0000-0000-0000180F0000}"/>
    <cellStyle name="Calculation 6 4 2 3 2 2" xfId="6407" xr:uid="{00000000-0005-0000-0000-0000190F0000}"/>
    <cellStyle name="Calculation 6 4 2 3 2 2 2" xfId="10193" xr:uid="{00000000-0005-0000-0000-00001A0F0000}"/>
    <cellStyle name="Calculation 6 4 2 3 2 2 3" xfId="10196" xr:uid="{00000000-0005-0000-0000-00001B0F0000}"/>
    <cellStyle name="Calculation 6 4 2 3 2 2 4" xfId="10356" xr:uid="{00000000-0005-0000-0000-00001C0F0000}"/>
    <cellStyle name="Calculation 6 4 2 3 2 3" xfId="7574" xr:uid="{00000000-0005-0000-0000-00001D0F0000}"/>
    <cellStyle name="Calculation 6 4 2 3 2 4" xfId="10361" xr:uid="{00000000-0005-0000-0000-00001E0F0000}"/>
    <cellStyle name="Calculation 6 4 2 3 2 5" xfId="10367" xr:uid="{00000000-0005-0000-0000-00001F0F0000}"/>
    <cellStyle name="Calculation 6 4 2 3 3" xfId="10374" xr:uid="{00000000-0005-0000-0000-0000200F0000}"/>
    <cellStyle name="Calculation 6 4 2 3 3 2" xfId="10380" xr:uid="{00000000-0005-0000-0000-0000210F0000}"/>
    <cellStyle name="Calculation 6 4 2 3 3 3" xfId="10386" xr:uid="{00000000-0005-0000-0000-0000220F0000}"/>
    <cellStyle name="Calculation 6 4 2 3 3 4" xfId="8247" xr:uid="{00000000-0005-0000-0000-0000230F0000}"/>
    <cellStyle name="Calculation 6 4 2 3 4" xfId="10394" xr:uid="{00000000-0005-0000-0000-0000240F0000}"/>
    <cellStyle name="Calculation 6 4 2 3 5" xfId="10401" xr:uid="{00000000-0005-0000-0000-0000250F0000}"/>
    <cellStyle name="Calculation 6 4 2 3 6" xfId="10404" xr:uid="{00000000-0005-0000-0000-0000260F0000}"/>
    <cellStyle name="Calculation 6 4 2 4" xfId="3715" xr:uid="{00000000-0005-0000-0000-0000270F0000}"/>
    <cellStyle name="Calculation 6 4 2 4 2" xfId="10406" xr:uid="{00000000-0005-0000-0000-0000280F0000}"/>
    <cellStyle name="Calculation 6 4 2 4 2 2" xfId="10229" xr:uid="{00000000-0005-0000-0000-0000290F0000}"/>
    <cellStyle name="Calculation 6 4 2 4 2 3" xfId="10407" xr:uid="{00000000-0005-0000-0000-00002A0F0000}"/>
    <cellStyle name="Calculation 6 4 2 4 2 4" xfId="10408" xr:uid="{00000000-0005-0000-0000-00002B0F0000}"/>
    <cellStyle name="Calculation 6 4 2 4 3" xfId="10414" xr:uid="{00000000-0005-0000-0000-00002C0F0000}"/>
    <cellStyle name="Calculation 6 4 2 4 4" xfId="10419" xr:uid="{00000000-0005-0000-0000-00002D0F0000}"/>
    <cellStyle name="Calculation 6 4 2 4 5" xfId="10422" xr:uid="{00000000-0005-0000-0000-00002E0F0000}"/>
    <cellStyle name="Calculation 6 4 2 5" xfId="271" xr:uid="{00000000-0005-0000-0000-00002F0F0000}"/>
    <cellStyle name="Calculation 6 4 2 5 2" xfId="10424" xr:uid="{00000000-0005-0000-0000-0000300F0000}"/>
    <cellStyle name="Calculation 6 4 2 5 3" xfId="10426" xr:uid="{00000000-0005-0000-0000-0000310F0000}"/>
    <cellStyle name="Calculation 6 4 2 5 4" xfId="10430" xr:uid="{00000000-0005-0000-0000-0000320F0000}"/>
    <cellStyle name="Calculation 6 4 2 6" xfId="10434" xr:uid="{00000000-0005-0000-0000-0000330F0000}"/>
    <cellStyle name="Calculation 6 4 2 7" xfId="10437" xr:uid="{00000000-0005-0000-0000-0000340F0000}"/>
    <cellStyle name="Calculation 6 4 2 8" xfId="10440" xr:uid="{00000000-0005-0000-0000-0000350F0000}"/>
    <cellStyle name="Calculation 6 4 3" xfId="3722" xr:uid="{00000000-0005-0000-0000-0000360F0000}"/>
    <cellStyle name="Calculation 6 4 3 2" xfId="570" xr:uid="{00000000-0005-0000-0000-0000370F0000}"/>
    <cellStyle name="Calculation 6 4 3 2 2" xfId="2122" xr:uid="{00000000-0005-0000-0000-0000380F0000}"/>
    <cellStyle name="Calculation 6 4 3 2 2 2" xfId="2128" xr:uid="{00000000-0005-0000-0000-0000390F0000}"/>
    <cellStyle name="Calculation 6 4 3 2 2 2 2" xfId="2145" xr:uid="{00000000-0005-0000-0000-00003A0F0000}"/>
    <cellStyle name="Calculation 6 4 3 2 2 2 3" xfId="1191" xr:uid="{00000000-0005-0000-0000-00003B0F0000}"/>
    <cellStyle name="Calculation 6 4 3 2 2 2 4" xfId="1303" xr:uid="{00000000-0005-0000-0000-00003C0F0000}"/>
    <cellStyle name="Calculation 6 4 3 2 2 3" xfId="2155" xr:uid="{00000000-0005-0000-0000-00003D0F0000}"/>
    <cellStyle name="Calculation 6 4 3 2 2 4" xfId="1139" xr:uid="{00000000-0005-0000-0000-00003E0F0000}"/>
    <cellStyle name="Calculation 6 4 3 2 2 5" xfId="2176" xr:uid="{00000000-0005-0000-0000-00003F0F0000}"/>
    <cellStyle name="Calculation 6 4 3 2 3" xfId="2244" xr:uid="{00000000-0005-0000-0000-0000400F0000}"/>
    <cellStyle name="Calculation 6 4 3 2 3 2" xfId="400" xr:uid="{00000000-0005-0000-0000-0000410F0000}"/>
    <cellStyle name="Calculation 6 4 3 2 3 3" xfId="429" xr:uid="{00000000-0005-0000-0000-0000420F0000}"/>
    <cellStyle name="Calculation 6 4 3 2 3 4" xfId="452" xr:uid="{00000000-0005-0000-0000-0000430F0000}"/>
    <cellStyle name="Calculation 6 4 3 2 4" xfId="1933" xr:uid="{00000000-0005-0000-0000-0000440F0000}"/>
    <cellStyle name="Calculation 6 4 3 2 5" xfId="9714" xr:uid="{00000000-0005-0000-0000-0000450F0000}"/>
    <cellStyle name="Calculation 6 4 3 2 6" xfId="9723" xr:uid="{00000000-0005-0000-0000-0000460F0000}"/>
    <cellStyle name="Calculation 6 4 3 3" xfId="3184" xr:uid="{00000000-0005-0000-0000-0000470F0000}"/>
    <cellStyle name="Calculation 6 4 3 3 2" xfId="4886" xr:uid="{00000000-0005-0000-0000-0000480F0000}"/>
    <cellStyle name="Calculation 6 4 3 3 2 2" xfId="9259" xr:uid="{00000000-0005-0000-0000-0000490F0000}"/>
    <cellStyle name="Calculation 6 4 3 3 2 3" xfId="9265" xr:uid="{00000000-0005-0000-0000-00004A0F0000}"/>
    <cellStyle name="Calculation 6 4 3 3 2 4" xfId="9727" xr:uid="{00000000-0005-0000-0000-00004B0F0000}"/>
    <cellStyle name="Calculation 6 4 3 3 3" xfId="6347" xr:uid="{00000000-0005-0000-0000-00004C0F0000}"/>
    <cellStyle name="Calculation 6 4 3 3 4" xfId="412" xr:uid="{00000000-0005-0000-0000-00004D0F0000}"/>
    <cellStyle name="Calculation 6 4 3 3 5" xfId="9735" xr:uid="{00000000-0005-0000-0000-00004E0F0000}"/>
    <cellStyle name="Calculation 6 4 3 4" xfId="741" xr:uid="{00000000-0005-0000-0000-00004F0F0000}"/>
    <cellStyle name="Calculation 6 4 3 4 2" xfId="9739" xr:uid="{00000000-0005-0000-0000-0000500F0000}"/>
    <cellStyle name="Calculation 6 4 3 4 3" xfId="9743" xr:uid="{00000000-0005-0000-0000-0000510F0000}"/>
    <cellStyle name="Calculation 6 4 3 4 4" xfId="9750" xr:uid="{00000000-0005-0000-0000-0000520F0000}"/>
    <cellStyle name="Calculation 6 4 3 5" xfId="2527" xr:uid="{00000000-0005-0000-0000-0000530F0000}"/>
    <cellStyle name="Calculation 6 4 3 6" xfId="6353" xr:uid="{00000000-0005-0000-0000-0000540F0000}"/>
    <cellStyle name="Calculation 6 4 3 7" xfId="7552" xr:uid="{00000000-0005-0000-0000-0000550F0000}"/>
    <cellStyle name="Calculation 6 4 4" xfId="1433" xr:uid="{00000000-0005-0000-0000-0000560F0000}"/>
    <cellStyle name="Calculation 6 4 4 2" xfId="3233" xr:uid="{00000000-0005-0000-0000-0000570F0000}"/>
    <cellStyle name="Calculation 6 4 4 2 2" xfId="9800" xr:uid="{00000000-0005-0000-0000-0000580F0000}"/>
    <cellStyle name="Calculation 6 4 4 2 2 2" xfId="7798" xr:uid="{00000000-0005-0000-0000-0000590F0000}"/>
    <cellStyle name="Calculation 6 4 4 2 2 3" xfId="9362" xr:uid="{00000000-0005-0000-0000-00005A0F0000}"/>
    <cellStyle name="Calculation 6 4 4 2 2 4" xfId="1269" xr:uid="{00000000-0005-0000-0000-00005B0F0000}"/>
    <cellStyle name="Calculation 6 4 4 2 3" xfId="9808" xr:uid="{00000000-0005-0000-0000-00005C0F0000}"/>
    <cellStyle name="Calculation 6 4 4 2 4" xfId="9810" xr:uid="{00000000-0005-0000-0000-00005D0F0000}"/>
    <cellStyle name="Calculation 6 4 4 2 5" xfId="9819" xr:uid="{00000000-0005-0000-0000-00005E0F0000}"/>
    <cellStyle name="Calculation 6 4 4 3" xfId="3244" xr:uid="{00000000-0005-0000-0000-00005F0F0000}"/>
    <cellStyle name="Calculation 6 4 4 3 2" xfId="9832" xr:uid="{00000000-0005-0000-0000-0000600F0000}"/>
    <cellStyle name="Calculation 6 4 4 3 3" xfId="9838" xr:uid="{00000000-0005-0000-0000-0000610F0000}"/>
    <cellStyle name="Calculation 6 4 4 3 4" xfId="9844" xr:uid="{00000000-0005-0000-0000-0000620F0000}"/>
    <cellStyle name="Calculation 6 4 4 4" xfId="630" xr:uid="{00000000-0005-0000-0000-0000630F0000}"/>
    <cellStyle name="Calculation 6 4 4 5" xfId="6372" xr:uid="{00000000-0005-0000-0000-0000640F0000}"/>
    <cellStyle name="Calculation 6 4 4 6" xfId="9850" xr:uid="{00000000-0005-0000-0000-0000650F0000}"/>
    <cellStyle name="Calculation 6 4 5" xfId="3730" xr:uid="{00000000-0005-0000-0000-0000660F0000}"/>
    <cellStyle name="Calculation 6 4 5 2" xfId="3256" xr:uid="{00000000-0005-0000-0000-0000670F0000}"/>
    <cellStyle name="Calculation 6 4 5 2 2" xfId="9855" xr:uid="{00000000-0005-0000-0000-0000680F0000}"/>
    <cellStyle name="Calculation 6 4 5 2 3" xfId="9858" xr:uid="{00000000-0005-0000-0000-0000690F0000}"/>
    <cellStyle name="Calculation 6 4 5 2 4" xfId="9863" xr:uid="{00000000-0005-0000-0000-00006A0F0000}"/>
    <cellStyle name="Calculation 6 4 5 3" xfId="684" xr:uid="{00000000-0005-0000-0000-00006B0F0000}"/>
    <cellStyle name="Calculation 6 4 5 4" xfId="9867" xr:uid="{00000000-0005-0000-0000-00006C0F0000}"/>
    <cellStyle name="Calculation 6 4 5 5" xfId="9869" xr:uid="{00000000-0005-0000-0000-00006D0F0000}"/>
    <cellStyle name="Calculation 6 4 6" xfId="3737" xr:uid="{00000000-0005-0000-0000-00006E0F0000}"/>
    <cellStyle name="Calculation 6 4 6 2" xfId="9880" xr:uid="{00000000-0005-0000-0000-00006F0F0000}"/>
    <cellStyle name="Calculation 6 4 6 3" xfId="9882" xr:uid="{00000000-0005-0000-0000-0000700F0000}"/>
    <cellStyle name="Calculation 6 4 6 4" xfId="9884" xr:uid="{00000000-0005-0000-0000-0000710F0000}"/>
    <cellStyle name="Calculation 6 4 7" xfId="10443" xr:uid="{00000000-0005-0000-0000-0000720F0000}"/>
    <cellStyle name="Calculation 6 4 8" xfId="10446" xr:uid="{00000000-0005-0000-0000-0000730F0000}"/>
    <cellStyle name="Calculation 6 4 9" xfId="10451" xr:uid="{00000000-0005-0000-0000-0000740F0000}"/>
    <cellStyle name="Calculation 6 5" xfId="7697" xr:uid="{00000000-0005-0000-0000-0000750F0000}"/>
    <cellStyle name="Calculation 6 5 2" xfId="1277" xr:uid="{00000000-0005-0000-0000-0000760F0000}"/>
    <cellStyle name="Calculation 6 5 2 2" xfId="3778" xr:uid="{00000000-0005-0000-0000-0000770F0000}"/>
    <cellStyle name="Calculation 6 5 2 2 2" xfId="10288" xr:uid="{00000000-0005-0000-0000-0000780F0000}"/>
    <cellStyle name="Calculation 6 5 2 2 2 2" xfId="10453" xr:uid="{00000000-0005-0000-0000-0000790F0000}"/>
    <cellStyle name="Calculation 6 5 2 2 2 2 2" xfId="10454" xr:uid="{00000000-0005-0000-0000-00007A0F0000}"/>
    <cellStyle name="Calculation 6 5 2 2 2 2 3" xfId="10455" xr:uid="{00000000-0005-0000-0000-00007B0F0000}"/>
    <cellStyle name="Calculation 6 5 2 2 2 2 4" xfId="5383" xr:uid="{00000000-0005-0000-0000-00007C0F0000}"/>
    <cellStyle name="Calculation 6 5 2 2 2 3" xfId="1248" xr:uid="{00000000-0005-0000-0000-00007D0F0000}"/>
    <cellStyle name="Calculation 6 5 2 2 2 4" xfId="10458" xr:uid="{00000000-0005-0000-0000-00007E0F0000}"/>
    <cellStyle name="Calculation 6 5 2 2 2 5" xfId="10462" xr:uid="{00000000-0005-0000-0000-00007F0F0000}"/>
    <cellStyle name="Calculation 6 5 2 2 3" xfId="7935" xr:uid="{00000000-0005-0000-0000-0000800F0000}"/>
    <cellStyle name="Calculation 6 5 2 2 3 2" xfId="6555" xr:uid="{00000000-0005-0000-0000-0000810F0000}"/>
    <cellStyle name="Calculation 6 5 2 2 3 3" xfId="1258" xr:uid="{00000000-0005-0000-0000-0000820F0000}"/>
    <cellStyle name="Calculation 6 5 2 2 3 4" xfId="10463" xr:uid="{00000000-0005-0000-0000-0000830F0000}"/>
    <cellStyle name="Calculation 6 5 2 2 4" xfId="7941" xr:uid="{00000000-0005-0000-0000-0000840F0000}"/>
    <cellStyle name="Calculation 6 5 2 2 5" xfId="7947" xr:uid="{00000000-0005-0000-0000-0000850F0000}"/>
    <cellStyle name="Calculation 6 5 2 2 6" xfId="10464" xr:uid="{00000000-0005-0000-0000-0000860F0000}"/>
    <cellStyle name="Calculation 6 5 2 3" xfId="3788" xr:uid="{00000000-0005-0000-0000-0000870F0000}"/>
    <cellStyle name="Calculation 6 5 2 3 2" xfId="10447" xr:uid="{00000000-0005-0000-0000-0000880F0000}"/>
    <cellStyle name="Calculation 6 5 2 3 2 2" xfId="10465" xr:uid="{00000000-0005-0000-0000-0000890F0000}"/>
    <cellStyle name="Calculation 6 5 2 3 2 3" xfId="10466" xr:uid="{00000000-0005-0000-0000-00008A0F0000}"/>
    <cellStyle name="Calculation 6 5 2 3 2 4" xfId="10469" xr:uid="{00000000-0005-0000-0000-00008B0F0000}"/>
    <cellStyle name="Calculation 6 5 2 3 3" xfId="10452" xr:uid="{00000000-0005-0000-0000-00008C0F0000}"/>
    <cellStyle name="Calculation 6 5 2 3 4" xfId="10473" xr:uid="{00000000-0005-0000-0000-00008D0F0000}"/>
    <cellStyle name="Calculation 6 5 2 3 5" xfId="10476" xr:uid="{00000000-0005-0000-0000-00008E0F0000}"/>
    <cellStyle name="Calculation 6 5 2 4" xfId="3801" xr:uid="{00000000-0005-0000-0000-00008F0F0000}"/>
    <cellStyle name="Calculation 6 5 2 4 2" xfId="10478" xr:uid="{00000000-0005-0000-0000-0000900F0000}"/>
    <cellStyle name="Calculation 6 5 2 4 3" xfId="10480" xr:uid="{00000000-0005-0000-0000-0000910F0000}"/>
    <cellStyle name="Calculation 6 5 2 4 4" xfId="10482" xr:uid="{00000000-0005-0000-0000-0000920F0000}"/>
    <cellStyle name="Calculation 6 5 2 5" xfId="4264" xr:uid="{00000000-0005-0000-0000-0000930F0000}"/>
    <cellStyle name="Calculation 6 5 2 6" xfId="9616" xr:uid="{00000000-0005-0000-0000-0000940F0000}"/>
    <cellStyle name="Calculation 6 5 2 7" xfId="7765" xr:uid="{00000000-0005-0000-0000-0000950F0000}"/>
    <cellStyle name="Calculation 6 5 3" xfId="1285" xr:uid="{00000000-0005-0000-0000-0000960F0000}"/>
    <cellStyle name="Calculation 6 5 3 2" xfId="3307" xr:uid="{00000000-0005-0000-0000-0000970F0000}"/>
    <cellStyle name="Calculation 6 5 3 2 2" xfId="8502" xr:uid="{00000000-0005-0000-0000-0000980F0000}"/>
    <cellStyle name="Calculation 6 5 3 2 2 2" xfId="9450" xr:uid="{00000000-0005-0000-0000-0000990F0000}"/>
    <cellStyle name="Calculation 6 5 3 2 2 3" xfId="1425" xr:uid="{00000000-0005-0000-0000-00009A0F0000}"/>
    <cellStyle name="Calculation 6 5 3 2 2 4" xfId="9959" xr:uid="{00000000-0005-0000-0000-00009B0F0000}"/>
    <cellStyle name="Calculation 6 5 3 2 3" xfId="8508" xr:uid="{00000000-0005-0000-0000-00009C0F0000}"/>
    <cellStyle name="Calculation 6 5 3 2 4" xfId="8514" xr:uid="{00000000-0005-0000-0000-00009D0F0000}"/>
    <cellStyle name="Calculation 6 5 3 2 5" xfId="9968" xr:uid="{00000000-0005-0000-0000-00009E0F0000}"/>
    <cellStyle name="Calculation 6 5 3 3" xfId="1683" xr:uid="{00000000-0005-0000-0000-00009F0F0000}"/>
    <cellStyle name="Calculation 6 5 3 3 2" xfId="8533" xr:uid="{00000000-0005-0000-0000-0000A00F0000}"/>
    <cellStyle name="Calculation 6 5 3 3 3" xfId="8537" xr:uid="{00000000-0005-0000-0000-0000A10F0000}"/>
    <cellStyle name="Calculation 6 5 3 3 4" xfId="9979" xr:uid="{00000000-0005-0000-0000-0000A20F0000}"/>
    <cellStyle name="Calculation 6 5 3 4" xfId="1689" xr:uid="{00000000-0005-0000-0000-0000A30F0000}"/>
    <cellStyle name="Calculation 6 5 3 5" xfId="1695" xr:uid="{00000000-0005-0000-0000-0000A40F0000}"/>
    <cellStyle name="Calculation 6 5 3 6" xfId="9990" xr:uid="{00000000-0005-0000-0000-0000A50F0000}"/>
    <cellStyle name="Calculation 6 5 4" xfId="1466" xr:uid="{00000000-0005-0000-0000-0000A60F0000}"/>
    <cellStyle name="Calculation 6 5 4 2" xfId="2657" xr:uid="{00000000-0005-0000-0000-0000A70F0000}"/>
    <cellStyle name="Calculation 6 5 4 2 2" xfId="8634" xr:uid="{00000000-0005-0000-0000-0000A80F0000}"/>
    <cellStyle name="Calculation 6 5 4 2 3" xfId="8640" xr:uid="{00000000-0005-0000-0000-0000A90F0000}"/>
    <cellStyle name="Calculation 6 5 4 2 4" xfId="10025" xr:uid="{00000000-0005-0000-0000-0000AA0F0000}"/>
    <cellStyle name="Calculation 6 5 4 3" xfId="1736" xr:uid="{00000000-0005-0000-0000-0000AB0F0000}"/>
    <cellStyle name="Calculation 6 5 4 4" xfId="10036" xr:uid="{00000000-0005-0000-0000-0000AC0F0000}"/>
    <cellStyle name="Calculation 6 5 4 5" xfId="4516" xr:uid="{00000000-0005-0000-0000-0000AD0F0000}"/>
    <cellStyle name="Calculation 6 5 5" xfId="3809" xr:uid="{00000000-0005-0000-0000-0000AE0F0000}"/>
    <cellStyle name="Calculation 6 5 5 2" xfId="10040" xr:uid="{00000000-0005-0000-0000-0000AF0F0000}"/>
    <cellStyle name="Calculation 6 5 5 3" xfId="10043" xr:uid="{00000000-0005-0000-0000-0000B00F0000}"/>
    <cellStyle name="Calculation 6 5 5 4" xfId="10045" xr:uid="{00000000-0005-0000-0000-0000B10F0000}"/>
    <cellStyle name="Calculation 6 5 6" xfId="10484" xr:uid="{00000000-0005-0000-0000-0000B20F0000}"/>
    <cellStyle name="Calculation 6 5 7" xfId="10486" xr:uid="{00000000-0005-0000-0000-0000B30F0000}"/>
    <cellStyle name="Calculation 6 5 8" xfId="10479" xr:uid="{00000000-0005-0000-0000-0000B40F0000}"/>
    <cellStyle name="Calculation 6 6" xfId="9147" xr:uid="{00000000-0005-0000-0000-0000B50F0000}"/>
    <cellStyle name="Calculation 6 6 2" xfId="3823" xr:uid="{00000000-0005-0000-0000-0000B60F0000}"/>
    <cellStyle name="Calculation 6 6 2 2" xfId="10487" xr:uid="{00000000-0005-0000-0000-0000B70F0000}"/>
    <cellStyle name="Calculation 6 6 2 2 2" xfId="5874" xr:uid="{00000000-0005-0000-0000-0000B80F0000}"/>
    <cellStyle name="Calculation 6 6 2 2 2 2" xfId="5226" xr:uid="{00000000-0005-0000-0000-0000B90F0000}"/>
    <cellStyle name="Calculation 6 6 2 2 2 3" xfId="789" xr:uid="{00000000-0005-0000-0000-0000BA0F0000}"/>
    <cellStyle name="Calculation 6 6 2 2 2 4" xfId="829" xr:uid="{00000000-0005-0000-0000-0000BB0F0000}"/>
    <cellStyle name="Calculation 6 6 2 2 3" xfId="5882" xr:uid="{00000000-0005-0000-0000-0000BC0F0000}"/>
    <cellStyle name="Calculation 6 6 2 2 4" xfId="10490" xr:uid="{00000000-0005-0000-0000-0000BD0F0000}"/>
    <cellStyle name="Calculation 6 6 2 2 5" xfId="10492" xr:uid="{00000000-0005-0000-0000-0000BE0F0000}"/>
    <cellStyle name="Calculation 6 6 2 3" xfId="10495" xr:uid="{00000000-0005-0000-0000-0000BF0F0000}"/>
    <cellStyle name="Calculation 6 6 2 3 2" xfId="2294" xr:uid="{00000000-0005-0000-0000-0000C00F0000}"/>
    <cellStyle name="Calculation 6 6 2 3 3" xfId="5890" xr:uid="{00000000-0005-0000-0000-0000C10F0000}"/>
    <cellStyle name="Calculation 6 6 2 3 4" xfId="7143" xr:uid="{00000000-0005-0000-0000-0000C20F0000}"/>
    <cellStyle name="Calculation 6 6 2 4" xfId="10497" xr:uid="{00000000-0005-0000-0000-0000C30F0000}"/>
    <cellStyle name="Calculation 6 6 2 5" xfId="10499" xr:uid="{00000000-0005-0000-0000-0000C40F0000}"/>
    <cellStyle name="Calculation 6 6 2 6" xfId="10504" xr:uid="{00000000-0005-0000-0000-0000C50F0000}"/>
    <cellStyle name="Calculation 6 6 3" xfId="3028" xr:uid="{00000000-0005-0000-0000-0000C60F0000}"/>
    <cellStyle name="Calculation 6 6 3 2" xfId="2749" xr:uid="{00000000-0005-0000-0000-0000C70F0000}"/>
    <cellStyle name="Calculation 6 6 3 2 2" xfId="74" xr:uid="{00000000-0005-0000-0000-0000C80F0000}"/>
    <cellStyle name="Calculation 6 6 3 2 3" xfId="2826" xr:uid="{00000000-0005-0000-0000-0000C90F0000}"/>
    <cellStyle name="Calculation 6 6 3 2 4" xfId="2140" xr:uid="{00000000-0005-0000-0000-0000CA0F0000}"/>
    <cellStyle name="Calculation 6 6 3 3" xfId="2913" xr:uid="{00000000-0005-0000-0000-0000CB0F0000}"/>
    <cellStyle name="Calculation 6 6 3 4" xfId="10080" xr:uid="{00000000-0005-0000-0000-0000CC0F0000}"/>
    <cellStyle name="Calculation 6 6 3 5" xfId="10082" xr:uid="{00000000-0005-0000-0000-0000CD0F0000}"/>
    <cellStyle name="Calculation 6 6 4" xfId="3031" xr:uid="{00000000-0005-0000-0000-0000CE0F0000}"/>
    <cellStyle name="Calculation 6 6 4 2" xfId="10114" xr:uid="{00000000-0005-0000-0000-0000CF0F0000}"/>
    <cellStyle name="Calculation 6 6 4 3" xfId="10121" xr:uid="{00000000-0005-0000-0000-0000D00F0000}"/>
    <cellStyle name="Calculation 6 6 4 4" xfId="161" xr:uid="{00000000-0005-0000-0000-0000D10F0000}"/>
    <cellStyle name="Calculation 6 6 5" xfId="10509" xr:uid="{00000000-0005-0000-0000-0000D20F0000}"/>
    <cellStyle name="Calculation 6 6 6" xfId="10511" xr:uid="{00000000-0005-0000-0000-0000D30F0000}"/>
    <cellStyle name="Calculation 6 6 7" xfId="10513" xr:uid="{00000000-0005-0000-0000-0000D40F0000}"/>
    <cellStyle name="Calculation 6 7" xfId="10514" xr:uid="{00000000-0005-0000-0000-0000D50F0000}"/>
    <cellStyle name="Calculation 6 7 2" xfId="10516" xr:uid="{00000000-0005-0000-0000-0000D60F0000}"/>
    <cellStyle name="Calculation 6 7 2 2" xfId="10517" xr:uid="{00000000-0005-0000-0000-0000D70F0000}"/>
    <cellStyle name="Calculation 6 7 2 2 2" xfId="10521" xr:uid="{00000000-0005-0000-0000-0000D80F0000}"/>
    <cellStyle name="Calculation 6 7 2 2 3" xfId="10524" xr:uid="{00000000-0005-0000-0000-0000D90F0000}"/>
    <cellStyle name="Calculation 6 7 2 2 4" xfId="10526" xr:uid="{00000000-0005-0000-0000-0000DA0F0000}"/>
    <cellStyle name="Calculation 6 7 2 3" xfId="10530" xr:uid="{00000000-0005-0000-0000-0000DB0F0000}"/>
    <cellStyle name="Calculation 6 7 2 4" xfId="10532" xr:uid="{00000000-0005-0000-0000-0000DC0F0000}"/>
    <cellStyle name="Calculation 6 7 2 5" xfId="10533" xr:uid="{00000000-0005-0000-0000-0000DD0F0000}"/>
    <cellStyle name="Calculation 6 7 3" xfId="10538" xr:uid="{00000000-0005-0000-0000-0000DE0F0000}"/>
    <cellStyle name="Calculation 6 7 3 2" xfId="10143" xr:uid="{00000000-0005-0000-0000-0000DF0F0000}"/>
    <cellStyle name="Calculation 6 7 3 3" xfId="10150" xr:uid="{00000000-0005-0000-0000-0000E00F0000}"/>
    <cellStyle name="Calculation 6 7 3 4" xfId="10153" xr:uid="{00000000-0005-0000-0000-0000E10F0000}"/>
    <cellStyle name="Calculation 6 7 4" xfId="10539" xr:uid="{00000000-0005-0000-0000-0000E20F0000}"/>
    <cellStyle name="Calculation 6 7 5" xfId="1837" xr:uid="{00000000-0005-0000-0000-0000E30F0000}"/>
    <cellStyle name="Calculation 6 7 6" xfId="1844" xr:uid="{00000000-0005-0000-0000-0000E40F0000}"/>
    <cellStyle name="Calculation 6 8" xfId="10540" xr:uid="{00000000-0005-0000-0000-0000E50F0000}"/>
    <cellStyle name="Calculation 6 8 2" xfId="10542" xr:uid="{00000000-0005-0000-0000-0000E60F0000}"/>
    <cellStyle name="Calculation 6 8 2 2" xfId="10544" xr:uid="{00000000-0005-0000-0000-0000E70F0000}"/>
    <cellStyle name="Calculation 6 8 2 3" xfId="10546" xr:uid="{00000000-0005-0000-0000-0000E80F0000}"/>
    <cellStyle name="Calculation 6 8 2 4" xfId="10547" xr:uid="{00000000-0005-0000-0000-0000E90F0000}"/>
    <cellStyle name="Calculation 6 8 3" xfId="2954" xr:uid="{00000000-0005-0000-0000-0000EA0F0000}"/>
    <cellStyle name="Calculation 6 8 4" xfId="2967" xr:uid="{00000000-0005-0000-0000-0000EB0F0000}"/>
    <cellStyle name="Calculation 6 8 5" xfId="1846" xr:uid="{00000000-0005-0000-0000-0000EC0F0000}"/>
    <cellStyle name="Calculation 6 9" xfId="10548" xr:uid="{00000000-0005-0000-0000-0000ED0F0000}"/>
    <cellStyle name="Calculation 6 9 2" xfId="10550" xr:uid="{00000000-0005-0000-0000-0000EE0F0000}"/>
    <cellStyle name="Calculation 6 9 3" xfId="10552" xr:uid="{00000000-0005-0000-0000-0000EF0F0000}"/>
    <cellStyle name="Calculation 6 9 4" xfId="10553" xr:uid="{00000000-0005-0000-0000-0000F00F0000}"/>
    <cellStyle name="Calculation 7" xfId="10554" xr:uid="{00000000-0005-0000-0000-0000F10F0000}"/>
    <cellStyle name="Calculation 7 10" xfId="10556" xr:uid="{00000000-0005-0000-0000-0000F20F0000}"/>
    <cellStyle name="Calculation 7 11" xfId="10560" xr:uid="{00000000-0005-0000-0000-0000F30F0000}"/>
    <cellStyle name="Calculation 7 12" xfId="10564" xr:uid="{00000000-0005-0000-0000-0000F40F0000}"/>
    <cellStyle name="Calculation 7 13" xfId="10566" xr:uid="{00000000-0005-0000-0000-0000F50F0000}"/>
    <cellStyle name="Calculation 7 2" xfId="10568" xr:uid="{00000000-0005-0000-0000-0000F60F0000}"/>
    <cellStyle name="Calculation 7 2 10" xfId="10570" xr:uid="{00000000-0005-0000-0000-0000F70F0000}"/>
    <cellStyle name="Calculation 7 2 11" xfId="10572" xr:uid="{00000000-0005-0000-0000-0000F80F0000}"/>
    <cellStyle name="Calculation 7 2 12" xfId="10574" xr:uid="{00000000-0005-0000-0000-0000F90F0000}"/>
    <cellStyle name="Calculation 7 2 2" xfId="2377" xr:uid="{00000000-0005-0000-0000-0000FA0F0000}"/>
    <cellStyle name="Calculation 7 2 2 2" xfId="10575" xr:uid="{00000000-0005-0000-0000-0000FB0F0000}"/>
    <cellStyle name="Calculation 7 2 2 2 2" xfId="10578" xr:uid="{00000000-0005-0000-0000-0000FC0F0000}"/>
    <cellStyle name="Calculation 7 2 2 2 2 2" xfId="10580" xr:uid="{00000000-0005-0000-0000-0000FD0F0000}"/>
    <cellStyle name="Calculation 7 2 2 2 2 2 2" xfId="10583" xr:uid="{00000000-0005-0000-0000-0000FE0F0000}"/>
    <cellStyle name="Calculation 7 2 2 2 2 2 2 2" xfId="10585" xr:uid="{00000000-0005-0000-0000-0000FF0F0000}"/>
    <cellStyle name="Calculation 7 2 2 2 2 2 2 2 2" xfId="10588" xr:uid="{00000000-0005-0000-0000-000000100000}"/>
    <cellStyle name="Calculation 7 2 2 2 2 2 2 2 3" xfId="10593" xr:uid="{00000000-0005-0000-0000-000001100000}"/>
    <cellStyle name="Calculation 7 2 2 2 2 2 2 2 4" xfId="10598" xr:uid="{00000000-0005-0000-0000-000002100000}"/>
    <cellStyle name="Calculation 7 2 2 2 2 2 2 3" xfId="10600" xr:uid="{00000000-0005-0000-0000-000003100000}"/>
    <cellStyle name="Calculation 7 2 2 2 2 2 2 4" xfId="10603" xr:uid="{00000000-0005-0000-0000-000004100000}"/>
    <cellStyle name="Calculation 7 2 2 2 2 2 2 5" xfId="10609" xr:uid="{00000000-0005-0000-0000-000005100000}"/>
    <cellStyle name="Calculation 7 2 2 2 2 2 3" xfId="10615" xr:uid="{00000000-0005-0000-0000-000006100000}"/>
    <cellStyle name="Calculation 7 2 2 2 2 2 3 2" xfId="10617" xr:uid="{00000000-0005-0000-0000-000007100000}"/>
    <cellStyle name="Calculation 7 2 2 2 2 2 3 3" xfId="10618" xr:uid="{00000000-0005-0000-0000-000008100000}"/>
    <cellStyle name="Calculation 7 2 2 2 2 2 3 4" xfId="10619" xr:uid="{00000000-0005-0000-0000-000009100000}"/>
    <cellStyle name="Calculation 7 2 2 2 2 2 4" xfId="10624" xr:uid="{00000000-0005-0000-0000-00000A100000}"/>
    <cellStyle name="Calculation 7 2 2 2 2 2 5" xfId="10632" xr:uid="{00000000-0005-0000-0000-00000B100000}"/>
    <cellStyle name="Calculation 7 2 2 2 2 2 6" xfId="10640" xr:uid="{00000000-0005-0000-0000-00000C100000}"/>
    <cellStyle name="Calculation 7 2 2 2 2 3" xfId="10645" xr:uid="{00000000-0005-0000-0000-00000D100000}"/>
    <cellStyle name="Calculation 7 2 2 2 2 3 2" xfId="10648" xr:uid="{00000000-0005-0000-0000-00000E100000}"/>
    <cellStyle name="Calculation 7 2 2 2 2 3 2 2" xfId="10649" xr:uid="{00000000-0005-0000-0000-00000F100000}"/>
    <cellStyle name="Calculation 7 2 2 2 2 3 2 3" xfId="10650" xr:uid="{00000000-0005-0000-0000-000010100000}"/>
    <cellStyle name="Calculation 7 2 2 2 2 3 2 4" xfId="10652" xr:uid="{00000000-0005-0000-0000-000011100000}"/>
    <cellStyle name="Calculation 7 2 2 2 2 3 3" xfId="10655" xr:uid="{00000000-0005-0000-0000-000012100000}"/>
    <cellStyle name="Calculation 7 2 2 2 2 3 4" xfId="10658" xr:uid="{00000000-0005-0000-0000-000013100000}"/>
    <cellStyle name="Calculation 7 2 2 2 2 3 5" xfId="10660" xr:uid="{00000000-0005-0000-0000-000014100000}"/>
    <cellStyle name="Calculation 7 2 2 2 2 4" xfId="10663" xr:uid="{00000000-0005-0000-0000-000015100000}"/>
    <cellStyle name="Calculation 7 2 2 2 2 4 2" xfId="10669" xr:uid="{00000000-0005-0000-0000-000016100000}"/>
    <cellStyle name="Calculation 7 2 2 2 2 4 3" xfId="10676" xr:uid="{00000000-0005-0000-0000-000017100000}"/>
    <cellStyle name="Calculation 7 2 2 2 2 4 4" xfId="10690" xr:uid="{00000000-0005-0000-0000-000018100000}"/>
    <cellStyle name="Calculation 7 2 2 2 2 5" xfId="10694" xr:uid="{00000000-0005-0000-0000-000019100000}"/>
    <cellStyle name="Calculation 7 2 2 2 2 6" xfId="10701" xr:uid="{00000000-0005-0000-0000-00001A100000}"/>
    <cellStyle name="Calculation 7 2 2 2 2 7" xfId="10707" xr:uid="{00000000-0005-0000-0000-00001B100000}"/>
    <cellStyle name="Calculation 7 2 2 2 3" xfId="10713" xr:uid="{00000000-0005-0000-0000-00001C100000}"/>
    <cellStyle name="Calculation 7 2 2 2 3 2" xfId="1833" xr:uid="{00000000-0005-0000-0000-00001D100000}"/>
    <cellStyle name="Calculation 7 2 2 2 3 2 2" xfId="9055" xr:uid="{00000000-0005-0000-0000-00001E100000}"/>
    <cellStyle name="Calculation 7 2 2 2 3 2 2 2" xfId="10470" xr:uid="{00000000-0005-0000-0000-00001F100000}"/>
    <cellStyle name="Calculation 7 2 2 2 3 2 2 3" xfId="10714" xr:uid="{00000000-0005-0000-0000-000020100000}"/>
    <cellStyle name="Calculation 7 2 2 2 3 2 2 4" xfId="10715" xr:uid="{00000000-0005-0000-0000-000021100000}"/>
    <cellStyle name="Calculation 7 2 2 2 3 2 3" xfId="10718" xr:uid="{00000000-0005-0000-0000-000022100000}"/>
    <cellStyle name="Calculation 7 2 2 2 3 2 4" xfId="10724" xr:uid="{00000000-0005-0000-0000-000023100000}"/>
    <cellStyle name="Calculation 7 2 2 2 3 2 5" xfId="10729" xr:uid="{00000000-0005-0000-0000-000024100000}"/>
    <cellStyle name="Calculation 7 2 2 2 3 3" xfId="1841" xr:uid="{00000000-0005-0000-0000-000025100000}"/>
    <cellStyle name="Calculation 7 2 2 2 3 3 2" xfId="10731" xr:uid="{00000000-0005-0000-0000-000026100000}"/>
    <cellStyle name="Calculation 7 2 2 2 3 3 3" xfId="10733" xr:uid="{00000000-0005-0000-0000-000027100000}"/>
    <cellStyle name="Calculation 7 2 2 2 3 3 4" xfId="10736" xr:uid="{00000000-0005-0000-0000-000028100000}"/>
    <cellStyle name="Calculation 7 2 2 2 3 4" xfId="10264" xr:uid="{00000000-0005-0000-0000-000029100000}"/>
    <cellStyle name="Calculation 7 2 2 2 3 5" xfId="10741" xr:uid="{00000000-0005-0000-0000-00002A100000}"/>
    <cellStyle name="Calculation 7 2 2 2 3 6" xfId="10750" xr:uid="{00000000-0005-0000-0000-00002B100000}"/>
    <cellStyle name="Calculation 7 2 2 2 4" xfId="10755" xr:uid="{00000000-0005-0000-0000-00002C100000}"/>
    <cellStyle name="Calculation 7 2 2 2 4 2" xfId="1852" xr:uid="{00000000-0005-0000-0000-00002D100000}"/>
    <cellStyle name="Calculation 7 2 2 2 4 2 2" xfId="10756" xr:uid="{00000000-0005-0000-0000-00002E100000}"/>
    <cellStyle name="Calculation 7 2 2 2 4 2 3" xfId="10757" xr:uid="{00000000-0005-0000-0000-00002F100000}"/>
    <cellStyle name="Calculation 7 2 2 2 4 2 4" xfId="10759" xr:uid="{00000000-0005-0000-0000-000030100000}"/>
    <cellStyle name="Calculation 7 2 2 2 4 3" xfId="6255" xr:uid="{00000000-0005-0000-0000-000031100000}"/>
    <cellStyle name="Calculation 7 2 2 2 4 4" xfId="4802" xr:uid="{00000000-0005-0000-0000-000032100000}"/>
    <cellStyle name="Calculation 7 2 2 2 4 5" xfId="4842" xr:uid="{00000000-0005-0000-0000-000033100000}"/>
    <cellStyle name="Calculation 7 2 2 2 5" xfId="10760" xr:uid="{00000000-0005-0000-0000-000034100000}"/>
    <cellStyle name="Calculation 7 2 2 2 5 2" xfId="1877" xr:uid="{00000000-0005-0000-0000-000035100000}"/>
    <cellStyle name="Calculation 7 2 2 2 5 3" xfId="10762" xr:uid="{00000000-0005-0000-0000-000036100000}"/>
    <cellStyle name="Calculation 7 2 2 2 5 4" xfId="4876" xr:uid="{00000000-0005-0000-0000-000037100000}"/>
    <cellStyle name="Calculation 7 2 2 2 6" xfId="10763" xr:uid="{00000000-0005-0000-0000-000038100000}"/>
    <cellStyle name="Calculation 7 2 2 2 7" xfId="10764" xr:uid="{00000000-0005-0000-0000-000039100000}"/>
    <cellStyle name="Calculation 7 2 2 2 8" xfId="10767" xr:uid="{00000000-0005-0000-0000-00003A100000}"/>
    <cellStyle name="Calculation 7 2 2 3" xfId="10770" xr:uid="{00000000-0005-0000-0000-00003B100000}"/>
    <cellStyle name="Calculation 7 2 2 3 2" xfId="10771" xr:uid="{00000000-0005-0000-0000-00003C100000}"/>
    <cellStyle name="Calculation 7 2 2 3 2 2" xfId="10776" xr:uid="{00000000-0005-0000-0000-00003D100000}"/>
    <cellStyle name="Calculation 7 2 2 3 2 2 2" xfId="10778" xr:uid="{00000000-0005-0000-0000-00003E100000}"/>
    <cellStyle name="Calculation 7 2 2 3 2 2 2 2" xfId="10785" xr:uid="{00000000-0005-0000-0000-00003F100000}"/>
    <cellStyle name="Calculation 7 2 2 3 2 2 2 3" xfId="10788" xr:uid="{00000000-0005-0000-0000-000040100000}"/>
    <cellStyle name="Calculation 7 2 2 3 2 2 2 4" xfId="10790" xr:uid="{00000000-0005-0000-0000-000041100000}"/>
    <cellStyle name="Calculation 7 2 2 3 2 2 3" xfId="8365" xr:uid="{00000000-0005-0000-0000-000042100000}"/>
    <cellStyle name="Calculation 7 2 2 3 2 2 4" xfId="8469" xr:uid="{00000000-0005-0000-0000-000043100000}"/>
    <cellStyle name="Calculation 7 2 2 3 2 2 5" xfId="8516" xr:uid="{00000000-0005-0000-0000-000044100000}"/>
    <cellStyle name="Calculation 7 2 2 3 2 3" xfId="10797" xr:uid="{00000000-0005-0000-0000-000045100000}"/>
    <cellStyle name="Calculation 7 2 2 3 2 3 2" xfId="10798" xr:uid="{00000000-0005-0000-0000-000046100000}"/>
    <cellStyle name="Calculation 7 2 2 3 2 3 3" xfId="8567" xr:uid="{00000000-0005-0000-0000-000047100000}"/>
    <cellStyle name="Calculation 7 2 2 3 2 3 4" xfId="8605" xr:uid="{00000000-0005-0000-0000-000048100000}"/>
    <cellStyle name="Calculation 7 2 2 3 2 4" xfId="10802" xr:uid="{00000000-0005-0000-0000-000049100000}"/>
    <cellStyle name="Calculation 7 2 2 3 2 5" xfId="10811" xr:uid="{00000000-0005-0000-0000-00004A100000}"/>
    <cellStyle name="Calculation 7 2 2 3 2 6" xfId="10819" xr:uid="{00000000-0005-0000-0000-00004B100000}"/>
    <cellStyle name="Calculation 7 2 2 3 3" xfId="10825" xr:uid="{00000000-0005-0000-0000-00004C100000}"/>
    <cellStyle name="Calculation 7 2 2 3 3 2" xfId="2512" xr:uid="{00000000-0005-0000-0000-00004D100000}"/>
    <cellStyle name="Calculation 7 2 2 3 3 2 2" xfId="10827" xr:uid="{00000000-0005-0000-0000-00004E100000}"/>
    <cellStyle name="Calculation 7 2 2 3 3 2 3" xfId="8698" xr:uid="{00000000-0005-0000-0000-00004F100000}"/>
    <cellStyle name="Calculation 7 2 2 3 3 2 4" xfId="8758" xr:uid="{00000000-0005-0000-0000-000050100000}"/>
    <cellStyle name="Calculation 7 2 2 3 3 3" xfId="10276" xr:uid="{00000000-0005-0000-0000-000051100000}"/>
    <cellStyle name="Calculation 7 2 2 3 3 4" xfId="10831" xr:uid="{00000000-0005-0000-0000-000052100000}"/>
    <cellStyle name="Calculation 7 2 2 3 3 5" xfId="10840" xr:uid="{00000000-0005-0000-0000-000053100000}"/>
    <cellStyle name="Calculation 7 2 2 3 4" xfId="10847" xr:uid="{00000000-0005-0000-0000-000054100000}"/>
    <cellStyle name="Calculation 7 2 2 3 4 2" xfId="6293" xr:uid="{00000000-0005-0000-0000-000055100000}"/>
    <cellStyle name="Calculation 7 2 2 3 4 3" xfId="10850" xr:uid="{00000000-0005-0000-0000-000056100000}"/>
    <cellStyle name="Calculation 7 2 2 3 4 4" xfId="4947" xr:uid="{00000000-0005-0000-0000-000057100000}"/>
    <cellStyle name="Calculation 7 2 2 3 5" xfId="10852" xr:uid="{00000000-0005-0000-0000-000058100000}"/>
    <cellStyle name="Calculation 7 2 2 3 6" xfId="10854" xr:uid="{00000000-0005-0000-0000-000059100000}"/>
    <cellStyle name="Calculation 7 2 2 3 7" xfId="10857" xr:uid="{00000000-0005-0000-0000-00005A100000}"/>
    <cellStyle name="Calculation 7 2 2 4" xfId="10862" xr:uid="{00000000-0005-0000-0000-00005B100000}"/>
    <cellStyle name="Calculation 7 2 2 4 2" xfId="10863" xr:uid="{00000000-0005-0000-0000-00005C100000}"/>
    <cellStyle name="Calculation 7 2 2 4 2 2" xfId="2488" xr:uid="{00000000-0005-0000-0000-00005D100000}"/>
    <cellStyle name="Calculation 7 2 2 4 2 2 2" xfId="10864" xr:uid="{00000000-0005-0000-0000-00005E100000}"/>
    <cellStyle name="Calculation 7 2 2 4 2 2 3" xfId="8983" xr:uid="{00000000-0005-0000-0000-00005F100000}"/>
    <cellStyle name="Calculation 7 2 2 4 2 2 4" xfId="9017" xr:uid="{00000000-0005-0000-0000-000060100000}"/>
    <cellStyle name="Calculation 7 2 2 4 2 3" xfId="2496" xr:uid="{00000000-0005-0000-0000-000061100000}"/>
    <cellStyle name="Calculation 7 2 2 4 2 4" xfId="10868" xr:uid="{00000000-0005-0000-0000-000062100000}"/>
    <cellStyle name="Calculation 7 2 2 4 2 5" xfId="10871" xr:uid="{00000000-0005-0000-0000-000063100000}"/>
    <cellStyle name="Calculation 7 2 2 4 3" xfId="10873" xr:uid="{00000000-0005-0000-0000-000064100000}"/>
    <cellStyle name="Calculation 7 2 2 4 3 2" xfId="10282" xr:uid="{00000000-0005-0000-0000-000065100000}"/>
    <cellStyle name="Calculation 7 2 2 4 3 3" xfId="10876" xr:uid="{00000000-0005-0000-0000-000066100000}"/>
    <cellStyle name="Calculation 7 2 2 4 3 4" xfId="10879" xr:uid="{00000000-0005-0000-0000-000067100000}"/>
    <cellStyle name="Calculation 7 2 2 4 4" xfId="10881" xr:uid="{00000000-0005-0000-0000-000068100000}"/>
    <cellStyle name="Calculation 7 2 2 4 5" xfId="10883" xr:uid="{00000000-0005-0000-0000-000069100000}"/>
    <cellStyle name="Calculation 7 2 2 4 6" xfId="10885" xr:uid="{00000000-0005-0000-0000-00006A100000}"/>
    <cellStyle name="Calculation 7 2 2 5" xfId="10888" xr:uid="{00000000-0005-0000-0000-00006B100000}"/>
    <cellStyle name="Calculation 7 2 2 5 2" xfId="7729" xr:uid="{00000000-0005-0000-0000-00006C100000}"/>
    <cellStyle name="Calculation 7 2 2 5 2 2" xfId="10892" xr:uid="{00000000-0005-0000-0000-00006D100000}"/>
    <cellStyle name="Calculation 7 2 2 5 2 3" xfId="10895" xr:uid="{00000000-0005-0000-0000-00006E100000}"/>
    <cellStyle name="Calculation 7 2 2 5 2 4" xfId="10901" xr:uid="{00000000-0005-0000-0000-00006F100000}"/>
    <cellStyle name="Calculation 7 2 2 5 3" xfId="10903" xr:uid="{00000000-0005-0000-0000-000070100000}"/>
    <cellStyle name="Calculation 7 2 2 5 4" xfId="10906" xr:uid="{00000000-0005-0000-0000-000071100000}"/>
    <cellStyle name="Calculation 7 2 2 5 5" xfId="10909" xr:uid="{00000000-0005-0000-0000-000072100000}"/>
    <cellStyle name="Calculation 7 2 2 6" xfId="10912" xr:uid="{00000000-0005-0000-0000-000073100000}"/>
    <cellStyle name="Calculation 7 2 2 6 2" xfId="10915" xr:uid="{00000000-0005-0000-0000-000074100000}"/>
    <cellStyle name="Calculation 7 2 2 6 3" xfId="10917" xr:uid="{00000000-0005-0000-0000-000075100000}"/>
    <cellStyle name="Calculation 7 2 2 6 4" xfId="10919" xr:uid="{00000000-0005-0000-0000-000076100000}"/>
    <cellStyle name="Calculation 7 2 2 7" xfId="10921" xr:uid="{00000000-0005-0000-0000-000077100000}"/>
    <cellStyle name="Calculation 7 2 2 8" xfId="10924" xr:uid="{00000000-0005-0000-0000-000078100000}"/>
    <cellStyle name="Calculation 7 2 2 9" xfId="10926" xr:uid="{00000000-0005-0000-0000-000079100000}"/>
    <cellStyle name="Calculation 7 2 3" xfId="10927" xr:uid="{00000000-0005-0000-0000-00007A100000}"/>
    <cellStyle name="Calculation 7 2 3 2" xfId="10932" xr:uid="{00000000-0005-0000-0000-00007B100000}"/>
    <cellStyle name="Calculation 7 2 3 2 2" xfId="10933" xr:uid="{00000000-0005-0000-0000-00007C100000}"/>
    <cellStyle name="Calculation 7 2 3 2 2 2" xfId="2114" xr:uid="{00000000-0005-0000-0000-00007D100000}"/>
    <cellStyle name="Calculation 7 2 3 2 2 2 2" xfId="9686" xr:uid="{00000000-0005-0000-0000-00007E100000}"/>
    <cellStyle name="Calculation 7 2 3 2 2 2 2 2" xfId="10938" xr:uid="{00000000-0005-0000-0000-00007F100000}"/>
    <cellStyle name="Calculation 7 2 3 2 2 2 2 2 2" xfId="10946" xr:uid="{00000000-0005-0000-0000-000080100000}"/>
    <cellStyle name="Calculation 7 2 3 2 2 2 2 2 3" xfId="10953" xr:uid="{00000000-0005-0000-0000-000081100000}"/>
    <cellStyle name="Calculation 7 2 3 2 2 2 2 2 4" xfId="10959" xr:uid="{00000000-0005-0000-0000-000082100000}"/>
    <cellStyle name="Calculation 7 2 3 2 2 2 2 3" xfId="10965" xr:uid="{00000000-0005-0000-0000-000083100000}"/>
    <cellStyle name="Calculation 7 2 3 2 2 2 2 4" xfId="10972" xr:uid="{00000000-0005-0000-0000-000084100000}"/>
    <cellStyle name="Calculation 7 2 3 2 2 2 2 5" xfId="10978" xr:uid="{00000000-0005-0000-0000-000085100000}"/>
    <cellStyle name="Calculation 7 2 3 2 2 2 3" xfId="2765" xr:uid="{00000000-0005-0000-0000-000086100000}"/>
    <cellStyle name="Calculation 7 2 3 2 2 2 3 2" xfId="10984" xr:uid="{00000000-0005-0000-0000-000087100000}"/>
    <cellStyle name="Calculation 7 2 3 2 2 2 3 3" xfId="10989" xr:uid="{00000000-0005-0000-0000-000088100000}"/>
    <cellStyle name="Calculation 7 2 3 2 2 2 3 4" xfId="10994" xr:uid="{00000000-0005-0000-0000-000089100000}"/>
    <cellStyle name="Calculation 7 2 3 2 2 2 4" xfId="2781" xr:uid="{00000000-0005-0000-0000-00008A100000}"/>
    <cellStyle name="Calculation 7 2 3 2 2 2 5" xfId="2800" xr:uid="{00000000-0005-0000-0000-00008B100000}"/>
    <cellStyle name="Calculation 7 2 3 2 2 2 6" xfId="2819" xr:uid="{00000000-0005-0000-0000-00008C100000}"/>
    <cellStyle name="Calculation 7 2 3 2 2 3" xfId="3179" xr:uid="{00000000-0005-0000-0000-00008D100000}"/>
    <cellStyle name="Calculation 7 2 3 2 2 3 2" xfId="10999" xr:uid="{00000000-0005-0000-0000-00008E100000}"/>
    <cellStyle name="Calculation 7 2 3 2 2 3 2 2" xfId="3021" xr:uid="{00000000-0005-0000-0000-00008F100000}"/>
    <cellStyle name="Calculation 7 2 3 2 2 3 2 3" xfId="2191" xr:uid="{00000000-0005-0000-0000-000090100000}"/>
    <cellStyle name="Calculation 7 2 3 2 2 3 2 4" xfId="11005" xr:uid="{00000000-0005-0000-0000-000091100000}"/>
    <cellStyle name="Calculation 7 2 3 2 2 3 3" xfId="11010" xr:uid="{00000000-0005-0000-0000-000092100000}"/>
    <cellStyle name="Calculation 7 2 3 2 2 3 4" xfId="2854" xr:uid="{00000000-0005-0000-0000-000093100000}"/>
    <cellStyle name="Calculation 7 2 3 2 2 3 5" xfId="2866" xr:uid="{00000000-0005-0000-0000-000094100000}"/>
    <cellStyle name="Calculation 7 2 3 2 2 4" xfId="9689" xr:uid="{00000000-0005-0000-0000-000095100000}"/>
    <cellStyle name="Calculation 7 2 3 2 2 4 2" xfId="7312" xr:uid="{00000000-0005-0000-0000-000096100000}"/>
    <cellStyle name="Calculation 7 2 3 2 2 4 3" xfId="11016" xr:uid="{00000000-0005-0000-0000-000097100000}"/>
    <cellStyle name="Calculation 7 2 3 2 2 4 4" xfId="2892" xr:uid="{00000000-0005-0000-0000-000098100000}"/>
    <cellStyle name="Calculation 7 2 3 2 2 5" xfId="9698" xr:uid="{00000000-0005-0000-0000-000099100000}"/>
    <cellStyle name="Calculation 7 2 3 2 2 6" xfId="11019" xr:uid="{00000000-0005-0000-0000-00009A100000}"/>
    <cellStyle name="Calculation 7 2 3 2 2 7" xfId="11025" xr:uid="{00000000-0005-0000-0000-00009B100000}"/>
    <cellStyle name="Calculation 7 2 3 2 3" xfId="11027" xr:uid="{00000000-0005-0000-0000-00009C100000}"/>
    <cellStyle name="Calculation 7 2 3 2 3 2" xfId="1931" xr:uid="{00000000-0005-0000-0000-00009D100000}"/>
    <cellStyle name="Calculation 7 2 3 2 3 2 2" xfId="9246" xr:uid="{00000000-0005-0000-0000-00009E100000}"/>
    <cellStyle name="Calculation 7 2 3 2 3 2 2 2" xfId="10607" xr:uid="{00000000-0005-0000-0000-00009F100000}"/>
    <cellStyle name="Calculation 7 2 3 2 3 2 2 3" xfId="10613" xr:uid="{00000000-0005-0000-0000-0000A0100000}"/>
    <cellStyle name="Calculation 7 2 3 2 3 2 2 4" xfId="11030" xr:uid="{00000000-0005-0000-0000-0000A1100000}"/>
    <cellStyle name="Calculation 7 2 3 2 3 2 3" xfId="11035" xr:uid="{00000000-0005-0000-0000-0000A2100000}"/>
    <cellStyle name="Calculation 7 2 3 2 3 2 4" xfId="2981" xr:uid="{00000000-0005-0000-0000-0000A3100000}"/>
    <cellStyle name="Calculation 7 2 3 2 3 2 5" xfId="1519" xr:uid="{00000000-0005-0000-0000-0000A4100000}"/>
    <cellStyle name="Calculation 7 2 3 2 3 3" xfId="9712" xr:uid="{00000000-0005-0000-0000-0000A5100000}"/>
    <cellStyle name="Calculation 7 2 3 2 3 3 2" xfId="11043" xr:uid="{00000000-0005-0000-0000-0000A6100000}"/>
    <cellStyle name="Calculation 7 2 3 2 3 3 3" xfId="11048" xr:uid="{00000000-0005-0000-0000-0000A7100000}"/>
    <cellStyle name="Calculation 7 2 3 2 3 3 4" xfId="611" xr:uid="{00000000-0005-0000-0000-0000A8100000}"/>
    <cellStyle name="Calculation 7 2 3 2 3 4" xfId="9716" xr:uid="{00000000-0005-0000-0000-0000A9100000}"/>
    <cellStyle name="Calculation 7 2 3 2 3 5" xfId="11050" xr:uid="{00000000-0005-0000-0000-0000AA100000}"/>
    <cellStyle name="Calculation 7 2 3 2 3 6" xfId="11054" xr:uid="{00000000-0005-0000-0000-0000AB100000}"/>
    <cellStyle name="Calculation 7 2 3 2 4" xfId="11056" xr:uid="{00000000-0005-0000-0000-0000AC100000}"/>
    <cellStyle name="Calculation 7 2 3 2 4 2" xfId="410" xr:uid="{00000000-0005-0000-0000-0000AD100000}"/>
    <cellStyle name="Calculation 7 2 3 2 4 2 2" xfId="11062" xr:uid="{00000000-0005-0000-0000-0000AE100000}"/>
    <cellStyle name="Calculation 7 2 3 2 4 2 3" xfId="11066" xr:uid="{00000000-0005-0000-0000-0000AF100000}"/>
    <cellStyle name="Calculation 7 2 3 2 4 2 4" xfId="2999" xr:uid="{00000000-0005-0000-0000-0000B0100000}"/>
    <cellStyle name="Calculation 7 2 3 2 4 3" xfId="9733" xr:uid="{00000000-0005-0000-0000-0000B1100000}"/>
    <cellStyle name="Calculation 7 2 3 2 4 4" xfId="277" xr:uid="{00000000-0005-0000-0000-0000B2100000}"/>
    <cellStyle name="Calculation 7 2 3 2 4 5" xfId="94" xr:uid="{00000000-0005-0000-0000-0000B3100000}"/>
    <cellStyle name="Calculation 7 2 3 2 5" xfId="11067" xr:uid="{00000000-0005-0000-0000-0000B4100000}"/>
    <cellStyle name="Calculation 7 2 3 2 5 2" xfId="9747" xr:uid="{00000000-0005-0000-0000-0000B5100000}"/>
    <cellStyle name="Calculation 7 2 3 2 5 3" xfId="11068" xr:uid="{00000000-0005-0000-0000-0000B6100000}"/>
    <cellStyle name="Calculation 7 2 3 2 5 4" xfId="2693" xr:uid="{00000000-0005-0000-0000-0000B7100000}"/>
    <cellStyle name="Calculation 7 2 3 2 6" xfId="11076" xr:uid="{00000000-0005-0000-0000-0000B8100000}"/>
    <cellStyle name="Calculation 7 2 3 2 7" xfId="11078" xr:uid="{00000000-0005-0000-0000-0000B9100000}"/>
    <cellStyle name="Calculation 7 2 3 2 8" xfId="11087" xr:uid="{00000000-0005-0000-0000-0000BA100000}"/>
    <cellStyle name="Calculation 7 2 3 3" xfId="11096" xr:uid="{00000000-0005-0000-0000-0000BB100000}"/>
    <cellStyle name="Calculation 7 2 3 3 2" xfId="11097" xr:uid="{00000000-0005-0000-0000-0000BC100000}"/>
    <cellStyle name="Calculation 7 2 3 3 2 2" xfId="3228" xr:uid="{00000000-0005-0000-0000-0000BD100000}"/>
    <cellStyle name="Calculation 7 2 3 3 2 2 2" xfId="11103" xr:uid="{00000000-0005-0000-0000-0000BE100000}"/>
    <cellStyle name="Calculation 7 2 3 3 2 2 2 2" xfId="11110" xr:uid="{00000000-0005-0000-0000-0000BF100000}"/>
    <cellStyle name="Calculation 7 2 3 3 2 2 2 3" xfId="11115" xr:uid="{00000000-0005-0000-0000-0000C0100000}"/>
    <cellStyle name="Calculation 7 2 3 3 2 2 2 4" xfId="11119" xr:uid="{00000000-0005-0000-0000-0000C1100000}"/>
    <cellStyle name="Calculation 7 2 3 3 2 2 3" xfId="514" xr:uid="{00000000-0005-0000-0000-0000C2100000}"/>
    <cellStyle name="Calculation 7 2 3 3 2 2 4" xfId="573" xr:uid="{00000000-0005-0000-0000-0000C3100000}"/>
    <cellStyle name="Calculation 7 2 3 3 2 2 5" xfId="3187" xr:uid="{00000000-0005-0000-0000-0000C4100000}"/>
    <cellStyle name="Calculation 7 2 3 3 2 3" xfId="9782" xr:uid="{00000000-0005-0000-0000-0000C5100000}"/>
    <cellStyle name="Calculation 7 2 3 3 2 3 2" xfId="11126" xr:uid="{00000000-0005-0000-0000-0000C6100000}"/>
    <cellStyle name="Calculation 7 2 3 3 2 3 3" xfId="3201" xr:uid="{00000000-0005-0000-0000-0000C7100000}"/>
    <cellStyle name="Calculation 7 2 3 3 2 3 4" xfId="3237" xr:uid="{00000000-0005-0000-0000-0000C8100000}"/>
    <cellStyle name="Calculation 7 2 3 3 2 4" xfId="9787" xr:uid="{00000000-0005-0000-0000-0000C9100000}"/>
    <cellStyle name="Calculation 7 2 3 3 2 5" xfId="11128" xr:uid="{00000000-0005-0000-0000-0000CA100000}"/>
    <cellStyle name="Calculation 7 2 3 3 2 6" xfId="11133" xr:uid="{00000000-0005-0000-0000-0000CB100000}"/>
    <cellStyle name="Calculation 7 2 3 3 3" xfId="11135" xr:uid="{00000000-0005-0000-0000-0000CC100000}"/>
    <cellStyle name="Calculation 7 2 3 3 3 2" xfId="9812" xr:uid="{00000000-0005-0000-0000-0000CD100000}"/>
    <cellStyle name="Calculation 7 2 3 3 3 2 2" xfId="11143" xr:uid="{00000000-0005-0000-0000-0000CE100000}"/>
    <cellStyle name="Calculation 7 2 3 3 3 2 3" xfId="3284" xr:uid="{00000000-0005-0000-0000-0000CF100000}"/>
    <cellStyle name="Calculation 7 2 3 3 3 2 4" xfId="3309" xr:uid="{00000000-0005-0000-0000-0000D0100000}"/>
    <cellStyle name="Calculation 7 2 3 3 3 3" xfId="9821" xr:uid="{00000000-0005-0000-0000-0000D1100000}"/>
    <cellStyle name="Calculation 7 2 3 3 3 4" xfId="11144" xr:uid="{00000000-0005-0000-0000-0000D2100000}"/>
    <cellStyle name="Calculation 7 2 3 3 3 5" xfId="11150" xr:uid="{00000000-0005-0000-0000-0000D3100000}"/>
    <cellStyle name="Calculation 7 2 3 3 4" xfId="11153" xr:uid="{00000000-0005-0000-0000-0000D4100000}"/>
    <cellStyle name="Calculation 7 2 3 3 4 2" xfId="9842" xr:uid="{00000000-0005-0000-0000-0000D5100000}"/>
    <cellStyle name="Calculation 7 2 3 3 4 3" xfId="11155" xr:uid="{00000000-0005-0000-0000-0000D6100000}"/>
    <cellStyle name="Calculation 7 2 3 3 4 4" xfId="2846" xr:uid="{00000000-0005-0000-0000-0000D7100000}"/>
    <cellStyle name="Calculation 7 2 3 3 5" xfId="11157" xr:uid="{00000000-0005-0000-0000-0000D8100000}"/>
    <cellStyle name="Calculation 7 2 3 3 6" xfId="6714" xr:uid="{00000000-0005-0000-0000-0000D9100000}"/>
    <cellStyle name="Calculation 7 2 3 3 7" xfId="6765" xr:uid="{00000000-0005-0000-0000-0000DA100000}"/>
    <cellStyle name="Calculation 7 2 3 4" xfId="11160" xr:uid="{00000000-0005-0000-0000-0000DB100000}"/>
    <cellStyle name="Calculation 7 2 3 4 2" xfId="11161" xr:uid="{00000000-0005-0000-0000-0000DC100000}"/>
    <cellStyle name="Calculation 7 2 3 4 2 2" xfId="9123" xr:uid="{00000000-0005-0000-0000-0000DD100000}"/>
    <cellStyle name="Calculation 7 2 3 4 2 2 2" xfId="11165" xr:uid="{00000000-0005-0000-0000-0000DE100000}"/>
    <cellStyle name="Calculation 7 2 3 4 2 2 3" xfId="2315" xr:uid="{00000000-0005-0000-0000-0000DF100000}"/>
    <cellStyle name="Calculation 7 2 3 4 2 2 4" xfId="3528" xr:uid="{00000000-0005-0000-0000-0000E0100000}"/>
    <cellStyle name="Calculation 7 2 3 4 2 3" xfId="9127" xr:uid="{00000000-0005-0000-0000-0000E1100000}"/>
    <cellStyle name="Calculation 7 2 3 4 2 4" xfId="11167" xr:uid="{00000000-0005-0000-0000-0000E2100000}"/>
    <cellStyle name="Calculation 7 2 3 4 2 5" xfId="11170" xr:uid="{00000000-0005-0000-0000-0000E3100000}"/>
    <cellStyle name="Calculation 7 2 3 4 3" xfId="11172" xr:uid="{00000000-0005-0000-0000-0000E4100000}"/>
    <cellStyle name="Calculation 7 2 3 4 3 2" xfId="9859" xr:uid="{00000000-0005-0000-0000-0000E5100000}"/>
    <cellStyle name="Calculation 7 2 3 4 3 3" xfId="11174" xr:uid="{00000000-0005-0000-0000-0000E6100000}"/>
    <cellStyle name="Calculation 7 2 3 4 3 4" xfId="11176" xr:uid="{00000000-0005-0000-0000-0000E7100000}"/>
    <cellStyle name="Calculation 7 2 3 4 4" xfId="11177" xr:uid="{00000000-0005-0000-0000-0000E8100000}"/>
    <cellStyle name="Calculation 7 2 3 4 5" xfId="11179" xr:uid="{00000000-0005-0000-0000-0000E9100000}"/>
    <cellStyle name="Calculation 7 2 3 4 6" xfId="2603" xr:uid="{00000000-0005-0000-0000-0000EA100000}"/>
    <cellStyle name="Calculation 7 2 3 5" xfId="11182" xr:uid="{00000000-0005-0000-0000-0000EB100000}"/>
    <cellStyle name="Calculation 7 2 3 5 2" xfId="11184" xr:uid="{00000000-0005-0000-0000-0000EC100000}"/>
    <cellStyle name="Calculation 7 2 3 5 2 2" xfId="9874" xr:uid="{00000000-0005-0000-0000-0000ED100000}"/>
    <cellStyle name="Calculation 7 2 3 5 2 3" xfId="11186" xr:uid="{00000000-0005-0000-0000-0000EE100000}"/>
    <cellStyle name="Calculation 7 2 3 5 2 4" xfId="11189" xr:uid="{00000000-0005-0000-0000-0000EF100000}"/>
    <cellStyle name="Calculation 7 2 3 5 3" xfId="11191" xr:uid="{00000000-0005-0000-0000-0000F0100000}"/>
    <cellStyle name="Calculation 7 2 3 5 4" xfId="11193" xr:uid="{00000000-0005-0000-0000-0000F1100000}"/>
    <cellStyle name="Calculation 7 2 3 5 5" xfId="11196" xr:uid="{00000000-0005-0000-0000-0000F2100000}"/>
    <cellStyle name="Calculation 7 2 3 6" xfId="11198" xr:uid="{00000000-0005-0000-0000-0000F3100000}"/>
    <cellStyle name="Calculation 7 2 3 6 2" xfId="11200" xr:uid="{00000000-0005-0000-0000-0000F4100000}"/>
    <cellStyle name="Calculation 7 2 3 6 3" xfId="11202" xr:uid="{00000000-0005-0000-0000-0000F5100000}"/>
    <cellStyle name="Calculation 7 2 3 6 4" xfId="11204" xr:uid="{00000000-0005-0000-0000-0000F6100000}"/>
    <cellStyle name="Calculation 7 2 3 7" xfId="11206" xr:uid="{00000000-0005-0000-0000-0000F7100000}"/>
    <cellStyle name="Calculation 7 2 3 8" xfId="11208" xr:uid="{00000000-0005-0000-0000-0000F8100000}"/>
    <cellStyle name="Calculation 7 2 3 9" xfId="11210" xr:uid="{00000000-0005-0000-0000-0000F9100000}"/>
    <cellStyle name="Calculation 7 2 4" xfId="11211" xr:uid="{00000000-0005-0000-0000-0000FA100000}"/>
    <cellStyle name="Calculation 7 2 4 2" xfId="11216" xr:uid="{00000000-0005-0000-0000-0000FB100000}"/>
    <cellStyle name="Calculation 7 2 4 2 2" xfId="11218" xr:uid="{00000000-0005-0000-0000-0000FC100000}"/>
    <cellStyle name="Calculation 7 2 4 2 2 2" xfId="3300" xr:uid="{00000000-0005-0000-0000-0000FD100000}"/>
    <cellStyle name="Calculation 7 2 4 2 2 2 2" xfId="9945" xr:uid="{00000000-0005-0000-0000-0000FE100000}"/>
    <cellStyle name="Calculation 7 2 4 2 2 2 2 2" xfId="11220" xr:uid="{00000000-0005-0000-0000-0000FF100000}"/>
    <cellStyle name="Calculation 7 2 4 2 2 2 2 3" xfId="11224" xr:uid="{00000000-0005-0000-0000-000000110000}"/>
    <cellStyle name="Calculation 7 2 4 2 2 2 2 4" xfId="11230" xr:uid="{00000000-0005-0000-0000-000001110000}"/>
    <cellStyle name="Calculation 7 2 4 2 2 2 3" xfId="4089" xr:uid="{00000000-0005-0000-0000-000002110000}"/>
    <cellStyle name="Calculation 7 2 4 2 2 2 4" xfId="4107" xr:uid="{00000000-0005-0000-0000-000003110000}"/>
    <cellStyle name="Calculation 7 2 4 2 2 2 5" xfId="11232" xr:uid="{00000000-0005-0000-0000-000004110000}"/>
    <cellStyle name="Calculation 7 2 4 2 2 3" xfId="8461" xr:uid="{00000000-0005-0000-0000-000005110000}"/>
    <cellStyle name="Calculation 7 2 4 2 2 3 2" xfId="10107" xr:uid="{00000000-0005-0000-0000-000006110000}"/>
    <cellStyle name="Calculation 7 2 4 2 2 3 3" xfId="11236" xr:uid="{00000000-0005-0000-0000-000007110000}"/>
    <cellStyle name="Calculation 7 2 4 2 2 3 4" xfId="11238" xr:uid="{00000000-0005-0000-0000-000008110000}"/>
    <cellStyle name="Calculation 7 2 4 2 2 4" xfId="9946" xr:uid="{00000000-0005-0000-0000-000009110000}"/>
    <cellStyle name="Calculation 7 2 4 2 2 5" xfId="9953" xr:uid="{00000000-0005-0000-0000-00000A110000}"/>
    <cellStyle name="Calculation 7 2 4 2 2 6" xfId="11240" xr:uid="{00000000-0005-0000-0000-00000B110000}"/>
    <cellStyle name="Calculation 7 2 4 2 3" xfId="11242" xr:uid="{00000000-0005-0000-0000-00000C110000}"/>
    <cellStyle name="Calculation 7 2 4 2 3 2" xfId="8509" xr:uid="{00000000-0005-0000-0000-00000D110000}"/>
    <cellStyle name="Calculation 7 2 4 2 3 2 2" xfId="11243" xr:uid="{00000000-0005-0000-0000-00000E110000}"/>
    <cellStyle name="Calculation 7 2 4 2 3 2 3" xfId="1465" xr:uid="{00000000-0005-0000-0000-00000F110000}"/>
    <cellStyle name="Calculation 7 2 4 2 3 2 4" xfId="11244" xr:uid="{00000000-0005-0000-0000-000010110000}"/>
    <cellStyle name="Calculation 7 2 4 2 3 3" xfId="9963" xr:uid="{00000000-0005-0000-0000-000011110000}"/>
    <cellStyle name="Calculation 7 2 4 2 3 4" xfId="9969" xr:uid="{00000000-0005-0000-0000-000012110000}"/>
    <cellStyle name="Calculation 7 2 4 2 3 5" xfId="11250" xr:uid="{00000000-0005-0000-0000-000013110000}"/>
    <cellStyle name="Calculation 7 2 4 2 4" xfId="2023" xr:uid="{00000000-0005-0000-0000-000014110000}"/>
    <cellStyle name="Calculation 7 2 4 2 4 2" xfId="9976" xr:uid="{00000000-0005-0000-0000-000015110000}"/>
    <cellStyle name="Calculation 7 2 4 2 4 3" xfId="9983" xr:uid="{00000000-0005-0000-0000-000016110000}"/>
    <cellStyle name="Calculation 7 2 4 2 4 4" xfId="5065" xr:uid="{00000000-0005-0000-0000-000017110000}"/>
    <cellStyle name="Calculation 7 2 4 2 5" xfId="2041" xr:uid="{00000000-0005-0000-0000-000018110000}"/>
    <cellStyle name="Calculation 7 2 4 2 6" xfId="2063" xr:uid="{00000000-0005-0000-0000-000019110000}"/>
    <cellStyle name="Calculation 7 2 4 2 7" xfId="11252" xr:uid="{00000000-0005-0000-0000-00001A110000}"/>
    <cellStyle name="Calculation 7 2 4 3" xfId="11264" xr:uid="{00000000-0005-0000-0000-00001B110000}"/>
    <cellStyle name="Calculation 7 2 4 3 2" xfId="11265" xr:uid="{00000000-0005-0000-0000-00001C110000}"/>
    <cellStyle name="Calculation 7 2 4 3 2 2" xfId="8598" xr:uid="{00000000-0005-0000-0000-00001D110000}"/>
    <cellStyle name="Calculation 7 2 4 3 2 2 2" xfId="11266" xr:uid="{00000000-0005-0000-0000-00001E110000}"/>
    <cellStyle name="Calculation 7 2 4 3 2 2 3" xfId="10577" xr:uid="{00000000-0005-0000-0000-00001F110000}"/>
    <cellStyle name="Calculation 7 2 4 3 2 2 4" xfId="10712" xr:uid="{00000000-0005-0000-0000-000020110000}"/>
    <cellStyle name="Calculation 7 2 4 3 2 3" xfId="10009" xr:uid="{00000000-0005-0000-0000-000021110000}"/>
    <cellStyle name="Calculation 7 2 4 3 2 4" xfId="10015" xr:uid="{00000000-0005-0000-0000-000022110000}"/>
    <cellStyle name="Calculation 7 2 4 3 2 5" xfId="11268" xr:uid="{00000000-0005-0000-0000-000023110000}"/>
    <cellStyle name="Calculation 7 2 4 3 3" xfId="11270" xr:uid="{00000000-0005-0000-0000-000024110000}"/>
    <cellStyle name="Calculation 7 2 4 3 3 2" xfId="10023" xr:uid="{00000000-0005-0000-0000-000025110000}"/>
    <cellStyle name="Calculation 7 2 4 3 3 3" xfId="10029" xr:uid="{00000000-0005-0000-0000-000026110000}"/>
    <cellStyle name="Calculation 7 2 4 3 3 4" xfId="11272" xr:uid="{00000000-0005-0000-0000-000027110000}"/>
    <cellStyle name="Calculation 7 2 4 3 4" xfId="11273" xr:uid="{00000000-0005-0000-0000-000028110000}"/>
    <cellStyle name="Calculation 7 2 4 3 5" xfId="11275" xr:uid="{00000000-0005-0000-0000-000029110000}"/>
    <cellStyle name="Calculation 7 2 4 3 6" xfId="6844" xr:uid="{00000000-0005-0000-0000-00002A110000}"/>
    <cellStyle name="Calculation 7 2 4 4" xfId="11277" xr:uid="{00000000-0005-0000-0000-00002B110000}"/>
    <cellStyle name="Calculation 7 2 4 4 2" xfId="11278" xr:uid="{00000000-0005-0000-0000-00002C110000}"/>
    <cellStyle name="Calculation 7 2 4 4 2 2" xfId="5775" xr:uid="{00000000-0005-0000-0000-00002D110000}"/>
    <cellStyle name="Calculation 7 2 4 4 2 3" xfId="5782" xr:uid="{00000000-0005-0000-0000-00002E110000}"/>
    <cellStyle name="Calculation 7 2 4 4 2 4" xfId="11279" xr:uid="{00000000-0005-0000-0000-00002F110000}"/>
    <cellStyle name="Calculation 7 2 4 4 3" xfId="11280" xr:uid="{00000000-0005-0000-0000-000030110000}"/>
    <cellStyle name="Calculation 7 2 4 4 4" xfId="11281" xr:uid="{00000000-0005-0000-0000-000031110000}"/>
    <cellStyle name="Calculation 7 2 4 4 5" xfId="11282" xr:uid="{00000000-0005-0000-0000-000032110000}"/>
    <cellStyle name="Calculation 7 2 4 5" xfId="11285" xr:uid="{00000000-0005-0000-0000-000033110000}"/>
    <cellStyle name="Calculation 7 2 4 5 2" xfId="11288" xr:uid="{00000000-0005-0000-0000-000034110000}"/>
    <cellStyle name="Calculation 7 2 4 5 3" xfId="11292" xr:uid="{00000000-0005-0000-0000-000035110000}"/>
    <cellStyle name="Calculation 7 2 4 5 4" xfId="11296" xr:uid="{00000000-0005-0000-0000-000036110000}"/>
    <cellStyle name="Calculation 7 2 4 6" xfId="11300" xr:uid="{00000000-0005-0000-0000-000037110000}"/>
    <cellStyle name="Calculation 7 2 4 7" xfId="11303" xr:uid="{00000000-0005-0000-0000-000038110000}"/>
    <cellStyle name="Calculation 7 2 4 8" xfId="11307" xr:uid="{00000000-0005-0000-0000-000039110000}"/>
    <cellStyle name="Calculation 7 2 5" xfId="11308" xr:uid="{00000000-0005-0000-0000-00003A110000}"/>
    <cellStyle name="Calculation 7 2 5 2" xfId="11313" xr:uid="{00000000-0005-0000-0000-00003B110000}"/>
    <cellStyle name="Calculation 7 2 5 2 2" xfId="11318" xr:uid="{00000000-0005-0000-0000-00003C110000}"/>
    <cellStyle name="Calculation 7 2 5 2 2 2" xfId="8745" xr:uid="{00000000-0005-0000-0000-00003D110000}"/>
    <cellStyle name="Calculation 7 2 5 2 2 2 2" xfId="11321" xr:uid="{00000000-0005-0000-0000-00003E110000}"/>
    <cellStyle name="Calculation 7 2 5 2 2 2 3" xfId="11324" xr:uid="{00000000-0005-0000-0000-00003F110000}"/>
    <cellStyle name="Calculation 7 2 5 2 2 2 4" xfId="11328" xr:uid="{00000000-0005-0000-0000-000040110000}"/>
    <cellStyle name="Calculation 7 2 5 2 2 3" xfId="8750" xr:uid="{00000000-0005-0000-0000-000041110000}"/>
    <cellStyle name="Calculation 7 2 5 2 2 4" xfId="4009" xr:uid="{00000000-0005-0000-0000-000042110000}"/>
    <cellStyle name="Calculation 7 2 5 2 2 5" xfId="11331" xr:uid="{00000000-0005-0000-0000-000043110000}"/>
    <cellStyle name="Calculation 7 2 5 2 3" xfId="11335" xr:uid="{00000000-0005-0000-0000-000044110000}"/>
    <cellStyle name="Calculation 7 2 5 2 3 2" xfId="2134" xr:uid="{00000000-0005-0000-0000-000045110000}"/>
    <cellStyle name="Calculation 7 2 5 2 3 3" xfId="1180" xr:uid="{00000000-0005-0000-0000-000046110000}"/>
    <cellStyle name="Calculation 7 2 5 2 3 4" xfId="11336" xr:uid="{00000000-0005-0000-0000-000047110000}"/>
    <cellStyle name="Calculation 7 2 5 2 4" xfId="11342" xr:uid="{00000000-0005-0000-0000-000048110000}"/>
    <cellStyle name="Calculation 7 2 5 2 5" xfId="11343" xr:uid="{00000000-0005-0000-0000-000049110000}"/>
    <cellStyle name="Calculation 7 2 5 2 6" xfId="11344" xr:uid="{00000000-0005-0000-0000-00004A110000}"/>
    <cellStyle name="Calculation 7 2 5 3" xfId="11347" xr:uid="{00000000-0005-0000-0000-00004B110000}"/>
    <cellStyle name="Calculation 7 2 5 3 2" xfId="11348" xr:uid="{00000000-0005-0000-0000-00004C110000}"/>
    <cellStyle name="Calculation 7 2 5 3 2 2" xfId="8802" xr:uid="{00000000-0005-0000-0000-00004D110000}"/>
    <cellStyle name="Calculation 7 2 5 3 2 3" xfId="10106" xr:uid="{00000000-0005-0000-0000-00004E110000}"/>
    <cellStyle name="Calculation 7 2 5 3 2 4" xfId="11235" xr:uid="{00000000-0005-0000-0000-00004F110000}"/>
    <cellStyle name="Calculation 7 2 5 3 3" xfId="11349" xr:uid="{00000000-0005-0000-0000-000050110000}"/>
    <cellStyle name="Calculation 7 2 5 3 4" xfId="11350" xr:uid="{00000000-0005-0000-0000-000051110000}"/>
    <cellStyle name="Calculation 7 2 5 3 5" xfId="11351" xr:uid="{00000000-0005-0000-0000-000052110000}"/>
    <cellStyle name="Calculation 7 2 5 4" xfId="11354" xr:uid="{00000000-0005-0000-0000-000053110000}"/>
    <cellStyle name="Calculation 7 2 5 4 2" xfId="11355" xr:uid="{00000000-0005-0000-0000-000054110000}"/>
    <cellStyle name="Calculation 7 2 5 4 3" xfId="11356" xr:uid="{00000000-0005-0000-0000-000055110000}"/>
    <cellStyle name="Calculation 7 2 5 4 4" xfId="11357" xr:uid="{00000000-0005-0000-0000-000056110000}"/>
    <cellStyle name="Calculation 7 2 5 5" xfId="11362" xr:uid="{00000000-0005-0000-0000-000057110000}"/>
    <cellStyle name="Calculation 7 2 5 6" xfId="11365" xr:uid="{00000000-0005-0000-0000-000058110000}"/>
    <cellStyle name="Calculation 7 2 5 7" xfId="11368" xr:uid="{00000000-0005-0000-0000-000059110000}"/>
    <cellStyle name="Calculation 7 2 6" xfId="4487" xr:uid="{00000000-0005-0000-0000-00005A110000}"/>
    <cellStyle name="Calculation 7 2 6 2" xfId="6828" xr:uid="{00000000-0005-0000-0000-00005B110000}"/>
    <cellStyle name="Calculation 7 2 6 2 2" xfId="6489" xr:uid="{00000000-0005-0000-0000-00005C110000}"/>
    <cellStyle name="Calculation 7 2 6 2 2 2" xfId="8369" xr:uid="{00000000-0005-0000-0000-00005D110000}"/>
    <cellStyle name="Calculation 7 2 6 2 2 3" xfId="8377" xr:uid="{00000000-0005-0000-0000-00005E110000}"/>
    <cellStyle name="Calculation 7 2 6 2 2 4" xfId="4300" xr:uid="{00000000-0005-0000-0000-00005F110000}"/>
    <cellStyle name="Calculation 7 2 6 2 3" xfId="6855" xr:uid="{00000000-0005-0000-0000-000060110000}"/>
    <cellStyle name="Calculation 7 2 6 2 4" xfId="8386" xr:uid="{00000000-0005-0000-0000-000061110000}"/>
    <cellStyle name="Calculation 7 2 6 2 5" xfId="8391" xr:uid="{00000000-0005-0000-0000-000062110000}"/>
    <cellStyle name="Calculation 7 2 6 3" xfId="6833" xr:uid="{00000000-0005-0000-0000-000063110000}"/>
    <cellStyle name="Calculation 7 2 6 3 2" xfId="8398" xr:uid="{00000000-0005-0000-0000-000064110000}"/>
    <cellStyle name="Calculation 7 2 6 3 3" xfId="8401" xr:uid="{00000000-0005-0000-0000-000065110000}"/>
    <cellStyle name="Calculation 7 2 6 3 4" xfId="8404" xr:uid="{00000000-0005-0000-0000-000066110000}"/>
    <cellStyle name="Calculation 7 2 6 4" xfId="8407" xr:uid="{00000000-0005-0000-0000-000067110000}"/>
    <cellStyle name="Calculation 7 2 6 5" xfId="8413" xr:uid="{00000000-0005-0000-0000-000068110000}"/>
    <cellStyle name="Calculation 7 2 6 6" xfId="8419" xr:uid="{00000000-0005-0000-0000-000069110000}"/>
    <cellStyle name="Calculation 7 2 7" xfId="8423" xr:uid="{00000000-0005-0000-0000-00006A110000}"/>
    <cellStyle name="Calculation 7 2 7 2" xfId="5842" xr:uid="{00000000-0005-0000-0000-00006B110000}"/>
    <cellStyle name="Calculation 7 2 7 2 2" xfId="8427" xr:uid="{00000000-0005-0000-0000-00006C110000}"/>
    <cellStyle name="Calculation 7 2 7 2 3" xfId="8432" xr:uid="{00000000-0005-0000-0000-00006D110000}"/>
    <cellStyle name="Calculation 7 2 7 2 4" xfId="8436" xr:uid="{00000000-0005-0000-0000-00006E110000}"/>
    <cellStyle name="Calculation 7 2 7 3" xfId="8440" xr:uid="{00000000-0005-0000-0000-00006F110000}"/>
    <cellStyle name="Calculation 7 2 7 4" xfId="8442" xr:uid="{00000000-0005-0000-0000-000070110000}"/>
    <cellStyle name="Calculation 7 2 7 5" xfId="8447" xr:uid="{00000000-0005-0000-0000-000071110000}"/>
    <cellStyle name="Calculation 7 2 8" xfId="3287" xr:uid="{00000000-0005-0000-0000-000072110000}"/>
    <cellStyle name="Calculation 7 2 8 2" xfId="8451" xr:uid="{00000000-0005-0000-0000-000073110000}"/>
    <cellStyle name="Calculation 7 2 8 3" xfId="8454" xr:uid="{00000000-0005-0000-0000-000074110000}"/>
    <cellStyle name="Calculation 7 2 8 4" xfId="8457" xr:uid="{00000000-0005-0000-0000-000075110000}"/>
    <cellStyle name="Calculation 7 2 9" xfId="3295" xr:uid="{00000000-0005-0000-0000-000076110000}"/>
    <cellStyle name="Calculation 7 3" xfId="11376" xr:uid="{00000000-0005-0000-0000-000077110000}"/>
    <cellStyle name="Calculation 7 3 2" xfId="11381" xr:uid="{00000000-0005-0000-0000-000078110000}"/>
    <cellStyle name="Calculation 7 3 2 2" xfId="11385" xr:uid="{00000000-0005-0000-0000-000079110000}"/>
    <cellStyle name="Calculation 7 3 2 2 2" xfId="11388" xr:uid="{00000000-0005-0000-0000-00007A110000}"/>
    <cellStyle name="Calculation 7 3 2 2 2 2" xfId="11389" xr:uid="{00000000-0005-0000-0000-00007B110000}"/>
    <cellStyle name="Calculation 7 3 2 2 2 2 2" xfId="6993" xr:uid="{00000000-0005-0000-0000-00007C110000}"/>
    <cellStyle name="Calculation 7 3 2 2 2 2 2 2" xfId="7006" xr:uid="{00000000-0005-0000-0000-00007D110000}"/>
    <cellStyle name="Calculation 7 3 2 2 2 2 2 3" xfId="6437" xr:uid="{00000000-0005-0000-0000-00007E110000}"/>
    <cellStyle name="Calculation 7 3 2 2 2 2 2 4" xfId="6454" xr:uid="{00000000-0005-0000-0000-00007F110000}"/>
    <cellStyle name="Calculation 7 3 2 2 2 2 3" xfId="4372" xr:uid="{00000000-0005-0000-0000-000080110000}"/>
    <cellStyle name="Calculation 7 3 2 2 2 2 4" xfId="4405" xr:uid="{00000000-0005-0000-0000-000081110000}"/>
    <cellStyle name="Calculation 7 3 2 2 2 2 5" xfId="4424" xr:uid="{00000000-0005-0000-0000-000082110000}"/>
    <cellStyle name="Calculation 7 3 2 2 2 3" xfId="11390" xr:uid="{00000000-0005-0000-0000-000083110000}"/>
    <cellStyle name="Calculation 7 3 2 2 2 3 2" xfId="7030" xr:uid="{00000000-0005-0000-0000-000084110000}"/>
    <cellStyle name="Calculation 7 3 2 2 2 3 3" xfId="64" xr:uid="{00000000-0005-0000-0000-000085110000}"/>
    <cellStyle name="Calculation 7 3 2 2 2 3 4" xfId="4461" xr:uid="{00000000-0005-0000-0000-000086110000}"/>
    <cellStyle name="Calculation 7 3 2 2 2 4" xfId="11391" xr:uid="{00000000-0005-0000-0000-000087110000}"/>
    <cellStyle name="Calculation 7 3 2 2 2 5" xfId="11395" xr:uid="{00000000-0005-0000-0000-000088110000}"/>
    <cellStyle name="Calculation 7 3 2 2 2 6" xfId="11399" xr:uid="{00000000-0005-0000-0000-000089110000}"/>
    <cellStyle name="Calculation 7 3 2 2 3" xfId="11403" xr:uid="{00000000-0005-0000-0000-00008A110000}"/>
    <cellStyle name="Calculation 7 3 2 2 3 2" xfId="11408" xr:uid="{00000000-0005-0000-0000-00008B110000}"/>
    <cellStyle name="Calculation 7 3 2 2 3 2 2" xfId="8279" xr:uid="{00000000-0005-0000-0000-00008C110000}"/>
    <cellStyle name="Calculation 7 3 2 2 3 2 3" xfId="8292" xr:uid="{00000000-0005-0000-0000-00008D110000}"/>
    <cellStyle name="Calculation 7 3 2 2 3 2 4" xfId="4044" xr:uid="{00000000-0005-0000-0000-00008E110000}"/>
    <cellStyle name="Calculation 7 3 2 2 3 3" xfId="11411" xr:uid="{00000000-0005-0000-0000-00008F110000}"/>
    <cellStyle name="Calculation 7 3 2 2 3 4" xfId="11413" xr:uid="{00000000-0005-0000-0000-000090110000}"/>
    <cellStyle name="Calculation 7 3 2 2 3 5" xfId="11421" xr:uid="{00000000-0005-0000-0000-000091110000}"/>
    <cellStyle name="Calculation 7 3 2 2 4" xfId="11426" xr:uid="{00000000-0005-0000-0000-000092110000}"/>
    <cellStyle name="Calculation 7 3 2 2 4 2" xfId="11431" xr:uid="{00000000-0005-0000-0000-000093110000}"/>
    <cellStyle name="Calculation 7 3 2 2 4 3" xfId="11436" xr:uid="{00000000-0005-0000-0000-000094110000}"/>
    <cellStyle name="Calculation 7 3 2 2 4 4" xfId="3548" xr:uid="{00000000-0005-0000-0000-000095110000}"/>
    <cellStyle name="Calculation 7 3 2 2 5" xfId="11437" xr:uid="{00000000-0005-0000-0000-000096110000}"/>
    <cellStyle name="Calculation 7 3 2 2 6" xfId="11438" xr:uid="{00000000-0005-0000-0000-000097110000}"/>
    <cellStyle name="Calculation 7 3 2 2 7" xfId="11439" xr:uid="{00000000-0005-0000-0000-000098110000}"/>
    <cellStyle name="Calculation 7 3 2 3" xfId="11445" xr:uid="{00000000-0005-0000-0000-000099110000}"/>
    <cellStyle name="Calculation 7 3 2 3 2" xfId="11446" xr:uid="{00000000-0005-0000-0000-00009A110000}"/>
    <cellStyle name="Calculation 7 3 2 3 2 2" xfId="11447" xr:uid="{00000000-0005-0000-0000-00009B110000}"/>
    <cellStyle name="Calculation 7 3 2 3 2 2 2" xfId="10628" xr:uid="{00000000-0005-0000-0000-00009C110000}"/>
    <cellStyle name="Calculation 7 3 2 3 2 2 3" xfId="10636" xr:uid="{00000000-0005-0000-0000-00009D110000}"/>
    <cellStyle name="Calculation 7 3 2 3 2 2 4" xfId="10643" xr:uid="{00000000-0005-0000-0000-00009E110000}"/>
    <cellStyle name="Calculation 7 3 2 3 2 3" xfId="11450" xr:uid="{00000000-0005-0000-0000-00009F110000}"/>
    <cellStyle name="Calculation 7 3 2 3 2 4" xfId="11454" xr:uid="{00000000-0005-0000-0000-0000A0110000}"/>
    <cellStyle name="Calculation 7 3 2 3 2 5" xfId="11462" xr:uid="{00000000-0005-0000-0000-0000A1110000}"/>
    <cellStyle name="Calculation 7 3 2 3 3" xfId="6968" xr:uid="{00000000-0005-0000-0000-0000A2110000}"/>
    <cellStyle name="Calculation 7 3 2 3 3 2" xfId="11474" xr:uid="{00000000-0005-0000-0000-0000A3110000}"/>
    <cellStyle name="Calculation 7 3 2 3 3 3" xfId="11480" xr:uid="{00000000-0005-0000-0000-0000A4110000}"/>
    <cellStyle name="Calculation 7 3 2 3 3 4" xfId="11483" xr:uid="{00000000-0005-0000-0000-0000A5110000}"/>
    <cellStyle name="Calculation 7 3 2 3 4" xfId="6976" xr:uid="{00000000-0005-0000-0000-0000A6110000}"/>
    <cellStyle name="Calculation 7 3 2 3 5" xfId="1640" xr:uid="{00000000-0005-0000-0000-0000A7110000}"/>
    <cellStyle name="Calculation 7 3 2 3 6" xfId="11490" xr:uid="{00000000-0005-0000-0000-0000A8110000}"/>
    <cellStyle name="Calculation 7 3 2 4" xfId="11495" xr:uid="{00000000-0005-0000-0000-0000A9110000}"/>
    <cellStyle name="Calculation 7 3 2 4 2" xfId="11497" xr:uid="{00000000-0005-0000-0000-0000AA110000}"/>
    <cellStyle name="Calculation 7 3 2 4 2 2" xfId="11498" xr:uid="{00000000-0005-0000-0000-0000AB110000}"/>
    <cellStyle name="Calculation 7 3 2 4 2 3" xfId="11502" xr:uid="{00000000-0005-0000-0000-0000AC110000}"/>
    <cellStyle name="Calculation 7 3 2 4 2 4" xfId="11504" xr:uid="{00000000-0005-0000-0000-0000AD110000}"/>
    <cellStyle name="Calculation 7 3 2 4 3" xfId="11507" xr:uid="{00000000-0005-0000-0000-0000AE110000}"/>
    <cellStyle name="Calculation 7 3 2 4 4" xfId="11510" xr:uid="{00000000-0005-0000-0000-0000AF110000}"/>
    <cellStyle name="Calculation 7 3 2 4 5" xfId="11512" xr:uid="{00000000-0005-0000-0000-0000B0110000}"/>
    <cellStyle name="Calculation 7 3 2 5" xfId="11515" xr:uid="{00000000-0005-0000-0000-0000B1110000}"/>
    <cellStyle name="Calculation 7 3 2 5 2" xfId="8060" xr:uid="{00000000-0005-0000-0000-0000B2110000}"/>
    <cellStyle name="Calculation 7 3 2 5 3" xfId="8777" xr:uid="{00000000-0005-0000-0000-0000B3110000}"/>
    <cellStyle name="Calculation 7 3 2 5 4" xfId="8781" xr:uid="{00000000-0005-0000-0000-0000B4110000}"/>
    <cellStyle name="Calculation 7 3 2 6" xfId="11517" xr:uid="{00000000-0005-0000-0000-0000B5110000}"/>
    <cellStyle name="Calculation 7 3 2 7" xfId="11519" xr:uid="{00000000-0005-0000-0000-0000B6110000}"/>
    <cellStyle name="Calculation 7 3 2 8" xfId="11521" xr:uid="{00000000-0005-0000-0000-0000B7110000}"/>
    <cellStyle name="Calculation 7 3 3" xfId="11526" xr:uid="{00000000-0005-0000-0000-0000B8110000}"/>
    <cellStyle name="Calculation 7 3 3 2" xfId="11530" xr:uid="{00000000-0005-0000-0000-0000B9110000}"/>
    <cellStyle name="Calculation 7 3 3 2 2" xfId="11533" xr:uid="{00000000-0005-0000-0000-0000BA110000}"/>
    <cellStyle name="Calculation 7 3 3 2 2 2" xfId="3516" xr:uid="{00000000-0005-0000-0000-0000BB110000}"/>
    <cellStyle name="Calculation 7 3 3 2 2 2 2" xfId="7998" xr:uid="{00000000-0005-0000-0000-0000BC110000}"/>
    <cellStyle name="Calculation 7 3 3 2 2 2 3" xfId="5426" xr:uid="{00000000-0005-0000-0000-0000BD110000}"/>
    <cellStyle name="Calculation 7 3 3 2 2 2 4" xfId="5455" xr:uid="{00000000-0005-0000-0000-0000BE110000}"/>
    <cellStyle name="Calculation 7 3 3 2 2 3" xfId="8036" xr:uid="{00000000-0005-0000-0000-0000BF110000}"/>
    <cellStyle name="Calculation 7 3 3 2 2 4" xfId="8062" xr:uid="{00000000-0005-0000-0000-0000C0110000}"/>
    <cellStyle name="Calculation 7 3 3 2 2 5" xfId="8094" xr:uid="{00000000-0005-0000-0000-0000C1110000}"/>
    <cellStyle name="Calculation 7 3 3 2 3" xfId="11534" xr:uid="{00000000-0005-0000-0000-0000C2110000}"/>
    <cellStyle name="Calculation 7 3 3 2 3 2" xfId="8182" xr:uid="{00000000-0005-0000-0000-0000C3110000}"/>
    <cellStyle name="Calculation 7 3 3 2 3 3" xfId="8200" xr:uid="{00000000-0005-0000-0000-0000C4110000}"/>
    <cellStyle name="Calculation 7 3 3 2 3 4" xfId="8211" xr:uid="{00000000-0005-0000-0000-0000C5110000}"/>
    <cellStyle name="Calculation 7 3 3 2 4" xfId="11404" xr:uid="{00000000-0005-0000-0000-0000C6110000}"/>
    <cellStyle name="Calculation 7 3 3 2 5" xfId="11409" xr:uid="{00000000-0005-0000-0000-0000C7110000}"/>
    <cellStyle name="Calculation 7 3 3 2 6" xfId="11418" xr:uid="{00000000-0005-0000-0000-0000C8110000}"/>
    <cellStyle name="Calculation 7 3 3 3" xfId="11539" xr:uid="{00000000-0005-0000-0000-0000C9110000}"/>
    <cellStyle name="Calculation 7 3 3 3 2" xfId="11541" xr:uid="{00000000-0005-0000-0000-0000CA110000}"/>
    <cellStyle name="Calculation 7 3 3 3 2 2" xfId="9352" xr:uid="{00000000-0005-0000-0000-0000CB110000}"/>
    <cellStyle name="Calculation 7 3 3 3 2 3" xfId="9379" xr:uid="{00000000-0005-0000-0000-0000CC110000}"/>
    <cellStyle name="Calculation 7 3 3 3 2 4" xfId="9411" xr:uid="{00000000-0005-0000-0000-0000CD110000}"/>
    <cellStyle name="Calculation 7 3 3 3 3" xfId="11543" xr:uid="{00000000-0005-0000-0000-0000CE110000}"/>
    <cellStyle name="Calculation 7 3 3 3 4" xfId="11428" xr:uid="{00000000-0005-0000-0000-0000CF110000}"/>
    <cellStyle name="Calculation 7 3 3 3 5" xfId="11433" xr:uid="{00000000-0005-0000-0000-0000D0110000}"/>
    <cellStyle name="Calculation 7 3 3 4" xfId="11547" xr:uid="{00000000-0005-0000-0000-0000D1110000}"/>
    <cellStyle name="Calculation 7 3 3 4 2" xfId="11549" xr:uid="{00000000-0005-0000-0000-0000D2110000}"/>
    <cellStyle name="Calculation 7 3 3 4 3" xfId="11551" xr:uid="{00000000-0005-0000-0000-0000D3110000}"/>
    <cellStyle name="Calculation 7 3 3 4 4" xfId="11554" xr:uid="{00000000-0005-0000-0000-0000D4110000}"/>
    <cellStyle name="Calculation 7 3 3 5" xfId="11557" xr:uid="{00000000-0005-0000-0000-0000D5110000}"/>
    <cellStyle name="Calculation 7 3 3 6" xfId="11559" xr:uid="{00000000-0005-0000-0000-0000D6110000}"/>
    <cellStyle name="Calculation 7 3 3 7" xfId="11561" xr:uid="{00000000-0005-0000-0000-0000D7110000}"/>
    <cellStyle name="Calculation 7 3 4" xfId="11566" xr:uid="{00000000-0005-0000-0000-0000D8110000}"/>
    <cellStyle name="Calculation 7 3 4 2" xfId="384" xr:uid="{00000000-0005-0000-0000-0000D9110000}"/>
    <cellStyle name="Calculation 7 3 4 2 2" xfId="11567" xr:uid="{00000000-0005-0000-0000-0000DA110000}"/>
    <cellStyle name="Calculation 7 3 4 2 2 2" xfId="3050" xr:uid="{00000000-0005-0000-0000-0000DB110000}"/>
    <cellStyle name="Calculation 7 3 4 2 2 3" xfId="10253" xr:uid="{00000000-0005-0000-0000-0000DC110000}"/>
    <cellStyle name="Calculation 7 3 4 2 2 4" xfId="11569" xr:uid="{00000000-0005-0000-0000-0000DD110000}"/>
    <cellStyle name="Calculation 7 3 4 2 3" xfId="11576" xr:uid="{00000000-0005-0000-0000-0000DE110000}"/>
    <cellStyle name="Calculation 7 3 4 2 4" xfId="11472" xr:uid="{00000000-0005-0000-0000-0000DF110000}"/>
    <cellStyle name="Calculation 7 3 4 2 5" xfId="11478" xr:uid="{00000000-0005-0000-0000-0000E0110000}"/>
    <cellStyle name="Calculation 7 3 4 3" xfId="11582" xr:uid="{00000000-0005-0000-0000-0000E1110000}"/>
    <cellStyle name="Calculation 7 3 4 3 2" xfId="11584" xr:uid="{00000000-0005-0000-0000-0000E2110000}"/>
    <cellStyle name="Calculation 7 3 4 3 3" xfId="11586" xr:uid="{00000000-0005-0000-0000-0000E3110000}"/>
    <cellStyle name="Calculation 7 3 4 3 4" xfId="11588" xr:uid="{00000000-0005-0000-0000-0000E4110000}"/>
    <cellStyle name="Calculation 7 3 4 4" xfId="11592" xr:uid="{00000000-0005-0000-0000-0000E5110000}"/>
    <cellStyle name="Calculation 7 3 4 5" xfId="11596" xr:uid="{00000000-0005-0000-0000-0000E6110000}"/>
    <cellStyle name="Calculation 7 3 4 6" xfId="11600" xr:uid="{00000000-0005-0000-0000-0000E7110000}"/>
    <cellStyle name="Calculation 7 3 5" xfId="11602" xr:uid="{00000000-0005-0000-0000-0000E8110000}"/>
    <cellStyle name="Calculation 7 3 5 2" xfId="11612" xr:uid="{00000000-0005-0000-0000-0000E9110000}"/>
    <cellStyle name="Calculation 7 3 5 2 2" xfId="11615" xr:uid="{00000000-0005-0000-0000-0000EA110000}"/>
    <cellStyle name="Calculation 7 3 5 2 3" xfId="11616" xr:uid="{00000000-0005-0000-0000-0000EB110000}"/>
    <cellStyle name="Calculation 7 3 5 2 4" xfId="11617" xr:uid="{00000000-0005-0000-0000-0000EC110000}"/>
    <cellStyle name="Calculation 7 3 5 3" xfId="11621" xr:uid="{00000000-0005-0000-0000-0000ED110000}"/>
    <cellStyle name="Calculation 7 3 5 4" xfId="11624" xr:uid="{00000000-0005-0000-0000-0000EE110000}"/>
    <cellStyle name="Calculation 7 3 5 5" xfId="11626" xr:uid="{00000000-0005-0000-0000-0000EF110000}"/>
    <cellStyle name="Calculation 7 3 6" xfId="8472" xr:uid="{00000000-0005-0000-0000-0000F0110000}"/>
    <cellStyle name="Calculation 7 3 6 2" xfId="6889" xr:uid="{00000000-0005-0000-0000-0000F1110000}"/>
    <cellStyle name="Calculation 7 3 6 3" xfId="1348" xr:uid="{00000000-0005-0000-0000-0000F2110000}"/>
    <cellStyle name="Calculation 7 3 6 4" xfId="1360" xr:uid="{00000000-0005-0000-0000-0000F3110000}"/>
    <cellStyle name="Calculation 7 3 7" xfId="8483" xr:uid="{00000000-0005-0000-0000-0000F4110000}"/>
    <cellStyle name="Calculation 7 3 8" xfId="8496" xr:uid="{00000000-0005-0000-0000-0000F5110000}"/>
    <cellStyle name="Calculation 7 3 9" xfId="8506" xr:uid="{00000000-0005-0000-0000-0000F6110000}"/>
    <cellStyle name="Calculation 7 4" xfId="11633" xr:uid="{00000000-0005-0000-0000-0000F7110000}"/>
    <cellStyle name="Calculation 7 4 2" xfId="11637" xr:uid="{00000000-0005-0000-0000-0000F8110000}"/>
    <cellStyle name="Calculation 7 4 2 2" xfId="11639" xr:uid="{00000000-0005-0000-0000-0000F9110000}"/>
    <cellStyle name="Calculation 7 4 2 2 2" xfId="11643" xr:uid="{00000000-0005-0000-0000-0000FA110000}"/>
    <cellStyle name="Calculation 7 4 2 2 2 2" xfId="11645" xr:uid="{00000000-0005-0000-0000-0000FB110000}"/>
    <cellStyle name="Calculation 7 4 2 2 2 2 2" xfId="11489" xr:uid="{00000000-0005-0000-0000-0000FC110000}"/>
    <cellStyle name="Calculation 7 4 2 2 2 2 2 2" xfId="11647" xr:uid="{00000000-0005-0000-0000-0000FD110000}"/>
    <cellStyle name="Calculation 7 4 2 2 2 2 2 3" xfId="11648" xr:uid="{00000000-0005-0000-0000-0000FE110000}"/>
    <cellStyle name="Calculation 7 4 2 2 2 2 2 4" xfId="8137" xr:uid="{00000000-0005-0000-0000-0000FF110000}"/>
    <cellStyle name="Calculation 7 4 2 2 2 2 3" xfId="11649" xr:uid="{00000000-0005-0000-0000-000000120000}"/>
    <cellStyle name="Calculation 7 4 2 2 2 2 4" xfId="10591" xr:uid="{00000000-0005-0000-0000-000001120000}"/>
    <cellStyle name="Calculation 7 4 2 2 2 2 5" xfId="10596" xr:uid="{00000000-0005-0000-0000-000002120000}"/>
    <cellStyle name="Calculation 7 4 2 2 2 3" xfId="11654" xr:uid="{00000000-0005-0000-0000-000003120000}"/>
    <cellStyle name="Calculation 7 4 2 2 2 3 2" xfId="11655" xr:uid="{00000000-0005-0000-0000-000004120000}"/>
    <cellStyle name="Calculation 7 4 2 2 2 3 3" xfId="11657" xr:uid="{00000000-0005-0000-0000-000005120000}"/>
    <cellStyle name="Calculation 7 4 2 2 2 3 4" xfId="11660" xr:uid="{00000000-0005-0000-0000-000006120000}"/>
    <cellStyle name="Calculation 7 4 2 2 2 4" xfId="10314" xr:uid="{00000000-0005-0000-0000-000007120000}"/>
    <cellStyle name="Calculation 7 4 2 2 2 5" xfId="10319" xr:uid="{00000000-0005-0000-0000-000008120000}"/>
    <cellStyle name="Calculation 7 4 2 2 2 6" xfId="10325" xr:uid="{00000000-0005-0000-0000-000009120000}"/>
    <cellStyle name="Calculation 7 4 2 2 3" xfId="6903" xr:uid="{00000000-0005-0000-0000-00000A120000}"/>
    <cellStyle name="Calculation 7 4 2 2 3 2" xfId="6917" xr:uid="{00000000-0005-0000-0000-00000B120000}"/>
    <cellStyle name="Calculation 7 4 2 2 3 2 2" xfId="3546" xr:uid="{00000000-0005-0000-0000-00000C120000}"/>
    <cellStyle name="Calculation 7 4 2 2 3 2 3" xfId="3577" xr:uid="{00000000-0005-0000-0000-00000D120000}"/>
    <cellStyle name="Calculation 7 4 2 2 3 2 4" xfId="3586" xr:uid="{00000000-0005-0000-0000-00000E120000}"/>
    <cellStyle name="Calculation 7 4 2 2 3 3" xfId="6227" xr:uid="{00000000-0005-0000-0000-00000F120000}"/>
    <cellStyle name="Calculation 7 4 2 2 3 4" xfId="6286" xr:uid="{00000000-0005-0000-0000-000010120000}"/>
    <cellStyle name="Calculation 7 4 2 2 3 5" xfId="6313" xr:uid="{00000000-0005-0000-0000-000011120000}"/>
    <cellStyle name="Calculation 7 4 2 2 4" xfId="6930" xr:uid="{00000000-0005-0000-0000-000012120000}"/>
    <cellStyle name="Calculation 7 4 2 2 4 2" xfId="6942" xr:uid="{00000000-0005-0000-0000-000013120000}"/>
    <cellStyle name="Calculation 7 4 2 2 4 3" xfId="6339" xr:uid="{00000000-0005-0000-0000-000014120000}"/>
    <cellStyle name="Calculation 7 4 2 2 4 4" xfId="6359" xr:uid="{00000000-0005-0000-0000-000015120000}"/>
    <cellStyle name="Calculation 7 4 2 2 5" xfId="4227" xr:uid="{00000000-0005-0000-0000-000016120000}"/>
    <cellStyle name="Calculation 7 4 2 2 6" xfId="4281" xr:uid="{00000000-0005-0000-0000-000017120000}"/>
    <cellStyle name="Calculation 7 4 2 2 7" xfId="4335" xr:uid="{00000000-0005-0000-0000-000018120000}"/>
    <cellStyle name="Calculation 7 4 2 3" xfId="11662" xr:uid="{00000000-0005-0000-0000-000019120000}"/>
    <cellStyle name="Calculation 7 4 2 3 2" xfId="11666" xr:uid="{00000000-0005-0000-0000-00001A120000}"/>
    <cellStyle name="Calculation 7 4 2 3 2 2" xfId="7514" xr:uid="{00000000-0005-0000-0000-00001B120000}"/>
    <cellStyle name="Calculation 7 4 2 3 2 2 2" xfId="4399" xr:uid="{00000000-0005-0000-0000-00001C120000}"/>
    <cellStyle name="Calculation 7 4 2 3 2 2 3" xfId="4425" xr:uid="{00000000-0005-0000-0000-00001D120000}"/>
    <cellStyle name="Calculation 7 4 2 3 2 2 4" xfId="4441" xr:uid="{00000000-0005-0000-0000-00001E120000}"/>
    <cellStyle name="Calculation 7 4 2 3 2 3" xfId="8932" xr:uid="{00000000-0005-0000-0000-00001F120000}"/>
    <cellStyle name="Calculation 7 4 2 3 2 4" xfId="11668" xr:uid="{00000000-0005-0000-0000-000020120000}"/>
    <cellStyle name="Calculation 7 4 2 3 2 5" xfId="9896" xr:uid="{00000000-0005-0000-0000-000021120000}"/>
    <cellStyle name="Calculation 7 4 2 3 3" xfId="6949" xr:uid="{00000000-0005-0000-0000-000022120000}"/>
    <cellStyle name="Calculation 7 4 2 3 3 2" xfId="6961" xr:uid="{00000000-0005-0000-0000-000023120000}"/>
    <cellStyle name="Calculation 7 4 2 3 3 3" xfId="6398" xr:uid="{00000000-0005-0000-0000-000024120000}"/>
    <cellStyle name="Calculation 7 4 2 3 3 4" xfId="6409" xr:uid="{00000000-0005-0000-0000-000025120000}"/>
    <cellStyle name="Calculation 7 4 2 3 4" xfId="6989" xr:uid="{00000000-0005-0000-0000-000026120000}"/>
    <cellStyle name="Calculation 7 4 2 3 5" xfId="4368" xr:uid="{00000000-0005-0000-0000-000027120000}"/>
    <cellStyle name="Calculation 7 4 2 3 6" xfId="4398" xr:uid="{00000000-0005-0000-0000-000028120000}"/>
    <cellStyle name="Calculation 7 4 2 4" xfId="11673" xr:uid="{00000000-0005-0000-0000-000029120000}"/>
    <cellStyle name="Calculation 7 4 2 4 2" xfId="11676" xr:uid="{00000000-0005-0000-0000-00002A120000}"/>
    <cellStyle name="Calculation 7 4 2 4 2 2" xfId="11678" xr:uid="{00000000-0005-0000-0000-00002B120000}"/>
    <cellStyle name="Calculation 7 4 2 4 2 3" xfId="11680" xr:uid="{00000000-0005-0000-0000-00002C120000}"/>
    <cellStyle name="Calculation 7 4 2 4 2 4" xfId="11682" xr:uid="{00000000-0005-0000-0000-00002D120000}"/>
    <cellStyle name="Calculation 7 4 2 4 3" xfId="7015" xr:uid="{00000000-0005-0000-0000-00002E120000}"/>
    <cellStyle name="Calculation 7 4 2 4 4" xfId="7026" xr:uid="{00000000-0005-0000-0000-00002F120000}"/>
    <cellStyle name="Calculation 7 4 2 4 5" xfId="60" xr:uid="{00000000-0005-0000-0000-000030120000}"/>
    <cellStyle name="Calculation 7 4 2 5" xfId="11686" xr:uid="{00000000-0005-0000-0000-000031120000}"/>
    <cellStyle name="Calculation 7 4 2 5 2" xfId="11688" xr:uid="{00000000-0005-0000-0000-000032120000}"/>
    <cellStyle name="Calculation 7 4 2 5 3" xfId="7043" xr:uid="{00000000-0005-0000-0000-000033120000}"/>
    <cellStyle name="Calculation 7 4 2 5 4" xfId="7051" xr:uid="{00000000-0005-0000-0000-000034120000}"/>
    <cellStyle name="Calculation 7 4 2 6" xfId="11691" xr:uid="{00000000-0005-0000-0000-000035120000}"/>
    <cellStyle name="Calculation 7 4 2 7" xfId="11695" xr:uid="{00000000-0005-0000-0000-000036120000}"/>
    <cellStyle name="Calculation 7 4 2 8" xfId="11698" xr:uid="{00000000-0005-0000-0000-000037120000}"/>
    <cellStyle name="Calculation 7 4 3" xfId="11702" xr:uid="{00000000-0005-0000-0000-000038120000}"/>
    <cellStyle name="Calculation 7 4 3 2" xfId="3526" xr:uid="{00000000-0005-0000-0000-000039120000}"/>
    <cellStyle name="Calculation 7 4 3 2 2" xfId="10199" xr:uid="{00000000-0005-0000-0000-00003A120000}"/>
    <cellStyle name="Calculation 7 4 3 2 2 2" xfId="10203" xr:uid="{00000000-0005-0000-0000-00003B120000}"/>
    <cellStyle name="Calculation 7 4 3 2 2 2 2" xfId="6030" xr:uid="{00000000-0005-0000-0000-00003C120000}"/>
    <cellStyle name="Calculation 7 4 3 2 2 2 3" xfId="6080" xr:uid="{00000000-0005-0000-0000-00003D120000}"/>
    <cellStyle name="Calculation 7 4 3 2 2 2 4" xfId="6119" xr:uid="{00000000-0005-0000-0000-00003E120000}"/>
    <cellStyle name="Calculation 7 4 3 2 2 3" xfId="10210" xr:uid="{00000000-0005-0000-0000-00003F120000}"/>
    <cellStyle name="Calculation 7 4 3 2 2 4" xfId="10217" xr:uid="{00000000-0005-0000-0000-000040120000}"/>
    <cellStyle name="Calculation 7 4 3 2 2 5" xfId="11704" xr:uid="{00000000-0005-0000-0000-000041120000}"/>
    <cellStyle name="Calculation 7 4 3 2 3" xfId="8119" xr:uid="{00000000-0005-0000-0000-000042120000}"/>
    <cellStyle name="Calculation 7 4 3 2 3 2" xfId="8134" xr:uid="{00000000-0005-0000-0000-000043120000}"/>
    <cellStyle name="Calculation 7 4 3 2 3 3" xfId="8156" xr:uid="{00000000-0005-0000-0000-000044120000}"/>
    <cellStyle name="Calculation 7 4 3 2 3 4" xfId="8163" xr:uid="{00000000-0005-0000-0000-000045120000}"/>
    <cellStyle name="Calculation 7 4 3 2 4" xfId="8180" xr:uid="{00000000-0005-0000-0000-000046120000}"/>
    <cellStyle name="Calculation 7 4 3 2 5" xfId="8198" xr:uid="{00000000-0005-0000-0000-000047120000}"/>
    <cellStyle name="Calculation 7 4 3 2 6" xfId="8210" xr:uid="{00000000-0005-0000-0000-000048120000}"/>
    <cellStyle name="Calculation 7 4 3 3" xfId="3533" xr:uid="{00000000-0005-0000-0000-000049120000}"/>
    <cellStyle name="Calculation 7 4 3 3 2" xfId="10225" xr:uid="{00000000-0005-0000-0000-00004A120000}"/>
    <cellStyle name="Calculation 7 4 3 3 2 2" xfId="10357" xr:uid="{00000000-0005-0000-0000-00004B120000}"/>
    <cellStyle name="Calculation 7 4 3 3 2 3" xfId="10362" xr:uid="{00000000-0005-0000-0000-00004C120000}"/>
    <cellStyle name="Calculation 7 4 3 3 2 4" xfId="11709" xr:uid="{00000000-0005-0000-0000-00004D120000}"/>
    <cellStyle name="Calculation 7 4 3 3 3" xfId="8234" xr:uid="{00000000-0005-0000-0000-00004E120000}"/>
    <cellStyle name="Calculation 7 4 3 3 4" xfId="8275" xr:uid="{00000000-0005-0000-0000-00004F120000}"/>
    <cellStyle name="Calculation 7 4 3 3 5" xfId="8288" xr:uid="{00000000-0005-0000-0000-000050120000}"/>
    <cellStyle name="Calculation 7 4 3 4" xfId="3543" xr:uid="{00000000-0005-0000-0000-000051120000}"/>
    <cellStyle name="Calculation 7 4 3 4 2" xfId="11711" xr:uid="{00000000-0005-0000-0000-000052120000}"/>
    <cellStyle name="Calculation 7 4 3 4 3" xfId="8304" xr:uid="{00000000-0005-0000-0000-000053120000}"/>
    <cellStyle name="Calculation 7 4 3 4 4" xfId="8318" xr:uid="{00000000-0005-0000-0000-000054120000}"/>
    <cellStyle name="Calculation 7 4 3 5" xfId="6451" xr:uid="{00000000-0005-0000-0000-000055120000}"/>
    <cellStyle name="Calculation 7 4 3 6" xfId="10236" xr:uid="{00000000-0005-0000-0000-000056120000}"/>
    <cellStyle name="Calculation 7 4 3 7" xfId="11715" xr:uid="{00000000-0005-0000-0000-000057120000}"/>
    <cellStyle name="Calculation 7 4 4" xfId="11718" xr:uid="{00000000-0005-0000-0000-000058120000}"/>
    <cellStyle name="Calculation 7 4 4 2" xfId="3560" xr:uid="{00000000-0005-0000-0000-000059120000}"/>
    <cellStyle name="Calculation 7 4 4 2 2" xfId="10239" xr:uid="{00000000-0005-0000-0000-00005A120000}"/>
    <cellStyle name="Calculation 7 4 4 2 2 2" xfId="1136" xr:uid="{00000000-0005-0000-0000-00005B120000}"/>
    <cellStyle name="Calculation 7 4 4 2 2 3" xfId="2173" xr:uid="{00000000-0005-0000-0000-00005C120000}"/>
    <cellStyle name="Calculation 7 4 4 2 2 4" xfId="11720" xr:uid="{00000000-0005-0000-0000-00005D120000}"/>
    <cellStyle name="Calculation 7 4 4 2 3" xfId="9439" xr:uid="{00000000-0005-0000-0000-00005E120000}"/>
    <cellStyle name="Calculation 7 4 4 2 4" xfId="9464" xr:uid="{00000000-0005-0000-0000-00005F120000}"/>
    <cellStyle name="Calculation 7 4 4 2 5" xfId="9477" xr:uid="{00000000-0005-0000-0000-000060120000}"/>
    <cellStyle name="Calculation 7 4 4 3" xfId="3574" xr:uid="{00000000-0005-0000-0000-000061120000}"/>
    <cellStyle name="Calculation 7 4 4 3 2" xfId="11723" xr:uid="{00000000-0005-0000-0000-000062120000}"/>
    <cellStyle name="Calculation 7 4 4 3 3" xfId="9524" xr:uid="{00000000-0005-0000-0000-000063120000}"/>
    <cellStyle name="Calculation 7 4 4 3 4" xfId="9550" xr:uid="{00000000-0005-0000-0000-000064120000}"/>
    <cellStyle name="Calculation 7 4 4 4" xfId="10243" xr:uid="{00000000-0005-0000-0000-000065120000}"/>
    <cellStyle name="Calculation 7 4 4 5" xfId="10247" xr:uid="{00000000-0005-0000-0000-000066120000}"/>
    <cellStyle name="Calculation 7 4 4 6" xfId="11729" xr:uid="{00000000-0005-0000-0000-000067120000}"/>
    <cellStyle name="Calculation 7 4 5" xfId="11731" xr:uid="{00000000-0005-0000-0000-000068120000}"/>
    <cellStyle name="Calculation 7 4 5 2" xfId="15" xr:uid="{00000000-0005-0000-0000-000069120000}"/>
    <cellStyle name="Calculation 7 4 5 2 2" xfId="11732" xr:uid="{00000000-0005-0000-0000-00006A120000}"/>
    <cellStyle name="Calculation 7 4 5 2 3" xfId="1276" xr:uid="{00000000-0005-0000-0000-00006B120000}"/>
    <cellStyle name="Calculation 7 4 5 2 4" xfId="1284" xr:uid="{00000000-0005-0000-0000-00006C120000}"/>
    <cellStyle name="Calculation 7 4 5 3" xfId="3821" xr:uid="{00000000-0005-0000-0000-00006D120000}"/>
    <cellStyle name="Calculation 7 4 5 4" xfId="3827" xr:uid="{00000000-0005-0000-0000-00006E120000}"/>
    <cellStyle name="Calculation 7 4 5 5" xfId="11734" xr:uid="{00000000-0005-0000-0000-00006F120000}"/>
    <cellStyle name="Calculation 7 4 6" xfId="8523" xr:uid="{00000000-0005-0000-0000-000070120000}"/>
    <cellStyle name="Calculation 7 4 6 2" xfId="4183" xr:uid="{00000000-0005-0000-0000-000071120000}"/>
    <cellStyle name="Calculation 7 4 6 3" xfId="4204" xr:uid="{00000000-0005-0000-0000-000072120000}"/>
    <cellStyle name="Calculation 7 4 6 4" xfId="4215" xr:uid="{00000000-0005-0000-0000-000073120000}"/>
    <cellStyle name="Calculation 7 4 7" xfId="8528" xr:uid="{00000000-0005-0000-0000-000074120000}"/>
    <cellStyle name="Calculation 7 4 8" xfId="8530" xr:uid="{00000000-0005-0000-0000-000075120000}"/>
    <cellStyle name="Calculation 7 4 9" xfId="8534" xr:uid="{00000000-0005-0000-0000-000076120000}"/>
    <cellStyle name="Calculation 7 5" xfId="11742" xr:uid="{00000000-0005-0000-0000-000077120000}"/>
    <cellStyle name="Calculation 7 5 2" xfId="11744" xr:uid="{00000000-0005-0000-0000-000078120000}"/>
    <cellStyle name="Calculation 7 5 2 2" xfId="11745" xr:uid="{00000000-0005-0000-0000-000079120000}"/>
    <cellStyle name="Calculation 7 5 2 2 2" xfId="11747" xr:uid="{00000000-0005-0000-0000-00007A120000}"/>
    <cellStyle name="Calculation 7 5 2 2 2 2" xfId="11748" xr:uid="{00000000-0005-0000-0000-00007B120000}"/>
    <cellStyle name="Calculation 7 5 2 2 2 2 2" xfId="11751" xr:uid="{00000000-0005-0000-0000-00007C120000}"/>
    <cellStyle name="Calculation 7 5 2 2 2 2 3" xfId="11753" xr:uid="{00000000-0005-0000-0000-00007D120000}"/>
    <cellStyle name="Calculation 7 5 2 2 2 2 4" xfId="11756" xr:uid="{00000000-0005-0000-0000-00007E120000}"/>
    <cellStyle name="Calculation 7 5 2 2 2 3" xfId="11757" xr:uid="{00000000-0005-0000-0000-00007F120000}"/>
    <cellStyle name="Calculation 7 5 2 2 2 4" xfId="11758" xr:uid="{00000000-0005-0000-0000-000080120000}"/>
    <cellStyle name="Calculation 7 5 2 2 2 5" xfId="11761" xr:uid="{00000000-0005-0000-0000-000081120000}"/>
    <cellStyle name="Calculation 7 5 2 2 3" xfId="11764" xr:uid="{00000000-0005-0000-0000-000082120000}"/>
    <cellStyle name="Calculation 7 5 2 2 3 2" xfId="11769" xr:uid="{00000000-0005-0000-0000-000083120000}"/>
    <cellStyle name="Calculation 7 5 2 2 3 3" xfId="11770" xr:uid="{00000000-0005-0000-0000-000084120000}"/>
    <cellStyle name="Calculation 7 5 2 2 3 4" xfId="11771" xr:uid="{00000000-0005-0000-0000-000085120000}"/>
    <cellStyle name="Calculation 7 5 2 2 4" xfId="11773" xr:uid="{00000000-0005-0000-0000-000086120000}"/>
    <cellStyle name="Calculation 7 5 2 2 5" xfId="11774" xr:uid="{00000000-0005-0000-0000-000087120000}"/>
    <cellStyle name="Calculation 7 5 2 2 6" xfId="11776" xr:uid="{00000000-0005-0000-0000-000088120000}"/>
    <cellStyle name="Calculation 7 5 2 3" xfId="10579" xr:uid="{00000000-0005-0000-0000-000089120000}"/>
    <cellStyle name="Calculation 7 5 2 3 2" xfId="10582" xr:uid="{00000000-0005-0000-0000-00008A120000}"/>
    <cellStyle name="Calculation 7 5 2 3 2 2" xfId="10584" xr:uid="{00000000-0005-0000-0000-00008B120000}"/>
    <cellStyle name="Calculation 7 5 2 3 2 3" xfId="10599" xr:uid="{00000000-0005-0000-0000-00008C120000}"/>
    <cellStyle name="Calculation 7 5 2 3 2 4" xfId="10602" xr:uid="{00000000-0005-0000-0000-00008D120000}"/>
    <cellStyle name="Calculation 7 5 2 3 3" xfId="10614" xr:uid="{00000000-0005-0000-0000-00008E120000}"/>
    <cellStyle name="Calculation 7 5 2 3 4" xfId="10623" xr:uid="{00000000-0005-0000-0000-00008F120000}"/>
    <cellStyle name="Calculation 7 5 2 3 5" xfId="10631" xr:uid="{00000000-0005-0000-0000-000090120000}"/>
    <cellStyle name="Calculation 7 5 2 4" xfId="10644" xr:uid="{00000000-0005-0000-0000-000091120000}"/>
    <cellStyle name="Calculation 7 5 2 4 2" xfId="10647" xr:uid="{00000000-0005-0000-0000-000092120000}"/>
    <cellStyle name="Calculation 7 5 2 4 3" xfId="10654" xr:uid="{00000000-0005-0000-0000-000093120000}"/>
    <cellStyle name="Calculation 7 5 2 4 4" xfId="10657" xr:uid="{00000000-0005-0000-0000-000094120000}"/>
    <cellStyle name="Calculation 7 5 2 5" xfId="10662" xr:uid="{00000000-0005-0000-0000-000095120000}"/>
    <cellStyle name="Calculation 7 5 2 6" xfId="10693" xr:uid="{00000000-0005-0000-0000-000096120000}"/>
    <cellStyle name="Calculation 7 5 2 7" xfId="10700" xr:uid="{00000000-0005-0000-0000-000097120000}"/>
    <cellStyle name="Calculation 7 5 3" xfId="11778" xr:uid="{00000000-0005-0000-0000-000098120000}"/>
    <cellStyle name="Calculation 7 5 3 2" xfId="3059" xr:uid="{00000000-0005-0000-0000-000099120000}"/>
    <cellStyle name="Calculation 7 5 3 2 2" xfId="9034" xr:uid="{00000000-0005-0000-0000-00009A120000}"/>
    <cellStyle name="Calculation 7 5 3 2 2 2" xfId="10456" xr:uid="{00000000-0005-0000-0000-00009B120000}"/>
    <cellStyle name="Calculation 7 5 3 2 2 3" xfId="10459" xr:uid="{00000000-0005-0000-0000-00009C120000}"/>
    <cellStyle name="Calculation 7 5 3 2 2 4" xfId="11779" xr:uid="{00000000-0005-0000-0000-00009D120000}"/>
    <cellStyle name="Calculation 7 5 3 2 3" xfId="9041" xr:uid="{00000000-0005-0000-0000-00009E120000}"/>
    <cellStyle name="Calculation 7 5 3 2 4" xfId="10258" xr:uid="{00000000-0005-0000-0000-00009F120000}"/>
    <cellStyle name="Calculation 7 5 3 2 5" xfId="11781" xr:uid="{00000000-0005-0000-0000-0000A0120000}"/>
    <cellStyle name="Calculation 7 5 3 3" xfId="1832" xr:uid="{00000000-0005-0000-0000-0000A1120000}"/>
    <cellStyle name="Calculation 7 5 3 3 2" xfId="9054" xr:uid="{00000000-0005-0000-0000-0000A2120000}"/>
    <cellStyle name="Calculation 7 5 3 3 3" xfId="10717" xr:uid="{00000000-0005-0000-0000-0000A3120000}"/>
    <cellStyle name="Calculation 7 5 3 3 4" xfId="10723" xr:uid="{00000000-0005-0000-0000-0000A4120000}"/>
    <cellStyle name="Calculation 7 5 3 4" xfId="1840" xr:uid="{00000000-0005-0000-0000-0000A5120000}"/>
    <cellStyle name="Calculation 7 5 3 5" xfId="10263" xr:uid="{00000000-0005-0000-0000-0000A6120000}"/>
    <cellStyle name="Calculation 7 5 3 6" xfId="10740" xr:uid="{00000000-0005-0000-0000-0000A7120000}"/>
    <cellStyle name="Calculation 7 5 4" xfId="11783" xr:uid="{00000000-0005-0000-0000-0000A8120000}"/>
    <cellStyle name="Calculation 7 5 4 2" xfId="2971" xr:uid="{00000000-0005-0000-0000-0000A9120000}"/>
    <cellStyle name="Calculation 7 5 4 2 2" xfId="9079" xr:uid="{00000000-0005-0000-0000-0000AA120000}"/>
    <cellStyle name="Calculation 7 5 4 2 3" xfId="11784" xr:uid="{00000000-0005-0000-0000-0000AB120000}"/>
    <cellStyle name="Calculation 7 5 4 2 4" xfId="11785" xr:uid="{00000000-0005-0000-0000-0000AC120000}"/>
    <cellStyle name="Calculation 7 5 4 3" xfId="1851" xr:uid="{00000000-0005-0000-0000-0000AD120000}"/>
    <cellStyle name="Calculation 7 5 4 4" xfId="6254" xr:uid="{00000000-0005-0000-0000-0000AE120000}"/>
    <cellStyle name="Calculation 7 5 4 5" xfId="4801" xr:uid="{00000000-0005-0000-0000-0000AF120000}"/>
    <cellStyle name="Calculation 7 5 5" xfId="11787" xr:uid="{00000000-0005-0000-0000-0000B0120000}"/>
    <cellStyle name="Calculation 7 5 5 2" xfId="6269" xr:uid="{00000000-0005-0000-0000-0000B1120000}"/>
    <cellStyle name="Calculation 7 5 5 3" xfId="1876" xr:uid="{00000000-0005-0000-0000-0000B2120000}"/>
    <cellStyle name="Calculation 7 5 5 4" xfId="10761" xr:uid="{00000000-0005-0000-0000-0000B3120000}"/>
    <cellStyle name="Calculation 7 5 6" xfId="8543" xr:uid="{00000000-0005-0000-0000-0000B4120000}"/>
    <cellStyle name="Calculation 7 5 7" xfId="8548" xr:uid="{00000000-0005-0000-0000-0000B5120000}"/>
    <cellStyle name="Calculation 7 5 8" xfId="8551" xr:uid="{00000000-0005-0000-0000-0000B6120000}"/>
    <cellStyle name="Calculation 7 6" xfId="11793" xr:uid="{00000000-0005-0000-0000-0000B7120000}"/>
    <cellStyle name="Calculation 7 6 2" xfId="11795" xr:uid="{00000000-0005-0000-0000-0000B8120000}"/>
    <cellStyle name="Calculation 7 6 2 2" xfId="11796" xr:uid="{00000000-0005-0000-0000-0000B9120000}"/>
    <cellStyle name="Calculation 7 6 2 2 2" xfId="11800" xr:uid="{00000000-0005-0000-0000-0000BA120000}"/>
    <cellStyle name="Calculation 7 6 2 2 2 2" xfId="11802" xr:uid="{00000000-0005-0000-0000-0000BB120000}"/>
    <cellStyle name="Calculation 7 6 2 2 2 3" xfId="11804" xr:uid="{00000000-0005-0000-0000-0000BC120000}"/>
    <cellStyle name="Calculation 7 6 2 2 2 4" xfId="11805" xr:uid="{00000000-0005-0000-0000-0000BD120000}"/>
    <cellStyle name="Calculation 7 6 2 2 3" xfId="11807" xr:uid="{00000000-0005-0000-0000-0000BE120000}"/>
    <cellStyle name="Calculation 7 6 2 2 4" xfId="11808" xr:uid="{00000000-0005-0000-0000-0000BF120000}"/>
    <cellStyle name="Calculation 7 6 2 2 5" xfId="11809" xr:uid="{00000000-0005-0000-0000-0000C0120000}"/>
    <cellStyle name="Calculation 7 6 2 3" xfId="10775" xr:uid="{00000000-0005-0000-0000-0000C1120000}"/>
    <cellStyle name="Calculation 7 6 2 3 2" xfId="10777" xr:uid="{00000000-0005-0000-0000-0000C2120000}"/>
    <cellStyle name="Calculation 7 6 2 3 3" xfId="8364" xr:uid="{00000000-0005-0000-0000-0000C3120000}"/>
    <cellStyle name="Calculation 7 6 2 3 4" xfId="8468" xr:uid="{00000000-0005-0000-0000-0000C4120000}"/>
    <cellStyle name="Calculation 7 6 2 4" xfId="10796" xr:uid="{00000000-0005-0000-0000-0000C5120000}"/>
    <cellStyle name="Calculation 7 6 2 5" xfId="10801" xr:uid="{00000000-0005-0000-0000-0000C6120000}"/>
    <cellStyle name="Calculation 7 6 2 6" xfId="10810" xr:uid="{00000000-0005-0000-0000-0000C7120000}"/>
    <cellStyle name="Calculation 7 6 3" xfId="11811" xr:uid="{00000000-0005-0000-0000-0000C8120000}"/>
    <cellStyle name="Calculation 7 6 3 2" xfId="2501" xr:uid="{00000000-0005-0000-0000-0000C9120000}"/>
    <cellStyle name="Calculation 7 6 3 2 2" xfId="9137" xr:uid="{00000000-0005-0000-0000-0000CA120000}"/>
    <cellStyle name="Calculation 7 6 3 2 3" xfId="11812" xr:uid="{00000000-0005-0000-0000-0000CB120000}"/>
    <cellStyle name="Calculation 7 6 3 2 4" xfId="11813" xr:uid="{00000000-0005-0000-0000-0000CC120000}"/>
    <cellStyle name="Calculation 7 6 3 3" xfId="2511" xr:uid="{00000000-0005-0000-0000-0000CD120000}"/>
    <cellStyle name="Calculation 7 6 3 4" xfId="10275" xr:uid="{00000000-0005-0000-0000-0000CE120000}"/>
    <cellStyle name="Calculation 7 6 3 5" xfId="10830" xr:uid="{00000000-0005-0000-0000-0000CF120000}"/>
    <cellStyle name="Calculation 7 6 4" xfId="11815" xr:uid="{00000000-0005-0000-0000-0000D0120000}"/>
    <cellStyle name="Calculation 7 6 4 2" xfId="2548" xr:uid="{00000000-0005-0000-0000-0000D1120000}"/>
    <cellStyle name="Calculation 7 6 4 3" xfId="6292" xr:uid="{00000000-0005-0000-0000-0000D2120000}"/>
    <cellStyle name="Calculation 7 6 4 4" xfId="10849" xr:uid="{00000000-0005-0000-0000-0000D3120000}"/>
    <cellStyle name="Calculation 7 6 5" xfId="11817" xr:uid="{00000000-0005-0000-0000-0000D4120000}"/>
    <cellStyle name="Calculation 7 6 6" xfId="11819" xr:uid="{00000000-0005-0000-0000-0000D5120000}"/>
    <cellStyle name="Calculation 7 6 7" xfId="11820" xr:uid="{00000000-0005-0000-0000-0000D6120000}"/>
    <cellStyle name="Calculation 7 7" xfId="648" xr:uid="{00000000-0005-0000-0000-0000D7120000}"/>
    <cellStyle name="Calculation 7 7 2" xfId="713" xr:uid="{00000000-0005-0000-0000-0000D8120000}"/>
    <cellStyle name="Calculation 7 7 2 2" xfId="2479" xr:uid="{00000000-0005-0000-0000-0000D9120000}"/>
    <cellStyle name="Calculation 7 7 2 2 2" xfId="11821" xr:uid="{00000000-0005-0000-0000-0000DA120000}"/>
    <cellStyle name="Calculation 7 7 2 2 3" xfId="11822" xr:uid="{00000000-0005-0000-0000-0000DB120000}"/>
    <cellStyle name="Calculation 7 7 2 2 4" xfId="11824" xr:uid="{00000000-0005-0000-0000-0000DC120000}"/>
    <cellStyle name="Calculation 7 7 2 3" xfId="2487" xr:uid="{00000000-0005-0000-0000-0000DD120000}"/>
    <cellStyle name="Calculation 7 7 2 4" xfId="2495" xr:uid="{00000000-0005-0000-0000-0000DE120000}"/>
    <cellStyle name="Calculation 7 7 2 5" xfId="10867" xr:uid="{00000000-0005-0000-0000-0000DF120000}"/>
    <cellStyle name="Calculation 7 7 3" xfId="259" xr:uid="{00000000-0005-0000-0000-0000E0120000}"/>
    <cellStyle name="Calculation 7 7 3 2" xfId="10279" xr:uid="{00000000-0005-0000-0000-0000E1120000}"/>
    <cellStyle name="Calculation 7 7 3 3" xfId="10281" xr:uid="{00000000-0005-0000-0000-0000E2120000}"/>
    <cellStyle name="Calculation 7 7 3 4" xfId="10875" xr:uid="{00000000-0005-0000-0000-0000E3120000}"/>
    <cellStyle name="Calculation 7 7 4" xfId="2506" xr:uid="{00000000-0005-0000-0000-0000E4120000}"/>
    <cellStyle name="Calculation 7 7 5" xfId="2521" xr:uid="{00000000-0005-0000-0000-0000E5120000}"/>
    <cellStyle name="Calculation 7 7 6" xfId="3081" xr:uid="{00000000-0005-0000-0000-0000E6120000}"/>
    <cellStyle name="Calculation 7 8" xfId="657" xr:uid="{00000000-0005-0000-0000-0000E7120000}"/>
    <cellStyle name="Calculation 7 8 2" xfId="752" xr:uid="{00000000-0005-0000-0000-0000E8120000}"/>
    <cellStyle name="Calculation 7 8 2 2" xfId="11826" xr:uid="{00000000-0005-0000-0000-0000E9120000}"/>
    <cellStyle name="Calculation 7 8 2 3" xfId="10891" xr:uid="{00000000-0005-0000-0000-0000EA120000}"/>
    <cellStyle name="Calculation 7 8 2 4" xfId="10894" xr:uid="{00000000-0005-0000-0000-0000EB120000}"/>
    <cellStyle name="Calculation 7 8 3" xfId="2542" xr:uid="{00000000-0005-0000-0000-0000EC120000}"/>
    <cellStyle name="Calculation 7 8 4" xfId="2555" xr:uid="{00000000-0005-0000-0000-0000ED120000}"/>
    <cellStyle name="Calculation 7 8 5" xfId="11827" xr:uid="{00000000-0005-0000-0000-0000EE120000}"/>
    <cellStyle name="Calculation 7 9" xfId="625" xr:uid="{00000000-0005-0000-0000-0000EF120000}"/>
    <cellStyle name="Calculation 7 9 2" xfId="11830" xr:uid="{00000000-0005-0000-0000-0000F0120000}"/>
    <cellStyle name="Calculation 7 9 3" xfId="11832" xr:uid="{00000000-0005-0000-0000-0000F1120000}"/>
    <cellStyle name="Calculation 7 9 4" xfId="11833" xr:uid="{00000000-0005-0000-0000-0000F2120000}"/>
    <cellStyle name="Calculation 8" xfId="11834" xr:uid="{00000000-0005-0000-0000-0000F3120000}"/>
    <cellStyle name="Calculation 8 10" xfId="9001" xr:uid="{00000000-0005-0000-0000-0000F4120000}"/>
    <cellStyle name="Calculation 8 11" xfId="2336" xr:uid="{00000000-0005-0000-0000-0000F5120000}"/>
    <cellStyle name="Calculation 8 12" xfId="3044" xr:uid="{00000000-0005-0000-0000-0000F6120000}"/>
    <cellStyle name="Calculation 8 2" xfId="11838" xr:uid="{00000000-0005-0000-0000-0000F7120000}"/>
    <cellStyle name="Calculation 8 2 2" xfId="11842" xr:uid="{00000000-0005-0000-0000-0000F8120000}"/>
    <cellStyle name="Calculation 8 2 2 2" xfId="11843" xr:uid="{00000000-0005-0000-0000-0000F9120000}"/>
    <cellStyle name="Calculation 8 2 2 2 2" xfId="11848" xr:uid="{00000000-0005-0000-0000-0000FA120000}"/>
    <cellStyle name="Calculation 8 2 2 2 2 2" xfId="4268" xr:uid="{00000000-0005-0000-0000-0000FB120000}"/>
    <cellStyle name="Calculation 8 2 2 2 2 2 2" xfId="11852" xr:uid="{00000000-0005-0000-0000-0000FC120000}"/>
    <cellStyle name="Calculation 8 2 2 2 2 2 2 2" xfId="11856" xr:uid="{00000000-0005-0000-0000-0000FD120000}"/>
    <cellStyle name="Calculation 8 2 2 2 2 2 2 3" xfId="11860" xr:uid="{00000000-0005-0000-0000-0000FE120000}"/>
    <cellStyle name="Calculation 8 2 2 2 2 2 2 4" xfId="11866" xr:uid="{00000000-0005-0000-0000-0000FF120000}"/>
    <cellStyle name="Calculation 8 2 2 2 2 2 3" xfId="11870" xr:uid="{00000000-0005-0000-0000-000000130000}"/>
    <cellStyle name="Calculation 8 2 2 2 2 2 4" xfId="11874" xr:uid="{00000000-0005-0000-0000-000001130000}"/>
    <cellStyle name="Calculation 8 2 2 2 2 2 5" xfId="11884" xr:uid="{00000000-0005-0000-0000-000002130000}"/>
    <cellStyle name="Calculation 8 2 2 2 2 3" xfId="9619" xr:uid="{00000000-0005-0000-0000-000003130000}"/>
    <cellStyle name="Calculation 8 2 2 2 2 3 2" xfId="11893" xr:uid="{00000000-0005-0000-0000-000004130000}"/>
    <cellStyle name="Calculation 8 2 2 2 2 3 3" xfId="11896" xr:uid="{00000000-0005-0000-0000-000005130000}"/>
    <cellStyle name="Calculation 8 2 2 2 2 3 4" xfId="11899" xr:uid="{00000000-0005-0000-0000-000006130000}"/>
    <cellStyle name="Calculation 8 2 2 2 2 4" xfId="7769" xr:uid="{00000000-0005-0000-0000-000007130000}"/>
    <cellStyle name="Calculation 8 2 2 2 2 5" xfId="11906" xr:uid="{00000000-0005-0000-0000-000008130000}"/>
    <cellStyle name="Calculation 8 2 2 2 2 6" xfId="11912" xr:uid="{00000000-0005-0000-0000-000009130000}"/>
    <cellStyle name="Calculation 8 2 2 2 3" xfId="11916" xr:uid="{00000000-0005-0000-0000-00000A130000}"/>
    <cellStyle name="Calculation 8 2 2 2 3 2" xfId="1699" xr:uid="{00000000-0005-0000-0000-00000B130000}"/>
    <cellStyle name="Calculation 8 2 2 2 3 2 2" xfId="11920" xr:uid="{00000000-0005-0000-0000-00000C130000}"/>
    <cellStyle name="Calculation 8 2 2 2 3 2 3" xfId="11924" xr:uid="{00000000-0005-0000-0000-00000D130000}"/>
    <cellStyle name="Calculation 8 2 2 2 3 2 4" xfId="11927" xr:uid="{00000000-0005-0000-0000-00000E130000}"/>
    <cellStyle name="Calculation 8 2 2 2 3 3" xfId="9994" xr:uid="{00000000-0005-0000-0000-00000F130000}"/>
    <cellStyle name="Calculation 8 2 2 2 3 4" xfId="10001" xr:uid="{00000000-0005-0000-0000-000010130000}"/>
    <cellStyle name="Calculation 8 2 2 2 3 5" xfId="11935" xr:uid="{00000000-0005-0000-0000-000011130000}"/>
    <cellStyle name="Calculation 8 2 2 2 4" xfId="4504" xr:uid="{00000000-0005-0000-0000-000012130000}"/>
    <cellStyle name="Calculation 8 2 2 2 4 2" xfId="4521" xr:uid="{00000000-0005-0000-0000-000013130000}"/>
    <cellStyle name="Calculation 8 2 2 2 4 3" xfId="4589" xr:uid="{00000000-0005-0000-0000-000014130000}"/>
    <cellStyle name="Calculation 8 2 2 2 4 4" xfId="4612" xr:uid="{00000000-0005-0000-0000-000015130000}"/>
    <cellStyle name="Calculation 8 2 2 2 5" xfId="4655" xr:uid="{00000000-0005-0000-0000-000016130000}"/>
    <cellStyle name="Calculation 8 2 2 2 6" xfId="4715" xr:uid="{00000000-0005-0000-0000-000017130000}"/>
    <cellStyle name="Calculation 8 2 2 2 7" xfId="1895" xr:uid="{00000000-0005-0000-0000-000018130000}"/>
    <cellStyle name="Calculation 8 2 2 3" xfId="11938" xr:uid="{00000000-0005-0000-0000-000019130000}"/>
    <cellStyle name="Calculation 8 2 2 3 2" xfId="11943" xr:uid="{00000000-0005-0000-0000-00001A130000}"/>
    <cellStyle name="Calculation 8 2 2 3 2 2" xfId="10503" xr:uid="{00000000-0005-0000-0000-00001B130000}"/>
    <cellStyle name="Calculation 8 2 2 3 2 2 2" xfId="11947" xr:uid="{00000000-0005-0000-0000-00001C130000}"/>
    <cellStyle name="Calculation 8 2 2 3 2 2 3" xfId="7223" xr:uid="{00000000-0005-0000-0000-00001D130000}"/>
    <cellStyle name="Calculation 8 2 2 3 2 2 4" xfId="7229" xr:uid="{00000000-0005-0000-0000-00001E130000}"/>
    <cellStyle name="Calculation 8 2 2 3 2 3" xfId="10508" xr:uid="{00000000-0005-0000-0000-00001F130000}"/>
    <cellStyle name="Calculation 8 2 2 3 2 4" xfId="11952" xr:uid="{00000000-0005-0000-0000-000020130000}"/>
    <cellStyle name="Calculation 8 2 2 3 2 5" xfId="11957" xr:uid="{00000000-0005-0000-0000-000021130000}"/>
    <cellStyle name="Calculation 8 2 2 3 3" xfId="11962" xr:uid="{00000000-0005-0000-0000-000022130000}"/>
    <cellStyle name="Calculation 8 2 2 3 3 2" xfId="10088" xr:uid="{00000000-0005-0000-0000-000023130000}"/>
    <cellStyle name="Calculation 8 2 2 3 3 3" xfId="10097" xr:uid="{00000000-0005-0000-0000-000024130000}"/>
    <cellStyle name="Calculation 8 2 2 3 3 4" xfId="11970" xr:uid="{00000000-0005-0000-0000-000025130000}"/>
    <cellStyle name="Calculation 8 2 2 3 4" xfId="3390" xr:uid="{00000000-0005-0000-0000-000026130000}"/>
    <cellStyle name="Calculation 8 2 2 3 5" xfId="3404" xr:uid="{00000000-0005-0000-0000-000027130000}"/>
    <cellStyle name="Calculation 8 2 2 3 6" xfId="4774" xr:uid="{00000000-0005-0000-0000-000028130000}"/>
    <cellStyle name="Calculation 8 2 2 4" xfId="11974" xr:uid="{00000000-0005-0000-0000-000029130000}"/>
    <cellStyle name="Calculation 8 2 2 4 2" xfId="894" xr:uid="{00000000-0005-0000-0000-00002A130000}"/>
    <cellStyle name="Calculation 8 2 2 4 2 2" xfId="10537" xr:uid="{00000000-0005-0000-0000-00002B130000}"/>
    <cellStyle name="Calculation 8 2 2 4 2 3" xfId="11977" xr:uid="{00000000-0005-0000-0000-00002C130000}"/>
    <cellStyle name="Calculation 8 2 2 4 2 4" xfId="11980" xr:uid="{00000000-0005-0000-0000-00002D130000}"/>
    <cellStyle name="Calculation 8 2 2 4 3" xfId="907" xr:uid="{00000000-0005-0000-0000-00002E130000}"/>
    <cellStyle name="Calculation 8 2 2 4 4" xfId="4225" xr:uid="{00000000-0005-0000-0000-00002F130000}"/>
    <cellStyle name="Calculation 8 2 2 4 5" xfId="4279" xr:uid="{00000000-0005-0000-0000-000030130000}"/>
    <cellStyle name="Calculation 8 2 2 5" xfId="11984" xr:uid="{00000000-0005-0000-0000-000031130000}"/>
    <cellStyle name="Calculation 8 2 2 5 2" xfId="9154" xr:uid="{00000000-0005-0000-0000-000032130000}"/>
    <cellStyle name="Calculation 8 2 2 5 3" xfId="11990" xr:uid="{00000000-0005-0000-0000-000033130000}"/>
    <cellStyle name="Calculation 8 2 2 5 4" xfId="4365" xr:uid="{00000000-0005-0000-0000-000034130000}"/>
    <cellStyle name="Calculation 8 2 2 6" xfId="11996" xr:uid="{00000000-0005-0000-0000-000035130000}"/>
    <cellStyle name="Calculation 8 2 2 7" xfId="11999" xr:uid="{00000000-0005-0000-0000-000036130000}"/>
    <cellStyle name="Calculation 8 2 2 8" xfId="12002" xr:uid="{00000000-0005-0000-0000-000037130000}"/>
    <cellStyle name="Calculation 8 2 3" xfId="12003" xr:uid="{00000000-0005-0000-0000-000038130000}"/>
    <cellStyle name="Calculation 8 2 3 2" xfId="12007" xr:uid="{00000000-0005-0000-0000-000039130000}"/>
    <cellStyle name="Calculation 8 2 3 2 2" xfId="12012" xr:uid="{00000000-0005-0000-0000-00003A130000}"/>
    <cellStyle name="Calculation 8 2 3 2 2 2" xfId="10667" xr:uid="{00000000-0005-0000-0000-00003B130000}"/>
    <cellStyle name="Calculation 8 2 3 2 2 2 2" xfId="10674" xr:uid="{00000000-0005-0000-0000-00003C130000}"/>
    <cellStyle name="Calculation 8 2 3 2 2 2 3" xfId="10681" xr:uid="{00000000-0005-0000-0000-00003D130000}"/>
    <cellStyle name="Calculation 8 2 3 2 2 2 4" xfId="10686" xr:uid="{00000000-0005-0000-0000-00003E130000}"/>
    <cellStyle name="Calculation 8 2 3 2 2 3" xfId="10698" xr:uid="{00000000-0005-0000-0000-00003F130000}"/>
    <cellStyle name="Calculation 8 2 3 2 2 4" xfId="10705" xr:uid="{00000000-0005-0000-0000-000040130000}"/>
    <cellStyle name="Calculation 8 2 3 2 2 5" xfId="10711" xr:uid="{00000000-0005-0000-0000-000041130000}"/>
    <cellStyle name="Calculation 8 2 3 2 3" xfId="12017" xr:uid="{00000000-0005-0000-0000-000042130000}"/>
    <cellStyle name="Calculation 8 2 3 2 3 2" xfId="10269" xr:uid="{00000000-0005-0000-0000-000043130000}"/>
    <cellStyle name="Calculation 8 2 3 2 3 3" xfId="10746" xr:uid="{00000000-0005-0000-0000-000044130000}"/>
    <cellStyle name="Calculation 8 2 3 2 3 4" xfId="10754" xr:uid="{00000000-0005-0000-0000-000045130000}"/>
    <cellStyle name="Calculation 8 2 3 2 4" xfId="4799" xr:uid="{00000000-0005-0000-0000-000046130000}"/>
    <cellStyle name="Calculation 8 2 3 2 5" xfId="4874" xr:uid="{00000000-0005-0000-0000-000047130000}"/>
    <cellStyle name="Calculation 8 2 3 2 6" xfId="4910" xr:uid="{00000000-0005-0000-0000-000048130000}"/>
    <cellStyle name="Calculation 8 2 3 3" xfId="12022" xr:uid="{00000000-0005-0000-0000-000049130000}"/>
    <cellStyle name="Calculation 8 2 3 3 2" xfId="12026" xr:uid="{00000000-0005-0000-0000-00004A130000}"/>
    <cellStyle name="Calculation 8 2 3 3 2 2" xfId="10807" xr:uid="{00000000-0005-0000-0000-00004B130000}"/>
    <cellStyle name="Calculation 8 2 3 3 2 3" xfId="10816" xr:uid="{00000000-0005-0000-0000-00004C130000}"/>
    <cellStyle name="Calculation 8 2 3 3 2 4" xfId="10823" xr:uid="{00000000-0005-0000-0000-00004D130000}"/>
    <cellStyle name="Calculation 8 2 3 3 3" xfId="12030" xr:uid="{00000000-0005-0000-0000-00004E130000}"/>
    <cellStyle name="Calculation 8 2 3 3 4" xfId="4944" xr:uid="{00000000-0005-0000-0000-00004F130000}"/>
    <cellStyle name="Calculation 8 2 3 3 5" xfId="4973" xr:uid="{00000000-0005-0000-0000-000050130000}"/>
    <cellStyle name="Calculation 8 2 3 4" xfId="12035" xr:uid="{00000000-0005-0000-0000-000051130000}"/>
    <cellStyle name="Calculation 8 2 3 4 2" xfId="147" xr:uid="{00000000-0005-0000-0000-000052130000}"/>
    <cellStyle name="Calculation 8 2 3 4 3" xfId="237" xr:uid="{00000000-0005-0000-0000-000053130000}"/>
    <cellStyle name="Calculation 8 2 3 4 4" xfId="3859" xr:uid="{00000000-0005-0000-0000-000054130000}"/>
    <cellStyle name="Calculation 8 2 3 5" xfId="12040" xr:uid="{00000000-0005-0000-0000-000055130000}"/>
    <cellStyle name="Calculation 8 2 3 6" xfId="2133" xr:uid="{00000000-0005-0000-0000-000056130000}"/>
    <cellStyle name="Calculation 8 2 3 7" xfId="2160" xr:uid="{00000000-0005-0000-0000-000057130000}"/>
    <cellStyle name="Calculation 8 2 4" xfId="12041" xr:uid="{00000000-0005-0000-0000-000058130000}"/>
    <cellStyle name="Calculation 8 2 4 2" xfId="12044" xr:uid="{00000000-0005-0000-0000-000059130000}"/>
    <cellStyle name="Calculation 8 2 4 2 2" xfId="5904" xr:uid="{00000000-0005-0000-0000-00005A130000}"/>
    <cellStyle name="Calculation 8 2 4 2 2 2" xfId="9694" xr:uid="{00000000-0005-0000-0000-00005B130000}"/>
    <cellStyle name="Calculation 8 2 4 2 2 3" xfId="9703" xr:uid="{00000000-0005-0000-0000-00005C130000}"/>
    <cellStyle name="Calculation 8 2 4 2 2 4" xfId="11024" xr:uid="{00000000-0005-0000-0000-00005D130000}"/>
    <cellStyle name="Calculation 8 2 4 2 3" xfId="5909" xr:uid="{00000000-0005-0000-0000-00005E130000}"/>
    <cellStyle name="Calculation 8 2 4 2 4" xfId="5015" xr:uid="{00000000-0005-0000-0000-00005F130000}"/>
    <cellStyle name="Calculation 8 2 4 2 5" xfId="5024" xr:uid="{00000000-0005-0000-0000-000060130000}"/>
    <cellStyle name="Calculation 8 2 4 3" xfId="12045" xr:uid="{00000000-0005-0000-0000-000061130000}"/>
    <cellStyle name="Calculation 8 2 4 3 2" xfId="5945" xr:uid="{00000000-0005-0000-0000-000062130000}"/>
    <cellStyle name="Calculation 8 2 4 3 3" xfId="7468" xr:uid="{00000000-0005-0000-0000-000063130000}"/>
    <cellStyle name="Calculation 8 2 4 3 4" xfId="5038" xr:uid="{00000000-0005-0000-0000-000064130000}"/>
    <cellStyle name="Calculation 8 2 4 4" xfId="12049" xr:uid="{00000000-0005-0000-0000-000065130000}"/>
    <cellStyle name="Calculation 8 2 4 5" xfId="12054" xr:uid="{00000000-0005-0000-0000-000066130000}"/>
    <cellStyle name="Calculation 8 2 4 6" xfId="389" xr:uid="{00000000-0005-0000-0000-000067130000}"/>
    <cellStyle name="Calculation 8 2 5" xfId="12056" xr:uid="{00000000-0005-0000-0000-000068130000}"/>
    <cellStyle name="Calculation 8 2 5 2" xfId="12057" xr:uid="{00000000-0005-0000-0000-000069130000}"/>
    <cellStyle name="Calculation 8 2 5 2 2" xfId="6071" xr:uid="{00000000-0005-0000-0000-00006A130000}"/>
    <cellStyle name="Calculation 8 2 5 2 3" xfId="7501" xr:uid="{00000000-0005-0000-0000-00006B130000}"/>
    <cellStyle name="Calculation 8 2 5 2 4" xfId="1422" xr:uid="{00000000-0005-0000-0000-00006C130000}"/>
    <cellStyle name="Calculation 8 2 5 3" xfId="2414" xr:uid="{00000000-0005-0000-0000-00006D130000}"/>
    <cellStyle name="Calculation 8 2 5 4" xfId="155" xr:uid="{00000000-0005-0000-0000-00006E130000}"/>
    <cellStyle name="Calculation 8 2 5 5" xfId="12060" xr:uid="{00000000-0005-0000-0000-00006F130000}"/>
    <cellStyle name="Calculation 8 2 6" xfId="4789" xr:uid="{00000000-0005-0000-0000-000070130000}"/>
    <cellStyle name="Calculation 8 2 6 2" xfId="6929" xr:uid="{00000000-0005-0000-0000-000071130000}"/>
    <cellStyle name="Calculation 8 2 6 3" xfId="8573" xr:uid="{00000000-0005-0000-0000-000072130000}"/>
    <cellStyle name="Calculation 8 2 6 4" xfId="8577" xr:uid="{00000000-0005-0000-0000-000073130000}"/>
    <cellStyle name="Calculation 8 2 7" xfId="8584" xr:uid="{00000000-0005-0000-0000-000074130000}"/>
    <cellStyle name="Calculation 8 2 8" xfId="8590" xr:uid="{00000000-0005-0000-0000-000075130000}"/>
    <cellStyle name="Calculation 8 2 9" xfId="8595" xr:uid="{00000000-0005-0000-0000-000076130000}"/>
    <cellStyle name="Calculation 8 3" xfId="12066" xr:uid="{00000000-0005-0000-0000-000077130000}"/>
    <cellStyle name="Calculation 8 3 2" xfId="12072" xr:uid="{00000000-0005-0000-0000-000078130000}"/>
    <cellStyle name="Calculation 8 3 2 2" xfId="12076" xr:uid="{00000000-0005-0000-0000-000079130000}"/>
    <cellStyle name="Calculation 8 3 2 2 2" xfId="12081" xr:uid="{00000000-0005-0000-0000-00007A130000}"/>
    <cellStyle name="Calculation 8 3 2 2 2 2" xfId="12085" xr:uid="{00000000-0005-0000-0000-00007B130000}"/>
    <cellStyle name="Calculation 8 3 2 2 2 2 2" xfId="10429" xr:uid="{00000000-0005-0000-0000-00007C130000}"/>
    <cellStyle name="Calculation 8 3 2 2 2 2 2 2" xfId="12088" xr:uid="{00000000-0005-0000-0000-00007D130000}"/>
    <cellStyle name="Calculation 8 3 2 2 2 2 2 3" xfId="12091" xr:uid="{00000000-0005-0000-0000-00007E130000}"/>
    <cellStyle name="Calculation 8 3 2 2 2 2 2 4" xfId="12095" xr:uid="{00000000-0005-0000-0000-00007F130000}"/>
    <cellStyle name="Calculation 8 3 2 2 2 2 3" xfId="12099" xr:uid="{00000000-0005-0000-0000-000080130000}"/>
    <cellStyle name="Calculation 8 3 2 2 2 2 4" xfId="12102" xr:uid="{00000000-0005-0000-0000-000081130000}"/>
    <cellStyle name="Calculation 8 3 2 2 2 2 5" xfId="12109" xr:uid="{00000000-0005-0000-0000-000082130000}"/>
    <cellStyle name="Calculation 8 3 2 2 2 3" xfId="12118" xr:uid="{00000000-0005-0000-0000-000083130000}"/>
    <cellStyle name="Calculation 8 3 2 2 2 3 2" xfId="12121" xr:uid="{00000000-0005-0000-0000-000084130000}"/>
    <cellStyle name="Calculation 8 3 2 2 2 3 3" xfId="12124" xr:uid="{00000000-0005-0000-0000-000085130000}"/>
    <cellStyle name="Calculation 8 3 2 2 2 3 4" xfId="12126" xr:uid="{00000000-0005-0000-0000-000086130000}"/>
    <cellStyle name="Calculation 8 3 2 2 2 4" xfId="12134" xr:uid="{00000000-0005-0000-0000-000087130000}"/>
    <cellStyle name="Calculation 8 3 2 2 2 5" xfId="12138" xr:uid="{00000000-0005-0000-0000-000088130000}"/>
    <cellStyle name="Calculation 8 3 2 2 2 6" xfId="11215" xr:uid="{00000000-0005-0000-0000-000089130000}"/>
    <cellStyle name="Calculation 8 3 2 2 3" xfId="12143" xr:uid="{00000000-0005-0000-0000-00008A130000}"/>
    <cellStyle name="Calculation 8 3 2 2 3 2" xfId="11073" xr:uid="{00000000-0005-0000-0000-00008B130000}"/>
    <cellStyle name="Calculation 8 3 2 2 3 2 2" xfId="12148" xr:uid="{00000000-0005-0000-0000-00008C130000}"/>
    <cellStyle name="Calculation 8 3 2 2 3 2 3" xfId="12152" xr:uid="{00000000-0005-0000-0000-00008D130000}"/>
    <cellStyle name="Calculation 8 3 2 2 3 2 4" xfId="12154" xr:uid="{00000000-0005-0000-0000-00008E130000}"/>
    <cellStyle name="Calculation 8 3 2 2 3 3" xfId="11084" xr:uid="{00000000-0005-0000-0000-00008F130000}"/>
    <cellStyle name="Calculation 8 3 2 2 3 4" xfId="11093" xr:uid="{00000000-0005-0000-0000-000090130000}"/>
    <cellStyle name="Calculation 8 3 2 2 3 5" xfId="12162" xr:uid="{00000000-0005-0000-0000-000091130000}"/>
    <cellStyle name="Calculation 8 3 2 2 4" xfId="6706" xr:uid="{00000000-0005-0000-0000-000092130000}"/>
    <cellStyle name="Calculation 8 3 2 2 4 2" xfId="6712" xr:uid="{00000000-0005-0000-0000-000093130000}"/>
    <cellStyle name="Calculation 8 3 2 2 4 3" xfId="6773" xr:uid="{00000000-0005-0000-0000-000094130000}"/>
    <cellStyle name="Calculation 8 3 2 2 4 4" xfId="6816" xr:uid="{00000000-0005-0000-0000-000095130000}"/>
    <cellStyle name="Calculation 8 3 2 2 5" xfId="5758" xr:uid="{00000000-0005-0000-0000-000096130000}"/>
    <cellStyle name="Calculation 8 3 2 2 6" xfId="5862" xr:uid="{00000000-0005-0000-0000-000097130000}"/>
    <cellStyle name="Calculation 8 3 2 2 7" xfId="5922" xr:uid="{00000000-0005-0000-0000-000098130000}"/>
    <cellStyle name="Calculation 8 3 2 3" xfId="12168" xr:uid="{00000000-0005-0000-0000-000099130000}"/>
    <cellStyle name="Calculation 8 3 2 3 2" xfId="12174" xr:uid="{00000000-0005-0000-0000-00009A130000}"/>
    <cellStyle name="Calculation 8 3 2 3 2 2" xfId="12180" xr:uid="{00000000-0005-0000-0000-00009B130000}"/>
    <cellStyle name="Calculation 8 3 2 3 2 2 2" xfId="11878" xr:uid="{00000000-0005-0000-0000-00009C130000}"/>
    <cellStyle name="Calculation 8 3 2 3 2 2 3" xfId="11888" xr:uid="{00000000-0005-0000-0000-00009D130000}"/>
    <cellStyle name="Calculation 8 3 2 3 2 2 4" xfId="12184" xr:uid="{00000000-0005-0000-0000-00009E130000}"/>
    <cellStyle name="Calculation 8 3 2 3 2 3" xfId="12195" xr:uid="{00000000-0005-0000-0000-00009F130000}"/>
    <cellStyle name="Calculation 8 3 2 3 2 4" xfId="12202" xr:uid="{00000000-0005-0000-0000-0000A0130000}"/>
    <cellStyle name="Calculation 8 3 2 3 2 5" xfId="12209" xr:uid="{00000000-0005-0000-0000-0000A1130000}"/>
    <cellStyle name="Calculation 8 3 2 3 3" xfId="7336" xr:uid="{00000000-0005-0000-0000-0000A2130000}"/>
    <cellStyle name="Calculation 8 3 2 3 3 2" xfId="2058" xr:uid="{00000000-0005-0000-0000-0000A3130000}"/>
    <cellStyle name="Calculation 8 3 2 3 3 3" xfId="11260" xr:uid="{00000000-0005-0000-0000-0000A4130000}"/>
    <cellStyle name="Calculation 8 3 2 3 3 4" xfId="12220" xr:uid="{00000000-0005-0000-0000-0000A5130000}"/>
    <cellStyle name="Calculation 8 3 2 3 4" xfId="6839" xr:uid="{00000000-0005-0000-0000-0000A6130000}"/>
    <cellStyle name="Calculation 8 3 2 3 5" xfId="5958" xr:uid="{00000000-0005-0000-0000-0000A7130000}"/>
    <cellStyle name="Calculation 8 3 2 3 6" xfId="6029" xr:uid="{00000000-0005-0000-0000-0000A8130000}"/>
    <cellStyle name="Calculation 8 3 2 4" xfId="12226" xr:uid="{00000000-0005-0000-0000-0000A9130000}"/>
    <cellStyle name="Calculation 8 3 2 4 2" xfId="12231" xr:uid="{00000000-0005-0000-0000-0000AA130000}"/>
    <cellStyle name="Calculation 8 3 2 4 2 2" xfId="12238" xr:uid="{00000000-0005-0000-0000-0000AB130000}"/>
    <cellStyle name="Calculation 8 3 2 4 2 3" xfId="12242" xr:uid="{00000000-0005-0000-0000-0000AC130000}"/>
    <cellStyle name="Calculation 8 3 2 4 2 4" xfId="12250" xr:uid="{00000000-0005-0000-0000-0000AD130000}"/>
    <cellStyle name="Calculation 8 3 2 4 3" xfId="12260" xr:uid="{00000000-0005-0000-0000-0000AE130000}"/>
    <cellStyle name="Calculation 8 3 2 4 4" xfId="3849" xr:uid="{00000000-0005-0000-0000-0000AF130000}"/>
    <cellStyle name="Calculation 8 3 2 4 5" xfId="1501" xr:uid="{00000000-0005-0000-0000-0000B0130000}"/>
    <cellStyle name="Calculation 8 3 2 5" xfId="12267" xr:uid="{00000000-0005-0000-0000-0000B1130000}"/>
    <cellStyle name="Calculation 8 3 2 5 2" xfId="9406" xr:uid="{00000000-0005-0000-0000-0000B2130000}"/>
    <cellStyle name="Calculation 8 3 2 5 3" xfId="12275" xr:uid="{00000000-0005-0000-0000-0000B3130000}"/>
    <cellStyle name="Calculation 8 3 2 5 4" xfId="6531" xr:uid="{00000000-0005-0000-0000-0000B4130000}"/>
    <cellStyle name="Calculation 8 3 2 6" xfId="12280" xr:uid="{00000000-0005-0000-0000-0000B5130000}"/>
    <cellStyle name="Calculation 8 3 2 7" xfId="12285" xr:uid="{00000000-0005-0000-0000-0000B6130000}"/>
    <cellStyle name="Calculation 8 3 2 8" xfId="12287" xr:uid="{00000000-0005-0000-0000-0000B7130000}"/>
    <cellStyle name="Calculation 8 3 3" xfId="12291" xr:uid="{00000000-0005-0000-0000-0000B8130000}"/>
    <cellStyle name="Calculation 8 3 3 2" xfId="12296" xr:uid="{00000000-0005-0000-0000-0000B9130000}"/>
    <cellStyle name="Calculation 8 3 3 2 2" xfId="12301" xr:uid="{00000000-0005-0000-0000-0000BA130000}"/>
    <cellStyle name="Calculation 8 3 3 2 2 2" xfId="11393" xr:uid="{00000000-0005-0000-0000-0000BB130000}"/>
    <cellStyle name="Calculation 8 3 3 2 2 2 2" xfId="7050" xr:uid="{00000000-0005-0000-0000-0000BC130000}"/>
    <cellStyle name="Calculation 8 3 3 2 2 2 3" xfId="7058" xr:uid="{00000000-0005-0000-0000-0000BD130000}"/>
    <cellStyle name="Calculation 8 3 3 2 2 2 4" xfId="7063" xr:uid="{00000000-0005-0000-0000-0000BE130000}"/>
    <cellStyle name="Calculation 8 3 3 2 2 3" xfId="11397" xr:uid="{00000000-0005-0000-0000-0000BF130000}"/>
    <cellStyle name="Calculation 8 3 3 2 2 4" xfId="11401" xr:uid="{00000000-0005-0000-0000-0000C0130000}"/>
    <cellStyle name="Calculation 8 3 3 2 2 5" xfId="12305" xr:uid="{00000000-0005-0000-0000-0000C1130000}"/>
    <cellStyle name="Calculation 8 3 3 2 3" xfId="12309" xr:uid="{00000000-0005-0000-0000-0000C2130000}"/>
    <cellStyle name="Calculation 8 3 3 2 3 2" xfId="11416" xr:uid="{00000000-0005-0000-0000-0000C3130000}"/>
    <cellStyle name="Calculation 8 3 3 2 3 3" xfId="11424" xr:uid="{00000000-0005-0000-0000-0000C4130000}"/>
    <cellStyle name="Calculation 8 3 3 2 3 4" xfId="12313" xr:uid="{00000000-0005-0000-0000-0000C5130000}"/>
    <cellStyle name="Calculation 8 3 3 2 4" xfId="6914" xr:uid="{00000000-0005-0000-0000-0000C6130000}"/>
    <cellStyle name="Calculation 8 3 3 2 5" xfId="6224" xr:uid="{00000000-0005-0000-0000-0000C7130000}"/>
    <cellStyle name="Calculation 8 3 3 2 6" xfId="6284" xr:uid="{00000000-0005-0000-0000-0000C8130000}"/>
    <cellStyle name="Calculation 8 3 3 3" xfId="12315" xr:uid="{00000000-0005-0000-0000-0000C9130000}"/>
    <cellStyle name="Calculation 8 3 3 3 2" xfId="12321" xr:uid="{00000000-0005-0000-0000-0000CA130000}"/>
    <cellStyle name="Calculation 8 3 3 3 2 2" xfId="11458" xr:uid="{00000000-0005-0000-0000-0000CB130000}"/>
    <cellStyle name="Calculation 8 3 3 3 2 3" xfId="11466" xr:uid="{00000000-0005-0000-0000-0000CC130000}"/>
    <cellStyle name="Calculation 8 3 3 3 2 4" xfId="12327" xr:uid="{00000000-0005-0000-0000-0000CD130000}"/>
    <cellStyle name="Calculation 8 3 3 3 3" xfId="12332" xr:uid="{00000000-0005-0000-0000-0000CE130000}"/>
    <cellStyle name="Calculation 8 3 3 3 4" xfId="6939" xr:uid="{00000000-0005-0000-0000-0000CF130000}"/>
    <cellStyle name="Calculation 8 3 3 3 5" xfId="6336" xr:uid="{00000000-0005-0000-0000-0000D0130000}"/>
    <cellStyle name="Calculation 8 3 3 4" xfId="12335" xr:uid="{00000000-0005-0000-0000-0000D1130000}"/>
    <cellStyle name="Calculation 8 3 3 4 2" xfId="12342" xr:uid="{00000000-0005-0000-0000-0000D2130000}"/>
    <cellStyle name="Calculation 8 3 3 4 3" xfId="12347" xr:uid="{00000000-0005-0000-0000-0000D3130000}"/>
    <cellStyle name="Calculation 8 3 3 4 4" xfId="4249" xr:uid="{00000000-0005-0000-0000-0000D4130000}"/>
    <cellStyle name="Calculation 8 3 3 5" xfId="12350" xr:uid="{00000000-0005-0000-0000-0000D5130000}"/>
    <cellStyle name="Calculation 8 3 3 6" xfId="12355" xr:uid="{00000000-0005-0000-0000-0000D6130000}"/>
    <cellStyle name="Calculation 8 3 3 7" xfId="12357" xr:uid="{00000000-0005-0000-0000-0000D7130000}"/>
    <cellStyle name="Calculation 8 3 4" xfId="12361" xr:uid="{00000000-0005-0000-0000-0000D8130000}"/>
    <cellStyle name="Calculation 8 3 4 2" xfId="12364" xr:uid="{00000000-0005-0000-0000-0000D9130000}"/>
    <cellStyle name="Calculation 8 3 4 2 2" xfId="6304" xr:uid="{00000000-0005-0000-0000-0000DA130000}"/>
    <cellStyle name="Calculation 8 3 4 2 2 2" xfId="8067" xr:uid="{00000000-0005-0000-0000-0000DB130000}"/>
    <cellStyle name="Calculation 8 3 4 2 2 3" xfId="8099" xr:uid="{00000000-0005-0000-0000-0000DC130000}"/>
    <cellStyle name="Calculation 8 3 4 2 2 4" xfId="8114" xr:uid="{00000000-0005-0000-0000-0000DD130000}"/>
    <cellStyle name="Calculation 8 3 4 2 3" xfId="7522" xr:uid="{00000000-0005-0000-0000-0000DE130000}"/>
    <cellStyle name="Calculation 8 3 4 2 4" xfId="6959" xr:uid="{00000000-0005-0000-0000-0000DF130000}"/>
    <cellStyle name="Calculation 8 3 4 2 5" xfId="6396" xr:uid="{00000000-0005-0000-0000-0000E0130000}"/>
    <cellStyle name="Calculation 8 3 4 3" xfId="12370" xr:uid="{00000000-0005-0000-0000-0000E1130000}"/>
    <cellStyle name="Calculation 8 3 4 3 2" xfId="12383" xr:uid="{00000000-0005-0000-0000-0000E2130000}"/>
    <cellStyle name="Calculation 8 3 4 3 3" xfId="12391" xr:uid="{00000000-0005-0000-0000-0000E3130000}"/>
    <cellStyle name="Calculation 8 3 4 3 4" xfId="7003" xr:uid="{00000000-0005-0000-0000-0000E4130000}"/>
    <cellStyle name="Calculation 8 3 4 4" xfId="12394" xr:uid="{00000000-0005-0000-0000-0000E5130000}"/>
    <cellStyle name="Calculation 8 3 4 5" xfId="12401" xr:uid="{00000000-0005-0000-0000-0000E6130000}"/>
    <cellStyle name="Calculation 8 3 4 6" xfId="12404" xr:uid="{00000000-0005-0000-0000-0000E7130000}"/>
    <cellStyle name="Calculation 8 3 5" xfId="12406" xr:uid="{00000000-0005-0000-0000-0000E8130000}"/>
    <cellStyle name="Calculation 8 3 5 2" xfId="12411" xr:uid="{00000000-0005-0000-0000-0000E9130000}"/>
    <cellStyle name="Calculation 8 3 5 2 2" xfId="12417" xr:uid="{00000000-0005-0000-0000-0000EA130000}"/>
    <cellStyle name="Calculation 8 3 5 2 3" xfId="12422" xr:uid="{00000000-0005-0000-0000-0000EB130000}"/>
    <cellStyle name="Calculation 8 3 5 2 4" xfId="7024" xr:uid="{00000000-0005-0000-0000-0000EC130000}"/>
    <cellStyle name="Calculation 8 3 5 3" xfId="12426" xr:uid="{00000000-0005-0000-0000-0000ED130000}"/>
    <cellStyle name="Calculation 8 3 5 4" xfId="12431" xr:uid="{00000000-0005-0000-0000-0000EE130000}"/>
    <cellStyle name="Calculation 8 3 5 5" xfId="12433" xr:uid="{00000000-0005-0000-0000-0000EF130000}"/>
    <cellStyle name="Calculation 8 3 6" xfId="8607" xr:uid="{00000000-0005-0000-0000-0000F0130000}"/>
    <cellStyle name="Calculation 8 3 6 2" xfId="8613" xr:uid="{00000000-0005-0000-0000-0000F1130000}"/>
    <cellStyle name="Calculation 8 3 6 3" xfId="8616" xr:uid="{00000000-0005-0000-0000-0000F2130000}"/>
    <cellStyle name="Calculation 8 3 6 4" xfId="8620" xr:uid="{00000000-0005-0000-0000-0000F3130000}"/>
    <cellStyle name="Calculation 8 3 7" xfId="8624" xr:uid="{00000000-0005-0000-0000-0000F4130000}"/>
    <cellStyle name="Calculation 8 3 8" xfId="8629" xr:uid="{00000000-0005-0000-0000-0000F5130000}"/>
    <cellStyle name="Calculation 8 3 9" xfId="8635" xr:uid="{00000000-0005-0000-0000-0000F6130000}"/>
    <cellStyle name="Calculation 8 4" xfId="12438" xr:uid="{00000000-0005-0000-0000-0000F7130000}"/>
    <cellStyle name="Calculation 8 4 2" xfId="12441" xr:uid="{00000000-0005-0000-0000-0000F8130000}"/>
    <cellStyle name="Calculation 8 4 2 2" xfId="12443" xr:uid="{00000000-0005-0000-0000-0000F9130000}"/>
    <cellStyle name="Calculation 8 4 2 2 2" xfId="12450" xr:uid="{00000000-0005-0000-0000-0000FA130000}"/>
    <cellStyle name="Calculation 8 4 2 2 2 2" xfId="12455" xr:uid="{00000000-0005-0000-0000-0000FB130000}"/>
    <cellStyle name="Calculation 8 4 2 2 2 2 2" xfId="12459" xr:uid="{00000000-0005-0000-0000-0000FC130000}"/>
    <cellStyle name="Calculation 8 4 2 2 2 2 3" xfId="12465" xr:uid="{00000000-0005-0000-0000-0000FD130000}"/>
    <cellStyle name="Calculation 8 4 2 2 2 2 4" xfId="10943" xr:uid="{00000000-0005-0000-0000-0000FE130000}"/>
    <cellStyle name="Calculation 8 4 2 2 2 3" xfId="12471" xr:uid="{00000000-0005-0000-0000-0000FF130000}"/>
    <cellStyle name="Calculation 8 4 2 2 2 4" xfId="12477" xr:uid="{00000000-0005-0000-0000-000000140000}"/>
    <cellStyle name="Calculation 8 4 2 2 2 5" xfId="12481" xr:uid="{00000000-0005-0000-0000-000001140000}"/>
    <cellStyle name="Calculation 8 4 2 2 3" xfId="12486" xr:uid="{00000000-0005-0000-0000-000002140000}"/>
    <cellStyle name="Calculation 8 4 2 2 3 2" xfId="4903" xr:uid="{00000000-0005-0000-0000-000003140000}"/>
    <cellStyle name="Calculation 8 4 2 2 3 3" xfId="4923" xr:uid="{00000000-0005-0000-0000-000004140000}"/>
    <cellStyle name="Calculation 8 4 2 2 3 4" xfId="4934" xr:uid="{00000000-0005-0000-0000-000005140000}"/>
    <cellStyle name="Calculation 8 4 2 2 4" xfId="7759" xr:uid="{00000000-0005-0000-0000-000006140000}"/>
    <cellStyle name="Calculation 8 4 2 2 5" xfId="7875" xr:uid="{00000000-0005-0000-0000-000007140000}"/>
    <cellStyle name="Calculation 8 4 2 2 6" xfId="7925" xr:uid="{00000000-0005-0000-0000-000008140000}"/>
    <cellStyle name="Calculation 8 4 2 3" xfId="12490" xr:uid="{00000000-0005-0000-0000-000009140000}"/>
    <cellStyle name="Calculation 8 4 2 3 2" xfId="12496" xr:uid="{00000000-0005-0000-0000-00000A140000}"/>
    <cellStyle name="Calculation 8 4 2 3 2 2" xfId="8907" xr:uid="{00000000-0005-0000-0000-00000B140000}"/>
    <cellStyle name="Calculation 8 4 2 3 2 3" xfId="10174" xr:uid="{00000000-0005-0000-0000-00000C140000}"/>
    <cellStyle name="Calculation 8 4 2 3 2 4" xfId="12504" xr:uid="{00000000-0005-0000-0000-00000D140000}"/>
    <cellStyle name="Calculation 8 4 2 3 3" xfId="12510" xr:uid="{00000000-0005-0000-0000-00000E140000}"/>
    <cellStyle name="Calculation 8 4 2 3 4" xfId="8003" xr:uid="{00000000-0005-0000-0000-00000F140000}"/>
    <cellStyle name="Calculation 8 4 2 3 5" xfId="5430" xr:uid="{00000000-0005-0000-0000-000010140000}"/>
    <cellStyle name="Calculation 8 4 2 4" xfId="12515" xr:uid="{00000000-0005-0000-0000-000011140000}"/>
    <cellStyle name="Calculation 8 4 2 4 2" xfId="12520" xr:uid="{00000000-0005-0000-0000-000012140000}"/>
    <cellStyle name="Calculation 8 4 2 4 3" xfId="12526" xr:uid="{00000000-0005-0000-0000-000013140000}"/>
    <cellStyle name="Calculation 8 4 2 4 4" xfId="8046" xr:uid="{00000000-0005-0000-0000-000014140000}"/>
    <cellStyle name="Calculation 8 4 2 5" xfId="7443" xr:uid="{00000000-0005-0000-0000-000015140000}"/>
    <cellStyle name="Calculation 8 4 2 6" xfId="7449" xr:uid="{00000000-0005-0000-0000-000016140000}"/>
    <cellStyle name="Calculation 8 4 2 7" xfId="7452" xr:uid="{00000000-0005-0000-0000-000017140000}"/>
    <cellStyle name="Calculation 8 4 3" xfId="12530" xr:uid="{00000000-0005-0000-0000-000018140000}"/>
    <cellStyle name="Calculation 8 4 3 2" xfId="3688" xr:uid="{00000000-0005-0000-0000-000019140000}"/>
    <cellStyle name="Calculation 8 4 3 2 2" xfId="10310" xr:uid="{00000000-0005-0000-0000-00001A140000}"/>
    <cellStyle name="Calculation 8 4 3 2 2 2" xfId="10316" xr:uid="{00000000-0005-0000-0000-00001B140000}"/>
    <cellStyle name="Calculation 8 4 3 2 2 3" xfId="10322" xr:uid="{00000000-0005-0000-0000-00001C140000}"/>
    <cellStyle name="Calculation 8 4 3 2 2 4" xfId="10328" xr:uid="{00000000-0005-0000-0000-00001D140000}"/>
    <cellStyle name="Calculation 8 4 3 2 3" xfId="10335" xr:uid="{00000000-0005-0000-0000-00001E140000}"/>
    <cellStyle name="Calculation 8 4 3 2 4" xfId="8132" xr:uid="{00000000-0005-0000-0000-00001F140000}"/>
    <cellStyle name="Calculation 8 4 3 2 5" xfId="8154" xr:uid="{00000000-0005-0000-0000-000020140000}"/>
    <cellStyle name="Calculation 8 4 3 3" xfId="3697" xr:uid="{00000000-0005-0000-0000-000021140000}"/>
    <cellStyle name="Calculation 8 4 3 3 2" xfId="10343" xr:uid="{00000000-0005-0000-0000-000022140000}"/>
    <cellStyle name="Calculation 8 4 3 3 3" xfId="10350" xr:uid="{00000000-0005-0000-0000-000023140000}"/>
    <cellStyle name="Calculation 8 4 3 3 4" xfId="8191" xr:uid="{00000000-0005-0000-0000-000024140000}"/>
    <cellStyle name="Calculation 8 4 3 4" xfId="9310" xr:uid="{00000000-0005-0000-0000-000025140000}"/>
    <cellStyle name="Calculation 8 4 3 5" xfId="49" xr:uid="{00000000-0005-0000-0000-000026140000}"/>
    <cellStyle name="Calculation 8 4 3 6" xfId="8896" xr:uid="{00000000-0005-0000-0000-000027140000}"/>
    <cellStyle name="Calculation 8 4 4" xfId="12533" xr:uid="{00000000-0005-0000-0000-000028140000}"/>
    <cellStyle name="Calculation 8 4 4 2" xfId="10372" xr:uid="{00000000-0005-0000-0000-000029140000}"/>
    <cellStyle name="Calculation 8 4 4 2 2" xfId="10378" xr:uid="{00000000-0005-0000-0000-00002A140000}"/>
    <cellStyle name="Calculation 8 4 4 2 3" xfId="10384" xr:uid="{00000000-0005-0000-0000-00002B140000}"/>
    <cellStyle name="Calculation 8 4 4 2 4" xfId="8245" xr:uid="{00000000-0005-0000-0000-00002C140000}"/>
    <cellStyle name="Calculation 8 4 4 3" xfId="10392" xr:uid="{00000000-0005-0000-0000-00002D140000}"/>
    <cellStyle name="Calculation 8 4 4 4" xfId="10399" xr:uid="{00000000-0005-0000-0000-00002E140000}"/>
    <cellStyle name="Calculation 8 4 4 5" xfId="10402" xr:uid="{00000000-0005-0000-0000-00002F140000}"/>
    <cellStyle name="Calculation 8 4 5" xfId="12536" xr:uid="{00000000-0005-0000-0000-000030140000}"/>
    <cellStyle name="Calculation 8 4 5 2" xfId="10412" xr:uid="{00000000-0005-0000-0000-000031140000}"/>
    <cellStyle name="Calculation 8 4 5 3" xfId="10417" xr:uid="{00000000-0005-0000-0000-000032140000}"/>
    <cellStyle name="Calculation 8 4 5 4" xfId="10420" xr:uid="{00000000-0005-0000-0000-000033140000}"/>
    <cellStyle name="Calculation 8 4 6" xfId="8643" xr:uid="{00000000-0005-0000-0000-000034140000}"/>
    <cellStyle name="Calculation 8 4 7" xfId="8648" xr:uid="{00000000-0005-0000-0000-000035140000}"/>
    <cellStyle name="Calculation 8 4 8" xfId="8651" xr:uid="{00000000-0005-0000-0000-000036140000}"/>
    <cellStyle name="Calculation 8 5" xfId="12542" xr:uid="{00000000-0005-0000-0000-000037140000}"/>
    <cellStyle name="Calculation 8 5 2" xfId="12545" xr:uid="{00000000-0005-0000-0000-000038140000}"/>
    <cellStyle name="Calculation 8 5 2 2" xfId="2106" xr:uid="{00000000-0005-0000-0000-000039140000}"/>
    <cellStyle name="Calculation 8 5 2 2 2" xfId="9652" xr:uid="{00000000-0005-0000-0000-00003A140000}"/>
    <cellStyle name="Calculation 8 5 2 2 2 2" xfId="9658" xr:uid="{00000000-0005-0000-0000-00003B140000}"/>
    <cellStyle name="Calculation 8 5 2 2 2 3" xfId="9664" xr:uid="{00000000-0005-0000-0000-00003C140000}"/>
    <cellStyle name="Calculation 8 5 2 2 2 4" xfId="9670" xr:uid="{00000000-0005-0000-0000-00003D140000}"/>
    <cellStyle name="Calculation 8 5 2 2 3" xfId="9677" xr:uid="{00000000-0005-0000-0000-00003E140000}"/>
    <cellStyle name="Calculation 8 5 2 2 4" xfId="9191" xr:uid="{00000000-0005-0000-0000-00003F140000}"/>
    <cellStyle name="Calculation 8 5 2 2 5" xfId="9255" xr:uid="{00000000-0005-0000-0000-000040140000}"/>
    <cellStyle name="Calculation 8 5 2 3" xfId="2113" xr:uid="{00000000-0005-0000-0000-000041140000}"/>
    <cellStyle name="Calculation 8 5 2 3 2" xfId="9685" xr:uid="{00000000-0005-0000-0000-000042140000}"/>
    <cellStyle name="Calculation 8 5 2 3 3" xfId="2764" xr:uid="{00000000-0005-0000-0000-000043140000}"/>
    <cellStyle name="Calculation 8 5 2 3 4" xfId="2780" xr:uid="{00000000-0005-0000-0000-000044140000}"/>
    <cellStyle name="Calculation 8 5 2 4" xfId="3178" xr:uid="{00000000-0005-0000-0000-000045140000}"/>
    <cellStyle name="Calculation 8 5 2 5" xfId="9688" xr:uid="{00000000-0005-0000-0000-000046140000}"/>
    <cellStyle name="Calculation 8 5 2 6" xfId="9697" xr:uid="{00000000-0005-0000-0000-000047140000}"/>
    <cellStyle name="Calculation 8 5 3" xfId="12548" xr:uid="{00000000-0005-0000-0000-000048140000}"/>
    <cellStyle name="Calculation 8 5 3 2" xfId="2242" xr:uid="{00000000-0005-0000-0000-000049140000}"/>
    <cellStyle name="Calculation 8 5 3 2 2" xfId="398" xr:uid="{00000000-0005-0000-0000-00004A140000}"/>
    <cellStyle name="Calculation 8 5 3 2 3" xfId="425" xr:uid="{00000000-0005-0000-0000-00004B140000}"/>
    <cellStyle name="Calculation 8 5 3 2 4" xfId="455" xr:uid="{00000000-0005-0000-0000-00004C140000}"/>
    <cellStyle name="Calculation 8 5 3 3" xfId="1930" xr:uid="{00000000-0005-0000-0000-00004D140000}"/>
    <cellStyle name="Calculation 8 5 3 4" xfId="9711" xr:uid="{00000000-0005-0000-0000-00004E140000}"/>
    <cellStyle name="Calculation 8 5 3 5" xfId="9715" xr:uid="{00000000-0005-0000-0000-00004F140000}"/>
    <cellStyle name="Calculation 8 5 4" xfId="12551" xr:uid="{00000000-0005-0000-0000-000050140000}"/>
    <cellStyle name="Calculation 8 5 4 2" xfId="6345" xr:uid="{00000000-0005-0000-0000-000051140000}"/>
    <cellStyle name="Calculation 8 5 4 3" xfId="409" xr:uid="{00000000-0005-0000-0000-000052140000}"/>
    <cellStyle name="Calculation 8 5 4 4" xfId="9732" xr:uid="{00000000-0005-0000-0000-000053140000}"/>
    <cellStyle name="Calculation 8 5 5" xfId="12554" xr:uid="{00000000-0005-0000-0000-000054140000}"/>
    <cellStyle name="Calculation 8 5 6" xfId="12557" xr:uid="{00000000-0005-0000-0000-000055140000}"/>
    <cellStyle name="Calculation 8 5 7" xfId="12559" xr:uid="{00000000-0005-0000-0000-000056140000}"/>
    <cellStyle name="Calculation 8 6" xfId="12563" xr:uid="{00000000-0005-0000-0000-000057140000}"/>
    <cellStyle name="Calculation 8 6 2" xfId="12566" xr:uid="{00000000-0005-0000-0000-000058140000}"/>
    <cellStyle name="Calculation 8 6 2 2" xfId="3220" xr:uid="{00000000-0005-0000-0000-000059140000}"/>
    <cellStyle name="Calculation 8 6 2 2 2" xfId="9765" xr:uid="{00000000-0005-0000-0000-00005A140000}"/>
    <cellStyle name="Calculation 8 6 2 2 3" xfId="9774" xr:uid="{00000000-0005-0000-0000-00005B140000}"/>
    <cellStyle name="Calculation 8 6 2 2 4" xfId="3679" xr:uid="{00000000-0005-0000-0000-00005C140000}"/>
    <cellStyle name="Calculation 8 6 2 3" xfId="3227" xr:uid="{00000000-0005-0000-0000-00005D140000}"/>
    <cellStyle name="Calculation 8 6 2 4" xfId="9781" xr:uid="{00000000-0005-0000-0000-00005E140000}"/>
    <cellStyle name="Calculation 8 6 2 5" xfId="9786" xr:uid="{00000000-0005-0000-0000-00005F140000}"/>
    <cellStyle name="Calculation 8 6 3" xfId="12570" xr:uid="{00000000-0005-0000-0000-000060140000}"/>
    <cellStyle name="Calculation 8 6 3 2" xfId="9805" xr:uid="{00000000-0005-0000-0000-000061140000}"/>
    <cellStyle name="Calculation 8 6 3 3" xfId="9811" xr:uid="{00000000-0005-0000-0000-000062140000}"/>
    <cellStyle name="Calculation 8 6 3 4" xfId="9820" xr:uid="{00000000-0005-0000-0000-000063140000}"/>
    <cellStyle name="Calculation 8 6 4" xfId="12574" xr:uid="{00000000-0005-0000-0000-000064140000}"/>
    <cellStyle name="Calculation 8 6 5" xfId="12579" xr:uid="{00000000-0005-0000-0000-000065140000}"/>
    <cellStyle name="Calculation 8 6 6" xfId="12584" xr:uid="{00000000-0005-0000-0000-000066140000}"/>
    <cellStyle name="Calculation 8 7" xfId="2561" xr:uid="{00000000-0005-0000-0000-000067140000}"/>
    <cellStyle name="Calculation 8 7 2" xfId="2568" xr:uid="{00000000-0005-0000-0000-000068140000}"/>
    <cellStyle name="Calculation 8 7 2 2" xfId="9116" xr:uid="{00000000-0005-0000-0000-000069140000}"/>
    <cellStyle name="Calculation 8 7 2 3" xfId="9122" xr:uid="{00000000-0005-0000-0000-00006A140000}"/>
    <cellStyle name="Calculation 8 7 2 4" xfId="9126" xr:uid="{00000000-0005-0000-0000-00006B140000}"/>
    <cellStyle name="Calculation 8 7 3" xfId="2580" xr:uid="{00000000-0005-0000-0000-00006C140000}"/>
    <cellStyle name="Calculation 8 7 4" xfId="2589" xr:uid="{00000000-0005-0000-0000-00006D140000}"/>
    <cellStyle name="Calculation 8 7 5" xfId="12587" xr:uid="{00000000-0005-0000-0000-00006E140000}"/>
    <cellStyle name="Calculation 8 8" xfId="2594" xr:uid="{00000000-0005-0000-0000-00006F140000}"/>
    <cellStyle name="Calculation 8 8 2" xfId="12592" xr:uid="{00000000-0005-0000-0000-000070140000}"/>
    <cellStyle name="Calculation 8 8 3" xfId="12600" xr:uid="{00000000-0005-0000-0000-000071140000}"/>
    <cellStyle name="Calculation 8 8 4" xfId="12605" xr:uid="{00000000-0005-0000-0000-000072140000}"/>
    <cellStyle name="Calculation 8 9" xfId="2600" xr:uid="{00000000-0005-0000-0000-000073140000}"/>
    <cellStyle name="Calculation 9" xfId="12607" xr:uid="{00000000-0005-0000-0000-000074140000}"/>
    <cellStyle name="Calculation 9 2" xfId="12608" xr:uid="{00000000-0005-0000-0000-000075140000}"/>
    <cellStyle name="Calculation 9 2 2" xfId="12609" xr:uid="{00000000-0005-0000-0000-000076140000}"/>
    <cellStyle name="Calculation 9 2 2 2" xfId="4976" xr:uid="{00000000-0005-0000-0000-000077140000}"/>
    <cellStyle name="Calculation 9 2 2 2 2" xfId="12610" xr:uid="{00000000-0005-0000-0000-000078140000}"/>
    <cellStyle name="Calculation 9 2 2 2 2 2" xfId="4187" xr:uid="{00000000-0005-0000-0000-000079140000}"/>
    <cellStyle name="Calculation 9 2 2 2 2 2 2" xfId="12611" xr:uid="{00000000-0005-0000-0000-00007A140000}"/>
    <cellStyle name="Calculation 9 2 2 2 2 2 3" xfId="12612" xr:uid="{00000000-0005-0000-0000-00007B140000}"/>
    <cellStyle name="Calculation 9 2 2 2 2 2 4" xfId="12615" xr:uid="{00000000-0005-0000-0000-00007C140000}"/>
    <cellStyle name="Calculation 9 2 2 2 2 3" xfId="12618" xr:uid="{00000000-0005-0000-0000-00007D140000}"/>
    <cellStyle name="Calculation 9 2 2 2 2 4" xfId="12620" xr:uid="{00000000-0005-0000-0000-00007E140000}"/>
    <cellStyle name="Calculation 9 2 2 2 2 5" xfId="12622" xr:uid="{00000000-0005-0000-0000-00007F140000}"/>
    <cellStyle name="Calculation 9 2 2 2 3" xfId="12623" xr:uid="{00000000-0005-0000-0000-000080140000}"/>
    <cellStyle name="Calculation 9 2 2 2 3 2" xfId="12626" xr:uid="{00000000-0005-0000-0000-000081140000}"/>
    <cellStyle name="Calculation 9 2 2 2 3 3" xfId="12628" xr:uid="{00000000-0005-0000-0000-000082140000}"/>
    <cellStyle name="Calculation 9 2 2 2 3 4" xfId="12630" xr:uid="{00000000-0005-0000-0000-000083140000}"/>
    <cellStyle name="Calculation 9 2 2 2 4" xfId="12633" xr:uid="{00000000-0005-0000-0000-000084140000}"/>
    <cellStyle name="Calculation 9 2 2 2 5" xfId="12636" xr:uid="{00000000-0005-0000-0000-000085140000}"/>
    <cellStyle name="Calculation 9 2 2 2 6" xfId="2029" xr:uid="{00000000-0005-0000-0000-000086140000}"/>
    <cellStyle name="Calculation 9 2 2 3" xfId="12638" xr:uid="{00000000-0005-0000-0000-000087140000}"/>
    <cellStyle name="Calculation 9 2 2 3 2" xfId="12642" xr:uid="{00000000-0005-0000-0000-000088140000}"/>
    <cellStyle name="Calculation 9 2 2 3 2 2" xfId="12648" xr:uid="{00000000-0005-0000-0000-000089140000}"/>
    <cellStyle name="Calculation 9 2 2 3 2 3" xfId="12649" xr:uid="{00000000-0005-0000-0000-00008A140000}"/>
    <cellStyle name="Calculation 9 2 2 3 2 4" xfId="12650" xr:uid="{00000000-0005-0000-0000-00008B140000}"/>
    <cellStyle name="Calculation 9 2 2 3 3" xfId="12651" xr:uid="{00000000-0005-0000-0000-00008C140000}"/>
    <cellStyle name="Calculation 9 2 2 3 4" xfId="12657" xr:uid="{00000000-0005-0000-0000-00008D140000}"/>
    <cellStyle name="Calculation 9 2 2 3 5" xfId="12663" xr:uid="{00000000-0005-0000-0000-00008E140000}"/>
    <cellStyle name="Calculation 9 2 2 4" xfId="12671" xr:uid="{00000000-0005-0000-0000-00008F140000}"/>
    <cellStyle name="Calculation 9 2 2 4 2" xfId="10795" xr:uid="{00000000-0005-0000-0000-000090140000}"/>
    <cellStyle name="Calculation 9 2 2 4 3" xfId="10800" xr:uid="{00000000-0005-0000-0000-000091140000}"/>
    <cellStyle name="Calculation 9 2 2 4 4" xfId="10809" xr:uid="{00000000-0005-0000-0000-000092140000}"/>
    <cellStyle name="Calculation 9 2 2 5" xfId="12675" xr:uid="{00000000-0005-0000-0000-000093140000}"/>
    <cellStyle name="Calculation 9 2 2 6" xfId="12677" xr:uid="{00000000-0005-0000-0000-000094140000}"/>
    <cellStyle name="Calculation 9 2 2 7" xfId="12679" xr:uid="{00000000-0005-0000-0000-000095140000}"/>
    <cellStyle name="Calculation 9 2 3" xfId="12680" xr:uid="{00000000-0005-0000-0000-000096140000}"/>
    <cellStyle name="Calculation 9 2 3 2" xfId="7753" xr:uid="{00000000-0005-0000-0000-000097140000}"/>
    <cellStyle name="Calculation 9 2 3 2 2" xfId="12681" xr:uid="{00000000-0005-0000-0000-000098140000}"/>
    <cellStyle name="Calculation 9 2 3 2 2 2" xfId="7764" xr:uid="{00000000-0005-0000-0000-000099140000}"/>
    <cellStyle name="Calculation 9 2 3 2 2 3" xfId="11902" xr:uid="{00000000-0005-0000-0000-00009A140000}"/>
    <cellStyle name="Calculation 9 2 3 2 2 4" xfId="11908" xr:uid="{00000000-0005-0000-0000-00009B140000}"/>
    <cellStyle name="Calculation 9 2 3 2 3" xfId="1018" xr:uid="{00000000-0005-0000-0000-00009C140000}"/>
    <cellStyle name="Calculation 9 2 3 2 4" xfId="12684" xr:uid="{00000000-0005-0000-0000-00009D140000}"/>
    <cellStyle name="Calculation 9 2 3 2 5" xfId="12687" xr:uid="{00000000-0005-0000-0000-00009E140000}"/>
    <cellStyle name="Calculation 9 2 3 3" xfId="12690" xr:uid="{00000000-0005-0000-0000-00009F140000}"/>
    <cellStyle name="Calculation 9 2 3 3 2" xfId="12691" xr:uid="{00000000-0005-0000-0000-0000A0140000}"/>
    <cellStyle name="Calculation 9 2 3 3 3" xfId="1020" xr:uid="{00000000-0005-0000-0000-0000A1140000}"/>
    <cellStyle name="Calculation 9 2 3 3 4" xfId="12692" xr:uid="{00000000-0005-0000-0000-0000A2140000}"/>
    <cellStyle name="Calculation 9 2 3 4" xfId="12698" xr:uid="{00000000-0005-0000-0000-0000A3140000}"/>
    <cellStyle name="Calculation 9 2 3 5" xfId="12699" xr:uid="{00000000-0005-0000-0000-0000A4140000}"/>
    <cellStyle name="Calculation 9 2 3 6" xfId="12700" xr:uid="{00000000-0005-0000-0000-0000A5140000}"/>
    <cellStyle name="Calculation 9 2 4" xfId="12702" xr:uid="{00000000-0005-0000-0000-0000A6140000}"/>
    <cellStyle name="Calculation 9 2 4 2" xfId="7805" xr:uid="{00000000-0005-0000-0000-0000A7140000}"/>
    <cellStyle name="Calculation 9 2 4 2 2" xfId="12704" xr:uid="{00000000-0005-0000-0000-0000A8140000}"/>
    <cellStyle name="Calculation 9 2 4 2 3" xfId="12706" xr:uid="{00000000-0005-0000-0000-0000A9140000}"/>
    <cellStyle name="Calculation 9 2 4 2 4" xfId="12710" xr:uid="{00000000-0005-0000-0000-0000AA140000}"/>
    <cellStyle name="Calculation 9 2 4 3" xfId="12712" xr:uid="{00000000-0005-0000-0000-0000AB140000}"/>
    <cellStyle name="Calculation 9 2 4 4" xfId="12715" xr:uid="{00000000-0005-0000-0000-0000AC140000}"/>
    <cellStyle name="Calculation 9 2 4 5" xfId="12718" xr:uid="{00000000-0005-0000-0000-0000AD140000}"/>
    <cellStyle name="Calculation 9 2 5" xfId="12720" xr:uid="{00000000-0005-0000-0000-0000AE140000}"/>
    <cellStyle name="Calculation 9 2 5 2" xfId="12725" xr:uid="{00000000-0005-0000-0000-0000AF140000}"/>
    <cellStyle name="Calculation 9 2 5 3" xfId="12732" xr:uid="{00000000-0005-0000-0000-0000B0140000}"/>
    <cellStyle name="Calculation 9 2 5 4" xfId="12734" xr:uid="{00000000-0005-0000-0000-0000B1140000}"/>
    <cellStyle name="Calculation 9 2 6" xfId="7864" xr:uid="{00000000-0005-0000-0000-0000B2140000}"/>
    <cellStyle name="Calculation 9 2 7" xfId="7124" xr:uid="{00000000-0005-0000-0000-0000B3140000}"/>
    <cellStyle name="Calculation 9 2 8" xfId="7125" xr:uid="{00000000-0005-0000-0000-0000B4140000}"/>
    <cellStyle name="Calculation 9 3" xfId="12739" xr:uid="{00000000-0005-0000-0000-0000B5140000}"/>
    <cellStyle name="Calculation 9 3 2" xfId="3929" xr:uid="{00000000-0005-0000-0000-0000B6140000}"/>
    <cellStyle name="Calculation 9 3 2 2" xfId="8972" xr:uid="{00000000-0005-0000-0000-0000B7140000}"/>
    <cellStyle name="Calculation 9 3 2 2 2" xfId="12743" xr:uid="{00000000-0005-0000-0000-0000B8140000}"/>
    <cellStyle name="Calculation 9 3 2 2 2 2" xfId="12747" xr:uid="{00000000-0005-0000-0000-0000B9140000}"/>
    <cellStyle name="Calculation 9 3 2 2 2 3" xfId="12752" xr:uid="{00000000-0005-0000-0000-0000BA140000}"/>
    <cellStyle name="Calculation 9 3 2 2 2 4" xfId="3328" xr:uid="{00000000-0005-0000-0000-0000BB140000}"/>
    <cellStyle name="Calculation 9 3 2 2 3" xfId="12755" xr:uid="{00000000-0005-0000-0000-0000BC140000}"/>
    <cellStyle name="Calculation 9 3 2 2 4" xfId="12761" xr:uid="{00000000-0005-0000-0000-0000BD140000}"/>
    <cellStyle name="Calculation 9 3 2 2 5" xfId="12768" xr:uid="{00000000-0005-0000-0000-0000BE140000}"/>
    <cellStyle name="Calculation 9 3 2 3" xfId="12775" xr:uid="{00000000-0005-0000-0000-0000BF140000}"/>
    <cellStyle name="Calculation 9 3 2 3 2" xfId="12781" xr:uid="{00000000-0005-0000-0000-0000C0140000}"/>
    <cellStyle name="Calculation 9 3 2 3 3" xfId="12783" xr:uid="{00000000-0005-0000-0000-0000C1140000}"/>
    <cellStyle name="Calculation 9 3 2 3 4" xfId="12790" xr:uid="{00000000-0005-0000-0000-0000C2140000}"/>
    <cellStyle name="Calculation 9 3 2 4" xfId="12798" xr:uid="{00000000-0005-0000-0000-0000C3140000}"/>
    <cellStyle name="Calculation 9 3 2 5" xfId="12800" xr:uid="{00000000-0005-0000-0000-0000C4140000}"/>
    <cellStyle name="Calculation 9 3 2 6" xfId="12802" xr:uid="{00000000-0005-0000-0000-0000C5140000}"/>
    <cellStyle name="Calculation 9 3 3" xfId="12808" xr:uid="{00000000-0005-0000-0000-0000C6140000}"/>
    <cellStyle name="Calculation 9 3 3 2" xfId="3758" xr:uid="{00000000-0005-0000-0000-0000C7140000}"/>
    <cellStyle name="Calculation 9 3 3 2 2" xfId="12812" xr:uid="{00000000-0005-0000-0000-0000C8140000}"/>
    <cellStyle name="Calculation 9 3 3 2 3" xfId="1127" xr:uid="{00000000-0005-0000-0000-0000C9140000}"/>
    <cellStyle name="Calculation 9 3 3 2 4" xfId="11767" xr:uid="{00000000-0005-0000-0000-0000CA140000}"/>
    <cellStyle name="Calculation 9 3 3 3" xfId="12815" xr:uid="{00000000-0005-0000-0000-0000CB140000}"/>
    <cellStyle name="Calculation 9 3 3 4" xfId="5968" xr:uid="{00000000-0005-0000-0000-0000CC140000}"/>
    <cellStyle name="Calculation 9 3 3 5" xfId="5974" xr:uid="{00000000-0005-0000-0000-0000CD140000}"/>
    <cellStyle name="Calculation 9 3 4" xfId="12824" xr:uid="{00000000-0005-0000-0000-0000CE140000}"/>
    <cellStyle name="Calculation 9 3 4 2" xfId="7883" xr:uid="{00000000-0005-0000-0000-0000CF140000}"/>
    <cellStyle name="Calculation 9 3 4 3" xfId="12828" xr:uid="{00000000-0005-0000-0000-0000D0140000}"/>
    <cellStyle name="Calculation 9 3 4 4" xfId="12831" xr:uid="{00000000-0005-0000-0000-0000D1140000}"/>
    <cellStyle name="Calculation 9 3 5" xfId="12834" xr:uid="{00000000-0005-0000-0000-0000D2140000}"/>
    <cellStyle name="Calculation 9 3 6" xfId="7908" xr:uid="{00000000-0005-0000-0000-0000D3140000}"/>
    <cellStyle name="Calculation 9 3 7" xfId="7919" xr:uid="{00000000-0005-0000-0000-0000D4140000}"/>
    <cellStyle name="Calculation 9 4" xfId="12840" xr:uid="{00000000-0005-0000-0000-0000D5140000}"/>
    <cellStyle name="Calculation 9 4 2" xfId="12842" xr:uid="{00000000-0005-0000-0000-0000D6140000}"/>
    <cellStyle name="Calculation 9 4 2 2" xfId="10186" xr:uid="{00000000-0005-0000-0000-0000D7140000}"/>
    <cellStyle name="Calculation 9 4 2 2 2" xfId="12844" xr:uid="{00000000-0005-0000-0000-0000D8140000}"/>
    <cellStyle name="Calculation 9 4 2 2 3" xfId="12848" xr:uid="{00000000-0005-0000-0000-0000D9140000}"/>
    <cellStyle name="Calculation 9 4 2 2 4" xfId="12855" xr:uid="{00000000-0005-0000-0000-0000DA140000}"/>
    <cellStyle name="Calculation 9 4 2 3" xfId="12857" xr:uid="{00000000-0005-0000-0000-0000DB140000}"/>
    <cellStyle name="Calculation 9 4 2 4" xfId="12859" xr:uid="{00000000-0005-0000-0000-0000DC140000}"/>
    <cellStyle name="Calculation 9 4 2 5" xfId="12861" xr:uid="{00000000-0005-0000-0000-0000DD140000}"/>
    <cellStyle name="Calculation 9 4 3" xfId="12864" xr:uid="{00000000-0005-0000-0000-0000DE140000}"/>
    <cellStyle name="Calculation 9 4 3 2" xfId="7931" xr:uid="{00000000-0005-0000-0000-0000DF140000}"/>
    <cellStyle name="Calculation 9 4 3 3" xfId="7939" xr:uid="{00000000-0005-0000-0000-0000E0140000}"/>
    <cellStyle name="Calculation 9 4 3 4" xfId="7945" xr:uid="{00000000-0005-0000-0000-0000E1140000}"/>
    <cellStyle name="Calculation 9 4 4" xfId="12867" xr:uid="{00000000-0005-0000-0000-0000E2140000}"/>
    <cellStyle name="Calculation 9 4 5" xfId="12870" xr:uid="{00000000-0005-0000-0000-0000E3140000}"/>
    <cellStyle name="Calculation 9 4 6" xfId="12874" xr:uid="{00000000-0005-0000-0000-0000E4140000}"/>
    <cellStyle name="Calculation 9 5" xfId="12881" xr:uid="{00000000-0005-0000-0000-0000E5140000}"/>
    <cellStyle name="Calculation 9 5 2" xfId="12883" xr:uid="{00000000-0005-0000-0000-0000E6140000}"/>
    <cellStyle name="Calculation 9 5 2 2" xfId="3292" xr:uid="{00000000-0005-0000-0000-0000E7140000}"/>
    <cellStyle name="Calculation 9 5 2 3" xfId="3299" xr:uid="{00000000-0005-0000-0000-0000E8140000}"/>
    <cellStyle name="Calculation 9 5 2 4" xfId="8460" xr:uid="{00000000-0005-0000-0000-0000E9140000}"/>
    <cellStyle name="Calculation 9 5 3" xfId="12886" xr:uid="{00000000-0005-0000-0000-0000EA140000}"/>
    <cellStyle name="Calculation 9 5 4" xfId="12889" xr:uid="{00000000-0005-0000-0000-0000EB140000}"/>
    <cellStyle name="Calculation 9 5 5" xfId="12892" xr:uid="{00000000-0005-0000-0000-0000EC140000}"/>
    <cellStyle name="Calculation 9 6" xfId="12896" xr:uid="{00000000-0005-0000-0000-0000ED140000}"/>
    <cellStyle name="Calculation 9 6 2" xfId="12898" xr:uid="{00000000-0005-0000-0000-0000EE140000}"/>
    <cellStyle name="Calculation 9 6 3" xfId="12902" xr:uid="{00000000-0005-0000-0000-0000EF140000}"/>
    <cellStyle name="Calculation 9 6 4" xfId="12906" xr:uid="{00000000-0005-0000-0000-0000F0140000}"/>
    <cellStyle name="Calculation 9 7" xfId="2620" xr:uid="{00000000-0005-0000-0000-0000F1140000}"/>
    <cellStyle name="Calculation 9 8" xfId="1336" xr:uid="{00000000-0005-0000-0000-0000F2140000}"/>
    <cellStyle name="Calculation 9 9" xfId="1386" xr:uid="{00000000-0005-0000-0000-0000F3140000}"/>
    <cellStyle name="Check Cell 2" xfId="12909" xr:uid="{00000000-0005-0000-0000-0000F4140000}"/>
    <cellStyle name="Check Cell 3" xfId="12910" xr:uid="{00000000-0005-0000-0000-0000F5140000}"/>
    <cellStyle name="Comma" xfId="6" builtinId="3"/>
    <cellStyle name="Comma 2" xfId="12912" xr:uid="{00000000-0005-0000-0000-0000F7140000}"/>
    <cellStyle name="Currency 2" xfId="12913" xr:uid="{00000000-0005-0000-0000-0000F8140000}"/>
    <cellStyle name="Currency 3" xfId="12914" xr:uid="{00000000-0005-0000-0000-0000F9140000}"/>
    <cellStyle name="Currency_18beer" xfId="12915" xr:uid="{00000000-0005-0000-0000-0000FA140000}"/>
    <cellStyle name="Explanatory Text 2" xfId="12917" xr:uid="{00000000-0005-0000-0000-0000FB140000}"/>
    <cellStyle name="Explanatory Text 3" xfId="12920" xr:uid="{00000000-0005-0000-0000-0000FC140000}"/>
    <cellStyle name="Good 2" xfId="12924" xr:uid="{00000000-0005-0000-0000-0000FD140000}"/>
    <cellStyle name="Good 3" xfId="12929" xr:uid="{00000000-0005-0000-0000-0000FE140000}"/>
    <cellStyle name="Heading 1 2" xfId="12930" xr:uid="{00000000-0005-0000-0000-0000FF140000}"/>
    <cellStyle name="Heading 1 2 2" xfId="12931" xr:uid="{00000000-0005-0000-0000-000000150000}"/>
    <cellStyle name="Heading 1 2 3" xfId="12933" xr:uid="{00000000-0005-0000-0000-000001150000}"/>
    <cellStyle name="Heading 1 2 4" xfId="11386" xr:uid="{00000000-0005-0000-0000-000002150000}"/>
    <cellStyle name="Heading 1 3" xfId="12935" xr:uid="{00000000-0005-0000-0000-000003150000}"/>
    <cellStyle name="Heading 1 3 2" xfId="12937" xr:uid="{00000000-0005-0000-0000-000004150000}"/>
    <cellStyle name="Heading 1 4" xfId="12943" xr:uid="{00000000-0005-0000-0000-000005150000}"/>
    <cellStyle name="Heading 1 4 2" xfId="5086" xr:uid="{00000000-0005-0000-0000-000006150000}"/>
    <cellStyle name="Heading 1 5" xfId="12945" xr:uid="{00000000-0005-0000-0000-000007150000}"/>
    <cellStyle name="Heading 1 5 2" xfId="8052" xr:uid="{00000000-0005-0000-0000-000008150000}"/>
    <cellStyle name="Heading 1 6" xfId="12947" xr:uid="{00000000-0005-0000-0000-000009150000}"/>
    <cellStyle name="Heading 1 6 2" xfId="5527" xr:uid="{00000000-0005-0000-0000-00000A150000}"/>
    <cellStyle name="Heading 1 7" xfId="12950" xr:uid="{00000000-0005-0000-0000-00000B150000}"/>
    <cellStyle name="Heading 1 8" xfId="12953" xr:uid="{00000000-0005-0000-0000-00000C150000}"/>
    <cellStyle name="Heading 2 2" xfId="12954" xr:uid="{00000000-0005-0000-0000-00000D150000}"/>
    <cellStyle name="Heading 2 2 2" xfId="12955" xr:uid="{00000000-0005-0000-0000-00000E150000}"/>
    <cellStyle name="Heading 2 2 3" xfId="12959" xr:uid="{00000000-0005-0000-0000-00000F150000}"/>
    <cellStyle name="Heading 2 2 4" xfId="11531" xr:uid="{00000000-0005-0000-0000-000010150000}"/>
    <cellStyle name="Heading 2 3" xfId="12963" xr:uid="{00000000-0005-0000-0000-000011150000}"/>
    <cellStyle name="Heading 2 3 2" xfId="12964" xr:uid="{00000000-0005-0000-0000-000012150000}"/>
    <cellStyle name="Heading 2 4" xfId="12969" xr:uid="{00000000-0005-0000-0000-000013150000}"/>
    <cellStyle name="Heading 2 4 2" xfId="12971" xr:uid="{00000000-0005-0000-0000-000014150000}"/>
    <cellStyle name="Heading 2 5" xfId="12974" xr:uid="{00000000-0005-0000-0000-000015150000}"/>
    <cellStyle name="Heading 2 5 2" xfId="8085" xr:uid="{00000000-0005-0000-0000-000016150000}"/>
    <cellStyle name="Heading 2 6" xfId="3508" xr:uid="{00000000-0005-0000-0000-000017150000}"/>
    <cellStyle name="Heading 2 6 2" xfId="12975" xr:uid="{00000000-0005-0000-0000-000018150000}"/>
    <cellStyle name="Heading 2 7" xfId="3515" xr:uid="{00000000-0005-0000-0000-000019150000}"/>
    <cellStyle name="Heading 2 8" xfId="3523" xr:uid="{00000000-0005-0000-0000-00001A150000}"/>
    <cellStyle name="Heading 3 2" xfId="11907" xr:uid="{00000000-0005-0000-0000-00001B150000}"/>
    <cellStyle name="Heading 3 3" xfId="12977" xr:uid="{00000000-0005-0000-0000-00001C150000}"/>
    <cellStyle name="Heading 4 2" xfId="12978" xr:uid="{00000000-0005-0000-0000-00001D150000}"/>
    <cellStyle name="Heading 4 3" xfId="12982" xr:uid="{00000000-0005-0000-0000-00001E150000}"/>
    <cellStyle name="Hyperlink" xfId="69" builtinId="8"/>
    <cellStyle name="Hyperlink 2" xfId="12986" xr:uid="{00000000-0005-0000-0000-000020150000}"/>
    <cellStyle name="Hyperlink 2 2" xfId="2628" xr:uid="{00000000-0005-0000-0000-000021150000}"/>
    <cellStyle name="Hyperlink 3" xfId="12989" xr:uid="{00000000-0005-0000-0000-000022150000}"/>
    <cellStyle name="Hyperlink 3 2" xfId="531" xr:uid="{00000000-0005-0000-0000-000023150000}"/>
    <cellStyle name="Hyperlink 3 3" xfId="589" xr:uid="{00000000-0005-0000-0000-000024150000}"/>
    <cellStyle name="Hyperlink 4" xfId="12994" xr:uid="{00000000-0005-0000-0000-000025150000}"/>
    <cellStyle name="Hyperlink 5" xfId="13000" xr:uid="{00000000-0005-0000-0000-000026150000}"/>
    <cellStyle name="Input 10" xfId="6290" xr:uid="{00000000-0005-0000-0000-000027150000}"/>
    <cellStyle name="Input 2" xfId="13003" xr:uid="{00000000-0005-0000-0000-000028150000}"/>
    <cellStyle name="Input 2 10" xfId="13007" xr:uid="{00000000-0005-0000-0000-000029150000}"/>
    <cellStyle name="Input 2 11" xfId="13014" xr:uid="{00000000-0005-0000-0000-00002A150000}"/>
    <cellStyle name="Input 2 12" xfId="13017" xr:uid="{00000000-0005-0000-0000-00002B150000}"/>
    <cellStyle name="Input 2 13" xfId="13019" xr:uid="{00000000-0005-0000-0000-00002C150000}"/>
    <cellStyle name="Input 2 2" xfId="10738" xr:uid="{00000000-0005-0000-0000-00002D150000}"/>
    <cellStyle name="Input 2 2 10" xfId="12872" xr:uid="{00000000-0005-0000-0000-00002E150000}"/>
    <cellStyle name="Input 2 2 11" xfId="12876" xr:uid="{00000000-0005-0000-0000-00002F150000}"/>
    <cellStyle name="Input 2 2 12" xfId="13021" xr:uid="{00000000-0005-0000-0000-000030150000}"/>
    <cellStyle name="Input 2 2 2" xfId="3653" xr:uid="{00000000-0005-0000-0000-000031150000}"/>
    <cellStyle name="Input 2 2 2 2" xfId="13023" xr:uid="{00000000-0005-0000-0000-000032150000}"/>
    <cellStyle name="Input 2 2 2 2 2" xfId="6355" xr:uid="{00000000-0005-0000-0000-000033150000}"/>
    <cellStyle name="Input 2 2 2 2 2 2" xfId="13024" xr:uid="{00000000-0005-0000-0000-000034150000}"/>
    <cellStyle name="Input 2 2 2 2 2 2 2" xfId="13025" xr:uid="{00000000-0005-0000-0000-000035150000}"/>
    <cellStyle name="Input 2 2 2 2 2 2 2 2" xfId="13026" xr:uid="{00000000-0005-0000-0000-000036150000}"/>
    <cellStyle name="Input 2 2 2 2 2 2 2 2 2" xfId="7164" xr:uid="{00000000-0005-0000-0000-000037150000}"/>
    <cellStyle name="Input 2 2 2 2 2 2 2 2 3" xfId="2925" xr:uid="{00000000-0005-0000-0000-000038150000}"/>
    <cellStyle name="Input 2 2 2 2 2 2 2 2 4" xfId="13027" xr:uid="{00000000-0005-0000-0000-000039150000}"/>
    <cellStyle name="Input 2 2 2 2 2 2 2 3" xfId="13028" xr:uid="{00000000-0005-0000-0000-00003A150000}"/>
    <cellStyle name="Input 2 2 2 2 2 2 2 4" xfId="13029" xr:uid="{00000000-0005-0000-0000-00003B150000}"/>
    <cellStyle name="Input 2 2 2 2 2 2 2 5" xfId="13033" xr:uid="{00000000-0005-0000-0000-00003C150000}"/>
    <cellStyle name="Input 2 2 2 2 2 2 3" xfId="13037" xr:uid="{00000000-0005-0000-0000-00003D150000}"/>
    <cellStyle name="Input 2 2 2 2 2 2 3 2" xfId="13038" xr:uid="{00000000-0005-0000-0000-00003E150000}"/>
    <cellStyle name="Input 2 2 2 2 2 2 3 3" xfId="13039" xr:uid="{00000000-0005-0000-0000-00003F150000}"/>
    <cellStyle name="Input 2 2 2 2 2 2 3 4" xfId="13040" xr:uid="{00000000-0005-0000-0000-000040150000}"/>
    <cellStyle name="Input 2 2 2 2 2 2 4" xfId="2209" xr:uid="{00000000-0005-0000-0000-000041150000}"/>
    <cellStyle name="Input 2 2 2 2 2 2 5" xfId="13042" xr:uid="{00000000-0005-0000-0000-000042150000}"/>
    <cellStyle name="Input 2 2 2 2 2 2 6" xfId="13045" xr:uid="{00000000-0005-0000-0000-000043150000}"/>
    <cellStyle name="Input 2 2 2 2 2 3" xfId="13047" xr:uid="{00000000-0005-0000-0000-000044150000}"/>
    <cellStyle name="Input 2 2 2 2 2 3 2" xfId="13049" xr:uid="{00000000-0005-0000-0000-000045150000}"/>
    <cellStyle name="Input 2 2 2 2 2 3 2 2" xfId="13052" xr:uid="{00000000-0005-0000-0000-000046150000}"/>
    <cellStyle name="Input 2 2 2 2 2 3 2 3" xfId="13056" xr:uid="{00000000-0005-0000-0000-000047150000}"/>
    <cellStyle name="Input 2 2 2 2 2 3 2 4" xfId="13058" xr:uid="{00000000-0005-0000-0000-000048150000}"/>
    <cellStyle name="Input 2 2 2 2 2 3 3" xfId="13060" xr:uid="{00000000-0005-0000-0000-000049150000}"/>
    <cellStyle name="Input 2 2 2 2 2 3 4" xfId="13062" xr:uid="{00000000-0005-0000-0000-00004A150000}"/>
    <cellStyle name="Input 2 2 2 2 2 3 5" xfId="13064" xr:uid="{00000000-0005-0000-0000-00004B150000}"/>
    <cellStyle name="Input 2 2 2 2 2 4" xfId="13065" xr:uid="{00000000-0005-0000-0000-00004C150000}"/>
    <cellStyle name="Input 2 2 2 2 2 4 2" xfId="13070" xr:uid="{00000000-0005-0000-0000-00004D150000}"/>
    <cellStyle name="Input 2 2 2 2 2 4 3" xfId="13073" xr:uid="{00000000-0005-0000-0000-00004E150000}"/>
    <cellStyle name="Input 2 2 2 2 2 4 4" xfId="13074" xr:uid="{00000000-0005-0000-0000-00004F150000}"/>
    <cellStyle name="Input 2 2 2 2 2 5" xfId="13076" xr:uid="{00000000-0005-0000-0000-000050150000}"/>
    <cellStyle name="Input 2 2 2 2 2 6" xfId="13079" xr:uid="{00000000-0005-0000-0000-000051150000}"/>
    <cellStyle name="Input 2 2 2 2 2 7" xfId="13083" xr:uid="{00000000-0005-0000-0000-000052150000}"/>
    <cellStyle name="Input 2 2 2 2 3" xfId="7554" xr:uid="{00000000-0005-0000-0000-000053150000}"/>
    <cellStyle name="Input 2 2 2 2 3 2" xfId="13086" xr:uid="{00000000-0005-0000-0000-000054150000}"/>
    <cellStyle name="Input 2 2 2 2 3 2 2" xfId="13087" xr:uid="{00000000-0005-0000-0000-000055150000}"/>
    <cellStyle name="Input 2 2 2 2 3 2 2 2" xfId="6652" xr:uid="{00000000-0005-0000-0000-000056150000}"/>
    <cellStyle name="Input 2 2 2 2 3 2 2 3" xfId="6673" xr:uid="{00000000-0005-0000-0000-000057150000}"/>
    <cellStyle name="Input 2 2 2 2 3 2 2 4" xfId="6693" xr:uid="{00000000-0005-0000-0000-000058150000}"/>
    <cellStyle name="Input 2 2 2 2 3 2 3" xfId="13088" xr:uid="{00000000-0005-0000-0000-000059150000}"/>
    <cellStyle name="Input 2 2 2 2 3 2 4" xfId="1556" xr:uid="{00000000-0005-0000-0000-00005A150000}"/>
    <cellStyle name="Input 2 2 2 2 3 2 5" xfId="2375" xr:uid="{00000000-0005-0000-0000-00005B150000}"/>
    <cellStyle name="Input 2 2 2 2 3 3" xfId="13089" xr:uid="{00000000-0005-0000-0000-00005C150000}"/>
    <cellStyle name="Input 2 2 2 2 3 3 2" xfId="13091" xr:uid="{00000000-0005-0000-0000-00005D150000}"/>
    <cellStyle name="Input 2 2 2 2 3 3 3" xfId="13093" xr:uid="{00000000-0005-0000-0000-00005E150000}"/>
    <cellStyle name="Input 2 2 2 2 3 3 4" xfId="2396" xr:uid="{00000000-0005-0000-0000-00005F150000}"/>
    <cellStyle name="Input 2 2 2 2 3 4" xfId="13094" xr:uid="{00000000-0005-0000-0000-000060150000}"/>
    <cellStyle name="Input 2 2 2 2 3 5" xfId="13096" xr:uid="{00000000-0005-0000-0000-000061150000}"/>
    <cellStyle name="Input 2 2 2 2 3 6" xfId="13099" xr:uid="{00000000-0005-0000-0000-000062150000}"/>
    <cellStyle name="Input 2 2 2 2 4" xfId="13102" xr:uid="{00000000-0005-0000-0000-000063150000}"/>
    <cellStyle name="Input 2 2 2 2 4 2" xfId="13104" xr:uid="{00000000-0005-0000-0000-000064150000}"/>
    <cellStyle name="Input 2 2 2 2 4 2 2" xfId="13107" xr:uid="{00000000-0005-0000-0000-000065150000}"/>
    <cellStyle name="Input 2 2 2 2 4 2 3" xfId="13112" xr:uid="{00000000-0005-0000-0000-000066150000}"/>
    <cellStyle name="Input 2 2 2 2 4 2 4" xfId="13117" xr:uid="{00000000-0005-0000-0000-000067150000}"/>
    <cellStyle name="Input 2 2 2 2 4 3" xfId="13119" xr:uid="{00000000-0005-0000-0000-000068150000}"/>
    <cellStyle name="Input 2 2 2 2 4 4" xfId="13122" xr:uid="{00000000-0005-0000-0000-000069150000}"/>
    <cellStyle name="Input 2 2 2 2 4 5" xfId="13125" xr:uid="{00000000-0005-0000-0000-00006A150000}"/>
    <cellStyle name="Input 2 2 2 2 5" xfId="13127" xr:uid="{00000000-0005-0000-0000-00006B150000}"/>
    <cellStyle name="Input 2 2 2 2 5 2" xfId="13129" xr:uid="{00000000-0005-0000-0000-00006C150000}"/>
    <cellStyle name="Input 2 2 2 2 5 3" xfId="13131" xr:uid="{00000000-0005-0000-0000-00006D150000}"/>
    <cellStyle name="Input 2 2 2 2 5 4" xfId="11317" xr:uid="{00000000-0005-0000-0000-00006E150000}"/>
    <cellStyle name="Input 2 2 2 2 6" xfId="13133" xr:uid="{00000000-0005-0000-0000-00006F150000}"/>
    <cellStyle name="Input 2 2 2 2 7" xfId="13135" xr:uid="{00000000-0005-0000-0000-000070150000}"/>
    <cellStyle name="Input 2 2 2 2 8" xfId="13137" xr:uid="{00000000-0005-0000-0000-000071150000}"/>
    <cellStyle name="Input 2 2 2 3" xfId="13140" xr:uid="{00000000-0005-0000-0000-000072150000}"/>
    <cellStyle name="Input 2 2 2 3 2" xfId="9847" xr:uid="{00000000-0005-0000-0000-000073150000}"/>
    <cellStyle name="Input 2 2 2 3 2 2" xfId="13141" xr:uid="{00000000-0005-0000-0000-000074150000}"/>
    <cellStyle name="Input 2 2 2 3 2 2 2" xfId="13142" xr:uid="{00000000-0005-0000-0000-000075150000}"/>
    <cellStyle name="Input 2 2 2 3 2 2 2 2" xfId="13143" xr:uid="{00000000-0005-0000-0000-000076150000}"/>
    <cellStyle name="Input 2 2 2 3 2 2 2 3" xfId="13144" xr:uid="{00000000-0005-0000-0000-000077150000}"/>
    <cellStyle name="Input 2 2 2 3 2 2 2 4" xfId="13145" xr:uid="{00000000-0005-0000-0000-000078150000}"/>
    <cellStyle name="Input 2 2 2 3 2 2 3" xfId="13146" xr:uid="{00000000-0005-0000-0000-000079150000}"/>
    <cellStyle name="Input 2 2 2 3 2 2 4" xfId="13147" xr:uid="{00000000-0005-0000-0000-00007A150000}"/>
    <cellStyle name="Input 2 2 2 3 2 2 5" xfId="13148" xr:uid="{00000000-0005-0000-0000-00007B150000}"/>
    <cellStyle name="Input 2 2 2 3 2 3" xfId="13149" xr:uid="{00000000-0005-0000-0000-00007C150000}"/>
    <cellStyle name="Input 2 2 2 3 2 3 2" xfId="13153" xr:uid="{00000000-0005-0000-0000-00007D150000}"/>
    <cellStyle name="Input 2 2 2 3 2 3 3" xfId="13157" xr:uid="{00000000-0005-0000-0000-00007E150000}"/>
    <cellStyle name="Input 2 2 2 3 2 3 4" xfId="13159" xr:uid="{00000000-0005-0000-0000-00007F150000}"/>
    <cellStyle name="Input 2 2 2 3 2 4" xfId="6775" xr:uid="{00000000-0005-0000-0000-000080150000}"/>
    <cellStyle name="Input 2 2 2 3 2 5" xfId="6794" xr:uid="{00000000-0005-0000-0000-000081150000}"/>
    <cellStyle name="Input 2 2 2 3 2 6" xfId="6799" xr:uid="{00000000-0005-0000-0000-000082150000}"/>
    <cellStyle name="Input 2 2 2 3 3" xfId="13160" xr:uid="{00000000-0005-0000-0000-000083150000}"/>
    <cellStyle name="Input 2 2 2 3 3 2" xfId="13161" xr:uid="{00000000-0005-0000-0000-000084150000}"/>
    <cellStyle name="Input 2 2 2 3 3 2 2" xfId="13162" xr:uid="{00000000-0005-0000-0000-000085150000}"/>
    <cellStyle name="Input 2 2 2 3 3 2 3" xfId="13163" xr:uid="{00000000-0005-0000-0000-000086150000}"/>
    <cellStyle name="Input 2 2 2 3 3 2 4" xfId="13164" xr:uid="{00000000-0005-0000-0000-000087150000}"/>
    <cellStyle name="Input 2 2 2 3 3 3" xfId="1704" xr:uid="{00000000-0005-0000-0000-000088150000}"/>
    <cellStyle name="Input 2 2 2 3 3 4" xfId="1740" xr:uid="{00000000-0005-0000-0000-000089150000}"/>
    <cellStyle name="Input 2 2 2 3 3 5" xfId="1767" xr:uid="{00000000-0005-0000-0000-00008A150000}"/>
    <cellStyle name="Input 2 2 2 3 4" xfId="13165" xr:uid="{00000000-0005-0000-0000-00008B150000}"/>
    <cellStyle name="Input 2 2 2 3 4 2" xfId="13166" xr:uid="{00000000-0005-0000-0000-00008C150000}"/>
    <cellStyle name="Input 2 2 2 3 4 3" xfId="4312" xr:uid="{00000000-0005-0000-0000-00008D150000}"/>
    <cellStyle name="Input 2 2 2 3 4 4" xfId="4543" xr:uid="{00000000-0005-0000-0000-00008E150000}"/>
    <cellStyle name="Input 2 2 2 3 5" xfId="13170" xr:uid="{00000000-0005-0000-0000-00008F150000}"/>
    <cellStyle name="Input 2 2 2 3 6" xfId="13174" xr:uid="{00000000-0005-0000-0000-000090150000}"/>
    <cellStyle name="Input 2 2 2 3 7" xfId="13178" xr:uid="{00000000-0005-0000-0000-000091150000}"/>
    <cellStyle name="Input 2 2 2 4" xfId="13181" xr:uid="{00000000-0005-0000-0000-000092150000}"/>
    <cellStyle name="Input 2 2 2 4 2" xfId="13182" xr:uid="{00000000-0005-0000-0000-000093150000}"/>
    <cellStyle name="Input 2 2 2 4 2 2" xfId="13183" xr:uid="{00000000-0005-0000-0000-000094150000}"/>
    <cellStyle name="Input 2 2 2 4 2 2 2" xfId="13184" xr:uid="{00000000-0005-0000-0000-000095150000}"/>
    <cellStyle name="Input 2 2 2 4 2 2 3" xfId="13185" xr:uid="{00000000-0005-0000-0000-000096150000}"/>
    <cellStyle name="Input 2 2 2 4 2 2 4" xfId="13186" xr:uid="{00000000-0005-0000-0000-000097150000}"/>
    <cellStyle name="Input 2 2 2 4 2 3" xfId="13187" xr:uid="{00000000-0005-0000-0000-000098150000}"/>
    <cellStyle name="Input 2 2 2 4 2 4" xfId="5799" xr:uid="{00000000-0005-0000-0000-000099150000}"/>
    <cellStyle name="Input 2 2 2 4 2 5" xfId="5822" xr:uid="{00000000-0005-0000-0000-00009A150000}"/>
    <cellStyle name="Input 2 2 2 4 3" xfId="13188" xr:uid="{00000000-0005-0000-0000-00009B150000}"/>
    <cellStyle name="Input 2 2 2 4 3 2" xfId="13189" xr:uid="{00000000-0005-0000-0000-00009C150000}"/>
    <cellStyle name="Input 2 2 2 4 3 3" xfId="973" xr:uid="{00000000-0005-0000-0000-00009D150000}"/>
    <cellStyle name="Input 2 2 2 4 3 4" xfId="1861" xr:uid="{00000000-0005-0000-0000-00009E150000}"/>
    <cellStyle name="Input 2 2 2 4 4" xfId="13190" xr:uid="{00000000-0005-0000-0000-00009F150000}"/>
    <cellStyle name="Input 2 2 2 4 5" xfId="13191" xr:uid="{00000000-0005-0000-0000-0000A0150000}"/>
    <cellStyle name="Input 2 2 2 4 6" xfId="13193" xr:uid="{00000000-0005-0000-0000-0000A1150000}"/>
    <cellStyle name="Input 2 2 2 5" xfId="13195" xr:uid="{00000000-0005-0000-0000-0000A2150000}"/>
    <cellStyle name="Input 2 2 2 5 2" xfId="13202" xr:uid="{00000000-0005-0000-0000-0000A3150000}"/>
    <cellStyle name="Input 2 2 2 5 2 2" xfId="1915" xr:uid="{00000000-0005-0000-0000-0000A4150000}"/>
    <cellStyle name="Input 2 2 2 5 2 3" xfId="3876" xr:uid="{00000000-0005-0000-0000-0000A5150000}"/>
    <cellStyle name="Input 2 2 2 5 2 4" xfId="2286" xr:uid="{00000000-0005-0000-0000-0000A6150000}"/>
    <cellStyle name="Input 2 2 2 5 3" xfId="13204" xr:uid="{00000000-0005-0000-0000-0000A7150000}"/>
    <cellStyle name="Input 2 2 2 5 4" xfId="13209" xr:uid="{00000000-0005-0000-0000-0000A8150000}"/>
    <cellStyle name="Input 2 2 2 5 5" xfId="13214" xr:uid="{00000000-0005-0000-0000-0000A9150000}"/>
    <cellStyle name="Input 2 2 2 6" xfId="13220" xr:uid="{00000000-0005-0000-0000-0000AA150000}"/>
    <cellStyle name="Input 2 2 2 6 2" xfId="13224" xr:uid="{00000000-0005-0000-0000-0000AB150000}"/>
    <cellStyle name="Input 2 2 2 6 3" xfId="13228" xr:uid="{00000000-0005-0000-0000-0000AC150000}"/>
    <cellStyle name="Input 2 2 2 6 4" xfId="13232" xr:uid="{00000000-0005-0000-0000-0000AD150000}"/>
    <cellStyle name="Input 2 2 2 7" xfId="11061" xr:uid="{00000000-0005-0000-0000-0000AE150000}"/>
    <cellStyle name="Input 2 2 2 8" xfId="11065" xr:uid="{00000000-0005-0000-0000-0000AF150000}"/>
    <cellStyle name="Input 2 2 2 9" xfId="2998" xr:uid="{00000000-0005-0000-0000-0000B0150000}"/>
    <cellStyle name="Input 2 2 3" xfId="3658" xr:uid="{00000000-0005-0000-0000-0000B1150000}"/>
    <cellStyle name="Input 2 2 3 2" xfId="13234" xr:uid="{00000000-0005-0000-0000-0000B2150000}"/>
    <cellStyle name="Input 2 2 3 2 2" xfId="9988" xr:uid="{00000000-0005-0000-0000-0000B3150000}"/>
    <cellStyle name="Input 2 2 3 2 2 2" xfId="13235" xr:uid="{00000000-0005-0000-0000-0000B4150000}"/>
    <cellStyle name="Input 2 2 3 2 2 2 2" xfId="13236" xr:uid="{00000000-0005-0000-0000-0000B5150000}"/>
    <cellStyle name="Input 2 2 3 2 2 2 2 2" xfId="1374" xr:uid="{00000000-0005-0000-0000-0000B6150000}"/>
    <cellStyle name="Input 2 2 3 2 2 2 2 2 2" xfId="176" xr:uid="{00000000-0005-0000-0000-0000B7150000}"/>
    <cellStyle name="Input 2 2 3 2 2 2 2 2 3" xfId="8494" xr:uid="{00000000-0005-0000-0000-0000B8150000}"/>
    <cellStyle name="Input 2 2 3 2 2 2 2 2 4" xfId="13238" xr:uid="{00000000-0005-0000-0000-0000B9150000}"/>
    <cellStyle name="Input 2 2 3 2 2 2 2 3" xfId="1412" xr:uid="{00000000-0005-0000-0000-0000BA150000}"/>
    <cellStyle name="Input 2 2 3 2 2 2 2 4" xfId="1430" xr:uid="{00000000-0005-0000-0000-0000BB150000}"/>
    <cellStyle name="Input 2 2 3 2 2 2 2 5" xfId="1457" xr:uid="{00000000-0005-0000-0000-0000BC150000}"/>
    <cellStyle name="Input 2 2 3 2 2 2 3" xfId="13240" xr:uid="{00000000-0005-0000-0000-0000BD150000}"/>
    <cellStyle name="Input 2 2 3 2 2 2 3 2" xfId="13241" xr:uid="{00000000-0005-0000-0000-0000BE150000}"/>
    <cellStyle name="Input 2 2 3 2 2 2 3 3" xfId="13242" xr:uid="{00000000-0005-0000-0000-0000BF150000}"/>
    <cellStyle name="Input 2 2 3 2 2 2 3 4" xfId="13243" xr:uid="{00000000-0005-0000-0000-0000C0150000}"/>
    <cellStyle name="Input 2 2 3 2 2 2 4" xfId="13245" xr:uid="{00000000-0005-0000-0000-0000C1150000}"/>
    <cellStyle name="Input 2 2 3 2 2 2 5" xfId="13250" xr:uid="{00000000-0005-0000-0000-0000C2150000}"/>
    <cellStyle name="Input 2 2 3 2 2 2 6" xfId="13256" xr:uid="{00000000-0005-0000-0000-0000C3150000}"/>
    <cellStyle name="Input 2 2 3 2 2 3" xfId="13260" xr:uid="{00000000-0005-0000-0000-0000C4150000}"/>
    <cellStyle name="Input 2 2 3 2 2 3 2" xfId="13261" xr:uid="{00000000-0005-0000-0000-0000C5150000}"/>
    <cellStyle name="Input 2 2 3 2 2 3 2 2" xfId="13262" xr:uid="{00000000-0005-0000-0000-0000C6150000}"/>
    <cellStyle name="Input 2 2 3 2 2 3 2 3" xfId="13271" xr:uid="{00000000-0005-0000-0000-0000C7150000}"/>
    <cellStyle name="Input 2 2 3 2 2 3 2 4" xfId="13272" xr:uid="{00000000-0005-0000-0000-0000C8150000}"/>
    <cellStyle name="Input 2 2 3 2 2 3 3" xfId="13273" xr:uid="{00000000-0005-0000-0000-0000C9150000}"/>
    <cellStyle name="Input 2 2 3 2 2 3 4" xfId="13274" xr:uid="{00000000-0005-0000-0000-0000CA150000}"/>
    <cellStyle name="Input 2 2 3 2 2 3 5" xfId="13277" xr:uid="{00000000-0005-0000-0000-0000CB150000}"/>
    <cellStyle name="Input 2 2 3 2 2 4" xfId="13279" xr:uid="{00000000-0005-0000-0000-0000CC150000}"/>
    <cellStyle name="Input 2 2 3 2 2 4 2" xfId="13282" xr:uid="{00000000-0005-0000-0000-0000CD150000}"/>
    <cellStyle name="Input 2 2 3 2 2 4 3" xfId="13284" xr:uid="{00000000-0005-0000-0000-0000CE150000}"/>
    <cellStyle name="Input 2 2 3 2 2 4 4" xfId="13286" xr:uid="{00000000-0005-0000-0000-0000CF150000}"/>
    <cellStyle name="Input 2 2 3 2 2 5" xfId="13289" xr:uid="{00000000-0005-0000-0000-0000D0150000}"/>
    <cellStyle name="Input 2 2 3 2 2 6" xfId="13292" xr:uid="{00000000-0005-0000-0000-0000D1150000}"/>
    <cellStyle name="Input 2 2 3 2 2 7" xfId="13296" xr:uid="{00000000-0005-0000-0000-0000D2150000}"/>
    <cellStyle name="Input 2 2 3 2 3" xfId="9996" xr:uid="{00000000-0005-0000-0000-0000D3150000}"/>
    <cellStyle name="Input 2 2 3 2 3 2" xfId="13299" xr:uid="{00000000-0005-0000-0000-0000D4150000}"/>
    <cellStyle name="Input 2 2 3 2 3 2 2" xfId="13301" xr:uid="{00000000-0005-0000-0000-0000D5150000}"/>
    <cellStyle name="Input 2 2 3 2 3 2 2 2" xfId="13031" xr:uid="{00000000-0005-0000-0000-0000D6150000}"/>
    <cellStyle name="Input 2 2 3 2 3 2 2 3" xfId="13035" xr:uid="{00000000-0005-0000-0000-0000D7150000}"/>
    <cellStyle name="Input 2 2 3 2 3 2 2 4" xfId="13305" xr:uid="{00000000-0005-0000-0000-0000D8150000}"/>
    <cellStyle name="Input 2 2 3 2 3 2 3" xfId="13307" xr:uid="{00000000-0005-0000-0000-0000D9150000}"/>
    <cellStyle name="Input 2 2 3 2 3 2 4" xfId="13311" xr:uid="{00000000-0005-0000-0000-0000DA150000}"/>
    <cellStyle name="Input 2 2 3 2 3 2 5" xfId="13317" xr:uid="{00000000-0005-0000-0000-0000DB150000}"/>
    <cellStyle name="Input 2 2 3 2 3 3" xfId="13322" xr:uid="{00000000-0005-0000-0000-0000DC150000}"/>
    <cellStyle name="Input 2 2 3 2 3 3 2" xfId="13324" xr:uid="{00000000-0005-0000-0000-0000DD150000}"/>
    <cellStyle name="Input 2 2 3 2 3 3 3" xfId="13327" xr:uid="{00000000-0005-0000-0000-0000DE150000}"/>
    <cellStyle name="Input 2 2 3 2 3 3 4" xfId="13331" xr:uid="{00000000-0005-0000-0000-0000DF150000}"/>
    <cellStyle name="Input 2 2 3 2 3 4" xfId="13333" xr:uid="{00000000-0005-0000-0000-0000E0150000}"/>
    <cellStyle name="Input 2 2 3 2 3 5" xfId="13335" xr:uid="{00000000-0005-0000-0000-0000E1150000}"/>
    <cellStyle name="Input 2 2 3 2 3 6" xfId="13338" xr:uid="{00000000-0005-0000-0000-0000E2150000}"/>
    <cellStyle name="Input 2 2 3 2 4" xfId="11931" xr:uid="{00000000-0005-0000-0000-0000E3150000}"/>
    <cellStyle name="Input 2 2 3 2 4 2" xfId="13341" xr:uid="{00000000-0005-0000-0000-0000E4150000}"/>
    <cellStyle name="Input 2 2 3 2 4 2 2" xfId="13346" xr:uid="{00000000-0005-0000-0000-0000E5150000}"/>
    <cellStyle name="Input 2 2 3 2 4 2 3" xfId="13350" xr:uid="{00000000-0005-0000-0000-0000E6150000}"/>
    <cellStyle name="Input 2 2 3 2 4 2 4" xfId="13355" xr:uid="{00000000-0005-0000-0000-0000E7150000}"/>
    <cellStyle name="Input 2 2 3 2 4 3" xfId="13361" xr:uid="{00000000-0005-0000-0000-0000E8150000}"/>
    <cellStyle name="Input 2 2 3 2 4 4" xfId="13362" xr:uid="{00000000-0005-0000-0000-0000E9150000}"/>
    <cellStyle name="Input 2 2 3 2 4 5" xfId="13364" xr:uid="{00000000-0005-0000-0000-0000EA150000}"/>
    <cellStyle name="Input 2 2 3 2 5" xfId="12980" xr:uid="{00000000-0005-0000-0000-0000EB150000}"/>
    <cellStyle name="Input 2 2 3 2 5 2" xfId="13368" xr:uid="{00000000-0005-0000-0000-0000EC150000}"/>
    <cellStyle name="Input 2 2 3 2 5 3" xfId="13371" xr:uid="{00000000-0005-0000-0000-0000ED150000}"/>
    <cellStyle name="Input 2 2 3 2 5 4" xfId="11614" xr:uid="{00000000-0005-0000-0000-0000EE150000}"/>
    <cellStyle name="Input 2 2 3 2 6" xfId="12984" xr:uid="{00000000-0005-0000-0000-0000EF150000}"/>
    <cellStyle name="Input 2 2 3 2 7" xfId="13374" xr:uid="{00000000-0005-0000-0000-0000F0150000}"/>
    <cellStyle name="Input 2 2 3 2 8" xfId="13378" xr:uid="{00000000-0005-0000-0000-0000F1150000}"/>
    <cellStyle name="Input 2 2 3 3" xfId="13379" xr:uid="{00000000-0005-0000-0000-0000F2150000}"/>
    <cellStyle name="Input 2 2 3 3 2" xfId="4582" xr:uid="{00000000-0005-0000-0000-0000F3150000}"/>
    <cellStyle name="Input 2 2 3 3 2 2" xfId="4591" xr:uid="{00000000-0005-0000-0000-0000F4150000}"/>
    <cellStyle name="Input 2 2 3 3 2 2 2" xfId="974" xr:uid="{00000000-0005-0000-0000-0000F5150000}"/>
    <cellStyle name="Input 2 2 3 3 2 2 2 2" xfId="13380" xr:uid="{00000000-0005-0000-0000-0000F6150000}"/>
    <cellStyle name="Input 2 2 3 3 2 2 2 3" xfId="13381" xr:uid="{00000000-0005-0000-0000-0000F7150000}"/>
    <cellStyle name="Input 2 2 3 3 2 2 2 4" xfId="13382" xr:uid="{00000000-0005-0000-0000-0000F8150000}"/>
    <cellStyle name="Input 2 2 3 3 2 2 3" xfId="1863" xr:uid="{00000000-0005-0000-0000-0000F9150000}"/>
    <cellStyle name="Input 2 2 3 3 2 2 4" xfId="121" xr:uid="{00000000-0005-0000-0000-0000FA150000}"/>
    <cellStyle name="Input 2 2 3 3 2 2 5" xfId="13384" xr:uid="{00000000-0005-0000-0000-0000FB150000}"/>
    <cellStyle name="Input 2 2 3 3 2 3" xfId="4595" xr:uid="{00000000-0005-0000-0000-0000FC150000}"/>
    <cellStyle name="Input 2 2 3 3 2 3 2" xfId="13386" xr:uid="{00000000-0005-0000-0000-0000FD150000}"/>
    <cellStyle name="Input 2 2 3 3 2 3 3" xfId="13388" xr:uid="{00000000-0005-0000-0000-0000FE150000}"/>
    <cellStyle name="Input 2 2 3 3 2 3 4" xfId="13390" xr:uid="{00000000-0005-0000-0000-0000FF150000}"/>
    <cellStyle name="Input 2 2 3 3 2 4" xfId="4599" xr:uid="{00000000-0005-0000-0000-000000160000}"/>
    <cellStyle name="Input 2 2 3 3 2 5" xfId="212" xr:uid="{00000000-0005-0000-0000-000001160000}"/>
    <cellStyle name="Input 2 2 3 3 2 6" xfId="136" xr:uid="{00000000-0005-0000-0000-000002160000}"/>
    <cellStyle name="Input 2 2 3 3 3" xfId="4606" xr:uid="{00000000-0005-0000-0000-000003160000}"/>
    <cellStyle name="Input 2 2 3 3 3 2" xfId="3878" xr:uid="{00000000-0005-0000-0000-000004160000}"/>
    <cellStyle name="Input 2 2 3 3 3 2 2" xfId="13393" xr:uid="{00000000-0005-0000-0000-000005160000}"/>
    <cellStyle name="Input 2 2 3 3 3 2 3" xfId="13395" xr:uid="{00000000-0005-0000-0000-000006160000}"/>
    <cellStyle name="Input 2 2 3 3 3 2 4" xfId="13398" xr:uid="{00000000-0005-0000-0000-000007160000}"/>
    <cellStyle name="Input 2 2 3 3 3 3" xfId="3900" xr:uid="{00000000-0005-0000-0000-000008160000}"/>
    <cellStyle name="Input 2 2 3 3 3 4" xfId="2460" xr:uid="{00000000-0005-0000-0000-000009160000}"/>
    <cellStyle name="Input 2 2 3 3 3 5" xfId="191" xr:uid="{00000000-0005-0000-0000-00000A160000}"/>
    <cellStyle name="Input 2 2 3 3 4" xfId="4614" xr:uid="{00000000-0005-0000-0000-00000B160000}"/>
    <cellStyle name="Input 2 2 3 3 4 2" xfId="3949" xr:uid="{00000000-0005-0000-0000-00000C160000}"/>
    <cellStyle name="Input 2 2 3 3 4 3" xfId="3955" xr:uid="{00000000-0005-0000-0000-00000D160000}"/>
    <cellStyle name="Input 2 2 3 3 4 4" xfId="13399" xr:uid="{00000000-0005-0000-0000-00000E160000}"/>
    <cellStyle name="Input 2 2 3 3 5" xfId="4626" xr:uid="{00000000-0005-0000-0000-00000F160000}"/>
    <cellStyle name="Input 2 2 3 3 6" xfId="4638" xr:uid="{00000000-0005-0000-0000-000010160000}"/>
    <cellStyle name="Input 2 2 3 3 7" xfId="13401" xr:uid="{00000000-0005-0000-0000-000011160000}"/>
    <cellStyle name="Input 2 2 3 4" xfId="13402" xr:uid="{00000000-0005-0000-0000-000012160000}"/>
    <cellStyle name="Input 2 2 3 4 2" xfId="4675" xr:uid="{00000000-0005-0000-0000-000013160000}"/>
    <cellStyle name="Input 2 2 3 4 2 2" xfId="4680" xr:uid="{00000000-0005-0000-0000-000014160000}"/>
    <cellStyle name="Input 2 2 3 4 2 2 2" xfId="4031" xr:uid="{00000000-0005-0000-0000-000015160000}"/>
    <cellStyle name="Input 2 2 3 4 2 2 3" xfId="13403" xr:uid="{00000000-0005-0000-0000-000016160000}"/>
    <cellStyle name="Input 2 2 3 4 2 2 4" xfId="13405" xr:uid="{00000000-0005-0000-0000-000017160000}"/>
    <cellStyle name="Input 2 2 3 4 2 3" xfId="4682" xr:uid="{00000000-0005-0000-0000-000018160000}"/>
    <cellStyle name="Input 2 2 3 4 2 4" xfId="4688" xr:uid="{00000000-0005-0000-0000-000019160000}"/>
    <cellStyle name="Input 2 2 3 4 2 5" xfId="13407" xr:uid="{00000000-0005-0000-0000-00001A160000}"/>
    <cellStyle name="Input 2 2 3 4 3" xfId="4693" xr:uid="{00000000-0005-0000-0000-00001B160000}"/>
    <cellStyle name="Input 2 2 3 4 3 2" xfId="4028" xr:uid="{00000000-0005-0000-0000-00001C160000}"/>
    <cellStyle name="Input 2 2 3 4 3 3" xfId="4032" xr:uid="{00000000-0005-0000-0000-00001D160000}"/>
    <cellStyle name="Input 2 2 3 4 3 4" xfId="13404" xr:uid="{00000000-0005-0000-0000-00001E160000}"/>
    <cellStyle name="Input 2 2 3 4 4" xfId="4698" xr:uid="{00000000-0005-0000-0000-00001F160000}"/>
    <cellStyle name="Input 2 2 3 4 5" xfId="4703" xr:uid="{00000000-0005-0000-0000-000020160000}"/>
    <cellStyle name="Input 2 2 3 4 6" xfId="13412" xr:uid="{00000000-0005-0000-0000-000021160000}"/>
    <cellStyle name="Input 2 2 3 5" xfId="13414" xr:uid="{00000000-0005-0000-0000-000022160000}"/>
    <cellStyle name="Input 2 2 3 5 2" xfId="793" xr:uid="{00000000-0005-0000-0000-000023160000}"/>
    <cellStyle name="Input 2 2 3 5 2 2" xfId="7564" xr:uid="{00000000-0005-0000-0000-000024160000}"/>
    <cellStyle name="Input 2 2 3 5 2 3" xfId="7566" xr:uid="{00000000-0005-0000-0000-000025160000}"/>
    <cellStyle name="Input 2 2 3 5 2 4" xfId="13415" xr:uid="{00000000-0005-0000-0000-000026160000}"/>
    <cellStyle name="Input 2 2 3 5 3" xfId="804" xr:uid="{00000000-0005-0000-0000-000027160000}"/>
    <cellStyle name="Input 2 2 3 5 4" xfId="817" xr:uid="{00000000-0005-0000-0000-000028160000}"/>
    <cellStyle name="Input 2 2 3 5 5" xfId="1984" xr:uid="{00000000-0005-0000-0000-000029160000}"/>
    <cellStyle name="Input 2 2 3 6" xfId="13419" xr:uid="{00000000-0005-0000-0000-00002A160000}"/>
    <cellStyle name="Input 2 2 3 6 2" xfId="328" xr:uid="{00000000-0005-0000-0000-00002B160000}"/>
    <cellStyle name="Input 2 2 3 6 3" xfId="3213" xr:uid="{00000000-0005-0000-0000-00002C160000}"/>
    <cellStyle name="Input 2 2 3 6 4" xfId="13428" xr:uid="{00000000-0005-0000-0000-00002D160000}"/>
    <cellStyle name="Input 2 2 3 7" xfId="13434" xr:uid="{00000000-0005-0000-0000-00002E160000}"/>
    <cellStyle name="Input 2 2 3 8" xfId="13438" xr:uid="{00000000-0005-0000-0000-00002F160000}"/>
    <cellStyle name="Input 2 2 3 9" xfId="9562" xr:uid="{00000000-0005-0000-0000-000030160000}"/>
    <cellStyle name="Input 2 2 4" xfId="3662" xr:uid="{00000000-0005-0000-0000-000031160000}"/>
    <cellStyle name="Input 2 2 4 2" xfId="13439" xr:uid="{00000000-0005-0000-0000-000032160000}"/>
    <cellStyle name="Input 2 2 4 2 2" xfId="10092" xr:uid="{00000000-0005-0000-0000-000033160000}"/>
    <cellStyle name="Input 2 2 4 2 2 2" xfId="13440" xr:uid="{00000000-0005-0000-0000-000034160000}"/>
    <cellStyle name="Input 2 2 4 2 2 2 2" xfId="13441" xr:uid="{00000000-0005-0000-0000-000035160000}"/>
    <cellStyle name="Input 2 2 4 2 2 2 2 2" xfId="13442" xr:uid="{00000000-0005-0000-0000-000036160000}"/>
    <cellStyle name="Input 2 2 4 2 2 2 2 3" xfId="13443" xr:uid="{00000000-0005-0000-0000-000037160000}"/>
    <cellStyle name="Input 2 2 4 2 2 2 2 4" xfId="13445" xr:uid="{00000000-0005-0000-0000-000038160000}"/>
    <cellStyle name="Input 2 2 4 2 2 2 3" xfId="13447" xr:uid="{00000000-0005-0000-0000-000039160000}"/>
    <cellStyle name="Input 2 2 4 2 2 2 4" xfId="13448" xr:uid="{00000000-0005-0000-0000-00003A160000}"/>
    <cellStyle name="Input 2 2 4 2 2 2 5" xfId="1788" xr:uid="{00000000-0005-0000-0000-00003B160000}"/>
    <cellStyle name="Input 2 2 4 2 2 3" xfId="7407" xr:uid="{00000000-0005-0000-0000-00003C160000}"/>
    <cellStyle name="Input 2 2 4 2 2 3 2" xfId="5724" xr:uid="{00000000-0005-0000-0000-00003D160000}"/>
    <cellStyle name="Input 2 2 4 2 2 3 3" xfId="7411" xr:uid="{00000000-0005-0000-0000-00003E160000}"/>
    <cellStyle name="Input 2 2 4 2 2 3 4" xfId="7413" xr:uid="{00000000-0005-0000-0000-00003F160000}"/>
    <cellStyle name="Input 2 2 4 2 2 4" xfId="2204" xr:uid="{00000000-0005-0000-0000-000040160000}"/>
    <cellStyle name="Input 2 2 4 2 2 5" xfId="2837" xr:uid="{00000000-0005-0000-0000-000041160000}"/>
    <cellStyle name="Input 2 2 4 2 2 6" xfId="3270" xr:uid="{00000000-0005-0000-0000-000042160000}"/>
    <cellStyle name="Input 2 2 4 2 3" xfId="11964" xr:uid="{00000000-0005-0000-0000-000043160000}"/>
    <cellStyle name="Input 2 2 4 2 3 2" xfId="13449" xr:uid="{00000000-0005-0000-0000-000044160000}"/>
    <cellStyle name="Input 2 2 4 2 3 2 2" xfId="13452" xr:uid="{00000000-0005-0000-0000-000045160000}"/>
    <cellStyle name="Input 2 2 4 2 3 2 3" xfId="13456" xr:uid="{00000000-0005-0000-0000-000046160000}"/>
    <cellStyle name="Input 2 2 4 2 3 2 4" xfId="13459" xr:uid="{00000000-0005-0000-0000-000047160000}"/>
    <cellStyle name="Input 2 2 4 2 3 3" xfId="7418" xr:uid="{00000000-0005-0000-0000-000048160000}"/>
    <cellStyle name="Input 2 2 4 2 3 4" xfId="3366" xr:uid="{00000000-0005-0000-0000-000049160000}"/>
    <cellStyle name="Input 2 2 4 2 3 5" xfId="3488" xr:uid="{00000000-0005-0000-0000-00004A160000}"/>
    <cellStyle name="Input 2 2 4 2 4" xfId="12916" xr:uid="{00000000-0005-0000-0000-00004B160000}"/>
    <cellStyle name="Input 2 2 4 2 4 2" xfId="13460" xr:uid="{00000000-0005-0000-0000-00004C160000}"/>
    <cellStyle name="Input 2 2 4 2 4 3" xfId="13462" xr:uid="{00000000-0005-0000-0000-00004D160000}"/>
    <cellStyle name="Input 2 2 4 2 4 4" xfId="3622" xr:uid="{00000000-0005-0000-0000-00004E160000}"/>
    <cellStyle name="Input 2 2 4 2 5" xfId="12919" xr:uid="{00000000-0005-0000-0000-00004F160000}"/>
    <cellStyle name="Input 2 2 4 2 6" xfId="13464" xr:uid="{00000000-0005-0000-0000-000050160000}"/>
    <cellStyle name="Input 2 2 4 2 7" xfId="13466" xr:uid="{00000000-0005-0000-0000-000051160000}"/>
    <cellStyle name="Input 2 2 4 3" xfId="13467" xr:uid="{00000000-0005-0000-0000-000052160000}"/>
    <cellStyle name="Input 2 2 4 3 2" xfId="1485" xr:uid="{00000000-0005-0000-0000-000053160000}"/>
    <cellStyle name="Input 2 2 4 3 2 2" xfId="1506" xr:uid="{00000000-0005-0000-0000-000054160000}"/>
    <cellStyle name="Input 2 2 4 3 2 2 2" xfId="13468" xr:uid="{00000000-0005-0000-0000-000055160000}"/>
    <cellStyle name="Input 2 2 4 3 2 2 3" xfId="13469" xr:uid="{00000000-0005-0000-0000-000056160000}"/>
    <cellStyle name="Input 2 2 4 3 2 2 4" xfId="13470" xr:uid="{00000000-0005-0000-0000-000057160000}"/>
    <cellStyle name="Input 2 2 4 3 2 3" xfId="1524" xr:uid="{00000000-0005-0000-0000-000058160000}"/>
    <cellStyle name="Input 2 2 4 3 2 4" xfId="1557" xr:uid="{00000000-0005-0000-0000-000059160000}"/>
    <cellStyle name="Input 2 2 4 3 2 5" xfId="2376" xr:uid="{00000000-0005-0000-0000-00005A160000}"/>
    <cellStyle name="Input 2 2 4 3 3" xfId="1577" xr:uid="{00000000-0005-0000-0000-00005B160000}"/>
    <cellStyle name="Input 2 2 4 3 3 2" xfId="729" xr:uid="{00000000-0005-0000-0000-00005C160000}"/>
    <cellStyle name="Input 2 2 4 3 3 3" xfId="764" xr:uid="{00000000-0005-0000-0000-00005D160000}"/>
    <cellStyle name="Input 2 2 4 3 3 4" xfId="13471" xr:uid="{00000000-0005-0000-0000-00005E160000}"/>
    <cellStyle name="Input 2 2 4 3 4" xfId="1596" xr:uid="{00000000-0005-0000-0000-00005F160000}"/>
    <cellStyle name="Input 2 2 4 3 5" xfId="1620" xr:uid="{00000000-0005-0000-0000-000060160000}"/>
    <cellStyle name="Input 2 2 4 3 6" xfId="13472" xr:uid="{00000000-0005-0000-0000-000061160000}"/>
    <cellStyle name="Input 2 2 4 4" xfId="13473" xr:uid="{00000000-0005-0000-0000-000062160000}"/>
    <cellStyle name="Input 2 2 4 4 2" xfId="4758" xr:uid="{00000000-0005-0000-0000-000063160000}"/>
    <cellStyle name="Input 2 2 4 4 2 2" xfId="13474" xr:uid="{00000000-0005-0000-0000-000064160000}"/>
    <cellStyle name="Input 2 2 4 4 2 3" xfId="13475" xr:uid="{00000000-0005-0000-0000-000065160000}"/>
    <cellStyle name="Input 2 2 4 4 2 4" xfId="13476" xr:uid="{00000000-0005-0000-0000-000066160000}"/>
    <cellStyle name="Input 2 2 4 4 3" xfId="4762" xr:uid="{00000000-0005-0000-0000-000067160000}"/>
    <cellStyle name="Input 2 2 4 4 4" xfId="4767" xr:uid="{00000000-0005-0000-0000-000068160000}"/>
    <cellStyle name="Input 2 2 4 4 5" xfId="13477" xr:uid="{00000000-0005-0000-0000-000069160000}"/>
    <cellStyle name="Input 2 2 4 5" xfId="13478" xr:uid="{00000000-0005-0000-0000-00006A160000}"/>
    <cellStyle name="Input 2 2 4 5 2" xfId="4781" xr:uid="{00000000-0005-0000-0000-00006B160000}"/>
    <cellStyle name="Input 2 2 4 5 3" xfId="4783" xr:uid="{00000000-0005-0000-0000-00006C160000}"/>
    <cellStyle name="Input 2 2 4 5 4" xfId="9201" xr:uid="{00000000-0005-0000-0000-00006D160000}"/>
    <cellStyle name="Input 2 2 4 6" xfId="13481" xr:uid="{00000000-0005-0000-0000-00006E160000}"/>
    <cellStyle name="Input 2 2 4 7" xfId="364" xr:uid="{00000000-0005-0000-0000-00006F160000}"/>
    <cellStyle name="Input 2 2 4 8" xfId="2259" xr:uid="{00000000-0005-0000-0000-000070160000}"/>
    <cellStyle name="Input 2 2 5" xfId="13484" xr:uid="{00000000-0005-0000-0000-000071160000}"/>
    <cellStyle name="Input 2 2 5 2" xfId="13487" xr:uid="{00000000-0005-0000-0000-000072160000}"/>
    <cellStyle name="Input 2 2 5 2 2" xfId="13488" xr:uid="{00000000-0005-0000-0000-000073160000}"/>
    <cellStyle name="Input 2 2 5 2 2 2" xfId="13489" xr:uid="{00000000-0005-0000-0000-000074160000}"/>
    <cellStyle name="Input 2 2 5 2 2 2 2" xfId="13490" xr:uid="{00000000-0005-0000-0000-000075160000}"/>
    <cellStyle name="Input 2 2 5 2 2 2 3" xfId="13491" xr:uid="{00000000-0005-0000-0000-000076160000}"/>
    <cellStyle name="Input 2 2 5 2 2 2 4" xfId="13492" xr:uid="{00000000-0005-0000-0000-000077160000}"/>
    <cellStyle name="Input 2 2 5 2 2 3" xfId="13493" xr:uid="{00000000-0005-0000-0000-000078160000}"/>
    <cellStyle name="Input 2 2 5 2 2 4" xfId="13494" xr:uid="{00000000-0005-0000-0000-000079160000}"/>
    <cellStyle name="Input 2 2 5 2 2 5" xfId="5172" xr:uid="{00000000-0005-0000-0000-00007A160000}"/>
    <cellStyle name="Input 2 2 5 2 3" xfId="13496" xr:uid="{00000000-0005-0000-0000-00007B160000}"/>
    <cellStyle name="Input 2 2 5 2 3 2" xfId="13498" xr:uid="{00000000-0005-0000-0000-00007C160000}"/>
    <cellStyle name="Input 2 2 5 2 3 3" xfId="13500" xr:uid="{00000000-0005-0000-0000-00007D160000}"/>
    <cellStyle name="Input 2 2 5 2 3 4" xfId="13501" xr:uid="{00000000-0005-0000-0000-00007E160000}"/>
    <cellStyle name="Input 2 2 5 2 4" xfId="9088" xr:uid="{00000000-0005-0000-0000-00007F160000}"/>
    <cellStyle name="Input 2 2 5 2 5" xfId="9098" xr:uid="{00000000-0005-0000-0000-000080160000}"/>
    <cellStyle name="Input 2 2 5 2 6" xfId="9100" xr:uid="{00000000-0005-0000-0000-000081160000}"/>
    <cellStyle name="Input 2 2 5 3" xfId="13502" xr:uid="{00000000-0005-0000-0000-000082160000}"/>
    <cellStyle name="Input 2 2 5 3 2" xfId="1668" xr:uid="{00000000-0005-0000-0000-000083160000}"/>
    <cellStyle name="Input 2 2 5 3 2 2" xfId="13503" xr:uid="{00000000-0005-0000-0000-000084160000}"/>
    <cellStyle name="Input 2 2 5 3 2 3" xfId="13505" xr:uid="{00000000-0005-0000-0000-000085160000}"/>
    <cellStyle name="Input 2 2 5 3 2 4" xfId="13507" xr:uid="{00000000-0005-0000-0000-000086160000}"/>
    <cellStyle name="Input 2 2 5 3 3" xfId="1709" xr:uid="{00000000-0005-0000-0000-000087160000}"/>
    <cellStyle name="Input 2 2 5 3 4" xfId="1747" xr:uid="{00000000-0005-0000-0000-000088160000}"/>
    <cellStyle name="Input 2 2 5 3 5" xfId="9105" xr:uid="{00000000-0005-0000-0000-000089160000}"/>
    <cellStyle name="Input 2 2 5 4" xfId="13508" xr:uid="{00000000-0005-0000-0000-00008A160000}"/>
    <cellStyle name="Input 2 2 5 4 2" xfId="4303" xr:uid="{00000000-0005-0000-0000-00008B160000}"/>
    <cellStyle name="Input 2 2 5 4 3" xfId="4319" xr:uid="{00000000-0005-0000-0000-00008C160000}"/>
    <cellStyle name="Input 2 2 5 4 4" xfId="13509" xr:uid="{00000000-0005-0000-0000-00008D160000}"/>
    <cellStyle name="Input 2 2 5 5" xfId="6485" xr:uid="{00000000-0005-0000-0000-00008E160000}"/>
    <cellStyle name="Input 2 2 5 6" xfId="6499" xr:uid="{00000000-0005-0000-0000-00008F160000}"/>
    <cellStyle name="Input 2 2 5 7" xfId="2274" xr:uid="{00000000-0005-0000-0000-000090160000}"/>
    <cellStyle name="Input 2 2 6" xfId="13510" xr:uid="{00000000-0005-0000-0000-000091160000}"/>
    <cellStyle name="Input 2 2 6 2" xfId="13514" xr:uid="{00000000-0005-0000-0000-000092160000}"/>
    <cellStyle name="Input 2 2 6 2 2" xfId="13515" xr:uid="{00000000-0005-0000-0000-000093160000}"/>
    <cellStyle name="Input 2 2 6 2 2 2" xfId="13516" xr:uid="{00000000-0005-0000-0000-000094160000}"/>
    <cellStyle name="Input 2 2 6 2 2 3" xfId="13518" xr:uid="{00000000-0005-0000-0000-000095160000}"/>
    <cellStyle name="Input 2 2 6 2 2 4" xfId="13520" xr:uid="{00000000-0005-0000-0000-000096160000}"/>
    <cellStyle name="Input 2 2 6 2 3" xfId="13521" xr:uid="{00000000-0005-0000-0000-000097160000}"/>
    <cellStyle name="Input 2 2 6 2 4" xfId="5802" xr:uid="{00000000-0005-0000-0000-000098160000}"/>
    <cellStyle name="Input 2 2 6 2 5" xfId="5825" xr:uid="{00000000-0005-0000-0000-000099160000}"/>
    <cellStyle name="Input 2 2 6 3" xfId="13523" xr:uid="{00000000-0005-0000-0000-00009A160000}"/>
    <cellStyle name="Input 2 2 6 3 2" xfId="1822" xr:uid="{00000000-0005-0000-0000-00009B160000}"/>
    <cellStyle name="Input 2 2 6 3 3" xfId="978" xr:uid="{00000000-0005-0000-0000-00009C160000}"/>
    <cellStyle name="Input 2 2 6 3 4" xfId="13524" xr:uid="{00000000-0005-0000-0000-00009D160000}"/>
    <cellStyle name="Input 2 2 6 4" xfId="13527" xr:uid="{00000000-0005-0000-0000-00009E160000}"/>
    <cellStyle name="Input 2 2 6 5" xfId="6510" xr:uid="{00000000-0005-0000-0000-00009F160000}"/>
    <cellStyle name="Input 2 2 6 6" xfId="6515" xr:uid="{00000000-0005-0000-0000-0000A0160000}"/>
    <cellStyle name="Input 2 2 7" xfId="13528" xr:uid="{00000000-0005-0000-0000-0000A1160000}"/>
    <cellStyle name="Input 2 2 7 2" xfId="13530" xr:uid="{00000000-0005-0000-0000-0000A2160000}"/>
    <cellStyle name="Input 2 2 7 2 2" xfId="1916" xr:uid="{00000000-0005-0000-0000-0000A3160000}"/>
    <cellStyle name="Input 2 2 7 2 3" xfId="13531" xr:uid="{00000000-0005-0000-0000-0000A4160000}"/>
    <cellStyle name="Input 2 2 7 2 4" xfId="13533" xr:uid="{00000000-0005-0000-0000-0000A5160000}"/>
    <cellStyle name="Input 2 2 7 3" xfId="13535" xr:uid="{00000000-0005-0000-0000-0000A6160000}"/>
    <cellStyle name="Input 2 2 7 4" xfId="13536" xr:uid="{00000000-0005-0000-0000-0000A7160000}"/>
    <cellStyle name="Input 2 2 7 5" xfId="13537" xr:uid="{00000000-0005-0000-0000-0000A8160000}"/>
    <cellStyle name="Input 2 2 8" xfId="13538" xr:uid="{00000000-0005-0000-0000-0000A9160000}"/>
    <cellStyle name="Input 2 2 8 2" xfId="13541" xr:uid="{00000000-0005-0000-0000-0000AA160000}"/>
    <cellStyle name="Input 2 2 8 3" xfId="13543" xr:uid="{00000000-0005-0000-0000-0000AB160000}"/>
    <cellStyle name="Input 2 2 8 4" xfId="13544" xr:uid="{00000000-0005-0000-0000-0000AC160000}"/>
    <cellStyle name="Input 2 2 9" xfId="2248" xr:uid="{00000000-0005-0000-0000-0000AD160000}"/>
    <cellStyle name="Input 2 3" xfId="10748" xr:uid="{00000000-0005-0000-0000-0000AE160000}"/>
    <cellStyle name="Input 2 3 2" xfId="3719" xr:uid="{00000000-0005-0000-0000-0000AF160000}"/>
    <cellStyle name="Input 2 3 2 2" xfId="13546" xr:uid="{00000000-0005-0000-0000-0000B0160000}"/>
    <cellStyle name="Input 2 3 2 2 2" xfId="10232" xr:uid="{00000000-0005-0000-0000-0000B1160000}"/>
    <cellStyle name="Input 2 3 2 2 2 2" xfId="2084" xr:uid="{00000000-0005-0000-0000-0000B2160000}"/>
    <cellStyle name="Input 2 3 2 2 2 2 2" xfId="865" xr:uid="{00000000-0005-0000-0000-0000B3160000}"/>
    <cellStyle name="Input 2 3 2 2 2 2 2 2" xfId="3540" xr:uid="{00000000-0005-0000-0000-0000B4160000}"/>
    <cellStyle name="Input 2 3 2 2 2 2 2 3" xfId="6447" xr:uid="{00000000-0005-0000-0000-0000B5160000}"/>
    <cellStyle name="Input 2 3 2 2 2 2 2 4" xfId="10230" xr:uid="{00000000-0005-0000-0000-0000B6160000}"/>
    <cellStyle name="Input 2 3 2 2 2 2 3" xfId="13547" xr:uid="{00000000-0005-0000-0000-0000B7160000}"/>
    <cellStyle name="Input 2 3 2 2 2 2 4" xfId="13548" xr:uid="{00000000-0005-0000-0000-0000B8160000}"/>
    <cellStyle name="Input 2 3 2 2 2 2 5" xfId="13550" xr:uid="{00000000-0005-0000-0000-0000B9160000}"/>
    <cellStyle name="Input 2 3 2 2 2 3" xfId="2086" xr:uid="{00000000-0005-0000-0000-0000BA160000}"/>
    <cellStyle name="Input 2 3 2 2 2 3 2" xfId="13554" xr:uid="{00000000-0005-0000-0000-0000BB160000}"/>
    <cellStyle name="Input 2 3 2 2 2 3 3" xfId="13556" xr:uid="{00000000-0005-0000-0000-0000BC160000}"/>
    <cellStyle name="Input 2 3 2 2 2 3 4" xfId="13557" xr:uid="{00000000-0005-0000-0000-0000BD160000}"/>
    <cellStyle name="Input 2 3 2 2 2 4" xfId="2093" xr:uid="{00000000-0005-0000-0000-0000BE160000}"/>
    <cellStyle name="Input 2 3 2 2 2 5" xfId="8338" xr:uid="{00000000-0005-0000-0000-0000BF160000}"/>
    <cellStyle name="Input 2 3 2 2 2 6" xfId="13559" xr:uid="{00000000-0005-0000-0000-0000C0160000}"/>
    <cellStyle name="Input 2 3 2 2 3" xfId="11712" xr:uid="{00000000-0005-0000-0000-0000C1160000}"/>
    <cellStyle name="Input 2 3 2 2 3 2" xfId="13562" xr:uid="{00000000-0005-0000-0000-0000C2160000}"/>
    <cellStyle name="Input 2 3 2 2 3 2 2" xfId="13563" xr:uid="{00000000-0005-0000-0000-0000C3160000}"/>
    <cellStyle name="Input 2 3 2 2 3 2 3" xfId="13564" xr:uid="{00000000-0005-0000-0000-0000C4160000}"/>
    <cellStyle name="Input 2 3 2 2 3 2 4" xfId="13565" xr:uid="{00000000-0005-0000-0000-0000C5160000}"/>
    <cellStyle name="Input 2 3 2 2 3 3" xfId="13566" xr:uid="{00000000-0005-0000-0000-0000C6160000}"/>
    <cellStyle name="Input 2 3 2 2 3 4" xfId="13567" xr:uid="{00000000-0005-0000-0000-0000C7160000}"/>
    <cellStyle name="Input 2 3 2 2 3 5" xfId="13569" xr:uid="{00000000-0005-0000-0000-0000C8160000}"/>
    <cellStyle name="Input 2 3 2 2 4" xfId="13571" xr:uid="{00000000-0005-0000-0000-0000C9160000}"/>
    <cellStyle name="Input 2 3 2 2 4 2" xfId="2822" xr:uid="{00000000-0005-0000-0000-0000CA160000}"/>
    <cellStyle name="Input 2 3 2 2 4 3" xfId="2223" xr:uid="{00000000-0005-0000-0000-0000CB160000}"/>
    <cellStyle name="Input 2 3 2 2 4 4" xfId="6016" xr:uid="{00000000-0005-0000-0000-0000CC160000}"/>
    <cellStyle name="Input 2 3 2 2 5" xfId="13572" xr:uid="{00000000-0005-0000-0000-0000CD160000}"/>
    <cellStyle name="Input 2 3 2 2 6" xfId="13573" xr:uid="{00000000-0005-0000-0000-0000CE160000}"/>
    <cellStyle name="Input 2 3 2 2 7" xfId="13574" xr:uid="{00000000-0005-0000-0000-0000CF160000}"/>
    <cellStyle name="Input 2 3 2 3" xfId="13575" xr:uid="{00000000-0005-0000-0000-0000D0160000}"/>
    <cellStyle name="Input 2 3 2 3 2" xfId="11727" xr:uid="{00000000-0005-0000-0000-0000D1160000}"/>
    <cellStyle name="Input 2 3 2 3 2 2" xfId="2203" xr:uid="{00000000-0005-0000-0000-0000D2160000}"/>
    <cellStyle name="Input 2 3 2 3 2 2 2" xfId="2211" xr:uid="{00000000-0005-0000-0000-0000D3160000}"/>
    <cellStyle name="Input 2 3 2 3 2 2 3" xfId="13043" xr:uid="{00000000-0005-0000-0000-0000D4160000}"/>
    <cellStyle name="Input 2 3 2 3 2 2 4" xfId="13046" xr:uid="{00000000-0005-0000-0000-0000D5160000}"/>
    <cellStyle name="Input 2 3 2 3 2 3" xfId="2228" xr:uid="{00000000-0005-0000-0000-0000D6160000}"/>
    <cellStyle name="Input 2 3 2 3 2 4" xfId="335" xr:uid="{00000000-0005-0000-0000-0000D7160000}"/>
    <cellStyle name="Input 2 3 2 3 2 5" xfId="16" xr:uid="{00000000-0005-0000-0000-0000D8160000}"/>
    <cellStyle name="Input 2 3 2 3 3" xfId="13580" xr:uid="{00000000-0005-0000-0000-0000D9160000}"/>
    <cellStyle name="Input 2 3 2 3 3 2" xfId="501" xr:uid="{00000000-0005-0000-0000-0000DA160000}"/>
    <cellStyle name="Input 2 3 2 3 3 3" xfId="557" xr:uid="{00000000-0005-0000-0000-0000DB160000}"/>
    <cellStyle name="Input 2 3 2 3 3 4" xfId="2360" xr:uid="{00000000-0005-0000-0000-0000DC160000}"/>
    <cellStyle name="Input 2 3 2 3 4" xfId="13581" xr:uid="{00000000-0005-0000-0000-0000DD160000}"/>
    <cellStyle name="Input 2 3 2 3 5" xfId="13582" xr:uid="{00000000-0005-0000-0000-0000DE160000}"/>
    <cellStyle name="Input 2 3 2 3 6" xfId="13583" xr:uid="{00000000-0005-0000-0000-0000DF160000}"/>
    <cellStyle name="Input 2 3 2 4" xfId="13584" xr:uid="{00000000-0005-0000-0000-0000E0160000}"/>
    <cellStyle name="Input 2 3 2 4 2" xfId="13589" xr:uid="{00000000-0005-0000-0000-0000E1160000}"/>
    <cellStyle name="Input 2 3 2 4 2 2" xfId="13590" xr:uid="{00000000-0005-0000-0000-0000E2160000}"/>
    <cellStyle name="Input 2 3 2 4 2 3" xfId="10549" xr:uid="{00000000-0005-0000-0000-0000E3160000}"/>
    <cellStyle name="Input 2 3 2 4 2 4" xfId="10551" xr:uid="{00000000-0005-0000-0000-0000E4160000}"/>
    <cellStyle name="Input 2 3 2 4 3" xfId="13591" xr:uid="{00000000-0005-0000-0000-0000E5160000}"/>
    <cellStyle name="Input 2 3 2 4 4" xfId="13592" xr:uid="{00000000-0005-0000-0000-0000E6160000}"/>
    <cellStyle name="Input 2 3 2 4 5" xfId="13593" xr:uid="{00000000-0005-0000-0000-0000E7160000}"/>
    <cellStyle name="Input 2 3 2 5" xfId="13594" xr:uid="{00000000-0005-0000-0000-0000E8160000}"/>
    <cellStyle name="Input 2 3 2 5 2" xfId="12464" xr:uid="{00000000-0005-0000-0000-0000E9160000}"/>
    <cellStyle name="Input 2 3 2 5 3" xfId="10942" xr:uid="{00000000-0005-0000-0000-0000EA160000}"/>
    <cellStyle name="Input 2 3 2 5 4" xfId="10949" xr:uid="{00000000-0005-0000-0000-0000EB160000}"/>
    <cellStyle name="Input 2 3 2 6" xfId="13598" xr:uid="{00000000-0005-0000-0000-0000EC160000}"/>
    <cellStyle name="Input 2 3 2 7" xfId="13600" xr:uid="{00000000-0005-0000-0000-0000ED160000}"/>
    <cellStyle name="Input 2 3 2 8" xfId="13602" xr:uid="{00000000-0005-0000-0000-0000EE160000}"/>
    <cellStyle name="Input 2 3 3" xfId="267" xr:uid="{00000000-0005-0000-0000-0000EF160000}"/>
    <cellStyle name="Input 2 3 3 2" xfId="13002" xr:uid="{00000000-0005-0000-0000-0000F0160000}"/>
    <cellStyle name="Input 2 3 3 2 2" xfId="10737" xr:uid="{00000000-0005-0000-0000-0000F1160000}"/>
    <cellStyle name="Input 2 3 3 2 2 2" xfId="3652" xr:uid="{00000000-0005-0000-0000-0000F2160000}"/>
    <cellStyle name="Input 2 3 3 2 2 2 2" xfId="13022" xr:uid="{00000000-0005-0000-0000-0000F3160000}"/>
    <cellStyle name="Input 2 3 3 2 2 2 3" xfId="13139" xr:uid="{00000000-0005-0000-0000-0000F4160000}"/>
    <cellStyle name="Input 2 3 3 2 2 2 4" xfId="13180" xr:uid="{00000000-0005-0000-0000-0000F5160000}"/>
    <cellStyle name="Input 2 3 3 2 2 3" xfId="3657" xr:uid="{00000000-0005-0000-0000-0000F6160000}"/>
    <cellStyle name="Input 2 3 3 2 2 4" xfId="3661" xr:uid="{00000000-0005-0000-0000-0000F7160000}"/>
    <cellStyle name="Input 2 3 3 2 2 5" xfId="13483" xr:uid="{00000000-0005-0000-0000-0000F8160000}"/>
    <cellStyle name="Input 2 3 3 2 3" xfId="10747" xr:uid="{00000000-0005-0000-0000-0000F9160000}"/>
    <cellStyle name="Input 2 3 3 2 3 2" xfId="3718" xr:uid="{00000000-0005-0000-0000-0000FA160000}"/>
    <cellStyle name="Input 2 3 3 2 3 3" xfId="266" xr:uid="{00000000-0005-0000-0000-0000FB160000}"/>
    <cellStyle name="Input 2 3 3 2 3 4" xfId="13604" xr:uid="{00000000-0005-0000-0000-0000FC160000}"/>
    <cellStyle name="Input 2 3 3 2 4" xfId="13606" xr:uid="{00000000-0005-0000-0000-0000FD160000}"/>
    <cellStyle name="Input 2 3 3 2 5" xfId="13608" xr:uid="{00000000-0005-0000-0000-0000FE160000}"/>
    <cellStyle name="Input 2 3 3 2 6" xfId="13610" xr:uid="{00000000-0005-0000-0000-0000FF160000}"/>
    <cellStyle name="Input 2 3 3 3" xfId="13613" xr:uid="{00000000-0005-0000-0000-000000170000}"/>
    <cellStyle name="Input 2 3 3 3 2" xfId="4840" xr:uid="{00000000-0005-0000-0000-000001170000}"/>
    <cellStyle name="Input 2 3 3 3 2 2" xfId="3769" xr:uid="{00000000-0005-0000-0000-000002170000}"/>
    <cellStyle name="Input 2 3 3 3 2 3" xfId="3774" xr:uid="{00000000-0005-0000-0000-000003170000}"/>
    <cellStyle name="Input 2 3 3 3 2 4" xfId="4847" xr:uid="{00000000-0005-0000-0000-000004170000}"/>
    <cellStyle name="Input 2 3 3 3 3" xfId="4851" xr:uid="{00000000-0005-0000-0000-000005170000}"/>
    <cellStyle name="Input 2 3 3 3 4" xfId="4859" xr:uid="{00000000-0005-0000-0000-000006170000}"/>
    <cellStyle name="Input 2 3 3 3 5" xfId="4866" xr:uid="{00000000-0005-0000-0000-000007170000}"/>
    <cellStyle name="Input 2 3 3 4" xfId="13615" xr:uid="{00000000-0005-0000-0000-000008170000}"/>
    <cellStyle name="Input 2 3 3 4 2" xfId="4892" xr:uid="{00000000-0005-0000-0000-000009170000}"/>
    <cellStyle name="Input 2 3 3 4 3" xfId="4897" xr:uid="{00000000-0005-0000-0000-00000A170000}"/>
    <cellStyle name="Input 2 3 3 4 4" xfId="3453" xr:uid="{00000000-0005-0000-0000-00000B170000}"/>
    <cellStyle name="Input 2 3 3 5" xfId="13617" xr:uid="{00000000-0005-0000-0000-00000C170000}"/>
    <cellStyle name="Input 2 3 3 6" xfId="13620" xr:uid="{00000000-0005-0000-0000-00000D170000}"/>
    <cellStyle name="Input 2 3 3 7" xfId="13624" xr:uid="{00000000-0005-0000-0000-00000E170000}"/>
    <cellStyle name="Input 2 3 4" xfId="13603" xr:uid="{00000000-0005-0000-0000-00000F170000}"/>
    <cellStyle name="Input 2 3 4 2" xfId="13626" xr:uid="{00000000-0005-0000-0000-000010170000}"/>
    <cellStyle name="Input 2 3 4 2 2" xfId="10838" xr:uid="{00000000-0005-0000-0000-000011170000}"/>
    <cellStyle name="Input 2 3 4 2 2 2" xfId="4127" xr:uid="{00000000-0005-0000-0000-000012170000}"/>
    <cellStyle name="Input 2 3 4 2 2 3" xfId="8819" xr:uid="{00000000-0005-0000-0000-000013170000}"/>
    <cellStyle name="Input 2 3 4 2 2 4" xfId="8821" xr:uid="{00000000-0005-0000-0000-000014170000}"/>
    <cellStyle name="Input 2 3 4 2 3" xfId="13628" xr:uid="{00000000-0005-0000-0000-000015170000}"/>
    <cellStyle name="Input 2 3 4 2 4" xfId="13629" xr:uid="{00000000-0005-0000-0000-000016170000}"/>
    <cellStyle name="Input 2 3 4 2 5" xfId="884" xr:uid="{00000000-0005-0000-0000-000017170000}"/>
    <cellStyle name="Input 2 3 4 3" xfId="13630" xr:uid="{00000000-0005-0000-0000-000018170000}"/>
    <cellStyle name="Input 2 3 4 3 2" xfId="4957" xr:uid="{00000000-0005-0000-0000-000019170000}"/>
    <cellStyle name="Input 2 3 4 3 3" xfId="4961" xr:uid="{00000000-0005-0000-0000-00001A170000}"/>
    <cellStyle name="Input 2 3 4 3 4" xfId="4965" xr:uid="{00000000-0005-0000-0000-00001B170000}"/>
    <cellStyle name="Input 2 3 4 4" xfId="13632" xr:uid="{00000000-0005-0000-0000-00001C170000}"/>
    <cellStyle name="Input 2 3 4 5" xfId="13633" xr:uid="{00000000-0005-0000-0000-00001D170000}"/>
    <cellStyle name="Input 2 3 4 6" xfId="13636" xr:uid="{00000000-0005-0000-0000-00001E170000}"/>
    <cellStyle name="Input 2 3 5" xfId="13637" xr:uid="{00000000-0005-0000-0000-00001F170000}"/>
    <cellStyle name="Input 2 3 5 2" xfId="13638" xr:uid="{00000000-0005-0000-0000-000020170000}"/>
    <cellStyle name="Input 2 3 5 2 2" xfId="13639" xr:uid="{00000000-0005-0000-0000-000021170000}"/>
    <cellStyle name="Input 2 3 5 2 3" xfId="13640" xr:uid="{00000000-0005-0000-0000-000022170000}"/>
    <cellStyle name="Input 2 3 5 2 4" xfId="9303" xr:uid="{00000000-0005-0000-0000-000023170000}"/>
    <cellStyle name="Input 2 3 5 3" xfId="13641" xr:uid="{00000000-0005-0000-0000-000024170000}"/>
    <cellStyle name="Input 2 3 5 4" xfId="13642" xr:uid="{00000000-0005-0000-0000-000025170000}"/>
    <cellStyle name="Input 2 3 5 5" xfId="4635" xr:uid="{00000000-0005-0000-0000-000026170000}"/>
    <cellStyle name="Input 2 3 6" xfId="13643" xr:uid="{00000000-0005-0000-0000-000027170000}"/>
    <cellStyle name="Input 2 3 6 2" xfId="13645" xr:uid="{00000000-0005-0000-0000-000028170000}"/>
    <cellStyle name="Input 2 3 6 3" xfId="13648" xr:uid="{00000000-0005-0000-0000-000029170000}"/>
    <cellStyle name="Input 2 3 6 4" xfId="13649" xr:uid="{00000000-0005-0000-0000-00002A170000}"/>
    <cellStyle name="Input 2 3 7" xfId="13650" xr:uid="{00000000-0005-0000-0000-00002B170000}"/>
    <cellStyle name="Input 2 3 8" xfId="13651" xr:uid="{00000000-0005-0000-0000-00002C170000}"/>
    <cellStyle name="Input 2 3 9" xfId="839" xr:uid="{00000000-0005-0000-0000-00002D170000}"/>
    <cellStyle name="Input 2 4" xfId="13605" xr:uid="{00000000-0005-0000-0000-00002E170000}"/>
    <cellStyle name="Input 2 4 2" xfId="744" xr:uid="{00000000-0005-0000-0000-00002F170000}"/>
    <cellStyle name="Input 2 4 2 2" xfId="13653" xr:uid="{00000000-0005-0000-0000-000030170000}"/>
    <cellStyle name="Input 2 4 2 2 2" xfId="8895" xr:uid="{00000000-0005-0000-0000-000031170000}"/>
    <cellStyle name="Input 2 4 2 2 2 2" xfId="13657" xr:uid="{00000000-0005-0000-0000-000032170000}"/>
    <cellStyle name="Input 2 4 2 2 2 2 2" xfId="13660" xr:uid="{00000000-0005-0000-0000-000033170000}"/>
    <cellStyle name="Input 2 4 2 2 2 2 2 2" xfId="9103" xr:uid="{00000000-0005-0000-0000-000034170000}"/>
    <cellStyle name="Input 2 4 2 2 2 2 2 3" xfId="13661" xr:uid="{00000000-0005-0000-0000-000035170000}"/>
    <cellStyle name="Input 2 4 2 2 2 2 2 4" xfId="446" xr:uid="{00000000-0005-0000-0000-000036170000}"/>
    <cellStyle name="Input 2 4 2 2 2 2 3" xfId="13665" xr:uid="{00000000-0005-0000-0000-000037170000}"/>
    <cellStyle name="Input 2 4 2 2 2 2 4" xfId="13667" xr:uid="{00000000-0005-0000-0000-000038170000}"/>
    <cellStyle name="Input 2 4 2 2 2 2 5" xfId="11726" xr:uid="{00000000-0005-0000-0000-000039170000}"/>
    <cellStyle name="Input 2 4 2 2 2 3" xfId="13668" xr:uid="{00000000-0005-0000-0000-00003A170000}"/>
    <cellStyle name="Input 2 4 2 2 2 3 2" xfId="13671" xr:uid="{00000000-0005-0000-0000-00003B170000}"/>
    <cellStyle name="Input 2 4 2 2 2 3 3" xfId="13673" xr:uid="{00000000-0005-0000-0000-00003C170000}"/>
    <cellStyle name="Input 2 4 2 2 2 3 4" xfId="13675" xr:uid="{00000000-0005-0000-0000-00003D170000}"/>
    <cellStyle name="Input 2 4 2 2 2 4" xfId="13676" xr:uid="{00000000-0005-0000-0000-00003E170000}"/>
    <cellStyle name="Input 2 4 2 2 2 5" xfId="13678" xr:uid="{00000000-0005-0000-0000-00003F170000}"/>
    <cellStyle name="Input 2 4 2 2 2 6" xfId="13681" xr:uid="{00000000-0005-0000-0000-000040170000}"/>
    <cellStyle name="Input 2 4 2 2 3" xfId="8901" xr:uid="{00000000-0005-0000-0000-000041170000}"/>
    <cellStyle name="Input 2 4 2 2 3 2" xfId="13684" xr:uid="{00000000-0005-0000-0000-000042170000}"/>
    <cellStyle name="Input 2 4 2 2 3 2 2" xfId="13685" xr:uid="{00000000-0005-0000-0000-000043170000}"/>
    <cellStyle name="Input 2 4 2 2 3 2 3" xfId="13687" xr:uid="{00000000-0005-0000-0000-000044170000}"/>
    <cellStyle name="Input 2 4 2 2 3 2 4" xfId="13689" xr:uid="{00000000-0005-0000-0000-000045170000}"/>
    <cellStyle name="Input 2 4 2 2 3 3" xfId="13690" xr:uid="{00000000-0005-0000-0000-000046170000}"/>
    <cellStyle name="Input 2 4 2 2 3 4" xfId="13691" xr:uid="{00000000-0005-0000-0000-000047170000}"/>
    <cellStyle name="Input 2 4 2 2 3 5" xfId="13693" xr:uid="{00000000-0005-0000-0000-000048170000}"/>
    <cellStyle name="Input 2 4 2 2 4" xfId="13695" xr:uid="{00000000-0005-0000-0000-000049170000}"/>
    <cellStyle name="Input 2 4 2 2 4 2" xfId="4132" xr:uid="{00000000-0005-0000-0000-00004A170000}"/>
    <cellStyle name="Input 2 4 2 2 4 3" xfId="5324" xr:uid="{00000000-0005-0000-0000-00004B170000}"/>
    <cellStyle name="Input 2 4 2 2 4 4" xfId="13697" xr:uid="{00000000-0005-0000-0000-00004C170000}"/>
    <cellStyle name="Input 2 4 2 2 5" xfId="13698" xr:uid="{00000000-0005-0000-0000-00004D170000}"/>
    <cellStyle name="Input 2 4 2 2 6" xfId="13699" xr:uid="{00000000-0005-0000-0000-00004E170000}"/>
    <cellStyle name="Input 2 4 2 2 7" xfId="11828" xr:uid="{00000000-0005-0000-0000-00004F170000}"/>
    <cellStyle name="Input 2 4 2 3" xfId="13700" xr:uid="{00000000-0005-0000-0000-000050170000}"/>
    <cellStyle name="Input 2 4 2 3 2" xfId="13706" xr:uid="{00000000-0005-0000-0000-000051170000}"/>
    <cellStyle name="Input 2 4 2 3 2 2" xfId="13707" xr:uid="{00000000-0005-0000-0000-000052170000}"/>
    <cellStyle name="Input 2 4 2 3 2 2 2" xfId="13549" xr:uid="{00000000-0005-0000-0000-000053170000}"/>
    <cellStyle name="Input 2 4 2 3 2 2 3" xfId="13553" xr:uid="{00000000-0005-0000-0000-000054170000}"/>
    <cellStyle name="Input 2 4 2 3 2 2 4" xfId="13710" xr:uid="{00000000-0005-0000-0000-000055170000}"/>
    <cellStyle name="Input 2 4 2 3 2 3" xfId="13711" xr:uid="{00000000-0005-0000-0000-000056170000}"/>
    <cellStyle name="Input 2 4 2 3 2 4" xfId="13712" xr:uid="{00000000-0005-0000-0000-000057170000}"/>
    <cellStyle name="Input 2 4 2 3 2 5" xfId="13714" xr:uid="{00000000-0005-0000-0000-000058170000}"/>
    <cellStyle name="Input 2 4 2 3 3" xfId="13718" xr:uid="{00000000-0005-0000-0000-000059170000}"/>
    <cellStyle name="Input 2 4 2 3 3 2" xfId="13720" xr:uid="{00000000-0005-0000-0000-00005A170000}"/>
    <cellStyle name="Input 2 4 2 3 3 3" xfId="13722" xr:uid="{00000000-0005-0000-0000-00005B170000}"/>
    <cellStyle name="Input 2 4 2 3 3 4" xfId="13723" xr:uid="{00000000-0005-0000-0000-00005C170000}"/>
    <cellStyle name="Input 2 4 2 3 4" xfId="13725" xr:uid="{00000000-0005-0000-0000-00005D170000}"/>
    <cellStyle name="Input 2 4 2 3 5" xfId="13727" xr:uid="{00000000-0005-0000-0000-00005E170000}"/>
    <cellStyle name="Input 2 4 2 3 6" xfId="13729" xr:uid="{00000000-0005-0000-0000-00005F170000}"/>
    <cellStyle name="Input 2 4 2 4" xfId="13730" xr:uid="{00000000-0005-0000-0000-000060170000}"/>
    <cellStyle name="Input 2 4 2 4 2" xfId="13732" xr:uid="{00000000-0005-0000-0000-000061170000}"/>
    <cellStyle name="Input 2 4 2 4 2 2" xfId="13733" xr:uid="{00000000-0005-0000-0000-000062170000}"/>
    <cellStyle name="Input 2 4 2 4 2 3" xfId="13734" xr:uid="{00000000-0005-0000-0000-000063170000}"/>
    <cellStyle name="Input 2 4 2 4 2 4" xfId="13735" xr:uid="{00000000-0005-0000-0000-000064170000}"/>
    <cellStyle name="Input 2 4 2 4 3" xfId="13737" xr:uid="{00000000-0005-0000-0000-000065170000}"/>
    <cellStyle name="Input 2 4 2 4 4" xfId="13738" xr:uid="{00000000-0005-0000-0000-000066170000}"/>
    <cellStyle name="Input 2 4 2 4 5" xfId="13740" xr:uid="{00000000-0005-0000-0000-000067170000}"/>
    <cellStyle name="Input 2 4 2 5" xfId="13741" xr:uid="{00000000-0005-0000-0000-000068170000}"/>
    <cellStyle name="Input 2 4 2 5 2" xfId="12113" xr:uid="{00000000-0005-0000-0000-000069170000}"/>
    <cellStyle name="Input 2 4 2 5 3" xfId="13743" xr:uid="{00000000-0005-0000-0000-00006A170000}"/>
    <cellStyle name="Input 2 4 2 5 4" xfId="13750" xr:uid="{00000000-0005-0000-0000-00006B170000}"/>
    <cellStyle name="Input 2 4 2 6" xfId="13754" xr:uid="{00000000-0005-0000-0000-00006C170000}"/>
    <cellStyle name="Input 2 4 2 7" xfId="13756" xr:uid="{00000000-0005-0000-0000-00006D170000}"/>
    <cellStyle name="Input 2 4 2 8" xfId="13758" xr:uid="{00000000-0005-0000-0000-00006E170000}"/>
    <cellStyle name="Input 2 4 3" xfId="2531" xr:uid="{00000000-0005-0000-0000-00006F170000}"/>
    <cellStyle name="Input 2 4 3 2" xfId="13759" xr:uid="{00000000-0005-0000-0000-000070170000}"/>
    <cellStyle name="Input 2 4 3 2 2" xfId="11049" xr:uid="{00000000-0005-0000-0000-000071170000}"/>
    <cellStyle name="Input 2 4 3 2 2 2" xfId="6426" xr:uid="{00000000-0005-0000-0000-000072170000}"/>
    <cellStyle name="Input 2 4 3 2 2 2 2" xfId="3474" xr:uid="{00000000-0005-0000-0000-000073170000}"/>
    <cellStyle name="Input 2 4 3 2 2 2 3" xfId="13762" xr:uid="{00000000-0005-0000-0000-000074170000}"/>
    <cellStyle name="Input 2 4 3 2 2 2 4" xfId="13765" xr:uid="{00000000-0005-0000-0000-000075170000}"/>
    <cellStyle name="Input 2 4 3 2 2 3" xfId="1330" xr:uid="{00000000-0005-0000-0000-000076170000}"/>
    <cellStyle name="Input 2 4 3 2 2 4" xfId="1376" xr:uid="{00000000-0005-0000-0000-000077170000}"/>
    <cellStyle name="Input 2 4 3 2 2 5" xfId="13767" xr:uid="{00000000-0005-0000-0000-000078170000}"/>
    <cellStyle name="Input 2 4 3 2 3" xfId="11053" xr:uid="{00000000-0005-0000-0000-000079170000}"/>
    <cellStyle name="Input 2 4 3 2 3 2" xfId="6466" xr:uid="{00000000-0005-0000-0000-00007A170000}"/>
    <cellStyle name="Input 2 4 3 2 3 3" xfId="6472" xr:uid="{00000000-0005-0000-0000-00007B170000}"/>
    <cellStyle name="Input 2 4 3 2 3 4" xfId="13769" xr:uid="{00000000-0005-0000-0000-00007C170000}"/>
    <cellStyle name="Input 2 4 3 2 4" xfId="13770" xr:uid="{00000000-0005-0000-0000-00007D170000}"/>
    <cellStyle name="Input 2 4 3 2 5" xfId="13771" xr:uid="{00000000-0005-0000-0000-00007E170000}"/>
    <cellStyle name="Input 2 4 3 2 6" xfId="13773" xr:uid="{00000000-0005-0000-0000-00007F170000}"/>
    <cellStyle name="Input 2 4 3 3" xfId="13774" xr:uid="{00000000-0005-0000-0000-000080170000}"/>
    <cellStyle name="Input 2 4 3 3 2" xfId="93" xr:uid="{00000000-0005-0000-0000-000081170000}"/>
    <cellStyle name="Input 2 4 3 3 2 2" xfId="2271" xr:uid="{00000000-0005-0000-0000-000082170000}"/>
    <cellStyle name="Input 2 4 3 3 2 3" xfId="2276" xr:uid="{00000000-0005-0000-0000-000083170000}"/>
    <cellStyle name="Input 2 4 3 3 2 4" xfId="13775" xr:uid="{00000000-0005-0000-0000-000084170000}"/>
    <cellStyle name="Input 2 4 3 3 3" xfId="525" xr:uid="{00000000-0005-0000-0000-000085170000}"/>
    <cellStyle name="Input 2 4 3 3 4" xfId="584" xr:uid="{00000000-0005-0000-0000-000086170000}"/>
    <cellStyle name="Input 2 4 3 3 5" xfId="13777" xr:uid="{00000000-0005-0000-0000-000087170000}"/>
    <cellStyle name="Input 2 4 3 4" xfId="13778" xr:uid="{00000000-0005-0000-0000-000088170000}"/>
    <cellStyle name="Input 2 4 3 4 2" xfId="2704" xr:uid="{00000000-0005-0000-0000-000089170000}"/>
    <cellStyle name="Input 2 4 3 4 3" xfId="2721" xr:uid="{00000000-0005-0000-0000-00008A170000}"/>
    <cellStyle name="Input 2 4 3 4 4" xfId="13779" xr:uid="{00000000-0005-0000-0000-00008B170000}"/>
    <cellStyle name="Input 2 4 3 5" xfId="13780" xr:uid="{00000000-0005-0000-0000-00008C170000}"/>
    <cellStyle name="Input 2 4 3 6" xfId="13783" xr:uid="{00000000-0005-0000-0000-00008D170000}"/>
    <cellStyle name="Input 2 4 3 7" xfId="13786" xr:uid="{00000000-0005-0000-0000-00008E170000}"/>
    <cellStyle name="Input 2 4 4" xfId="6357" xr:uid="{00000000-0005-0000-0000-00008F170000}"/>
    <cellStyle name="Input 2 4 4 2" xfId="13787" xr:uid="{00000000-0005-0000-0000-000090170000}"/>
    <cellStyle name="Input 2 4 4 2 2" xfId="11149" xr:uid="{00000000-0005-0000-0000-000091170000}"/>
    <cellStyle name="Input 2 4 4 2 2 2" xfId="6690" xr:uid="{00000000-0005-0000-0000-000092170000}"/>
    <cellStyle name="Input 2 4 4 2 2 3" xfId="10046" xr:uid="{00000000-0005-0000-0000-000093170000}"/>
    <cellStyle name="Input 2 4 4 2 2 4" xfId="10048" xr:uid="{00000000-0005-0000-0000-000094170000}"/>
    <cellStyle name="Input 2 4 4 2 3" xfId="13788" xr:uid="{00000000-0005-0000-0000-000095170000}"/>
    <cellStyle name="Input 2 4 4 2 4" xfId="13789" xr:uid="{00000000-0005-0000-0000-000096170000}"/>
    <cellStyle name="Input 2 4 4 2 5" xfId="13790" xr:uid="{00000000-0005-0000-0000-000097170000}"/>
    <cellStyle name="Input 2 4 4 3" xfId="13791" xr:uid="{00000000-0005-0000-0000-000098170000}"/>
    <cellStyle name="Input 2 4 4 3 2" xfId="2857" xr:uid="{00000000-0005-0000-0000-000099170000}"/>
    <cellStyle name="Input 2 4 4 3 3" xfId="2871" xr:uid="{00000000-0005-0000-0000-00009A170000}"/>
    <cellStyle name="Input 2 4 4 3 4" xfId="13792" xr:uid="{00000000-0005-0000-0000-00009B170000}"/>
    <cellStyle name="Input 2 4 4 4" xfId="13793" xr:uid="{00000000-0005-0000-0000-00009C170000}"/>
    <cellStyle name="Input 2 4 4 5" xfId="13004" xr:uid="{00000000-0005-0000-0000-00009D170000}"/>
    <cellStyle name="Input 2 4 4 6" xfId="13011" xr:uid="{00000000-0005-0000-0000-00009E170000}"/>
    <cellStyle name="Input 2 4 5" xfId="7556" xr:uid="{00000000-0005-0000-0000-00009F170000}"/>
    <cellStyle name="Input 2 4 5 2" xfId="11775" xr:uid="{00000000-0005-0000-0000-0000A0170000}"/>
    <cellStyle name="Input 2 4 5 2 2" xfId="13795" xr:uid="{00000000-0005-0000-0000-0000A1170000}"/>
    <cellStyle name="Input 2 4 5 2 3" xfId="13796" xr:uid="{00000000-0005-0000-0000-0000A2170000}"/>
    <cellStyle name="Input 2 4 5 2 4" xfId="1553" xr:uid="{00000000-0005-0000-0000-0000A3170000}"/>
    <cellStyle name="Input 2 4 5 3" xfId="13797" xr:uid="{00000000-0005-0000-0000-0000A4170000}"/>
    <cellStyle name="Input 2 4 5 4" xfId="13799" xr:uid="{00000000-0005-0000-0000-0000A5170000}"/>
    <cellStyle name="Input 2 4 5 5" xfId="13803" xr:uid="{00000000-0005-0000-0000-0000A6170000}"/>
    <cellStyle name="Input 2 4 6" xfId="11677" xr:uid="{00000000-0005-0000-0000-0000A7170000}"/>
    <cellStyle name="Input 2 4 6 2" xfId="10639" xr:uid="{00000000-0005-0000-0000-0000A8170000}"/>
    <cellStyle name="Input 2 4 6 3" xfId="13808" xr:uid="{00000000-0005-0000-0000-0000A9170000}"/>
    <cellStyle name="Input 2 4 6 4" xfId="13812" xr:uid="{00000000-0005-0000-0000-0000AA170000}"/>
    <cellStyle name="Input 2 4 7" xfId="11679" xr:uid="{00000000-0005-0000-0000-0000AB170000}"/>
    <cellStyle name="Input 2 4 8" xfId="11681" xr:uid="{00000000-0005-0000-0000-0000AC170000}"/>
    <cellStyle name="Input 2 4 9" xfId="358" xr:uid="{00000000-0005-0000-0000-0000AD170000}"/>
    <cellStyle name="Input 2 5" xfId="13607" xr:uid="{00000000-0005-0000-0000-0000AE170000}"/>
    <cellStyle name="Input 2 5 2" xfId="633" xr:uid="{00000000-0005-0000-0000-0000AF170000}"/>
    <cellStyle name="Input 2 5 2 2" xfId="13816" xr:uid="{00000000-0005-0000-0000-0000B0170000}"/>
    <cellStyle name="Input 2 5 2 2 2" xfId="13817" xr:uid="{00000000-0005-0000-0000-0000B1170000}"/>
    <cellStyle name="Input 2 5 2 2 2 2" xfId="13818" xr:uid="{00000000-0005-0000-0000-0000B2170000}"/>
    <cellStyle name="Input 2 5 2 2 2 2 2" xfId="13819" xr:uid="{00000000-0005-0000-0000-0000B3170000}"/>
    <cellStyle name="Input 2 5 2 2 2 2 3" xfId="11583" xr:uid="{00000000-0005-0000-0000-0000B4170000}"/>
    <cellStyle name="Input 2 5 2 2 2 2 4" xfId="11585" xr:uid="{00000000-0005-0000-0000-0000B5170000}"/>
    <cellStyle name="Input 2 5 2 2 2 3" xfId="13820" xr:uid="{00000000-0005-0000-0000-0000B6170000}"/>
    <cellStyle name="Input 2 5 2 2 2 4" xfId="13821" xr:uid="{00000000-0005-0000-0000-0000B7170000}"/>
    <cellStyle name="Input 2 5 2 2 2 5" xfId="13823" xr:uid="{00000000-0005-0000-0000-0000B8170000}"/>
    <cellStyle name="Input 2 5 2 2 3" xfId="13825" xr:uid="{00000000-0005-0000-0000-0000B9170000}"/>
    <cellStyle name="Input 2 5 2 2 3 2" xfId="13826" xr:uid="{00000000-0005-0000-0000-0000BA170000}"/>
    <cellStyle name="Input 2 5 2 2 3 3" xfId="13827" xr:uid="{00000000-0005-0000-0000-0000BB170000}"/>
    <cellStyle name="Input 2 5 2 2 3 4" xfId="13828" xr:uid="{00000000-0005-0000-0000-0000BC170000}"/>
    <cellStyle name="Input 2 5 2 2 4" xfId="13829" xr:uid="{00000000-0005-0000-0000-0000BD170000}"/>
    <cellStyle name="Input 2 5 2 2 5" xfId="13830" xr:uid="{00000000-0005-0000-0000-0000BE170000}"/>
    <cellStyle name="Input 2 5 2 2 6" xfId="13832" xr:uid="{00000000-0005-0000-0000-0000BF170000}"/>
    <cellStyle name="Input 2 5 2 3" xfId="13833" xr:uid="{00000000-0005-0000-0000-0000C0170000}"/>
    <cellStyle name="Input 2 5 2 3 2" xfId="13835" xr:uid="{00000000-0005-0000-0000-0000C1170000}"/>
    <cellStyle name="Input 2 5 2 3 2 2" xfId="2225" xr:uid="{00000000-0005-0000-0000-0000C2170000}"/>
    <cellStyle name="Input 2 5 2 3 2 3" xfId="13836" xr:uid="{00000000-0005-0000-0000-0000C3170000}"/>
    <cellStyle name="Input 2 5 2 3 2 4" xfId="13837" xr:uid="{00000000-0005-0000-0000-0000C4170000}"/>
    <cellStyle name="Input 2 5 2 3 3" xfId="13839" xr:uid="{00000000-0005-0000-0000-0000C5170000}"/>
    <cellStyle name="Input 2 5 2 3 4" xfId="13841" xr:uid="{00000000-0005-0000-0000-0000C6170000}"/>
    <cellStyle name="Input 2 5 2 3 5" xfId="13844" xr:uid="{00000000-0005-0000-0000-0000C7170000}"/>
    <cellStyle name="Input 2 5 2 4" xfId="13846" xr:uid="{00000000-0005-0000-0000-0000C8170000}"/>
    <cellStyle name="Input 2 5 2 4 2" xfId="13847" xr:uid="{00000000-0005-0000-0000-0000C9170000}"/>
    <cellStyle name="Input 2 5 2 4 3" xfId="13848" xr:uid="{00000000-0005-0000-0000-0000CA170000}"/>
    <cellStyle name="Input 2 5 2 4 4" xfId="13849" xr:uid="{00000000-0005-0000-0000-0000CB170000}"/>
    <cellStyle name="Input 2 5 2 5" xfId="13850" xr:uid="{00000000-0005-0000-0000-0000CC170000}"/>
    <cellStyle name="Input 2 5 2 6" xfId="13852" xr:uid="{00000000-0005-0000-0000-0000CD170000}"/>
    <cellStyle name="Input 2 5 2 7" xfId="13069" xr:uid="{00000000-0005-0000-0000-0000CE170000}"/>
    <cellStyle name="Input 2 5 3" xfId="6374" xr:uid="{00000000-0005-0000-0000-0000CF170000}"/>
    <cellStyle name="Input 2 5 3 2" xfId="13853" xr:uid="{00000000-0005-0000-0000-0000D0170000}"/>
    <cellStyle name="Input 2 5 3 2 2" xfId="11245" xr:uid="{00000000-0005-0000-0000-0000D1170000}"/>
    <cellStyle name="Input 2 5 3 2 2 2" xfId="7526" xr:uid="{00000000-0005-0000-0000-0000D2170000}"/>
    <cellStyle name="Input 2 5 3 2 2 3" xfId="7533" xr:uid="{00000000-0005-0000-0000-0000D3170000}"/>
    <cellStyle name="Input 2 5 3 2 2 4" xfId="7540" xr:uid="{00000000-0005-0000-0000-0000D4170000}"/>
    <cellStyle name="Input 2 5 3 2 3" xfId="13854" xr:uid="{00000000-0005-0000-0000-0000D5170000}"/>
    <cellStyle name="Input 2 5 3 2 4" xfId="13856" xr:uid="{00000000-0005-0000-0000-0000D6170000}"/>
    <cellStyle name="Input 2 5 3 2 5" xfId="11836" xr:uid="{00000000-0005-0000-0000-0000D7170000}"/>
    <cellStyle name="Input 2 5 3 3" xfId="13857" xr:uid="{00000000-0005-0000-0000-0000D8170000}"/>
    <cellStyle name="Input 2 5 3 3 2" xfId="5067" xr:uid="{00000000-0005-0000-0000-0000D9170000}"/>
    <cellStyle name="Input 2 5 3 3 3" xfId="5074" xr:uid="{00000000-0005-0000-0000-0000DA170000}"/>
    <cellStyle name="Input 2 5 3 3 4" xfId="13860" xr:uid="{00000000-0005-0000-0000-0000DB170000}"/>
    <cellStyle name="Input 2 5 3 4" xfId="13861" xr:uid="{00000000-0005-0000-0000-0000DC170000}"/>
    <cellStyle name="Input 2 5 3 5" xfId="13862" xr:uid="{00000000-0005-0000-0000-0000DD170000}"/>
    <cellStyle name="Input 2 5 3 6" xfId="13863" xr:uid="{00000000-0005-0000-0000-0000DE170000}"/>
    <cellStyle name="Input 2 5 4" xfId="12414" xr:uid="{00000000-0005-0000-0000-0000DF170000}"/>
    <cellStyle name="Input 2 5 4 2" xfId="11568" xr:uid="{00000000-0005-0000-0000-0000E0170000}"/>
    <cellStyle name="Input 2 5 4 2 2" xfId="13864" xr:uid="{00000000-0005-0000-0000-0000E1170000}"/>
    <cellStyle name="Input 2 5 4 2 3" xfId="13865" xr:uid="{00000000-0005-0000-0000-0000E2170000}"/>
    <cellStyle name="Input 2 5 4 2 4" xfId="13868" xr:uid="{00000000-0005-0000-0000-0000E3170000}"/>
    <cellStyle name="Input 2 5 4 3" xfId="13869" xr:uid="{00000000-0005-0000-0000-0000E4170000}"/>
    <cellStyle name="Input 2 5 4 4" xfId="13870" xr:uid="{00000000-0005-0000-0000-0000E5170000}"/>
    <cellStyle name="Input 2 5 4 5" xfId="13873" xr:uid="{00000000-0005-0000-0000-0000E6170000}"/>
    <cellStyle name="Input 2 5 5" xfId="12420" xr:uid="{00000000-0005-0000-0000-0000E7170000}"/>
    <cellStyle name="Input 2 5 5 2" xfId="13875" xr:uid="{00000000-0005-0000-0000-0000E8170000}"/>
    <cellStyle name="Input 2 5 5 3" xfId="13876" xr:uid="{00000000-0005-0000-0000-0000E9170000}"/>
    <cellStyle name="Input 2 5 5 4" xfId="13878" xr:uid="{00000000-0005-0000-0000-0000EA170000}"/>
    <cellStyle name="Input 2 5 6" xfId="7020" xr:uid="{00000000-0005-0000-0000-0000EB170000}"/>
    <cellStyle name="Input 2 5 7" xfId="6480" xr:uid="{00000000-0005-0000-0000-0000EC170000}"/>
    <cellStyle name="Input 2 5 8" xfId="6493" xr:uid="{00000000-0005-0000-0000-0000ED170000}"/>
    <cellStyle name="Input 2 6" xfId="13609" xr:uid="{00000000-0005-0000-0000-0000EE170000}"/>
    <cellStyle name="Input 2 6 2" xfId="13881" xr:uid="{00000000-0005-0000-0000-0000EF170000}"/>
    <cellStyle name="Input 2 6 2 2" xfId="13882" xr:uid="{00000000-0005-0000-0000-0000F0170000}"/>
    <cellStyle name="Input 2 6 2 2 2" xfId="13884" xr:uid="{00000000-0005-0000-0000-0000F1170000}"/>
    <cellStyle name="Input 2 6 2 2 2 2" xfId="13887" xr:uid="{00000000-0005-0000-0000-0000F2170000}"/>
    <cellStyle name="Input 2 6 2 2 2 3" xfId="13889" xr:uid="{00000000-0005-0000-0000-0000F3170000}"/>
    <cellStyle name="Input 2 6 2 2 2 4" xfId="13892" xr:uid="{00000000-0005-0000-0000-0000F4170000}"/>
    <cellStyle name="Input 2 6 2 2 3" xfId="13894" xr:uid="{00000000-0005-0000-0000-0000F5170000}"/>
    <cellStyle name="Input 2 6 2 2 4" xfId="13896" xr:uid="{00000000-0005-0000-0000-0000F6170000}"/>
    <cellStyle name="Input 2 6 2 2 5" xfId="13898" xr:uid="{00000000-0005-0000-0000-0000F7170000}"/>
    <cellStyle name="Input 2 6 2 3" xfId="13899" xr:uid="{00000000-0005-0000-0000-0000F8170000}"/>
    <cellStyle name="Input 2 6 2 3 2" xfId="333" xr:uid="{00000000-0005-0000-0000-0000F9170000}"/>
    <cellStyle name="Input 2 6 2 3 3" xfId="3126" xr:uid="{00000000-0005-0000-0000-0000FA170000}"/>
    <cellStyle name="Input 2 6 2 3 4" xfId="2484" xr:uid="{00000000-0005-0000-0000-0000FB170000}"/>
    <cellStyle name="Input 2 6 2 4" xfId="13900" xr:uid="{00000000-0005-0000-0000-0000FC170000}"/>
    <cellStyle name="Input 2 6 2 5" xfId="13901" xr:uid="{00000000-0005-0000-0000-0000FD170000}"/>
    <cellStyle name="Input 2 6 2 6" xfId="13902" xr:uid="{00000000-0005-0000-0000-0000FE170000}"/>
    <cellStyle name="Input 2 6 3" xfId="13904" xr:uid="{00000000-0005-0000-0000-0000FF170000}"/>
    <cellStyle name="Input 2 6 3 2" xfId="13905" xr:uid="{00000000-0005-0000-0000-000000180000}"/>
    <cellStyle name="Input 2 6 3 2 2" xfId="13908" xr:uid="{00000000-0005-0000-0000-000001180000}"/>
    <cellStyle name="Input 2 6 3 2 3" xfId="13911" xr:uid="{00000000-0005-0000-0000-000002180000}"/>
    <cellStyle name="Input 2 6 3 2 4" xfId="13915" xr:uid="{00000000-0005-0000-0000-000003180000}"/>
    <cellStyle name="Input 2 6 3 3" xfId="13917" xr:uid="{00000000-0005-0000-0000-000004180000}"/>
    <cellStyle name="Input 2 6 3 4" xfId="13919" xr:uid="{00000000-0005-0000-0000-000005180000}"/>
    <cellStyle name="Input 2 6 3 5" xfId="13921" xr:uid="{00000000-0005-0000-0000-000006180000}"/>
    <cellStyle name="Input 2 6 4" xfId="13923" xr:uid="{00000000-0005-0000-0000-000007180000}"/>
    <cellStyle name="Input 2 6 4 2" xfId="13924" xr:uid="{00000000-0005-0000-0000-000008180000}"/>
    <cellStyle name="Input 2 6 4 3" xfId="13926" xr:uid="{00000000-0005-0000-0000-000009180000}"/>
    <cellStyle name="Input 2 6 4 4" xfId="13930" xr:uid="{00000000-0005-0000-0000-00000A180000}"/>
    <cellStyle name="Input 2 6 5" xfId="13932" xr:uid="{00000000-0005-0000-0000-00000B180000}"/>
    <cellStyle name="Input 2 6 6" xfId="7033" xr:uid="{00000000-0005-0000-0000-00000C180000}"/>
    <cellStyle name="Input 2 6 7" xfId="6505" xr:uid="{00000000-0005-0000-0000-00000D180000}"/>
    <cellStyle name="Input 2 7" xfId="13938" xr:uid="{00000000-0005-0000-0000-00000E180000}"/>
    <cellStyle name="Input 2 7 2" xfId="13939" xr:uid="{00000000-0005-0000-0000-00000F180000}"/>
    <cellStyle name="Input 2 7 2 2" xfId="13940" xr:uid="{00000000-0005-0000-0000-000010180000}"/>
    <cellStyle name="Input 2 7 2 2 2" xfId="13941" xr:uid="{00000000-0005-0000-0000-000011180000}"/>
    <cellStyle name="Input 2 7 2 2 3" xfId="13942" xr:uid="{00000000-0005-0000-0000-000012180000}"/>
    <cellStyle name="Input 2 7 2 2 4" xfId="6208" xr:uid="{00000000-0005-0000-0000-000013180000}"/>
    <cellStyle name="Input 2 7 2 3" xfId="13943" xr:uid="{00000000-0005-0000-0000-000014180000}"/>
    <cellStyle name="Input 2 7 2 4" xfId="13945" xr:uid="{00000000-0005-0000-0000-000015180000}"/>
    <cellStyle name="Input 2 7 2 5" xfId="13948" xr:uid="{00000000-0005-0000-0000-000016180000}"/>
    <cellStyle name="Input 2 7 3" xfId="13949" xr:uid="{00000000-0005-0000-0000-000017180000}"/>
    <cellStyle name="Input 2 7 3 2" xfId="13950" xr:uid="{00000000-0005-0000-0000-000018180000}"/>
    <cellStyle name="Input 2 7 3 3" xfId="13952" xr:uid="{00000000-0005-0000-0000-000019180000}"/>
    <cellStyle name="Input 2 7 3 4" xfId="13955" xr:uid="{00000000-0005-0000-0000-00001A180000}"/>
    <cellStyle name="Input 2 7 4" xfId="13957" xr:uid="{00000000-0005-0000-0000-00001B180000}"/>
    <cellStyle name="Input 2 7 5" xfId="13958" xr:uid="{00000000-0005-0000-0000-00001C180000}"/>
    <cellStyle name="Input 2 7 6" xfId="13959" xr:uid="{00000000-0005-0000-0000-00001D180000}"/>
    <cellStyle name="Input 2 8" xfId="13966" xr:uid="{00000000-0005-0000-0000-00001E180000}"/>
    <cellStyle name="Input 2 8 2" xfId="13967" xr:uid="{00000000-0005-0000-0000-00001F180000}"/>
    <cellStyle name="Input 2 8 2 2" xfId="5615" xr:uid="{00000000-0005-0000-0000-000020180000}"/>
    <cellStyle name="Input 2 8 2 3" xfId="5619" xr:uid="{00000000-0005-0000-0000-000021180000}"/>
    <cellStyle name="Input 2 8 2 4" xfId="5627" xr:uid="{00000000-0005-0000-0000-000022180000}"/>
    <cellStyle name="Input 2 8 3" xfId="13968" xr:uid="{00000000-0005-0000-0000-000023180000}"/>
    <cellStyle name="Input 2 8 4" xfId="13969" xr:uid="{00000000-0005-0000-0000-000024180000}"/>
    <cellStyle name="Input 2 8 5" xfId="13970" xr:uid="{00000000-0005-0000-0000-000025180000}"/>
    <cellStyle name="Input 2 9" xfId="13975" xr:uid="{00000000-0005-0000-0000-000026180000}"/>
    <cellStyle name="Input 2 9 2" xfId="13976" xr:uid="{00000000-0005-0000-0000-000027180000}"/>
    <cellStyle name="Input 2 9 3" xfId="13977" xr:uid="{00000000-0005-0000-0000-000028180000}"/>
    <cellStyle name="Input 2 9 4" xfId="13978" xr:uid="{00000000-0005-0000-0000-000029180000}"/>
    <cellStyle name="Input 3" xfId="13612" xr:uid="{00000000-0005-0000-0000-00002A180000}"/>
    <cellStyle name="Input 3 10" xfId="13982" xr:uid="{00000000-0005-0000-0000-00002B180000}"/>
    <cellStyle name="Input 3 11" xfId="13986" xr:uid="{00000000-0005-0000-0000-00002C180000}"/>
    <cellStyle name="Input 3 12" xfId="13989" xr:uid="{00000000-0005-0000-0000-00002D180000}"/>
    <cellStyle name="Input 3 13" xfId="1511" xr:uid="{00000000-0005-0000-0000-00002E180000}"/>
    <cellStyle name="Input 3 2" xfId="4839" xr:uid="{00000000-0005-0000-0000-00002F180000}"/>
    <cellStyle name="Input 3 2 10" xfId="8263" xr:uid="{00000000-0005-0000-0000-000030180000}"/>
    <cellStyle name="Input 3 2 11" xfId="8268" xr:uid="{00000000-0005-0000-0000-000031180000}"/>
    <cellStyle name="Input 3 2 12" xfId="8273" xr:uid="{00000000-0005-0000-0000-000032180000}"/>
    <cellStyle name="Input 3 2 2" xfId="3768" xr:uid="{00000000-0005-0000-0000-000033180000}"/>
    <cellStyle name="Input 3 2 2 2" xfId="13246" xr:uid="{00000000-0005-0000-0000-000034180000}"/>
    <cellStyle name="Input 3 2 2 2 2" xfId="10766" xr:uid="{00000000-0005-0000-0000-000035180000}"/>
    <cellStyle name="Input 3 2 2 2 2 2" xfId="13990" xr:uid="{00000000-0005-0000-0000-000036180000}"/>
    <cellStyle name="Input 3 2 2 2 2 2 2" xfId="8976" xr:uid="{00000000-0005-0000-0000-000037180000}"/>
    <cellStyle name="Input 3 2 2 2 2 2 2 2" xfId="7265" xr:uid="{00000000-0005-0000-0000-000038180000}"/>
    <cellStyle name="Input 3 2 2 2 2 2 2 2 2" xfId="8980" xr:uid="{00000000-0005-0000-0000-000039180000}"/>
    <cellStyle name="Input 3 2 2 2 2 2 2 2 3" xfId="9066" xr:uid="{00000000-0005-0000-0000-00003A180000}"/>
    <cellStyle name="Input 3 2 2 2 2 2 2 2 4" xfId="9085" xr:uid="{00000000-0005-0000-0000-00003B180000}"/>
    <cellStyle name="Input 3 2 2 2 2 2 2 3" xfId="9112" xr:uid="{00000000-0005-0000-0000-00003C180000}"/>
    <cellStyle name="Input 3 2 2 2 2 2 2 4" xfId="9142" xr:uid="{00000000-0005-0000-0000-00003D180000}"/>
    <cellStyle name="Input 3 2 2 2 2 2 2 5" xfId="9157" xr:uid="{00000000-0005-0000-0000-00003E180000}"/>
    <cellStyle name="Input 3 2 2 2 2 2 3" xfId="9175" xr:uid="{00000000-0005-0000-0000-00003F180000}"/>
    <cellStyle name="Input 3 2 2 2 2 2 3 2" xfId="9180" xr:uid="{00000000-0005-0000-0000-000040180000}"/>
    <cellStyle name="Input 3 2 2 2 2 2 3 3" xfId="9350" xr:uid="{00000000-0005-0000-0000-000041180000}"/>
    <cellStyle name="Input 3 2 2 2 2 2 3 4" xfId="9377" xr:uid="{00000000-0005-0000-0000-000042180000}"/>
    <cellStyle name="Input 3 2 2 2 2 2 4" xfId="9432" xr:uid="{00000000-0005-0000-0000-000043180000}"/>
    <cellStyle name="Input 3 2 2 2 2 2 5" xfId="9519" xr:uid="{00000000-0005-0000-0000-000044180000}"/>
    <cellStyle name="Input 3 2 2 2 2 2 6" xfId="9573" xr:uid="{00000000-0005-0000-0000-000045180000}"/>
    <cellStyle name="Input 3 2 2 2 2 3" xfId="13991" xr:uid="{00000000-0005-0000-0000-000046180000}"/>
    <cellStyle name="Input 3 2 2 2 2 3 2" xfId="6579" xr:uid="{00000000-0005-0000-0000-000047180000}"/>
    <cellStyle name="Input 3 2 2 2 2 3 2 2" xfId="3495" xr:uid="{00000000-0005-0000-0000-000048180000}"/>
    <cellStyle name="Input 3 2 2 2 2 3 2 3" xfId="3606" xr:uid="{00000000-0005-0000-0000-000049180000}"/>
    <cellStyle name="Input 3 2 2 2 2 3 2 4" xfId="1415" xr:uid="{00000000-0005-0000-0000-00004A180000}"/>
    <cellStyle name="Input 3 2 2 2 2 3 3" xfId="6583" xr:uid="{00000000-0005-0000-0000-00004B180000}"/>
    <cellStyle name="Input 3 2 2 2 2 3 4" xfId="7695" xr:uid="{00000000-0005-0000-0000-00004C180000}"/>
    <cellStyle name="Input 3 2 2 2 2 3 5" xfId="9145" xr:uid="{00000000-0005-0000-0000-00004D180000}"/>
    <cellStyle name="Input 3 2 2 2 2 4" xfId="13993" xr:uid="{00000000-0005-0000-0000-00004E180000}"/>
    <cellStyle name="Input 3 2 2 2 2 4 2" xfId="11373" xr:uid="{00000000-0005-0000-0000-00004F180000}"/>
    <cellStyle name="Input 3 2 2 2 2 4 3" xfId="11631" xr:uid="{00000000-0005-0000-0000-000050180000}"/>
    <cellStyle name="Input 3 2 2 2 2 4 4" xfId="11740" xr:uid="{00000000-0005-0000-0000-000051180000}"/>
    <cellStyle name="Input 3 2 2 2 2 5" xfId="13997" xr:uid="{00000000-0005-0000-0000-000052180000}"/>
    <cellStyle name="Input 3 2 2 2 2 6" xfId="14002" xr:uid="{00000000-0005-0000-0000-000053180000}"/>
    <cellStyle name="Input 3 2 2 2 2 7" xfId="14007" xr:uid="{00000000-0005-0000-0000-000054180000}"/>
    <cellStyle name="Input 3 2 2 2 3" xfId="10769" xr:uid="{00000000-0005-0000-0000-000055180000}"/>
    <cellStyle name="Input 3 2 2 2 3 2" xfId="14012" xr:uid="{00000000-0005-0000-0000-000056180000}"/>
    <cellStyle name="Input 3 2 2 2 3 2 2" xfId="14013" xr:uid="{00000000-0005-0000-0000-000057180000}"/>
    <cellStyle name="Input 3 2 2 2 3 2 2 2" xfId="14014" xr:uid="{00000000-0005-0000-0000-000058180000}"/>
    <cellStyle name="Input 3 2 2 2 3 2 2 3" xfId="14015" xr:uid="{00000000-0005-0000-0000-000059180000}"/>
    <cellStyle name="Input 3 2 2 2 3 2 2 4" xfId="14017" xr:uid="{00000000-0005-0000-0000-00005A180000}"/>
    <cellStyle name="Input 3 2 2 2 3 2 3" xfId="14018" xr:uid="{00000000-0005-0000-0000-00005B180000}"/>
    <cellStyle name="Input 3 2 2 2 3 2 4" xfId="14020" xr:uid="{00000000-0005-0000-0000-00005C180000}"/>
    <cellStyle name="Input 3 2 2 2 3 2 5" xfId="14022" xr:uid="{00000000-0005-0000-0000-00005D180000}"/>
    <cellStyle name="Input 3 2 2 2 3 3" xfId="14024" xr:uid="{00000000-0005-0000-0000-00005E180000}"/>
    <cellStyle name="Input 3 2 2 2 3 3 2" xfId="5183" xr:uid="{00000000-0005-0000-0000-00005F180000}"/>
    <cellStyle name="Input 3 2 2 2 3 3 3" xfId="5195" xr:uid="{00000000-0005-0000-0000-000060180000}"/>
    <cellStyle name="Input 3 2 2 2 3 3 4" xfId="5198" xr:uid="{00000000-0005-0000-0000-000061180000}"/>
    <cellStyle name="Input 3 2 2 2 3 4" xfId="14026" xr:uid="{00000000-0005-0000-0000-000062180000}"/>
    <cellStyle name="Input 3 2 2 2 3 5" xfId="14030" xr:uid="{00000000-0005-0000-0000-000063180000}"/>
    <cellStyle name="Input 3 2 2 2 3 6" xfId="14035" xr:uid="{00000000-0005-0000-0000-000064180000}"/>
    <cellStyle name="Input 3 2 2 2 4" xfId="14038" xr:uid="{00000000-0005-0000-0000-000065180000}"/>
    <cellStyle name="Input 3 2 2 2 4 2" xfId="14039" xr:uid="{00000000-0005-0000-0000-000066180000}"/>
    <cellStyle name="Input 3 2 2 2 4 2 2" xfId="14040" xr:uid="{00000000-0005-0000-0000-000067180000}"/>
    <cellStyle name="Input 3 2 2 2 4 2 3" xfId="14044" xr:uid="{00000000-0005-0000-0000-000068180000}"/>
    <cellStyle name="Input 3 2 2 2 4 2 4" xfId="14048" xr:uid="{00000000-0005-0000-0000-000069180000}"/>
    <cellStyle name="Input 3 2 2 2 4 3" xfId="14049" xr:uid="{00000000-0005-0000-0000-00006A180000}"/>
    <cellStyle name="Input 3 2 2 2 4 4" xfId="14051" xr:uid="{00000000-0005-0000-0000-00006B180000}"/>
    <cellStyle name="Input 3 2 2 2 4 5" xfId="14055" xr:uid="{00000000-0005-0000-0000-00006C180000}"/>
    <cellStyle name="Input 3 2 2 2 5" xfId="14058" xr:uid="{00000000-0005-0000-0000-00006D180000}"/>
    <cellStyle name="Input 3 2 2 2 5 2" xfId="14059" xr:uid="{00000000-0005-0000-0000-00006E180000}"/>
    <cellStyle name="Input 3 2 2 2 5 3" xfId="14060" xr:uid="{00000000-0005-0000-0000-00006F180000}"/>
    <cellStyle name="Input 3 2 2 2 5 4" xfId="7097" xr:uid="{00000000-0005-0000-0000-000070180000}"/>
    <cellStyle name="Input 3 2 2 2 6" xfId="14061" xr:uid="{00000000-0005-0000-0000-000071180000}"/>
    <cellStyle name="Input 3 2 2 2 7" xfId="14062" xr:uid="{00000000-0005-0000-0000-000072180000}"/>
    <cellStyle name="Input 3 2 2 2 8" xfId="14063" xr:uid="{00000000-0005-0000-0000-000073180000}"/>
    <cellStyle name="Input 3 2 2 3" xfId="13253" xr:uid="{00000000-0005-0000-0000-000074180000}"/>
    <cellStyle name="Input 3 2 2 3 2" xfId="10861" xr:uid="{00000000-0005-0000-0000-000075180000}"/>
    <cellStyle name="Input 3 2 2 3 2 2" xfId="14064" xr:uid="{00000000-0005-0000-0000-000076180000}"/>
    <cellStyle name="Input 3 2 2 3 2 2 2" xfId="14065" xr:uid="{00000000-0005-0000-0000-000077180000}"/>
    <cellStyle name="Input 3 2 2 3 2 2 2 2" xfId="8696" xr:uid="{00000000-0005-0000-0000-000078180000}"/>
    <cellStyle name="Input 3 2 2 3 2 2 2 3" xfId="14067" xr:uid="{00000000-0005-0000-0000-000079180000}"/>
    <cellStyle name="Input 3 2 2 3 2 2 2 4" xfId="14068" xr:uid="{00000000-0005-0000-0000-00007A180000}"/>
    <cellStyle name="Input 3 2 2 3 2 2 3" xfId="8947" xr:uid="{00000000-0005-0000-0000-00007B180000}"/>
    <cellStyle name="Input 3 2 2 3 2 2 4" xfId="8951" xr:uid="{00000000-0005-0000-0000-00007C180000}"/>
    <cellStyle name="Input 3 2 2 3 2 2 5" xfId="8956" xr:uid="{00000000-0005-0000-0000-00007D180000}"/>
    <cellStyle name="Input 3 2 2 3 2 3" xfId="14069" xr:uid="{00000000-0005-0000-0000-00007E180000}"/>
    <cellStyle name="Input 3 2 2 3 2 3 2" xfId="14070" xr:uid="{00000000-0005-0000-0000-00007F180000}"/>
    <cellStyle name="Input 3 2 2 3 2 3 3" xfId="14071" xr:uid="{00000000-0005-0000-0000-000080180000}"/>
    <cellStyle name="Input 3 2 2 3 2 3 4" xfId="14073" xr:uid="{00000000-0005-0000-0000-000081180000}"/>
    <cellStyle name="Input 3 2 2 3 2 4" xfId="7807" xr:uid="{00000000-0005-0000-0000-000082180000}"/>
    <cellStyle name="Input 3 2 2 3 2 5" xfId="7833" xr:uid="{00000000-0005-0000-0000-000083180000}"/>
    <cellStyle name="Input 3 2 2 3 2 6" xfId="7840" xr:uid="{00000000-0005-0000-0000-000084180000}"/>
    <cellStyle name="Input 3 2 2 3 3" xfId="11750" xr:uid="{00000000-0005-0000-0000-000085180000}"/>
    <cellStyle name="Input 3 2 2 3 3 2" xfId="14074" xr:uid="{00000000-0005-0000-0000-000086180000}"/>
    <cellStyle name="Input 3 2 2 3 3 2 2" xfId="14076" xr:uid="{00000000-0005-0000-0000-000087180000}"/>
    <cellStyle name="Input 3 2 2 3 3 2 3" xfId="14077" xr:uid="{00000000-0005-0000-0000-000088180000}"/>
    <cellStyle name="Input 3 2 2 3 3 2 4" xfId="14078" xr:uid="{00000000-0005-0000-0000-000089180000}"/>
    <cellStyle name="Input 3 2 2 3 3 3" xfId="3996" xr:uid="{00000000-0005-0000-0000-00008A180000}"/>
    <cellStyle name="Input 3 2 2 3 3 4" xfId="4811" xr:uid="{00000000-0005-0000-0000-00008B180000}"/>
    <cellStyle name="Input 3 2 2 3 3 5" xfId="4819" xr:uid="{00000000-0005-0000-0000-00008C180000}"/>
    <cellStyle name="Input 3 2 2 3 4" xfId="11752" xr:uid="{00000000-0005-0000-0000-00008D180000}"/>
    <cellStyle name="Input 3 2 2 3 4 2" xfId="14079" xr:uid="{00000000-0005-0000-0000-00008E180000}"/>
    <cellStyle name="Input 3 2 2 3 4 3" xfId="14080" xr:uid="{00000000-0005-0000-0000-00008F180000}"/>
    <cellStyle name="Input 3 2 2 3 4 4" xfId="14082" xr:uid="{00000000-0005-0000-0000-000090180000}"/>
    <cellStyle name="Input 3 2 2 3 5" xfId="11755" xr:uid="{00000000-0005-0000-0000-000091180000}"/>
    <cellStyle name="Input 3 2 2 3 6" xfId="14086" xr:uid="{00000000-0005-0000-0000-000092180000}"/>
    <cellStyle name="Input 3 2 2 3 7" xfId="14088" xr:uid="{00000000-0005-0000-0000-000093180000}"/>
    <cellStyle name="Input 3 2 2 4" xfId="13259" xr:uid="{00000000-0005-0000-0000-000094180000}"/>
    <cellStyle name="Input 3 2 2 4 2" xfId="14090" xr:uid="{00000000-0005-0000-0000-000095180000}"/>
    <cellStyle name="Input 3 2 2 4 2 2" xfId="14091" xr:uid="{00000000-0005-0000-0000-000096180000}"/>
    <cellStyle name="Input 3 2 2 4 2 2 2" xfId="14092" xr:uid="{00000000-0005-0000-0000-000097180000}"/>
    <cellStyle name="Input 3 2 2 4 2 2 3" xfId="14093" xr:uid="{00000000-0005-0000-0000-000098180000}"/>
    <cellStyle name="Input 3 2 2 4 2 2 4" xfId="14094" xr:uid="{00000000-0005-0000-0000-000099180000}"/>
    <cellStyle name="Input 3 2 2 4 2 3" xfId="14095" xr:uid="{00000000-0005-0000-0000-00009A180000}"/>
    <cellStyle name="Input 3 2 2 4 2 4" xfId="7887" xr:uid="{00000000-0005-0000-0000-00009B180000}"/>
    <cellStyle name="Input 3 2 2 4 2 5" xfId="7892" xr:uid="{00000000-0005-0000-0000-00009C180000}"/>
    <cellStyle name="Input 3 2 2 4 3" xfId="14096" xr:uid="{00000000-0005-0000-0000-00009D180000}"/>
    <cellStyle name="Input 3 2 2 4 3 2" xfId="13239" xr:uid="{00000000-0005-0000-0000-00009E180000}"/>
    <cellStyle name="Input 3 2 2 4 3 3" xfId="13244" xr:uid="{00000000-0005-0000-0000-00009F180000}"/>
    <cellStyle name="Input 3 2 2 4 3 4" xfId="13249" xr:uid="{00000000-0005-0000-0000-0000A0180000}"/>
    <cellStyle name="Input 3 2 2 4 4" xfId="14097" xr:uid="{00000000-0005-0000-0000-0000A1180000}"/>
    <cellStyle name="Input 3 2 2 4 5" xfId="14098" xr:uid="{00000000-0005-0000-0000-0000A2180000}"/>
    <cellStyle name="Input 3 2 2 4 6" xfId="14100" xr:uid="{00000000-0005-0000-0000-0000A3180000}"/>
    <cellStyle name="Input 3 2 2 5" xfId="14103" xr:uid="{00000000-0005-0000-0000-0000A4180000}"/>
    <cellStyle name="Input 3 2 2 5 2" xfId="10295" xr:uid="{00000000-0005-0000-0000-0000A5180000}"/>
    <cellStyle name="Input 3 2 2 5 2 2" xfId="14104" xr:uid="{00000000-0005-0000-0000-0000A6180000}"/>
    <cellStyle name="Input 3 2 2 5 2 3" xfId="14106" xr:uid="{00000000-0005-0000-0000-0000A7180000}"/>
    <cellStyle name="Input 3 2 2 5 2 4" xfId="14111" xr:uid="{00000000-0005-0000-0000-0000A8180000}"/>
    <cellStyle name="Input 3 2 2 5 3" xfId="10298" xr:uid="{00000000-0005-0000-0000-0000A9180000}"/>
    <cellStyle name="Input 3 2 2 5 4" xfId="14114" xr:uid="{00000000-0005-0000-0000-0000AA180000}"/>
    <cellStyle name="Input 3 2 2 5 5" xfId="14117" xr:uid="{00000000-0005-0000-0000-0000AB180000}"/>
    <cellStyle name="Input 3 2 2 6" xfId="14121" xr:uid="{00000000-0005-0000-0000-0000AC180000}"/>
    <cellStyle name="Input 3 2 2 6 2" xfId="14126" xr:uid="{00000000-0005-0000-0000-0000AD180000}"/>
    <cellStyle name="Input 3 2 2 6 3" xfId="14131" xr:uid="{00000000-0005-0000-0000-0000AE180000}"/>
    <cellStyle name="Input 3 2 2 6 4" xfId="14136" xr:uid="{00000000-0005-0000-0000-0000AF180000}"/>
    <cellStyle name="Input 3 2 2 7" xfId="14139" xr:uid="{00000000-0005-0000-0000-0000B0180000}"/>
    <cellStyle name="Input 3 2 2 8" xfId="2183" xr:uid="{00000000-0005-0000-0000-0000B1180000}"/>
    <cellStyle name="Input 3 2 2 9" xfId="2751" xr:uid="{00000000-0005-0000-0000-0000B2180000}"/>
    <cellStyle name="Input 3 2 3" xfId="3773" xr:uid="{00000000-0005-0000-0000-0000B3180000}"/>
    <cellStyle name="Input 3 2 3 2" xfId="13275" xr:uid="{00000000-0005-0000-0000-0000B4180000}"/>
    <cellStyle name="Input 3 2 3 2 2" xfId="11080" xr:uid="{00000000-0005-0000-0000-0000B5180000}"/>
    <cellStyle name="Input 3 2 3 2 2 2" xfId="13066" xr:uid="{00000000-0005-0000-0000-0000B6180000}"/>
    <cellStyle name="Input 3 2 3 2 2 2 2" xfId="13067" xr:uid="{00000000-0005-0000-0000-0000B7180000}"/>
    <cellStyle name="Input 3 2 3 2 2 2 2 2" xfId="14141" xr:uid="{00000000-0005-0000-0000-0000B8180000}"/>
    <cellStyle name="Input 3 2 3 2 2 2 2 2 2" xfId="14142" xr:uid="{00000000-0005-0000-0000-0000B9180000}"/>
    <cellStyle name="Input 3 2 3 2 2 2 2 2 3" xfId="14144" xr:uid="{00000000-0005-0000-0000-0000BA180000}"/>
    <cellStyle name="Input 3 2 3 2 2 2 2 2 4" xfId="14146" xr:uid="{00000000-0005-0000-0000-0000BB180000}"/>
    <cellStyle name="Input 3 2 3 2 2 2 2 3" xfId="14147" xr:uid="{00000000-0005-0000-0000-0000BC180000}"/>
    <cellStyle name="Input 3 2 3 2 2 2 2 4" xfId="14148" xr:uid="{00000000-0005-0000-0000-0000BD180000}"/>
    <cellStyle name="Input 3 2 3 2 2 2 2 5" xfId="14149" xr:uid="{00000000-0005-0000-0000-0000BE180000}"/>
    <cellStyle name="Input 3 2 3 2 2 2 3" xfId="13071" xr:uid="{00000000-0005-0000-0000-0000BF180000}"/>
    <cellStyle name="Input 3 2 3 2 2 2 3 2" xfId="11449" xr:uid="{00000000-0005-0000-0000-0000C0180000}"/>
    <cellStyle name="Input 3 2 3 2 2 2 3 3" xfId="11452" xr:uid="{00000000-0005-0000-0000-0000C1180000}"/>
    <cellStyle name="Input 3 2 3 2 2 2 3 4" xfId="11460" xr:uid="{00000000-0005-0000-0000-0000C2180000}"/>
    <cellStyle name="Input 3 2 3 2 2 2 4" xfId="13075" xr:uid="{00000000-0005-0000-0000-0000C3180000}"/>
    <cellStyle name="Input 3 2 3 2 2 2 5" xfId="14150" xr:uid="{00000000-0005-0000-0000-0000C4180000}"/>
    <cellStyle name="Input 3 2 3 2 2 2 6" xfId="14151" xr:uid="{00000000-0005-0000-0000-0000C5180000}"/>
    <cellStyle name="Input 3 2 3 2 2 3" xfId="13077" xr:uid="{00000000-0005-0000-0000-0000C6180000}"/>
    <cellStyle name="Input 3 2 3 2 2 3 2" xfId="14152" xr:uid="{00000000-0005-0000-0000-0000C7180000}"/>
    <cellStyle name="Input 3 2 3 2 2 3 2 2" xfId="14157" xr:uid="{00000000-0005-0000-0000-0000C8180000}"/>
    <cellStyle name="Input 3 2 3 2 2 3 2 3" xfId="14160" xr:uid="{00000000-0005-0000-0000-0000C9180000}"/>
    <cellStyle name="Input 3 2 3 2 2 3 2 4" xfId="14161" xr:uid="{00000000-0005-0000-0000-0000CA180000}"/>
    <cellStyle name="Input 3 2 3 2 2 3 3" xfId="14162" xr:uid="{00000000-0005-0000-0000-0000CB180000}"/>
    <cellStyle name="Input 3 2 3 2 2 3 4" xfId="14163" xr:uid="{00000000-0005-0000-0000-0000CC180000}"/>
    <cellStyle name="Input 3 2 3 2 2 3 5" xfId="14164" xr:uid="{00000000-0005-0000-0000-0000CD180000}"/>
    <cellStyle name="Input 3 2 3 2 2 4" xfId="13081" xr:uid="{00000000-0005-0000-0000-0000CE180000}"/>
    <cellStyle name="Input 3 2 3 2 2 4 2" xfId="14167" xr:uid="{00000000-0005-0000-0000-0000CF180000}"/>
    <cellStyle name="Input 3 2 3 2 2 4 3" xfId="14171" xr:uid="{00000000-0005-0000-0000-0000D0180000}"/>
    <cellStyle name="Input 3 2 3 2 2 4 4" xfId="14175" xr:uid="{00000000-0005-0000-0000-0000D1180000}"/>
    <cellStyle name="Input 3 2 3 2 2 5" xfId="13085" xr:uid="{00000000-0005-0000-0000-0000D2180000}"/>
    <cellStyle name="Input 3 2 3 2 2 6" xfId="14181" xr:uid="{00000000-0005-0000-0000-0000D3180000}"/>
    <cellStyle name="Input 3 2 3 2 2 7" xfId="14185" xr:uid="{00000000-0005-0000-0000-0000D4180000}"/>
    <cellStyle name="Input 3 2 3 2 3" xfId="11089" xr:uid="{00000000-0005-0000-0000-0000D5180000}"/>
    <cellStyle name="Input 3 2 3 2 3 2" xfId="13095" xr:uid="{00000000-0005-0000-0000-0000D6180000}"/>
    <cellStyle name="Input 3 2 3 2 3 2 2" xfId="14189" xr:uid="{00000000-0005-0000-0000-0000D7180000}"/>
    <cellStyle name="Input 3 2 3 2 3 2 2 2" xfId="9140" xr:uid="{00000000-0005-0000-0000-0000D8180000}"/>
    <cellStyle name="Input 3 2 3 2 3 2 2 3" xfId="9158" xr:uid="{00000000-0005-0000-0000-0000D9180000}"/>
    <cellStyle name="Input 3 2 3 2 3 2 2 4" xfId="9163" xr:uid="{00000000-0005-0000-0000-0000DA180000}"/>
    <cellStyle name="Input 3 2 3 2 3 2 3" xfId="14190" xr:uid="{00000000-0005-0000-0000-0000DB180000}"/>
    <cellStyle name="Input 3 2 3 2 3 2 4" xfId="14193" xr:uid="{00000000-0005-0000-0000-0000DC180000}"/>
    <cellStyle name="Input 3 2 3 2 3 2 5" xfId="14196" xr:uid="{00000000-0005-0000-0000-0000DD180000}"/>
    <cellStyle name="Input 3 2 3 2 3 3" xfId="13097" xr:uid="{00000000-0005-0000-0000-0000DE180000}"/>
    <cellStyle name="Input 3 2 3 2 3 3 2" xfId="5440" xr:uid="{00000000-0005-0000-0000-0000DF180000}"/>
    <cellStyle name="Input 3 2 3 2 3 3 3" xfId="5450" xr:uid="{00000000-0005-0000-0000-0000E0180000}"/>
    <cellStyle name="Input 3 2 3 2 3 3 4" xfId="14199" xr:uid="{00000000-0005-0000-0000-0000E1180000}"/>
    <cellStyle name="Input 3 2 3 2 3 4" xfId="13101" xr:uid="{00000000-0005-0000-0000-0000E2180000}"/>
    <cellStyle name="Input 3 2 3 2 3 5" xfId="14201" xr:uid="{00000000-0005-0000-0000-0000E3180000}"/>
    <cellStyle name="Input 3 2 3 2 3 6" xfId="14207" xr:uid="{00000000-0005-0000-0000-0000E4180000}"/>
    <cellStyle name="Input 3 2 3 2 4" xfId="12158" xr:uid="{00000000-0005-0000-0000-0000E5180000}"/>
    <cellStyle name="Input 3 2 3 2 4 2" xfId="13120" xr:uid="{00000000-0005-0000-0000-0000E6180000}"/>
    <cellStyle name="Input 3 2 3 2 4 2 2" xfId="14208" xr:uid="{00000000-0005-0000-0000-0000E7180000}"/>
    <cellStyle name="Input 3 2 3 2 4 2 3" xfId="14214" xr:uid="{00000000-0005-0000-0000-0000E8180000}"/>
    <cellStyle name="Input 3 2 3 2 4 2 4" xfId="14216" xr:uid="{00000000-0005-0000-0000-0000E9180000}"/>
    <cellStyle name="Input 3 2 3 2 4 3" xfId="13123" xr:uid="{00000000-0005-0000-0000-0000EA180000}"/>
    <cellStyle name="Input 3 2 3 2 4 4" xfId="14220" xr:uid="{00000000-0005-0000-0000-0000EB180000}"/>
    <cellStyle name="Input 3 2 3 2 4 5" xfId="14225" xr:uid="{00000000-0005-0000-0000-0000EC180000}"/>
    <cellStyle name="Input 3 2 3 2 5" xfId="11310" xr:uid="{00000000-0005-0000-0000-0000ED180000}"/>
    <cellStyle name="Input 3 2 3 2 5 2" xfId="11314" xr:uid="{00000000-0005-0000-0000-0000EE180000}"/>
    <cellStyle name="Input 3 2 3 2 5 3" xfId="11333" xr:uid="{00000000-0005-0000-0000-0000EF180000}"/>
    <cellStyle name="Input 3 2 3 2 5 4" xfId="11339" xr:uid="{00000000-0005-0000-0000-0000F0180000}"/>
    <cellStyle name="Input 3 2 3 2 6" xfId="11345" xr:uid="{00000000-0005-0000-0000-0000F1180000}"/>
    <cellStyle name="Input 3 2 3 2 7" xfId="11352" xr:uid="{00000000-0005-0000-0000-0000F2180000}"/>
    <cellStyle name="Input 3 2 3 2 8" xfId="11358" xr:uid="{00000000-0005-0000-0000-0000F3180000}"/>
    <cellStyle name="Input 3 2 3 3" xfId="13278" xr:uid="{00000000-0005-0000-0000-0000F4180000}"/>
    <cellStyle name="Input 3 2 3 3 2" xfId="6768" xr:uid="{00000000-0005-0000-0000-0000F5180000}"/>
    <cellStyle name="Input 3 2 3 3 2 2" xfId="6776" xr:uid="{00000000-0005-0000-0000-0000F6180000}"/>
    <cellStyle name="Input 3 2 3 3 2 2 2" xfId="6779" xr:uid="{00000000-0005-0000-0000-0000F7180000}"/>
    <cellStyle name="Input 3 2 3 3 2 2 2 2" xfId="14230" xr:uid="{00000000-0005-0000-0000-0000F8180000}"/>
    <cellStyle name="Input 3 2 3 3 2 2 2 3" xfId="14233" xr:uid="{00000000-0005-0000-0000-0000F9180000}"/>
    <cellStyle name="Input 3 2 3 3 2 2 2 4" xfId="14234" xr:uid="{00000000-0005-0000-0000-0000FA180000}"/>
    <cellStyle name="Input 3 2 3 3 2 2 3" xfId="6791" xr:uid="{00000000-0005-0000-0000-0000FB180000}"/>
    <cellStyle name="Input 3 2 3 3 2 2 4" xfId="6390" xr:uid="{00000000-0005-0000-0000-0000FC180000}"/>
    <cellStyle name="Input 3 2 3 3 2 2 5" xfId="10180" xr:uid="{00000000-0005-0000-0000-0000FD180000}"/>
    <cellStyle name="Input 3 2 3 3 2 3" xfId="6795" xr:uid="{00000000-0005-0000-0000-0000FE180000}"/>
    <cellStyle name="Input 3 2 3 3 2 3 2" xfId="14235" xr:uid="{00000000-0005-0000-0000-0000FF180000}"/>
    <cellStyle name="Input 3 2 3 3 2 3 3" xfId="14236" xr:uid="{00000000-0005-0000-0000-000000190000}"/>
    <cellStyle name="Input 3 2 3 3 2 3 4" xfId="14237" xr:uid="{00000000-0005-0000-0000-000001190000}"/>
    <cellStyle name="Input 3 2 3 3 2 4" xfId="6801" xr:uid="{00000000-0005-0000-0000-000002190000}"/>
    <cellStyle name="Input 3 2 3 3 2 5" xfId="6807" xr:uid="{00000000-0005-0000-0000-000003190000}"/>
    <cellStyle name="Input 3 2 3 3 2 6" xfId="8020" xr:uid="{00000000-0005-0000-0000-000004190000}"/>
    <cellStyle name="Input 3 2 3 3 3" xfId="6812" xr:uid="{00000000-0005-0000-0000-000005190000}"/>
    <cellStyle name="Input 3 2 3 3 3 2" xfId="1741" xr:uid="{00000000-0005-0000-0000-000006190000}"/>
    <cellStyle name="Input 3 2 3 3 3 2 2" xfId="14239" xr:uid="{00000000-0005-0000-0000-000007190000}"/>
    <cellStyle name="Input 3 2 3 3 3 2 3" xfId="14241" xr:uid="{00000000-0005-0000-0000-000008190000}"/>
    <cellStyle name="Input 3 2 3 3 3 2 4" xfId="14242" xr:uid="{00000000-0005-0000-0000-000009190000}"/>
    <cellStyle name="Input 3 2 3 3 3 3" xfId="1768" xr:uid="{00000000-0005-0000-0000-00000A190000}"/>
    <cellStyle name="Input 3 2 3 3 3 4" xfId="1792" xr:uid="{00000000-0005-0000-0000-00000B190000}"/>
    <cellStyle name="Input 3 2 3 3 3 5" xfId="14244" xr:uid="{00000000-0005-0000-0000-00000C190000}"/>
    <cellStyle name="Input 3 2 3 3 4" xfId="6818" xr:uid="{00000000-0005-0000-0000-00000D190000}"/>
    <cellStyle name="Input 3 2 3 3 4 2" xfId="4541" xr:uid="{00000000-0005-0000-0000-00000E190000}"/>
    <cellStyle name="Input 3 2 3 3 4 3" xfId="4551" xr:uid="{00000000-0005-0000-0000-00000F190000}"/>
    <cellStyle name="Input 3 2 3 3 4 4" xfId="14248" xr:uid="{00000000-0005-0000-0000-000010190000}"/>
    <cellStyle name="Input 3 2 3 3 5" xfId="6824" xr:uid="{00000000-0005-0000-0000-000011190000}"/>
    <cellStyle name="Input 3 2 3 3 6" xfId="6830" xr:uid="{00000000-0005-0000-0000-000012190000}"/>
    <cellStyle name="Input 3 2 3 3 7" xfId="8406" xr:uid="{00000000-0005-0000-0000-000013190000}"/>
    <cellStyle name="Input 3 2 3 4" xfId="12985" xr:uid="{00000000-0005-0000-0000-000014190000}"/>
    <cellStyle name="Input 3 2 3 4 2" xfId="2627" xr:uid="{00000000-0005-0000-0000-000015190000}"/>
    <cellStyle name="Input 3 2 3 4 2 2" xfId="5800" xr:uid="{00000000-0005-0000-0000-000016190000}"/>
    <cellStyle name="Input 3 2 3 4 2 2 2" xfId="5808" xr:uid="{00000000-0005-0000-0000-000017190000}"/>
    <cellStyle name="Input 3 2 3 4 2 2 3" xfId="14249" xr:uid="{00000000-0005-0000-0000-000018190000}"/>
    <cellStyle name="Input 3 2 3 4 2 2 4" xfId="14250" xr:uid="{00000000-0005-0000-0000-000019190000}"/>
    <cellStyle name="Input 3 2 3 4 2 3" xfId="5823" xr:uid="{00000000-0005-0000-0000-00001A190000}"/>
    <cellStyle name="Input 3 2 3 4 2 4" xfId="5830" xr:uid="{00000000-0005-0000-0000-00001B190000}"/>
    <cellStyle name="Input 3 2 3 4 2 5" xfId="14252" xr:uid="{00000000-0005-0000-0000-00001C190000}"/>
    <cellStyle name="Input 3 2 3 4 3" xfId="2644" xr:uid="{00000000-0005-0000-0000-00001D190000}"/>
    <cellStyle name="Input 3 2 3 4 3 2" xfId="1862" xr:uid="{00000000-0005-0000-0000-00001E190000}"/>
    <cellStyle name="Input 3 2 3 4 3 3" xfId="120" xr:uid="{00000000-0005-0000-0000-00001F190000}"/>
    <cellStyle name="Input 3 2 3 4 3 4" xfId="13383" xr:uid="{00000000-0005-0000-0000-000020190000}"/>
    <cellStyle name="Input 3 2 3 4 4" xfId="2664" xr:uid="{00000000-0005-0000-0000-000021190000}"/>
    <cellStyle name="Input 3 2 3 4 5" xfId="5839" xr:uid="{00000000-0005-0000-0000-000022190000}"/>
    <cellStyle name="Input 3 2 3 4 6" xfId="8438" xr:uid="{00000000-0005-0000-0000-000023190000}"/>
    <cellStyle name="Input 3 2 3 5" xfId="12988" xr:uid="{00000000-0005-0000-0000-000024190000}"/>
    <cellStyle name="Input 3 2 3 5 2" xfId="530" xr:uid="{00000000-0005-0000-0000-000025190000}"/>
    <cellStyle name="Input 3 2 3 5 2 2" xfId="2287" xr:uid="{00000000-0005-0000-0000-000026190000}"/>
    <cellStyle name="Input 3 2 3 5 2 3" xfId="2298" xr:uid="{00000000-0005-0000-0000-000027190000}"/>
    <cellStyle name="Input 3 2 3 5 2 4" xfId="14254" xr:uid="{00000000-0005-0000-0000-000028190000}"/>
    <cellStyle name="Input 3 2 3 5 3" xfId="588" xr:uid="{00000000-0005-0000-0000-000029190000}"/>
    <cellStyle name="Input 3 2 3 5 4" xfId="5896" xr:uid="{00000000-0005-0000-0000-00002A190000}"/>
    <cellStyle name="Input 3 2 3 5 5" xfId="8449" xr:uid="{00000000-0005-0000-0000-00002B190000}"/>
    <cellStyle name="Input 3 2 3 6" xfId="12993" xr:uid="{00000000-0005-0000-0000-00002C190000}"/>
    <cellStyle name="Input 3 2 3 6 2" xfId="2730" xr:uid="{00000000-0005-0000-0000-00002D190000}"/>
    <cellStyle name="Input 3 2 3 6 3" xfId="5931" xr:uid="{00000000-0005-0000-0000-00002E190000}"/>
    <cellStyle name="Input 3 2 3 6 4" xfId="14262" xr:uid="{00000000-0005-0000-0000-00002F190000}"/>
    <cellStyle name="Input 3 2 3 7" xfId="12999" xr:uid="{00000000-0005-0000-0000-000030190000}"/>
    <cellStyle name="Input 3 2 3 8" xfId="10102" xr:uid="{00000000-0005-0000-0000-000031190000}"/>
    <cellStyle name="Input 3 2 3 9" xfId="10117" xr:uid="{00000000-0005-0000-0000-000032190000}"/>
    <cellStyle name="Input 3 2 4" xfId="4846" xr:uid="{00000000-0005-0000-0000-000033190000}"/>
    <cellStyle name="Input 3 2 4 2" xfId="13288" xr:uid="{00000000-0005-0000-0000-000034190000}"/>
    <cellStyle name="Input 3 2 4 2 2" xfId="11254" xr:uid="{00000000-0005-0000-0000-000035190000}"/>
    <cellStyle name="Input 3 2 4 2 2 2" xfId="13280" xr:uid="{00000000-0005-0000-0000-000036190000}"/>
    <cellStyle name="Input 3 2 4 2 2 2 2" xfId="13283" xr:uid="{00000000-0005-0000-0000-000037190000}"/>
    <cellStyle name="Input 3 2 4 2 2 2 2 2" xfId="14265" xr:uid="{00000000-0005-0000-0000-000038190000}"/>
    <cellStyle name="Input 3 2 4 2 2 2 2 3" xfId="14267" xr:uid="{00000000-0005-0000-0000-000039190000}"/>
    <cellStyle name="Input 3 2 4 2 2 2 2 4" xfId="14268" xr:uid="{00000000-0005-0000-0000-00003A190000}"/>
    <cellStyle name="Input 3 2 4 2 2 2 3" xfId="13285" xr:uid="{00000000-0005-0000-0000-00003B190000}"/>
    <cellStyle name="Input 3 2 4 2 2 2 4" xfId="13287" xr:uid="{00000000-0005-0000-0000-00003C190000}"/>
    <cellStyle name="Input 3 2 4 2 2 2 5" xfId="8719" xr:uid="{00000000-0005-0000-0000-00003D190000}"/>
    <cellStyle name="Input 3 2 4 2 2 3" xfId="13290" xr:uid="{00000000-0005-0000-0000-00003E190000}"/>
    <cellStyle name="Input 3 2 4 2 2 3 2" xfId="14269" xr:uid="{00000000-0005-0000-0000-00003F190000}"/>
    <cellStyle name="Input 3 2 4 2 2 3 3" xfId="14270" xr:uid="{00000000-0005-0000-0000-000040190000}"/>
    <cellStyle name="Input 3 2 4 2 2 3 4" xfId="14272" xr:uid="{00000000-0005-0000-0000-000041190000}"/>
    <cellStyle name="Input 3 2 4 2 2 4" xfId="13294" xr:uid="{00000000-0005-0000-0000-000042190000}"/>
    <cellStyle name="Input 3 2 4 2 2 5" xfId="13298" xr:uid="{00000000-0005-0000-0000-000043190000}"/>
    <cellStyle name="Input 3 2 4 2 2 6" xfId="14275" xr:uid="{00000000-0005-0000-0000-000044190000}"/>
    <cellStyle name="Input 3 2 4 2 3" xfId="12212" xr:uid="{00000000-0005-0000-0000-000045190000}"/>
    <cellStyle name="Input 3 2 4 2 3 2" xfId="13334" xr:uid="{00000000-0005-0000-0000-000046190000}"/>
    <cellStyle name="Input 3 2 4 2 3 2 2" xfId="14279" xr:uid="{00000000-0005-0000-0000-000047190000}"/>
    <cellStyle name="Input 3 2 4 2 3 2 3" xfId="14283" xr:uid="{00000000-0005-0000-0000-000048190000}"/>
    <cellStyle name="Input 3 2 4 2 3 2 4" xfId="14286" xr:uid="{00000000-0005-0000-0000-000049190000}"/>
    <cellStyle name="Input 3 2 4 2 3 3" xfId="13336" xr:uid="{00000000-0005-0000-0000-00004A190000}"/>
    <cellStyle name="Input 3 2 4 2 3 4" xfId="13340" xr:uid="{00000000-0005-0000-0000-00004B190000}"/>
    <cellStyle name="Input 3 2 4 2 3 5" xfId="14154" xr:uid="{00000000-0005-0000-0000-00004C190000}"/>
    <cellStyle name="Input 3 2 4 2 4" xfId="14287" xr:uid="{00000000-0005-0000-0000-00004D190000}"/>
    <cellStyle name="Input 3 2 4 2 4 2" xfId="13363" xr:uid="{00000000-0005-0000-0000-00004E190000}"/>
    <cellStyle name="Input 3 2 4 2 4 3" xfId="13365" xr:uid="{00000000-0005-0000-0000-00004F190000}"/>
    <cellStyle name="Input 3 2 4 2 4 4" xfId="11501" xr:uid="{00000000-0005-0000-0000-000050190000}"/>
    <cellStyle name="Input 3 2 4 2 5" xfId="11604" xr:uid="{00000000-0005-0000-0000-000051190000}"/>
    <cellStyle name="Input 3 2 4 2 6" xfId="11618" xr:uid="{00000000-0005-0000-0000-000052190000}"/>
    <cellStyle name="Input 3 2 4 2 7" xfId="11622" xr:uid="{00000000-0005-0000-0000-000053190000}"/>
    <cellStyle name="Input 3 2 4 3" xfId="8718" xr:uid="{00000000-0005-0000-0000-000054190000}"/>
    <cellStyle name="Input 3 2 4 3 2" xfId="6863" xr:uid="{00000000-0005-0000-0000-000055190000}"/>
    <cellStyle name="Input 3 2 4 3 2 2" xfId="4600" xr:uid="{00000000-0005-0000-0000-000056190000}"/>
    <cellStyle name="Input 3 2 4 3 2 2 2" xfId="14288" xr:uid="{00000000-0005-0000-0000-000057190000}"/>
    <cellStyle name="Input 3 2 4 3 2 2 3" xfId="8424" xr:uid="{00000000-0005-0000-0000-000058190000}"/>
    <cellStyle name="Input 3 2 4 3 2 2 4" xfId="8429" xr:uid="{00000000-0005-0000-0000-000059190000}"/>
    <cellStyle name="Input 3 2 4 3 2 3" xfId="213" xr:uid="{00000000-0005-0000-0000-00005A190000}"/>
    <cellStyle name="Input 3 2 4 3 2 4" xfId="138" xr:uid="{00000000-0005-0000-0000-00005B190000}"/>
    <cellStyle name="Input 3 2 4 3 2 5" xfId="219" xr:uid="{00000000-0005-0000-0000-00005C190000}"/>
    <cellStyle name="Input 3 2 4 3 3" xfId="6871" xr:uid="{00000000-0005-0000-0000-00005D190000}"/>
    <cellStyle name="Input 3 2 4 3 3 2" xfId="2461" xr:uid="{00000000-0005-0000-0000-00005E190000}"/>
    <cellStyle name="Input 3 2 4 3 3 3" xfId="192" xr:uid="{00000000-0005-0000-0000-00005F190000}"/>
    <cellStyle name="Input 3 2 4 3 3 4" xfId="14290" xr:uid="{00000000-0005-0000-0000-000060190000}"/>
    <cellStyle name="Input 3 2 4 3 4" xfId="6879" xr:uid="{00000000-0005-0000-0000-000061190000}"/>
    <cellStyle name="Input 3 2 4 3 5" xfId="6884" xr:uid="{00000000-0005-0000-0000-000062190000}"/>
    <cellStyle name="Input 3 2 4 3 6" xfId="1344" xr:uid="{00000000-0005-0000-0000-000063190000}"/>
    <cellStyle name="Input 3 2 4 4" xfId="8722" xr:uid="{00000000-0005-0000-0000-000064190000}"/>
    <cellStyle name="Input 3 2 4 4 2" xfId="2809" xr:uid="{00000000-0005-0000-0000-000065190000}"/>
    <cellStyle name="Input 3 2 4 4 2 2" xfId="4689" xr:uid="{00000000-0005-0000-0000-000066190000}"/>
    <cellStyle name="Input 3 2 4 4 2 3" xfId="13408" xr:uid="{00000000-0005-0000-0000-000067190000}"/>
    <cellStyle name="Input 3 2 4 4 2 4" xfId="14292" xr:uid="{00000000-0005-0000-0000-000068190000}"/>
    <cellStyle name="Input 3 2 4 4 3" xfId="2212" xr:uid="{00000000-0005-0000-0000-000069190000}"/>
    <cellStyle name="Input 3 2 4 4 4" xfId="6007" xr:uid="{00000000-0005-0000-0000-00006A190000}"/>
    <cellStyle name="Input 3 2 4 4 5" xfId="8488" xr:uid="{00000000-0005-0000-0000-00006B190000}"/>
    <cellStyle name="Input 3 2 4 5" xfId="8725" xr:uid="{00000000-0005-0000-0000-00006C190000}"/>
    <cellStyle name="Input 3 2 4 5 2" xfId="2874" xr:uid="{00000000-0005-0000-0000-00006D190000}"/>
    <cellStyle name="Input 3 2 4 5 3" xfId="6053" xr:uid="{00000000-0005-0000-0000-00006E190000}"/>
    <cellStyle name="Input 3 2 4 5 4" xfId="9448" xr:uid="{00000000-0005-0000-0000-00006F190000}"/>
    <cellStyle name="Input 3 2 4 6" xfId="14295" xr:uid="{00000000-0005-0000-0000-000070190000}"/>
    <cellStyle name="Input 3 2 4 7" xfId="14298" xr:uid="{00000000-0005-0000-0000-000071190000}"/>
    <cellStyle name="Input 3 2 4 8" xfId="10126" xr:uid="{00000000-0005-0000-0000-000072190000}"/>
    <cellStyle name="Input 3 2 5" xfId="14299" xr:uid="{00000000-0005-0000-0000-000073190000}"/>
    <cellStyle name="Input 3 2 5 2" xfId="14271" xr:uid="{00000000-0005-0000-0000-000074190000}"/>
    <cellStyle name="Input 3 2 5 2 2" xfId="14301" xr:uid="{00000000-0005-0000-0000-000075190000}"/>
    <cellStyle name="Input 3 2 5 2 2 2" xfId="2206" xr:uid="{00000000-0005-0000-0000-000076190000}"/>
    <cellStyle name="Input 3 2 5 2 2 2 2" xfId="14304" xr:uid="{00000000-0005-0000-0000-000077190000}"/>
    <cellStyle name="Input 3 2 5 2 2 2 3" xfId="14306" xr:uid="{00000000-0005-0000-0000-000078190000}"/>
    <cellStyle name="Input 3 2 5 2 2 2 4" xfId="14308" xr:uid="{00000000-0005-0000-0000-000079190000}"/>
    <cellStyle name="Input 3 2 5 2 2 3" xfId="2840" xr:uid="{00000000-0005-0000-0000-00007A190000}"/>
    <cellStyle name="Input 3 2 5 2 2 4" xfId="3274" xr:uid="{00000000-0005-0000-0000-00007B190000}"/>
    <cellStyle name="Input 3 2 5 2 2 5" xfId="170" xr:uid="{00000000-0005-0000-0000-00007C190000}"/>
    <cellStyle name="Input 3 2 5 2 3" xfId="14310" xr:uid="{00000000-0005-0000-0000-00007D190000}"/>
    <cellStyle name="Input 3 2 5 2 3 2" xfId="3368" xr:uid="{00000000-0005-0000-0000-00007E190000}"/>
    <cellStyle name="Input 3 2 5 2 3 3" xfId="3491" xr:uid="{00000000-0005-0000-0000-00007F190000}"/>
    <cellStyle name="Input 3 2 5 2 3 4" xfId="3603" xr:uid="{00000000-0005-0000-0000-000080190000}"/>
    <cellStyle name="Input 3 2 5 2 4" xfId="340" xr:uid="{00000000-0005-0000-0000-000081190000}"/>
    <cellStyle name="Input 3 2 5 2 5" xfId="10" xr:uid="{00000000-0005-0000-0000-000082190000}"/>
    <cellStyle name="Input 3 2 5 2 6" xfId="3817" xr:uid="{00000000-0005-0000-0000-000083190000}"/>
    <cellStyle name="Input 3 2 5 3" xfId="14311" xr:uid="{00000000-0005-0000-0000-000084190000}"/>
    <cellStyle name="Input 3 2 5 3 2" xfId="504" xr:uid="{00000000-0005-0000-0000-000085190000}"/>
    <cellStyle name="Input 3 2 5 3 2 2" xfId="1559" xr:uid="{00000000-0005-0000-0000-000086190000}"/>
    <cellStyle name="Input 3 2 5 3 2 3" xfId="2379" xr:uid="{00000000-0005-0000-0000-000087190000}"/>
    <cellStyle name="Input 3 2 5 3 2 4" xfId="10929" xr:uid="{00000000-0005-0000-0000-000088190000}"/>
    <cellStyle name="Input 3 2 5 3 3" xfId="562" xr:uid="{00000000-0005-0000-0000-000089190000}"/>
    <cellStyle name="Input 3 2 5 3 4" xfId="2351" xr:uid="{00000000-0005-0000-0000-00008A190000}"/>
    <cellStyle name="Input 3 2 5 3 5" xfId="4179" xr:uid="{00000000-0005-0000-0000-00008B190000}"/>
    <cellStyle name="Input 3 2 5 4" xfId="14312" xr:uid="{00000000-0005-0000-0000-00008C190000}"/>
    <cellStyle name="Input 3 2 5 4 2" xfId="1531" xr:uid="{00000000-0005-0000-0000-00008D190000}"/>
    <cellStyle name="Input 3 2 5 4 3" xfId="1544" xr:uid="{00000000-0005-0000-0000-00008E190000}"/>
    <cellStyle name="Input 3 2 5 4 4" xfId="14313" xr:uid="{00000000-0005-0000-0000-00008F190000}"/>
    <cellStyle name="Input 3 2 5 5" xfId="14314" xr:uid="{00000000-0005-0000-0000-000090190000}"/>
    <cellStyle name="Input 3 2 5 6" xfId="14315" xr:uid="{00000000-0005-0000-0000-000091190000}"/>
    <cellStyle name="Input 3 2 5 7" xfId="14316" xr:uid="{00000000-0005-0000-0000-000092190000}"/>
    <cellStyle name="Input 3 2 6" xfId="14317" xr:uid="{00000000-0005-0000-0000-000093190000}"/>
    <cellStyle name="Input 3 2 6 2" xfId="14319" xr:uid="{00000000-0005-0000-0000-000094190000}"/>
    <cellStyle name="Input 3 2 6 2 2" xfId="14325" xr:uid="{00000000-0005-0000-0000-000095190000}"/>
    <cellStyle name="Input 3 2 6 2 2 2" xfId="13495" xr:uid="{00000000-0005-0000-0000-000096190000}"/>
    <cellStyle name="Input 3 2 6 2 2 3" xfId="5170" xr:uid="{00000000-0005-0000-0000-000097190000}"/>
    <cellStyle name="Input 3 2 6 2 2 4" xfId="1477" xr:uid="{00000000-0005-0000-0000-000098190000}"/>
    <cellStyle name="Input 3 2 6 2 3" xfId="14327" xr:uid="{00000000-0005-0000-0000-000099190000}"/>
    <cellStyle name="Input 3 2 6 2 4" xfId="6261" xr:uid="{00000000-0005-0000-0000-00009A190000}"/>
    <cellStyle name="Input 3 2 6 2 5" xfId="6266" xr:uid="{00000000-0005-0000-0000-00009B190000}"/>
    <cellStyle name="Input 3 2 6 3" xfId="14329" xr:uid="{00000000-0005-0000-0000-00009C190000}"/>
    <cellStyle name="Input 3 2 6 3 2" xfId="6619" xr:uid="{00000000-0005-0000-0000-00009D190000}"/>
    <cellStyle name="Input 3 2 6 3 3" xfId="6654" xr:uid="{00000000-0005-0000-0000-00009E190000}"/>
    <cellStyle name="Input 3 2 6 3 4" xfId="14330" xr:uid="{00000000-0005-0000-0000-00009F190000}"/>
    <cellStyle name="Input 3 2 6 4" xfId="3376" xr:uid="{00000000-0005-0000-0000-0000A0190000}"/>
    <cellStyle name="Input 3 2 6 5" xfId="3410" xr:uid="{00000000-0005-0000-0000-0000A1190000}"/>
    <cellStyle name="Input 3 2 6 6" xfId="3412" xr:uid="{00000000-0005-0000-0000-0000A2190000}"/>
    <cellStyle name="Input 3 2 7" xfId="14331" xr:uid="{00000000-0005-0000-0000-0000A3190000}"/>
    <cellStyle name="Input 3 2 7 2" xfId="14333" xr:uid="{00000000-0005-0000-0000-0000A4190000}"/>
    <cellStyle name="Input 3 2 7 2 2" xfId="14337" xr:uid="{00000000-0005-0000-0000-0000A5190000}"/>
    <cellStyle name="Input 3 2 7 2 3" xfId="14341" xr:uid="{00000000-0005-0000-0000-0000A6190000}"/>
    <cellStyle name="Input 3 2 7 2 4" xfId="14345" xr:uid="{00000000-0005-0000-0000-0000A7190000}"/>
    <cellStyle name="Input 3 2 7 3" xfId="14346" xr:uid="{00000000-0005-0000-0000-0000A8190000}"/>
    <cellStyle name="Input 3 2 7 4" xfId="3415" xr:uid="{00000000-0005-0000-0000-0000A9190000}"/>
    <cellStyle name="Input 3 2 7 5" xfId="3420" xr:uid="{00000000-0005-0000-0000-0000AA190000}"/>
    <cellStyle name="Input 3 2 8" xfId="14347" xr:uid="{00000000-0005-0000-0000-0000AB190000}"/>
    <cellStyle name="Input 3 2 8 2" xfId="14348" xr:uid="{00000000-0005-0000-0000-0000AC190000}"/>
    <cellStyle name="Input 3 2 8 3" xfId="14349" xr:uid="{00000000-0005-0000-0000-0000AD190000}"/>
    <cellStyle name="Input 3 2 8 4" xfId="6402" xr:uid="{00000000-0005-0000-0000-0000AE190000}"/>
    <cellStyle name="Input 3 2 9" xfId="14350" xr:uid="{00000000-0005-0000-0000-0000AF190000}"/>
    <cellStyle name="Input 3 3" xfId="4850" xr:uid="{00000000-0005-0000-0000-0000B0190000}"/>
    <cellStyle name="Input 3 3 2" xfId="3804" xr:uid="{00000000-0005-0000-0000-0000B1190000}"/>
    <cellStyle name="Input 3 3 2 2" xfId="13314" xr:uid="{00000000-0005-0000-0000-0000B2190000}"/>
    <cellStyle name="Input 3 3 2 2 2" xfId="11440" xr:uid="{00000000-0005-0000-0000-0000B3190000}"/>
    <cellStyle name="Input 3 3 2 2 2 2" xfId="14351" xr:uid="{00000000-0005-0000-0000-0000B4190000}"/>
    <cellStyle name="Input 3 3 2 2 2 2 2" xfId="12568" xr:uid="{00000000-0005-0000-0000-0000B5190000}"/>
    <cellStyle name="Input 3 3 2 2 2 2 2 2" xfId="9807" xr:uid="{00000000-0005-0000-0000-0000B6190000}"/>
    <cellStyle name="Input 3 3 2 2 2 2 2 3" xfId="9809" xr:uid="{00000000-0005-0000-0000-0000B7190000}"/>
    <cellStyle name="Input 3 3 2 2 2 2 2 4" xfId="9818" xr:uid="{00000000-0005-0000-0000-0000B8190000}"/>
    <cellStyle name="Input 3 3 2 2 2 2 3" xfId="12572" xr:uid="{00000000-0005-0000-0000-0000B9190000}"/>
    <cellStyle name="Input 3 3 2 2 2 2 4" xfId="12576" xr:uid="{00000000-0005-0000-0000-0000BA190000}"/>
    <cellStyle name="Input 3 3 2 2 2 2 5" xfId="12581" xr:uid="{00000000-0005-0000-0000-0000BB190000}"/>
    <cellStyle name="Input 3 3 2 2 2 3" xfId="14352" xr:uid="{00000000-0005-0000-0000-0000BC190000}"/>
    <cellStyle name="Input 3 3 2 2 2 3 2" xfId="2578" xr:uid="{00000000-0005-0000-0000-0000BD190000}"/>
    <cellStyle name="Input 3 3 2 2 2 3 3" xfId="2587" xr:uid="{00000000-0005-0000-0000-0000BE190000}"/>
    <cellStyle name="Input 3 3 2 2 2 3 4" xfId="12586" xr:uid="{00000000-0005-0000-0000-0000BF190000}"/>
    <cellStyle name="Input 3 3 2 2 2 4" xfId="14354" xr:uid="{00000000-0005-0000-0000-0000C0190000}"/>
    <cellStyle name="Input 3 3 2 2 2 5" xfId="14357" xr:uid="{00000000-0005-0000-0000-0000C1190000}"/>
    <cellStyle name="Input 3 3 2 2 2 6" xfId="14360" xr:uid="{00000000-0005-0000-0000-0000C2190000}"/>
    <cellStyle name="Input 3 3 2 2 3" xfId="14363" xr:uid="{00000000-0005-0000-0000-0000C3190000}"/>
    <cellStyle name="Input 3 3 2 2 3 2" xfId="14364" xr:uid="{00000000-0005-0000-0000-0000C4190000}"/>
    <cellStyle name="Input 3 3 2 2 3 2 2" xfId="12901" xr:uid="{00000000-0005-0000-0000-0000C5190000}"/>
    <cellStyle name="Input 3 3 2 2 3 2 3" xfId="12905" xr:uid="{00000000-0005-0000-0000-0000C6190000}"/>
    <cellStyle name="Input 3 3 2 2 3 2 4" xfId="14365" xr:uid="{00000000-0005-0000-0000-0000C7190000}"/>
    <cellStyle name="Input 3 3 2 2 3 3" xfId="14366" xr:uid="{00000000-0005-0000-0000-0000C8190000}"/>
    <cellStyle name="Input 3 3 2 2 3 4" xfId="14368" xr:uid="{00000000-0005-0000-0000-0000C9190000}"/>
    <cellStyle name="Input 3 3 2 2 3 5" xfId="14371" xr:uid="{00000000-0005-0000-0000-0000CA190000}"/>
    <cellStyle name="Input 3 3 2 2 4" xfId="14375" xr:uid="{00000000-0005-0000-0000-0000CB190000}"/>
    <cellStyle name="Input 3 3 2 2 4 2" xfId="5500" xr:uid="{00000000-0005-0000-0000-0000CC190000}"/>
    <cellStyle name="Input 3 3 2 2 4 3" xfId="5505" xr:uid="{00000000-0005-0000-0000-0000CD190000}"/>
    <cellStyle name="Input 3 3 2 2 4 4" xfId="901" xr:uid="{00000000-0005-0000-0000-0000CE190000}"/>
    <cellStyle name="Input 3 3 2 2 5" xfId="14377" xr:uid="{00000000-0005-0000-0000-0000CF190000}"/>
    <cellStyle name="Input 3 3 2 2 6" xfId="14380" xr:uid="{00000000-0005-0000-0000-0000D0190000}"/>
    <cellStyle name="Input 3 3 2 2 7" xfId="14382" xr:uid="{00000000-0005-0000-0000-0000D1190000}"/>
    <cellStyle name="Input 3 3 2 3" xfId="13320" xr:uid="{00000000-0005-0000-0000-0000D2190000}"/>
    <cellStyle name="Input 3 3 2 3 2" xfId="11653" xr:uid="{00000000-0005-0000-0000-0000D3190000}"/>
    <cellStyle name="Input 3 3 2 3 2 2" xfId="14383" xr:uid="{00000000-0005-0000-0000-0000D4190000}"/>
    <cellStyle name="Input 3 3 2 3 2 2 2" xfId="9434" xr:uid="{00000000-0005-0000-0000-0000D5190000}"/>
    <cellStyle name="Input 3 3 2 3 2 2 3" xfId="9517" xr:uid="{00000000-0005-0000-0000-0000D6190000}"/>
    <cellStyle name="Input 3 3 2 3 2 2 4" xfId="9571" xr:uid="{00000000-0005-0000-0000-0000D7190000}"/>
    <cellStyle name="Input 3 3 2 3 2 3" xfId="14384" xr:uid="{00000000-0005-0000-0000-0000D8190000}"/>
    <cellStyle name="Input 3 3 2 3 2 4" xfId="670" xr:uid="{00000000-0005-0000-0000-0000D9190000}"/>
    <cellStyle name="Input 3 3 2 3 2 5" xfId="774" xr:uid="{00000000-0005-0000-0000-0000DA190000}"/>
    <cellStyle name="Input 3 3 2 3 3" xfId="10587" xr:uid="{00000000-0005-0000-0000-0000DB190000}"/>
    <cellStyle name="Input 3 3 2 3 3 2" xfId="14386" xr:uid="{00000000-0005-0000-0000-0000DC190000}"/>
    <cellStyle name="Input 3 3 2 3 3 3" xfId="14387" xr:uid="{00000000-0005-0000-0000-0000DD190000}"/>
    <cellStyle name="Input 3 3 2 3 3 4" xfId="14389" xr:uid="{00000000-0005-0000-0000-0000DE190000}"/>
    <cellStyle name="Input 3 3 2 3 4" xfId="10592" xr:uid="{00000000-0005-0000-0000-0000DF190000}"/>
    <cellStyle name="Input 3 3 2 3 5" xfId="10597" xr:uid="{00000000-0005-0000-0000-0000E0190000}"/>
    <cellStyle name="Input 3 3 2 3 6" xfId="14390" xr:uid="{00000000-0005-0000-0000-0000E1190000}"/>
    <cellStyle name="Input 3 3 2 4" xfId="14391" xr:uid="{00000000-0005-0000-0000-0000E2190000}"/>
    <cellStyle name="Input 3 3 2 4 2" xfId="11659" xr:uid="{00000000-0005-0000-0000-0000E3190000}"/>
    <cellStyle name="Input 3 3 2 4 2 2" xfId="14392" xr:uid="{00000000-0005-0000-0000-0000E4190000}"/>
    <cellStyle name="Input 3 3 2 4 2 3" xfId="14393" xr:uid="{00000000-0005-0000-0000-0000E5190000}"/>
    <cellStyle name="Input 3 3 2 4 2 4" xfId="1764" xr:uid="{00000000-0005-0000-0000-0000E6190000}"/>
    <cellStyle name="Input 3 3 2 4 3" xfId="11661" xr:uid="{00000000-0005-0000-0000-0000E7190000}"/>
    <cellStyle name="Input 3 3 2 4 4" xfId="14394" xr:uid="{00000000-0005-0000-0000-0000E8190000}"/>
    <cellStyle name="Input 3 3 2 4 5" xfId="14395" xr:uid="{00000000-0005-0000-0000-0000E9190000}"/>
    <cellStyle name="Input 3 3 2 5" xfId="14396" xr:uid="{00000000-0005-0000-0000-0000EA190000}"/>
    <cellStyle name="Input 3 3 2 5 2" xfId="14400" xr:uid="{00000000-0005-0000-0000-0000EB190000}"/>
    <cellStyle name="Input 3 3 2 5 3" xfId="14403" xr:uid="{00000000-0005-0000-0000-0000EC190000}"/>
    <cellStyle name="Input 3 3 2 5 4" xfId="14408" xr:uid="{00000000-0005-0000-0000-0000ED190000}"/>
    <cellStyle name="Input 3 3 2 6" xfId="14413" xr:uid="{00000000-0005-0000-0000-0000EE190000}"/>
    <cellStyle name="Input 3 3 2 7" xfId="14415" xr:uid="{00000000-0005-0000-0000-0000EF190000}"/>
    <cellStyle name="Input 3 3 2 8" xfId="10137" xr:uid="{00000000-0005-0000-0000-0000F0190000}"/>
    <cellStyle name="Input 3 3 3" xfId="4272" xr:uid="{00000000-0005-0000-0000-0000F1190000}"/>
    <cellStyle name="Input 3 3 3 2" xfId="13329" xr:uid="{00000000-0005-0000-0000-0000F2190000}"/>
    <cellStyle name="Input 3 3 3 2 2" xfId="11420" xr:uid="{00000000-0005-0000-0000-0000F3190000}"/>
    <cellStyle name="Input 3 3 3 2 2 2" xfId="2095" xr:uid="{00000000-0005-0000-0000-0000F4190000}"/>
    <cellStyle name="Input 3 3 3 2 2 2 2" xfId="12672" xr:uid="{00000000-0005-0000-0000-0000F5190000}"/>
    <cellStyle name="Input 3 3 3 2 2 2 3" xfId="12676" xr:uid="{00000000-0005-0000-0000-0000F6190000}"/>
    <cellStyle name="Input 3 3 3 2 2 2 4" xfId="12678" xr:uid="{00000000-0005-0000-0000-0000F7190000}"/>
    <cellStyle name="Input 3 3 3 2 2 3" xfId="8340" xr:uid="{00000000-0005-0000-0000-0000F8190000}"/>
    <cellStyle name="Input 3 3 3 2 2 4" xfId="13561" xr:uid="{00000000-0005-0000-0000-0000F9190000}"/>
    <cellStyle name="Input 3 3 3 2 2 5" xfId="14417" xr:uid="{00000000-0005-0000-0000-0000FA190000}"/>
    <cellStyle name="Input 3 3 3 2 3" xfId="12311" xr:uid="{00000000-0005-0000-0000-0000FB190000}"/>
    <cellStyle name="Input 3 3 3 2 3 2" xfId="13568" xr:uid="{00000000-0005-0000-0000-0000FC190000}"/>
    <cellStyle name="Input 3 3 3 2 3 3" xfId="13570" xr:uid="{00000000-0005-0000-0000-0000FD190000}"/>
    <cellStyle name="Input 3 3 3 2 3 4" xfId="14420" xr:uid="{00000000-0005-0000-0000-0000FE190000}"/>
    <cellStyle name="Input 3 3 3 2 4" xfId="14423" xr:uid="{00000000-0005-0000-0000-0000FF190000}"/>
    <cellStyle name="Input 3 3 3 2 5" xfId="12059" xr:uid="{00000000-0005-0000-0000-0000001A0000}"/>
    <cellStyle name="Input 3 3 3 2 6" xfId="2420" xr:uid="{00000000-0005-0000-0000-0000011A0000}"/>
    <cellStyle name="Input 3 3 3 3" xfId="14424" xr:uid="{00000000-0005-0000-0000-0000021A0000}"/>
    <cellStyle name="Input 3 3 3 3 2" xfId="3579" xr:uid="{00000000-0005-0000-0000-0000031A0000}"/>
    <cellStyle name="Input 3 3 3 3 2 2" xfId="337" xr:uid="{00000000-0005-0000-0000-0000041A0000}"/>
    <cellStyle name="Input 3 3 3 3 2 3" xfId="18" xr:uid="{00000000-0005-0000-0000-0000051A0000}"/>
    <cellStyle name="Input 3 3 3 3 2 4" xfId="3815" xr:uid="{00000000-0005-0000-0000-0000061A0000}"/>
    <cellStyle name="Input 3 3 3 3 3" xfId="3587" xr:uid="{00000000-0005-0000-0000-0000071A0000}"/>
    <cellStyle name="Input 3 3 3 3 4" xfId="3594" xr:uid="{00000000-0005-0000-0000-0000081A0000}"/>
    <cellStyle name="Input 3 3 3 3 5" xfId="6926" xr:uid="{00000000-0005-0000-0000-0000091A0000}"/>
    <cellStyle name="Input 3 3 3 4" xfId="14425" xr:uid="{00000000-0005-0000-0000-00000A1A0000}"/>
    <cellStyle name="Input 3 3 3 4 2" xfId="2931" xr:uid="{00000000-0005-0000-0000-00000B1A0000}"/>
    <cellStyle name="Input 3 3 3 4 3" xfId="2943" xr:uid="{00000000-0005-0000-0000-00000C1A0000}"/>
    <cellStyle name="Input 3 3 3 4 4" xfId="2959" xr:uid="{00000000-0005-0000-0000-00000D1A0000}"/>
    <cellStyle name="Input 3 3 3 5" xfId="14426" xr:uid="{00000000-0005-0000-0000-00000E1A0000}"/>
    <cellStyle name="Input 3 3 3 6" xfId="14429" xr:uid="{00000000-0005-0000-0000-00000F1A0000}"/>
    <cellStyle name="Input 3 3 3 7" xfId="14432" xr:uid="{00000000-0005-0000-0000-0000101A0000}"/>
    <cellStyle name="Input 3 3 4" xfId="14433" xr:uid="{00000000-0005-0000-0000-0000111A0000}"/>
    <cellStyle name="Input 3 3 4 2" xfId="14285" xr:uid="{00000000-0005-0000-0000-0000121A0000}"/>
    <cellStyle name="Input 3 3 4 2 2" xfId="14434" xr:uid="{00000000-0005-0000-0000-0000131A0000}"/>
    <cellStyle name="Input 3 3 4 2 2 2" xfId="3664" xr:uid="{00000000-0005-0000-0000-0000141A0000}"/>
    <cellStyle name="Input 3 3 4 2 2 3" xfId="13486" xr:uid="{00000000-0005-0000-0000-0000151A0000}"/>
    <cellStyle name="Input 3 3 4 2 2 4" xfId="13512" xr:uid="{00000000-0005-0000-0000-0000161A0000}"/>
    <cellStyle name="Input 3 3 4 2 3" xfId="14435" xr:uid="{00000000-0005-0000-0000-0000171A0000}"/>
    <cellStyle name="Input 3 3 4 2 4" xfId="14436" xr:uid="{00000000-0005-0000-0000-0000181A0000}"/>
    <cellStyle name="Input 3 3 4 2 5" xfId="12408" xr:uid="{00000000-0005-0000-0000-0000191A0000}"/>
    <cellStyle name="Input 3 3 4 3" xfId="10057" xr:uid="{00000000-0005-0000-0000-00001A1A0000}"/>
    <cellStyle name="Input 3 3 4 3 2" xfId="3711" xr:uid="{00000000-0005-0000-0000-00001B1A0000}"/>
    <cellStyle name="Input 3 3 4 3 3" xfId="262" xr:uid="{00000000-0005-0000-0000-00001C1A0000}"/>
    <cellStyle name="Input 3 3 4 3 4" xfId="6947" xr:uid="{00000000-0005-0000-0000-00001D1A0000}"/>
    <cellStyle name="Input 3 3 4 4" xfId="10060" xr:uid="{00000000-0005-0000-0000-00001E1A0000}"/>
    <cellStyle name="Input 3 3 4 5" xfId="10063" xr:uid="{00000000-0005-0000-0000-00001F1A0000}"/>
    <cellStyle name="Input 3 3 4 6" xfId="14437" xr:uid="{00000000-0005-0000-0000-0000201A0000}"/>
    <cellStyle name="Input 3 3 5" xfId="7771" xr:uid="{00000000-0005-0000-0000-0000211A0000}"/>
    <cellStyle name="Input 3 3 5 2" xfId="14439" xr:uid="{00000000-0005-0000-0000-0000221A0000}"/>
    <cellStyle name="Input 3 3 5 2 2" xfId="14440" xr:uid="{00000000-0005-0000-0000-0000231A0000}"/>
    <cellStyle name="Input 3 3 5 2 3" xfId="14441" xr:uid="{00000000-0005-0000-0000-0000241A0000}"/>
    <cellStyle name="Input 3 3 5 2 4" xfId="10405" xr:uid="{00000000-0005-0000-0000-0000251A0000}"/>
    <cellStyle name="Input 3 3 5 3" xfId="14443" xr:uid="{00000000-0005-0000-0000-0000261A0000}"/>
    <cellStyle name="Input 3 3 5 4" xfId="14444" xr:uid="{00000000-0005-0000-0000-0000271A0000}"/>
    <cellStyle name="Input 3 3 5 5" xfId="14445" xr:uid="{00000000-0005-0000-0000-0000281A0000}"/>
    <cellStyle name="Input 3 3 6" xfId="7774" xr:uid="{00000000-0005-0000-0000-0000291A0000}"/>
    <cellStyle name="Input 3 3 6 2" xfId="14447" xr:uid="{00000000-0005-0000-0000-00002A1A0000}"/>
    <cellStyle name="Input 3 3 6 3" xfId="14448" xr:uid="{00000000-0005-0000-0000-00002B1A0000}"/>
    <cellStyle name="Input 3 3 6 4" xfId="3451" xr:uid="{00000000-0005-0000-0000-00002C1A0000}"/>
    <cellStyle name="Input 3 3 7" xfId="7777" xr:uid="{00000000-0005-0000-0000-00002D1A0000}"/>
    <cellStyle name="Input 3 3 8" xfId="14449" xr:uid="{00000000-0005-0000-0000-00002E1A0000}"/>
    <cellStyle name="Input 3 3 9" xfId="14451" xr:uid="{00000000-0005-0000-0000-00002F1A0000}"/>
    <cellStyle name="Input 3 4" xfId="4858" xr:uid="{00000000-0005-0000-0000-0000301A0000}"/>
    <cellStyle name="Input 3 4 2" xfId="1692" xr:uid="{00000000-0005-0000-0000-0000311A0000}"/>
    <cellStyle name="Input 3 4 2 2" xfId="13359" xr:uid="{00000000-0005-0000-0000-0000321A0000}"/>
    <cellStyle name="Input 3 4 2 2 2" xfId="4336" xr:uid="{00000000-0005-0000-0000-0000331A0000}"/>
    <cellStyle name="Input 3 4 2 2 2 2" xfId="14453" xr:uid="{00000000-0005-0000-0000-0000341A0000}"/>
    <cellStyle name="Input 3 4 2 2 2 2 2" xfId="14456" xr:uid="{00000000-0005-0000-0000-0000351A0000}"/>
    <cellStyle name="Input 3 4 2 2 2 2 2 2" xfId="14457" xr:uid="{00000000-0005-0000-0000-0000361A0000}"/>
    <cellStyle name="Input 3 4 2 2 2 2 2 3" xfId="14458" xr:uid="{00000000-0005-0000-0000-0000371A0000}"/>
    <cellStyle name="Input 3 4 2 2 2 2 2 4" xfId="14459" xr:uid="{00000000-0005-0000-0000-0000381A0000}"/>
    <cellStyle name="Input 3 4 2 2 2 2 3" xfId="14462" xr:uid="{00000000-0005-0000-0000-0000391A0000}"/>
    <cellStyle name="Input 3 4 2 2 2 2 4" xfId="14465" xr:uid="{00000000-0005-0000-0000-00003A1A0000}"/>
    <cellStyle name="Input 3 4 2 2 2 2 5" xfId="14466" xr:uid="{00000000-0005-0000-0000-00003B1A0000}"/>
    <cellStyle name="Input 3 4 2 2 2 3" xfId="14467" xr:uid="{00000000-0005-0000-0000-00003C1A0000}"/>
    <cellStyle name="Input 3 4 2 2 2 3 2" xfId="3048" xr:uid="{00000000-0005-0000-0000-00003D1A0000}"/>
    <cellStyle name="Input 3 4 2 2 2 3 3" xfId="3056" xr:uid="{00000000-0005-0000-0000-00003E1A0000}"/>
    <cellStyle name="Input 3 4 2 2 2 3 4" xfId="14468" xr:uid="{00000000-0005-0000-0000-00003F1A0000}"/>
    <cellStyle name="Input 3 4 2 2 2 4" xfId="14470" xr:uid="{00000000-0005-0000-0000-0000401A0000}"/>
    <cellStyle name="Input 3 4 2 2 2 5" xfId="14473" xr:uid="{00000000-0005-0000-0000-0000411A0000}"/>
    <cellStyle name="Input 3 4 2 2 2 6" xfId="14476" xr:uid="{00000000-0005-0000-0000-0000421A0000}"/>
    <cellStyle name="Input 3 4 2 2 3" xfId="4349" xr:uid="{00000000-0005-0000-0000-0000431A0000}"/>
    <cellStyle name="Input 3 4 2 2 3 2" xfId="14479" xr:uid="{00000000-0005-0000-0000-0000441A0000}"/>
    <cellStyle name="Input 3 4 2 2 3 2 2" xfId="14483" xr:uid="{00000000-0005-0000-0000-0000451A0000}"/>
    <cellStyle name="Input 3 4 2 2 3 2 3" xfId="14485" xr:uid="{00000000-0005-0000-0000-0000461A0000}"/>
    <cellStyle name="Input 3 4 2 2 3 2 4" xfId="14486" xr:uid="{00000000-0005-0000-0000-0000471A0000}"/>
    <cellStyle name="Input 3 4 2 2 3 3" xfId="14487" xr:uid="{00000000-0005-0000-0000-0000481A0000}"/>
    <cellStyle name="Input 3 4 2 2 3 4" xfId="14489" xr:uid="{00000000-0005-0000-0000-0000491A0000}"/>
    <cellStyle name="Input 3 4 2 2 3 5" xfId="14492" xr:uid="{00000000-0005-0000-0000-00004A1A0000}"/>
    <cellStyle name="Input 3 4 2 2 4" xfId="194" xr:uid="{00000000-0005-0000-0000-00004B1A0000}"/>
    <cellStyle name="Input 3 4 2 2 4 2" xfId="5179" xr:uid="{00000000-0005-0000-0000-00004C1A0000}"/>
    <cellStyle name="Input 3 4 2 2 4 3" xfId="5192" xr:uid="{00000000-0005-0000-0000-00004D1A0000}"/>
    <cellStyle name="Input 3 4 2 2 4 4" xfId="14496" xr:uid="{00000000-0005-0000-0000-00004E1A0000}"/>
    <cellStyle name="Input 3 4 2 2 5" xfId="14497" xr:uid="{00000000-0005-0000-0000-00004F1A0000}"/>
    <cellStyle name="Input 3 4 2 2 6" xfId="22" xr:uid="{00000000-0005-0000-0000-0000501A0000}"/>
    <cellStyle name="Input 3 4 2 2 7" xfId="179" xr:uid="{00000000-0005-0000-0000-0000511A0000}"/>
    <cellStyle name="Input 3 4 2 3" xfId="14499" xr:uid="{00000000-0005-0000-0000-0000521A0000}"/>
    <cellStyle name="Input 3 4 2 3 2" xfId="4423" xr:uid="{00000000-0005-0000-0000-0000531A0000}"/>
    <cellStyle name="Input 3 4 2 3 2 2" xfId="14500" xr:uid="{00000000-0005-0000-0000-0000541A0000}"/>
    <cellStyle name="Input 3 4 2 3 2 2 2" xfId="12577" xr:uid="{00000000-0005-0000-0000-0000551A0000}"/>
    <cellStyle name="Input 3 4 2 3 2 2 3" xfId="12583" xr:uid="{00000000-0005-0000-0000-0000561A0000}"/>
    <cellStyle name="Input 3 4 2 3 2 2 4" xfId="14502" xr:uid="{00000000-0005-0000-0000-0000571A0000}"/>
    <cellStyle name="Input 3 4 2 3 2 3" xfId="14503" xr:uid="{00000000-0005-0000-0000-0000581A0000}"/>
    <cellStyle name="Input 3 4 2 3 2 4" xfId="14505" xr:uid="{00000000-0005-0000-0000-0000591A0000}"/>
    <cellStyle name="Input 3 4 2 3 2 5" xfId="14508" xr:uid="{00000000-0005-0000-0000-00005A1A0000}"/>
    <cellStyle name="Input 3 4 2 3 3" xfId="4444" xr:uid="{00000000-0005-0000-0000-00005B1A0000}"/>
    <cellStyle name="Input 3 4 2 3 3 2" xfId="14510" xr:uid="{00000000-0005-0000-0000-00005C1A0000}"/>
    <cellStyle name="Input 3 4 2 3 3 3" xfId="14511" xr:uid="{00000000-0005-0000-0000-00005D1A0000}"/>
    <cellStyle name="Input 3 4 2 3 3 4" xfId="14513" xr:uid="{00000000-0005-0000-0000-00005E1A0000}"/>
    <cellStyle name="Input 3 4 2 3 4" xfId="14514" xr:uid="{00000000-0005-0000-0000-00005F1A0000}"/>
    <cellStyle name="Input 3 4 2 3 5" xfId="14516" xr:uid="{00000000-0005-0000-0000-0000601A0000}"/>
    <cellStyle name="Input 3 4 2 3 6" xfId="14518" xr:uid="{00000000-0005-0000-0000-0000611A0000}"/>
    <cellStyle name="Input 3 4 2 4" xfId="14519" xr:uid="{00000000-0005-0000-0000-0000621A0000}"/>
    <cellStyle name="Input 3 4 2 4 2" xfId="4472" xr:uid="{00000000-0005-0000-0000-0000631A0000}"/>
    <cellStyle name="Input 3 4 2 4 2 2" xfId="14520" xr:uid="{00000000-0005-0000-0000-0000641A0000}"/>
    <cellStyle name="Input 3 4 2 4 2 3" xfId="14521" xr:uid="{00000000-0005-0000-0000-0000651A0000}"/>
    <cellStyle name="Input 3 4 2 4 2 4" xfId="1944" xr:uid="{00000000-0005-0000-0000-0000661A0000}"/>
    <cellStyle name="Input 3 4 2 4 3" xfId="14522" xr:uid="{00000000-0005-0000-0000-0000671A0000}"/>
    <cellStyle name="Input 3 4 2 4 4" xfId="14523" xr:uid="{00000000-0005-0000-0000-0000681A0000}"/>
    <cellStyle name="Input 3 4 2 4 5" xfId="14524" xr:uid="{00000000-0005-0000-0000-0000691A0000}"/>
    <cellStyle name="Input 3 4 2 5" xfId="14525" xr:uid="{00000000-0005-0000-0000-00006A1A0000}"/>
    <cellStyle name="Input 3 4 2 5 2" xfId="14529" xr:uid="{00000000-0005-0000-0000-00006B1A0000}"/>
    <cellStyle name="Input 3 4 2 5 3" xfId="14533" xr:uid="{00000000-0005-0000-0000-00006C1A0000}"/>
    <cellStyle name="Input 3 4 2 5 4" xfId="14534" xr:uid="{00000000-0005-0000-0000-00006D1A0000}"/>
    <cellStyle name="Input 3 4 2 6" xfId="14536" xr:uid="{00000000-0005-0000-0000-00006E1A0000}"/>
    <cellStyle name="Input 3 4 2 7" xfId="6720" xr:uid="{00000000-0005-0000-0000-00006F1A0000}"/>
    <cellStyle name="Input 3 4 2 8" xfId="6736" xr:uid="{00000000-0005-0000-0000-0000701A0000}"/>
    <cellStyle name="Input 3 4 3" xfId="1701" xr:uid="{00000000-0005-0000-0000-0000711A0000}"/>
    <cellStyle name="Input 3 4 3 2" xfId="14537" xr:uid="{00000000-0005-0000-0000-0000721A0000}"/>
    <cellStyle name="Input 3 4 3 2 2" xfId="8223" xr:uid="{00000000-0005-0000-0000-0000731A0000}"/>
    <cellStyle name="Input 3 4 3 2 2 2" xfId="13677" xr:uid="{00000000-0005-0000-0000-0000741A0000}"/>
    <cellStyle name="Input 3 4 3 2 2 2 2" xfId="11998" xr:uid="{00000000-0005-0000-0000-0000751A0000}"/>
    <cellStyle name="Input 3 4 3 2 2 2 3" xfId="12001" xr:uid="{00000000-0005-0000-0000-0000761A0000}"/>
    <cellStyle name="Input 3 4 3 2 2 2 4" xfId="14539" xr:uid="{00000000-0005-0000-0000-0000771A0000}"/>
    <cellStyle name="Input 3 4 3 2 2 3" xfId="13679" xr:uid="{00000000-0005-0000-0000-0000781A0000}"/>
    <cellStyle name="Input 3 4 3 2 2 4" xfId="13683" xr:uid="{00000000-0005-0000-0000-0000791A0000}"/>
    <cellStyle name="Input 3 4 3 2 2 5" xfId="2927" xr:uid="{00000000-0005-0000-0000-00007A1A0000}"/>
    <cellStyle name="Input 3 4 3 2 3" xfId="8227" xr:uid="{00000000-0005-0000-0000-00007B1A0000}"/>
    <cellStyle name="Input 3 4 3 2 3 2" xfId="13692" xr:uid="{00000000-0005-0000-0000-00007C1A0000}"/>
    <cellStyle name="Input 3 4 3 2 3 3" xfId="13694" xr:uid="{00000000-0005-0000-0000-00007D1A0000}"/>
    <cellStyle name="Input 3 4 3 2 3 4" xfId="14541" xr:uid="{00000000-0005-0000-0000-00007E1A0000}"/>
    <cellStyle name="Input 3 4 3 2 4" xfId="3992" xr:uid="{00000000-0005-0000-0000-00007F1A0000}"/>
    <cellStyle name="Input 3 4 3 2 5" xfId="12722" xr:uid="{00000000-0005-0000-0000-0000801A0000}"/>
    <cellStyle name="Input 3 4 3 2 6" xfId="12728" xr:uid="{00000000-0005-0000-0000-0000811A0000}"/>
    <cellStyle name="Input 3 4 3 3" xfId="14542" xr:uid="{00000000-0005-0000-0000-0000821A0000}"/>
    <cellStyle name="Input 3 4 3 3 2" xfId="4063" xr:uid="{00000000-0005-0000-0000-0000831A0000}"/>
    <cellStyle name="Input 3 4 3 3 2 2" xfId="13713" xr:uid="{00000000-0005-0000-0000-0000841A0000}"/>
    <cellStyle name="Input 3 4 3 3 2 3" xfId="13715" xr:uid="{00000000-0005-0000-0000-0000851A0000}"/>
    <cellStyle name="Input 3 4 3 3 2 4" xfId="14544" xr:uid="{00000000-0005-0000-0000-0000861A0000}"/>
    <cellStyle name="Input 3 4 3 3 3" xfId="6982" xr:uid="{00000000-0005-0000-0000-0000871A0000}"/>
    <cellStyle name="Input 3 4 3 3 4" xfId="6987" xr:uid="{00000000-0005-0000-0000-0000881A0000}"/>
    <cellStyle name="Input 3 4 3 3 5" xfId="8663" xr:uid="{00000000-0005-0000-0000-0000891A0000}"/>
    <cellStyle name="Input 3 4 3 4" xfId="14545" xr:uid="{00000000-0005-0000-0000-00008A1A0000}"/>
    <cellStyle name="Input 3 4 3 4 2" xfId="3436" xr:uid="{00000000-0005-0000-0000-00008B1A0000}"/>
    <cellStyle name="Input 3 4 3 4 3" xfId="3441" xr:uid="{00000000-0005-0000-0000-00008C1A0000}"/>
    <cellStyle name="Input 3 4 3 4 4" xfId="14546" xr:uid="{00000000-0005-0000-0000-00008D1A0000}"/>
    <cellStyle name="Input 3 4 3 5" xfId="14547" xr:uid="{00000000-0005-0000-0000-00008E1A0000}"/>
    <cellStyle name="Input 3 4 3 6" xfId="14548" xr:uid="{00000000-0005-0000-0000-00008F1A0000}"/>
    <cellStyle name="Input 3 4 3 7" xfId="6743" xr:uid="{00000000-0005-0000-0000-0000901A0000}"/>
    <cellStyle name="Input 3 4 4" xfId="14549" xr:uid="{00000000-0005-0000-0000-0000911A0000}"/>
    <cellStyle name="Input 3 4 4 2" xfId="14550" xr:uid="{00000000-0005-0000-0000-0000921A0000}"/>
    <cellStyle name="Input 3 4 4 2 2" xfId="9504" xr:uid="{00000000-0005-0000-0000-0000931A0000}"/>
    <cellStyle name="Input 3 4 4 2 2 2" xfId="1377" xr:uid="{00000000-0005-0000-0000-0000941A0000}"/>
    <cellStyle name="Input 3 4 4 2 2 3" xfId="13768" xr:uid="{00000000-0005-0000-0000-0000951A0000}"/>
    <cellStyle name="Input 3 4 4 2 2 4" xfId="14553" xr:uid="{00000000-0005-0000-0000-0000961A0000}"/>
    <cellStyle name="Input 3 4 4 2 3" xfId="9509" xr:uid="{00000000-0005-0000-0000-0000971A0000}"/>
    <cellStyle name="Input 3 4 4 2 4" xfId="9514" xr:uid="{00000000-0005-0000-0000-0000981A0000}"/>
    <cellStyle name="Input 3 4 4 2 5" xfId="14554" xr:uid="{00000000-0005-0000-0000-0000991A0000}"/>
    <cellStyle name="Input 3 4 4 3" xfId="7079" xr:uid="{00000000-0005-0000-0000-00009A1A0000}"/>
    <cellStyle name="Input 3 4 4 3 2" xfId="7009" xr:uid="{00000000-0005-0000-0000-00009B1A0000}"/>
    <cellStyle name="Input 3 4 4 3 3" xfId="7012" xr:uid="{00000000-0005-0000-0000-00009C1A0000}"/>
    <cellStyle name="Input 3 4 4 3 4" xfId="14555" xr:uid="{00000000-0005-0000-0000-00009D1A0000}"/>
    <cellStyle name="Input 3 4 4 4" xfId="859" xr:uid="{00000000-0005-0000-0000-00009E1A0000}"/>
    <cellStyle name="Input 3 4 4 5" xfId="874" xr:uid="{00000000-0005-0000-0000-00009F1A0000}"/>
    <cellStyle name="Input 3 4 4 6" xfId="14557" xr:uid="{00000000-0005-0000-0000-0000A01A0000}"/>
    <cellStyle name="Input 3 4 5" xfId="14559" xr:uid="{00000000-0005-0000-0000-0000A11A0000}"/>
    <cellStyle name="Input 3 4 5 2" xfId="14560" xr:uid="{00000000-0005-0000-0000-0000A21A0000}"/>
    <cellStyle name="Input 3 4 5 2 2" xfId="10483" xr:uid="{00000000-0005-0000-0000-0000A31A0000}"/>
    <cellStyle name="Input 3 4 5 2 3" xfId="10485" xr:uid="{00000000-0005-0000-0000-0000A41A0000}"/>
    <cellStyle name="Input 3 4 5 2 4" xfId="10477" xr:uid="{00000000-0005-0000-0000-0000A51A0000}"/>
    <cellStyle name="Input 3 4 5 3" xfId="14561" xr:uid="{00000000-0005-0000-0000-0000A61A0000}"/>
    <cellStyle name="Input 3 4 5 4" xfId="14563" xr:uid="{00000000-0005-0000-0000-0000A71A0000}"/>
    <cellStyle name="Input 3 4 5 5" xfId="14566" xr:uid="{00000000-0005-0000-0000-0000A81A0000}"/>
    <cellStyle name="Input 3 4 6" xfId="14570" xr:uid="{00000000-0005-0000-0000-0000A91A0000}"/>
    <cellStyle name="Input 3 4 6 2" xfId="8540" xr:uid="{00000000-0005-0000-0000-0000AA1A0000}"/>
    <cellStyle name="Input 3 4 6 3" xfId="8556" xr:uid="{00000000-0005-0000-0000-0000AB1A0000}"/>
    <cellStyle name="Input 3 4 6 4" xfId="8560" xr:uid="{00000000-0005-0000-0000-0000AC1A0000}"/>
    <cellStyle name="Input 3 4 7" xfId="14572" xr:uid="{00000000-0005-0000-0000-0000AD1A0000}"/>
    <cellStyle name="Input 3 4 8" xfId="14574" xr:uid="{00000000-0005-0000-0000-0000AE1A0000}"/>
    <cellStyle name="Input 3 4 9" xfId="14576" xr:uid="{00000000-0005-0000-0000-0000AF1A0000}"/>
    <cellStyle name="Input 3 5" xfId="4865" xr:uid="{00000000-0005-0000-0000-0000B01A0000}"/>
    <cellStyle name="Input 3 5 2" xfId="14577" xr:uid="{00000000-0005-0000-0000-0000B11A0000}"/>
    <cellStyle name="Input 3 5 2 2" xfId="14578" xr:uid="{00000000-0005-0000-0000-0000B21A0000}"/>
    <cellStyle name="Input 3 5 2 2 2" xfId="13798" xr:uid="{00000000-0005-0000-0000-0000B31A0000}"/>
    <cellStyle name="Input 3 5 2 2 2 2" xfId="14579" xr:uid="{00000000-0005-0000-0000-0000B41A0000}"/>
    <cellStyle name="Input 3 5 2 2 2 2 2" xfId="14582" xr:uid="{00000000-0005-0000-0000-0000B51A0000}"/>
    <cellStyle name="Input 3 5 2 2 2 2 3" xfId="14583" xr:uid="{00000000-0005-0000-0000-0000B61A0000}"/>
    <cellStyle name="Input 3 5 2 2 2 2 4" xfId="14585" xr:uid="{00000000-0005-0000-0000-0000B71A0000}"/>
    <cellStyle name="Input 3 5 2 2 2 3" xfId="14586" xr:uid="{00000000-0005-0000-0000-0000B81A0000}"/>
    <cellStyle name="Input 3 5 2 2 2 4" xfId="14588" xr:uid="{00000000-0005-0000-0000-0000B91A0000}"/>
    <cellStyle name="Input 3 5 2 2 2 5" xfId="14591" xr:uid="{00000000-0005-0000-0000-0000BA1A0000}"/>
    <cellStyle name="Input 3 5 2 2 3" xfId="13802" xr:uid="{00000000-0005-0000-0000-0000BB1A0000}"/>
    <cellStyle name="Input 3 5 2 2 3 2" xfId="14594" xr:uid="{00000000-0005-0000-0000-0000BC1A0000}"/>
    <cellStyle name="Input 3 5 2 2 3 3" xfId="14596" xr:uid="{00000000-0005-0000-0000-0000BD1A0000}"/>
    <cellStyle name="Input 3 5 2 2 3 4" xfId="14599" xr:uid="{00000000-0005-0000-0000-0000BE1A0000}"/>
    <cellStyle name="Input 3 5 2 2 4" xfId="13806" xr:uid="{00000000-0005-0000-0000-0000BF1A0000}"/>
    <cellStyle name="Input 3 5 2 2 5" xfId="14602" xr:uid="{00000000-0005-0000-0000-0000C01A0000}"/>
    <cellStyle name="Input 3 5 2 2 6" xfId="14604" xr:uid="{00000000-0005-0000-0000-0000C11A0000}"/>
    <cellStyle name="Input 3 5 2 3" xfId="14605" xr:uid="{00000000-0005-0000-0000-0000C21A0000}"/>
    <cellStyle name="Input 3 5 2 3 2" xfId="13809" xr:uid="{00000000-0005-0000-0000-0000C31A0000}"/>
    <cellStyle name="Input 3 5 2 3 2 2" xfId="14606" xr:uid="{00000000-0005-0000-0000-0000C41A0000}"/>
    <cellStyle name="Input 3 5 2 3 2 3" xfId="14607" xr:uid="{00000000-0005-0000-0000-0000C51A0000}"/>
    <cellStyle name="Input 3 5 2 3 2 4" xfId="14609" xr:uid="{00000000-0005-0000-0000-0000C61A0000}"/>
    <cellStyle name="Input 3 5 2 3 3" xfId="13815" xr:uid="{00000000-0005-0000-0000-0000C71A0000}"/>
    <cellStyle name="Input 3 5 2 3 4" xfId="14612" xr:uid="{00000000-0005-0000-0000-0000C81A0000}"/>
    <cellStyle name="Input 3 5 2 3 5" xfId="14615" xr:uid="{00000000-0005-0000-0000-0000C91A0000}"/>
    <cellStyle name="Input 3 5 2 4" xfId="14616" xr:uid="{00000000-0005-0000-0000-0000CA1A0000}"/>
    <cellStyle name="Input 3 5 2 4 2" xfId="14617" xr:uid="{00000000-0005-0000-0000-0000CB1A0000}"/>
    <cellStyle name="Input 3 5 2 4 3" xfId="14619" xr:uid="{00000000-0005-0000-0000-0000CC1A0000}"/>
    <cellStyle name="Input 3 5 2 4 4" xfId="14621" xr:uid="{00000000-0005-0000-0000-0000CD1A0000}"/>
    <cellStyle name="Input 3 5 2 5" xfId="14622" xr:uid="{00000000-0005-0000-0000-0000CE1A0000}"/>
    <cellStyle name="Input 3 5 2 6" xfId="14623" xr:uid="{00000000-0005-0000-0000-0000CF1A0000}"/>
    <cellStyle name="Input 3 5 2 7" xfId="6780" xr:uid="{00000000-0005-0000-0000-0000D01A0000}"/>
    <cellStyle name="Input 3 5 3" xfId="14624" xr:uid="{00000000-0005-0000-0000-0000D11A0000}"/>
    <cellStyle name="Input 3 5 3 2" xfId="14625" xr:uid="{00000000-0005-0000-0000-0000D21A0000}"/>
    <cellStyle name="Input 3 5 3 2 2" xfId="13877" xr:uid="{00000000-0005-0000-0000-0000D31A0000}"/>
    <cellStyle name="Input 3 5 3 2 2 2" xfId="13822" xr:uid="{00000000-0005-0000-0000-0000D41A0000}"/>
    <cellStyle name="Input 3 5 3 2 2 3" xfId="13824" xr:uid="{00000000-0005-0000-0000-0000D51A0000}"/>
    <cellStyle name="Input 3 5 3 2 2 4" xfId="14627" xr:uid="{00000000-0005-0000-0000-0000D61A0000}"/>
    <cellStyle name="Input 3 5 3 2 3" xfId="13880" xr:uid="{00000000-0005-0000-0000-0000D71A0000}"/>
    <cellStyle name="Input 3 5 3 2 4" xfId="14629" xr:uid="{00000000-0005-0000-0000-0000D81A0000}"/>
    <cellStyle name="Input 3 5 3 2 5" xfId="14631" xr:uid="{00000000-0005-0000-0000-0000D91A0000}"/>
    <cellStyle name="Input 3 5 3 3" xfId="14632" xr:uid="{00000000-0005-0000-0000-0000DA1A0000}"/>
    <cellStyle name="Input 3 5 3 3 2" xfId="4316" xr:uid="{00000000-0005-0000-0000-0000DB1A0000}"/>
    <cellStyle name="Input 3 5 3 3 3" xfId="4548" xr:uid="{00000000-0005-0000-0000-0000DC1A0000}"/>
    <cellStyle name="Input 3 5 3 3 4" xfId="14634" xr:uid="{00000000-0005-0000-0000-0000DD1A0000}"/>
    <cellStyle name="Input 3 5 3 4" xfId="14635" xr:uid="{00000000-0005-0000-0000-0000DE1A0000}"/>
    <cellStyle name="Input 3 5 3 5" xfId="14636" xr:uid="{00000000-0005-0000-0000-0000DF1A0000}"/>
    <cellStyle name="Input 3 5 3 6" xfId="14637" xr:uid="{00000000-0005-0000-0000-0000E01A0000}"/>
    <cellStyle name="Input 3 5 4" xfId="14638" xr:uid="{00000000-0005-0000-0000-0000E11A0000}"/>
    <cellStyle name="Input 3 5 4 2" xfId="14639" xr:uid="{00000000-0005-0000-0000-0000E21A0000}"/>
    <cellStyle name="Input 3 5 4 2 2" xfId="14641" xr:uid="{00000000-0005-0000-0000-0000E31A0000}"/>
    <cellStyle name="Input 3 5 4 2 3" xfId="14642" xr:uid="{00000000-0005-0000-0000-0000E41A0000}"/>
    <cellStyle name="Input 3 5 4 2 4" xfId="14645" xr:uid="{00000000-0005-0000-0000-0000E51A0000}"/>
    <cellStyle name="Input 3 5 4 3" xfId="14650" xr:uid="{00000000-0005-0000-0000-0000E61A0000}"/>
    <cellStyle name="Input 3 5 4 4" xfId="14653" xr:uid="{00000000-0005-0000-0000-0000E71A0000}"/>
    <cellStyle name="Input 3 5 4 5" xfId="14657" xr:uid="{00000000-0005-0000-0000-0000E81A0000}"/>
    <cellStyle name="Input 3 5 5" xfId="14658" xr:uid="{00000000-0005-0000-0000-0000E91A0000}"/>
    <cellStyle name="Input 3 5 5 2" xfId="14659" xr:uid="{00000000-0005-0000-0000-0000EA1A0000}"/>
    <cellStyle name="Input 3 5 5 3" xfId="14662" xr:uid="{00000000-0005-0000-0000-0000EB1A0000}"/>
    <cellStyle name="Input 3 5 5 4" xfId="14665" xr:uid="{00000000-0005-0000-0000-0000EC1A0000}"/>
    <cellStyle name="Input 3 5 6" xfId="4622" xr:uid="{00000000-0005-0000-0000-0000ED1A0000}"/>
    <cellStyle name="Input 3 5 7" xfId="4632" xr:uid="{00000000-0005-0000-0000-0000EE1A0000}"/>
    <cellStyle name="Input 3 5 8" xfId="4641" xr:uid="{00000000-0005-0000-0000-0000EF1A0000}"/>
    <cellStyle name="Input 3 6" xfId="14666" xr:uid="{00000000-0005-0000-0000-0000F01A0000}"/>
    <cellStyle name="Input 3 6 2" xfId="14667" xr:uid="{00000000-0005-0000-0000-0000F11A0000}"/>
    <cellStyle name="Input 3 6 2 2" xfId="10071" xr:uid="{00000000-0005-0000-0000-0000F21A0000}"/>
    <cellStyle name="Input 3 6 2 2 2" xfId="14562" xr:uid="{00000000-0005-0000-0000-0000F31A0000}"/>
    <cellStyle name="Input 3 6 2 2 2 2" xfId="10510" xr:uid="{00000000-0005-0000-0000-0000F41A0000}"/>
    <cellStyle name="Input 3 6 2 2 2 3" xfId="10512" xr:uid="{00000000-0005-0000-0000-0000F51A0000}"/>
    <cellStyle name="Input 3 6 2 2 2 4" xfId="11851" xr:uid="{00000000-0005-0000-0000-0000F61A0000}"/>
    <cellStyle name="Input 3 6 2 2 3" xfId="14565" xr:uid="{00000000-0005-0000-0000-0000F71A0000}"/>
    <cellStyle name="Input 3 6 2 2 4" xfId="14568" xr:uid="{00000000-0005-0000-0000-0000F81A0000}"/>
    <cellStyle name="Input 3 6 2 2 5" xfId="14669" xr:uid="{00000000-0005-0000-0000-0000F91A0000}"/>
    <cellStyle name="Input 3 6 2 3" xfId="10076" xr:uid="{00000000-0005-0000-0000-0000FA1A0000}"/>
    <cellStyle name="Input 3 6 2 3 2" xfId="8557" xr:uid="{00000000-0005-0000-0000-0000FB1A0000}"/>
    <cellStyle name="Input 3 6 2 3 3" xfId="8562" xr:uid="{00000000-0005-0000-0000-0000FC1A0000}"/>
    <cellStyle name="Input 3 6 2 3 4" xfId="8565" xr:uid="{00000000-0005-0000-0000-0000FD1A0000}"/>
    <cellStyle name="Input 3 6 2 4" xfId="14670" xr:uid="{00000000-0005-0000-0000-0000FE1A0000}"/>
    <cellStyle name="Input 3 6 2 5" xfId="14671" xr:uid="{00000000-0005-0000-0000-0000FF1A0000}"/>
    <cellStyle name="Input 3 6 2 6" xfId="14672" xr:uid="{00000000-0005-0000-0000-0000001B0000}"/>
    <cellStyle name="Input 3 6 3" xfId="14674" xr:uid="{00000000-0005-0000-0000-0000011B0000}"/>
    <cellStyle name="Input 3 6 3 2" xfId="11322" xr:uid="{00000000-0005-0000-0000-0000021B0000}"/>
    <cellStyle name="Input 3 6 3 2 2" xfId="14660" xr:uid="{00000000-0005-0000-0000-0000031B0000}"/>
    <cellStyle name="Input 3 6 3 2 3" xfId="14663" xr:uid="{00000000-0005-0000-0000-0000041B0000}"/>
    <cellStyle name="Input 3 6 3 2 4" xfId="14675" xr:uid="{00000000-0005-0000-0000-0000051B0000}"/>
    <cellStyle name="Input 3 6 3 3" xfId="11326" xr:uid="{00000000-0005-0000-0000-0000061B0000}"/>
    <cellStyle name="Input 3 6 3 4" xfId="14677" xr:uid="{00000000-0005-0000-0000-0000071B0000}"/>
    <cellStyle name="Input 3 6 3 5" xfId="14679" xr:uid="{00000000-0005-0000-0000-0000081B0000}"/>
    <cellStyle name="Input 3 6 4" xfId="14681" xr:uid="{00000000-0005-0000-0000-0000091B0000}"/>
    <cellStyle name="Input 3 6 4 2" xfId="14683" xr:uid="{00000000-0005-0000-0000-00000A1B0000}"/>
    <cellStyle name="Input 3 6 4 3" xfId="14686" xr:uid="{00000000-0005-0000-0000-00000B1B0000}"/>
    <cellStyle name="Input 3 6 4 4" xfId="14692" xr:uid="{00000000-0005-0000-0000-00000C1B0000}"/>
    <cellStyle name="Input 3 6 5" xfId="14695" xr:uid="{00000000-0005-0000-0000-00000D1B0000}"/>
    <cellStyle name="Input 3 6 6" xfId="14699" xr:uid="{00000000-0005-0000-0000-00000E1B0000}"/>
    <cellStyle name="Input 3 6 7" xfId="14703" xr:uid="{00000000-0005-0000-0000-00000F1B0000}"/>
    <cellStyle name="Input 3 7" xfId="14705" xr:uid="{00000000-0005-0000-0000-0000101B0000}"/>
    <cellStyle name="Input 3 7 2" xfId="13303" xr:uid="{00000000-0005-0000-0000-0000111B0000}"/>
    <cellStyle name="Input 3 7 2 2" xfId="14706" xr:uid="{00000000-0005-0000-0000-0000121B0000}"/>
    <cellStyle name="Input 3 7 2 2 2" xfId="14708" xr:uid="{00000000-0005-0000-0000-0000131B0000}"/>
    <cellStyle name="Input 3 7 2 2 3" xfId="3372" xr:uid="{00000000-0005-0000-0000-0000141B0000}"/>
    <cellStyle name="Input 3 7 2 2 4" xfId="3499" xr:uid="{00000000-0005-0000-0000-0000151B0000}"/>
    <cellStyle name="Input 3 7 2 3" xfId="14710" xr:uid="{00000000-0005-0000-0000-0000161B0000}"/>
    <cellStyle name="Input 3 7 2 4" xfId="14712" xr:uid="{00000000-0005-0000-0000-0000171B0000}"/>
    <cellStyle name="Input 3 7 2 5" xfId="14714" xr:uid="{00000000-0005-0000-0000-0000181B0000}"/>
    <cellStyle name="Input 3 7 3" xfId="14715" xr:uid="{00000000-0005-0000-0000-0000191B0000}"/>
    <cellStyle name="Input 3 7 3 2" xfId="14716" xr:uid="{00000000-0005-0000-0000-00001A1B0000}"/>
    <cellStyle name="Input 3 7 3 3" xfId="14718" xr:uid="{00000000-0005-0000-0000-00001B1B0000}"/>
    <cellStyle name="Input 3 7 3 4" xfId="14721" xr:uid="{00000000-0005-0000-0000-00001C1B0000}"/>
    <cellStyle name="Input 3 7 4" xfId="14723" xr:uid="{00000000-0005-0000-0000-00001D1B0000}"/>
    <cellStyle name="Input 3 7 5" xfId="14725" xr:uid="{00000000-0005-0000-0000-00001E1B0000}"/>
    <cellStyle name="Input 3 7 6" xfId="14728" xr:uid="{00000000-0005-0000-0000-00001F1B0000}"/>
    <cellStyle name="Input 3 8" xfId="14730" xr:uid="{00000000-0005-0000-0000-0000201B0000}"/>
    <cellStyle name="Input 3 8 2" xfId="14731" xr:uid="{00000000-0005-0000-0000-0000211B0000}"/>
    <cellStyle name="Input 3 8 2 2" xfId="5282" xr:uid="{00000000-0005-0000-0000-0000221B0000}"/>
    <cellStyle name="Input 3 8 2 3" xfId="5286" xr:uid="{00000000-0005-0000-0000-0000231B0000}"/>
    <cellStyle name="Input 3 8 2 4" xfId="5294" xr:uid="{00000000-0005-0000-0000-0000241B0000}"/>
    <cellStyle name="Input 3 8 3" xfId="14732" xr:uid="{00000000-0005-0000-0000-0000251B0000}"/>
    <cellStyle name="Input 3 8 4" xfId="14735" xr:uid="{00000000-0005-0000-0000-0000261B0000}"/>
    <cellStyle name="Input 3 8 5" xfId="14738" xr:uid="{00000000-0005-0000-0000-0000271B0000}"/>
    <cellStyle name="Input 3 9" xfId="14740" xr:uid="{00000000-0005-0000-0000-0000281B0000}"/>
    <cellStyle name="Input 3 9 2" xfId="14374" xr:uid="{00000000-0005-0000-0000-0000291B0000}"/>
    <cellStyle name="Input 3 9 3" xfId="14376" xr:uid="{00000000-0005-0000-0000-00002A1B0000}"/>
    <cellStyle name="Input 3 9 4" xfId="14379" xr:uid="{00000000-0005-0000-0000-00002B1B0000}"/>
    <cellStyle name="Input 4" xfId="13614" xr:uid="{00000000-0005-0000-0000-00002C1B0000}"/>
    <cellStyle name="Input 4 10" xfId="1869" xr:uid="{00000000-0005-0000-0000-00002D1B0000}"/>
    <cellStyle name="Input 4 11" xfId="126" xr:uid="{00000000-0005-0000-0000-00002E1B0000}"/>
    <cellStyle name="Input 4 12" xfId="1902" xr:uid="{00000000-0005-0000-0000-00002F1B0000}"/>
    <cellStyle name="Input 4 13" xfId="1905" xr:uid="{00000000-0005-0000-0000-0000301B0000}"/>
    <cellStyle name="Input 4 2" xfId="4891" xr:uid="{00000000-0005-0000-0000-0000311B0000}"/>
    <cellStyle name="Input 4 2 10" xfId="7491" xr:uid="{00000000-0005-0000-0000-0000321B0000}"/>
    <cellStyle name="Input 4 2 11" xfId="7493" xr:uid="{00000000-0005-0000-0000-0000331B0000}"/>
    <cellStyle name="Input 4 2 12" xfId="14741" xr:uid="{00000000-0005-0000-0000-0000341B0000}"/>
    <cellStyle name="Input 4 2 2" xfId="1471" xr:uid="{00000000-0005-0000-0000-0000351B0000}"/>
    <cellStyle name="Input 4 2 2 2" xfId="122" xr:uid="{00000000-0005-0000-0000-0000361B0000}"/>
    <cellStyle name="Input 4 2 2 2 2" xfId="1890" xr:uid="{00000000-0005-0000-0000-0000371B0000}"/>
    <cellStyle name="Input 4 2 2 2 2 2" xfId="4733" xr:uid="{00000000-0005-0000-0000-0000381B0000}"/>
    <cellStyle name="Input 4 2 2 2 2 2 2" xfId="5365" xr:uid="{00000000-0005-0000-0000-0000391B0000}"/>
    <cellStyle name="Input 4 2 2 2 2 2 2 2" xfId="14742" xr:uid="{00000000-0005-0000-0000-00003A1B0000}"/>
    <cellStyle name="Input 4 2 2 2 2 2 2 2 2" xfId="14744" xr:uid="{00000000-0005-0000-0000-00003B1B0000}"/>
    <cellStyle name="Input 4 2 2 2 2 2 2 2 3" xfId="14746" xr:uid="{00000000-0005-0000-0000-00003C1B0000}"/>
    <cellStyle name="Input 4 2 2 2 2 2 2 2 4" xfId="14748" xr:uid="{00000000-0005-0000-0000-00003D1B0000}"/>
    <cellStyle name="Input 4 2 2 2 2 2 2 3" xfId="14749" xr:uid="{00000000-0005-0000-0000-00003E1B0000}"/>
    <cellStyle name="Input 4 2 2 2 2 2 2 4" xfId="14751" xr:uid="{00000000-0005-0000-0000-00003F1B0000}"/>
    <cellStyle name="Input 4 2 2 2 2 2 2 5" xfId="14756" xr:uid="{00000000-0005-0000-0000-0000401B0000}"/>
    <cellStyle name="Input 4 2 2 2 2 2 3" xfId="14760" xr:uid="{00000000-0005-0000-0000-0000411B0000}"/>
    <cellStyle name="Input 4 2 2 2 2 2 3 2" xfId="14761" xr:uid="{00000000-0005-0000-0000-0000421B0000}"/>
    <cellStyle name="Input 4 2 2 2 2 2 3 3" xfId="14762" xr:uid="{00000000-0005-0000-0000-0000431B0000}"/>
    <cellStyle name="Input 4 2 2 2 2 2 3 4" xfId="14764" xr:uid="{00000000-0005-0000-0000-0000441B0000}"/>
    <cellStyle name="Input 4 2 2 2 2 2 4" xfId="14765" xr:uid="{00000000-0005-0000-0000-0000451B0000}"/>
    <cellStyle name="Input 4 2 2 2 2 2 5" xfId="14767" xr:uid="{00000000-0005-0000-0000-0000461B0000}"/>
    <cellStyle name="Input 4 2 2 2 2 2 6" xfId="14769" xr:uid="{00000000-0005-0000-0000-0000471B0000}"/>
    <cellStyle name="Input 4 2 2 2 2 3" xfId="320" xr:uid="{00000000-0005-0000-0000-0000481B0000}"/>
    <cellStyle name="Input 4 2 2 2 2 3 2" xfId="1392" xr:uid="{00000000-0005-0000-0000-0000491B0000}"/>
    <cellStyle name="Input 4 2 2 2 2 3 2 2" xfId="164" xr:uid="{00000000-0005-0000-0000-00004A1B0000}"/>
    <cellStyle name="Input 4 2 2 2 2 3 2 3" xfId="3841" xr:uid="{00000000-0005-0000-0000-00004B1B0000}"/>
    <cellStyle name="Input 4 2 2 2 2 3 2 4" xfId="1493" xr:uid="{00000000-0005-0000-0000-00004C1B0000}"/>
    <cellStyle name="Input 4 2 2 2 2 3 3" xfId="5104" xr:uid="{00000000-0005-0000-0000-00004D1B0000}"/>
    <cellStyle name="Input 4 2 2 2 2 3 4" xfId="7074" xr:uid="{00000000-0005-0000-0000-00004E1B0000}"/>
    <cellStyle name="Input 4 2 2 2 2 3 5" xfId="8342" xr:uid="{00000000-0005-0000-0000-00004F1B0000}"/>
    <cellStyle name="Input 4 2 2 2 2 4" xfId="3205" xr:uid="{00000000-0005-0000-0000-0000501B0000}"/>
    <cellStyle name="Input 4 2 2 2 2 4 2" xfId="14771" xr:uid="{00000000-0005-0000-0000-0000511B0000}"/>
    <cellStyle name="Input 4 2 2 2 2 4 3" xfId="14773" xr:uid="{00000000-0005-0000-0000-0000521B0000}"/>
    <cellStyle name="Input 4 2 2 2 2 4 4" xfId="14776" xr:uid="{00000000-0005-0000-0000-0000531B0000}"/>
    <cellStyle name="Input 4 2 2 2 2 5" xfId="13422" xr:uid="{00000000-0005-0000-0000-0000541B0000}"/>
    <cellStyle name="Input 4 2 2 2 2 6" xfId="9651" xr:uid="{00000000-0005-0000-0000-0000551B0000}"/>
    <cellStyle name="Input 4 2 2 2 2 7" xfId="9676" xr:uid="{00000000-0005-0000-0000-0000561B0000}"/>
    <cellStyle name="Input 4 2 2 2 3" xfId="4737" xr:uid="{00000000-0005-0000-0000-0000571B0000}"/>
    <cellStyle name="Input 4 2 2 2 3 2" xfId="14778" xr:uid="{00000000-0005-0000-0000-0000581B0000}"/>
    <cellStyle name="Input 4 2 2 2 3 2 2" xfId="5557" xr:uid="{00000000-0005-0000-0000-0000591B0000}"/>
    <cellStyle name="Input 4 2 2 2 3 2 2 2" xfId="14779" xr:uid="{00000000-0005-0000-0000-00005A1B0000}"/>
    <cellStyle name="Input 4 2 2 2 3 2 2 3" xfId="14780" xr:uid="{00000000-0005-0000-0000-00005B1B0000}"/>
    <cellStyle name="Input 4 2 2 2 3 2 2 4" xfId="5315" xr:uid="{00000000-0005-0000-0000-00005C1B0000}"/>
    <cellStyle name="Input 4 2 2 2 3 2 3" xfId="14783" xr:uid="{00000000-0005-0000-0000-00005D1B0000}"/>
    <cellStyle name="Input 4 2 2 2 3 2 4" xfId="14786" xr:uid="{00000000-0005-0000-0000-00005E1B0000}"/>
    <cellStyle name="Input 4 2 2 2 3 2 5" xfId="14787" xr:uid="{00000000-0005-0000-0000-00005F1B0000}"/>
    <cellStyle name="Input 4 2 2 2 3 3" xfId="14788" xr:uid="{00000000-0005-0000-0000-0000601B0000}"/>
    <cellStyle name="Input 4 2 2 2 3 3 2" xfId="6554" xr:uid="{00000000-0005-0000-0000-0000611B0000}"/>
    <cellStyle name="Input 4 2 2 2 3 3 3" xfId="6570" xr:uid="{00000000-0005-0000-0000-0000621B0000}"/>
    <cellStyle name="Input 4 2 2 2 3 3 4" xfId="14789" xr:uid="{00000000-0005-0000-0000-0000631B0000}"/>
    <cellStyle name="Input 4 2 2 2 3 4" xfId="14790" xr:uid="{00000000-0005-0000-0000-0000641B0000}"/>
    <cellStyle name="Input 4 2 2 2 3 5" xfId="14794" xr:uid="{00000000-0005-0000-0000-0000651B0000}"/>
    <cellStyle name="Input 4 2 2 2 3 6" xfId="9684" xr:uid="{00000000-0005-0000-0000-0000661B0000}"/>
    <cellStyle name="Input 4 2 2 2 4" xfId="4747" xr:uid="{00000000-0005-0000-0000-0000671B0000}"/>
    <cellStyle name="Input 4 2 2 2 4 2" xfId="14795" xr:uid="{00000000-0005-0000-0000-0000681B0000}"/>
    <cellStyle name="Input 4 2 2 2 4 2 2" xfId="187" xr:uid="{00000000-0005-0000-0000-0000691B0000}"/>
    <cellStyle name="Input 4 2 2 2 4 2 3" xfId="2690" xr:uid="{00000000-0005-0000-0000-00006A1B0000}"/>
    <cellStyle name="Input 4 2 2 2 4 2 4" xfId="1040" xr:uid="{00000000-0005-0000-0000-00006B1B0000}"/>
    <cellStyle name="Input 4 2 2 2 4 3" xfId="14796" xr:uid="{00000000-0005-0000-0000-00006C1B0000}"/>
    <cellStyle name="Input 4 2 2 2 4 4" xfId="14797" xr:uid="{00000000-0005-0000-0000-00006D1B0000}"/>
    <cellStyle name="Input 4 2 2 2 4 5" xfId="14802" xr:uid="{00000000-0005-0000-0000-00006E1B0000}"/>
    <cellStyle name="Input 4 2 2 2 5" xfId="932" xr:uid="{00000000-0005-0000-0000-00006F1B0000}"/>
    <cellStyle name="Input 4 2 2 2 5 2" xfId="14806" xr:uid="{00000000-0005-0000-0000-0000701B0000}"/>
    <cellStyle name="Input 4 2 2 2 5 3" xfId="14809" xr:uid="{00000000-0005-0000-0000-0000711B0000}"/>
    <cellStyle name="Input 4 2 2 2 5 4" xfId="7300" xr:uid="{00000000-0005-0000-0000-0000721B0000}"/>
    <cellStyle name="Input 4 2 2 2 6" xfId="14810" xr:uid="{00000000-0005-0000-0000-0000731B0000}"/>
    <cellStyle name="Input 4 2 2 2 7" xfId="14811" xr:uid="{00000000-0005-0000-0000-0000741B0000}"/>
    <cellStyle name="Input 4 2 2 2 8" xfId="14812" xr:uid="{00000000-0005-0000-0000-0000751B0000}"/>
    <cellStyle name="Input 4 2 2 3" xfId="13385" xr:uid="{00000000-0005-0000-0000-0000761B0000}"/>
    <cellStyle name="Input 4 2 2 3 2" xfId="290" xr:uid="{00000000-0005-0000-0000-0000771B0000}"/>
    <cellStyle name="Input 4 2 2 3 2 2" xfId="12922" xr:uid="{00000000-0005-0000-0000-0000781B0000}"/>
    <cellStyle name="Input 4 2 2 3 2 2 2" xfId="5899" xr:uid="{00000000-0005-0000-0000-0000791B0000}"/>
    <cellStyle name="Input 4 2 2 3 2 2 2 2" xfId="14813" xr:uid="{00000000-0005-0000-0000-00007A1B0000}"/>
    <cellStyle name="Input 4 2 2 3 2 2 2 3" xfId="14814" xr:uid="{00000000-0005-0000-0000-00007B1B0000}"/>
    <cellStyle name="Input 4 2 2 3 2 2 2 4" xfId="14817" xr:uid="{00000000-0005-0000-0000-00007C1B0000}"/>
    <cellStyle name="Input 4 2 2 3 2 2 3" xfId="14818" xr:uid="{00000000-0005-0000-0000-00007D1B0000}"/>
    <cellStyle name="Input 4 2 2 3 2 2 4" xfId="14819" xr:uid="{00000000-0005-0000-0000-00007E1B0000}"/>
    <cellStyle name="Input 4 2 2 3 2 2 5" xfId="14821" xr:uid="{00000000-0005-0000-0000-00007F1B0000}"/>
    <cellStyle name="Input 4 2 2 3 2 3" xfId="12925" xr:uid="{00000000-0005-0000-0000-0000801B0000}"/>
    <cellStyle name="Input 4 2 2 3 2 3 2" xfId="14823" xr:uid="{00000000-0005-0000-0000-0000811B0000}"/>
    <cellStyle name="Input 4 2 2 3 2 3 3" xfId="14824" xr:uid="{00000000-0005-0000-0000-0000821B0000}"/>
    <cellStyle name="Input 4 2 2 3 2 3 4" xfId="14825" xr:uid="{00000000-0005-0000-0000-0000831B0000}"/>
    <cellStyle name="Input 4 2 2 3 2 4" xfId="9214" xr:uid="{00000000-0005-0000-0000-0000841B0000}"/>
    <cellStyle name="Input 4 2 2 3 2 5" xfId="9225" xr:uid="{00000000-0005-0000-0000-0000851B0000}"/>
    <cellStyle name="Input 4 2 2 3 2 6" xfId="397" xr:uid="{00000000-0005-0000-0000-0000861B0000}"/>
    <cellStyle name="Input 4 2 2 3 3" xfId="110" xr:uid="{00000000-0005-0000-0000-0000871B0000}"/>
    <cellStyle name="Input 4 2 2 3 3 2" xfId="14827" xr:uid="{00000000-0005-0000-0000-0000881B0000}"/>
    <cellStyle name="Input 4 2 2 3 3 2 2" xfId="6068" xr:uid="{00000000-0005-0000-0000-0000891B0000}"/>
    <cellStyle name="Input 4 2 2 3 3 2 3" xfId="14831" xr:uid="{00000000-0005-0000-0000-00008A1B0000}"/>
    <cellStyle name="Input 4 2 2 3 3 2 4" xfId="14833" xr:uid="{00000000-0005-0000-0000-00008B1B0000}"/>
    <cellStyle name="Input 4 2 2 3 3 3" xfId="14835" xr:uid="{00000000-0005-0000-0000-00008C1B0000}"/>
    <cellStyle name="Input 4 2 2 3 3 4" xfId="150" xr:uid="{00000000-0005-0000-0000-00008D1B0000}"/>
    <cellStyle name="Input 4 2 2 3 3 5" xfId="9239" xr:uid="{00000000-0005-0000-0000-00008E1B0000}"/>
    <cellStyle name="Input 4 2 2 3 4" xfId="4790" xr:uid="{00000000-0005-0000-0000-00008F1B0000}"/>
    <cellStyle name="Input 4 2 2 3 4 2" xfId="14836" xr:uid="{00000000-0005-0000-0000-0000901B0000}"/>
    <cellStyle name="Input 4 2 2 3 4 3" xfId="14837" xr:uid="{00000000-0005-0000-0000-0000911B0000}"/>
    <cellStyle name="Input 4 2 2 3 4 4" xfId="14839" xr:uid="{00000000-0005-0000-0000-0000921B0000}"/>
    <cellStyle name="Input 4 2 2 3 5" xfId="14842" xr:uid="{00000000-0005-0000-0000-0000931B0000}"/>
    <cellStyle name="Input 4 2 2 3 6" xfId="14843" xr:uid="{00000000-0005-0000-0000-0000941B0000}"/>
    <cellStyle name="Input 4 2 2 3 7" xfId="14844" xr:uid="{00000000-0005-0000-0000-0000951B0000}"/>
    <cellStyle name="Input 4 2 2 4" xfId="14845" xr:uid="{00000000-0005-0000-0000-0000961B0000}"/>
    <cellStyle name="Input 4 2 2 4 2" xfId="4345" xr:uid="{00000000-0005-0000-0000-0000971B0000}"/>
    <cellStyle name="Input 4 2 2 4 2 2" xfId="3648" xr:uid="{00000000-0005-0000-0000-0000981B0000}"/>
    <cellStyle name="Input 4 2 2 4 2 2 2" xfId="6299" xr:uid="{00000000-0005-0000-0000-0000991B0000}"/>
    <cellStyle name="Input 4 2 2 4 2 2 3" xfId="14846" xr:uid="{00000000-0005-0000-0000-00009A1B0000}"/>
    <cellStyle name="Input 4 2 2 4 2 2 4" xfId="14847" xr:uid="{00000000-0005-0000-0000-00009B1B0000}"/>
    <cellStyle name="Input 4 2 2 4 2 3" xfId="3650" xr:uid="{00000000-0005-0000-0000-00009C1B0000}"/>
    <cellStyle name="Input 4 2 2 4 2 4" xfId="9274" xr:uid="{00000000-0005-0000-0000-00009D1B0000}"/>
    <cellStyle name="Input 4 2 2 4 2 5" xfId="9283" xr:uid="{00000000-0005-0000-0000-00009E1B0000}"/>
    <cellStyle name="Input 4 2 2 4 3" xfId="201" xr:uid="{00000000-0005-0000-0000-00009F1B0000}"/>
    <cellStyle name="Input 4 2 2 4 3 2" xfId="13138" xr:uid="{00000000-0005-0000-0000-0000A01B0000}"/>
    <cellStyle name="Input 4 2 2 4 3 3" xfId="13179" xr:uid="{00000000-0005-0000-0000-0000A11B0000}"/>
    <cellStyle name="Input 4 2 2 4 3 4" xfId="13194" xr:uid="{00000000-0005-0000-0000-0000A21B0000}"/>
    <cellStyle name="Input 4 2 2 4 4" xfId="14848" xr:uid="{00000000-0005-0000-0000-0000A31B0000}"/>
    <cellStyle name="Input 4 2 2 4 5" xfId="14850" xr:uid="{00000000-0005-0000-0000-0000A41B0000}"/>
    <cellStyle name="Input 4 2 2 4 6" xfId="14852" xr:uid="{00000000-0005-0000-0000-0000A51B0000}"/>
    <cellStyle name="Input 4 2 2 5" xfId="14853" xr:uid="{00000000-0005-0000-0000-0000A61B0000}"/>
    <cellStyle name="Input 4 2 2 5 2" xfId="4433" xr:uid="{00000000-0005-0000-0000-0000A71B0000}"/>
    <cellStyle name="Input 4 2 2 5 2 2" xfId="14857" xr:uid="{00000000-0005-0000-0000-0000A81B0000}"/>
    <cellStyle name="Input 4 2 2 5 2 3" xfId="14859" xr:uid="{00000000-0005-0000-0000-0000A91B0000}"/>
    <cellStyle name="Input 4 2 2 5 2 4" xfId="14863" xr:uid="{00000000-0005-0000-0000-0000AA1B0000}"/>
    <cellStyle name="Input 4 2 2 5 3" xfId="14868" xr:uid="{00000000-0005-0000-0000-0000AB1B0000}"/>
    <cellStyle name="Input 4 2 2 5 4" xfId="14876" xr:uid="{00000000-0005-0000-0000-0000AC1B0000}"/>
    <cellStyle name="Input 4 2 2 5 5" xfId="14880" xr:uid="{00000000-0005-0000-0000-0000AD1B0000}"/>
    <cellStyle name="Input 4 2 2 6" xfId="14885" xr:uid="{00000000-0005-0000-0000-0000AE1B0000}"/>
    <cellStyle name="Input 4 2 2 6 2" xfId="14891" xr:uid="{00000000-0005-0000-0000-0000AF1B0000}"/>
    <cellStyle name="Input 4 2 2 6 3" xfId="14896" xr:uid="{00000000-0005-0000-0000-0000B01B0000}"/>
    <cellStyle name="Input 4 2 2 6 4" xfId="14902" xr:uid="{00000000-0005-0000-0000-0000B11B0000}"/>
    <cellStyle name="Input 4 2 2 7" xfId="14909" xr:uid="{00000000-0005-0000-0000-0000B21B0000}"/>
    <cellStyle name="Input 4 2 2 8" xfId="251" xr:uid="{00000000-0005-0000-0000-0000B31B0000}"/>
    <cellStyle name="Input 4 2 2 9" xfId="2498" xr:uid="{00000000-0005-0000-0000-0000B41B0000}"/>
    <cellStyle name="Input 4 2 3" xfId="14912" xr:uid="{00000000-0005-0000-0000-0000B51B0000}"/>
    <cellStyle name="Input 4 2 3 2" xfId="13391" xr:uid="{00000000-0005-0000-0000-0000B61B0000}"/>
    <cellStyle name="Input 4 2 3 2 2" xfId="4913" xr:uid="{00000000-0005-0000-0000-0000B71B0000}"/>
    <cellStyle name="Input 4 2 3 2 2 2" xfId="13995" xr:uid="{00000000-0005-0000-0000-0000B81B0000}"/>
    <cellStyle name="Input 4 2 3 2 2 2 2" xfId="11370" xr:uid="{00000000-0005-0000-0000-0000B91B0000}"/>
    <cellStyle name="Input 4 2 3 2 2 2 2 2" xfId="11378" xr:uid="{00000000-0005-0000-0000-0000BA1B0000}"/>
    <cellStyle name="Input 4 2 3 2 2 2 2 2 2" xfId="11382" xr:uid="{00000000-0005-0000-0000-0000BB1B0000}"/>
    <cellStyle name="Input 4 2 3 2 2 2 2 2 3" xfId="11441" xr:uid="{00000000-0005-0000-0000-0000BC1B0000}"/>
    <cellStyle name="Input 4 2 3 2 2 2 2 2 4" xfId="11492" xr:uid="{00000000-0005-0000-0000-0000BD1B0000}"/>
    <cellStyle name="Input 4 2 3 2 2 2 2 3" xfId="11523" xr:uid="{00000000-0005-0000-0000-0000BE1B0000}"/>
    <cellStyle name="Input 4 2 3 2 2 2 2 4" xfId="11563" xr:uid="{00000000-0005-0000-0000-0000BF1B0000}"/>
    <cellStyle name="Input 4 2 3 2 2 2 2 5" xfId="11601" xr:uid="{00000000-0005-0000-0000-0000C01B0000}"/>
    <cellStyle name="Input 4 2 3 2 2 2 3" xfId="11628" xr:uid="{00000000-0005-0000-0000-0000C11B0000}"/>
    <cellStyle name="Input 4 2 3 2 2 2 3 2" xfId="11635" xr:uid="{00000000-0005-0000-0000-0000C21B0000}"/>
    <cellStyle name="Input 4 2 3 2 2 2 3 3" xfId="11699" xr:uid="{00000000-0005-0000-0000-0000C31B0000}"/>
    <cellStyle name="Input 4 2 3 2 2 2 3 4" xfId="11716" xr:uid="{00000000-0005-0000-0000-0000C41B0000}"/>
    <cellStyle name="Input 4 2 3 2 2 2 4" xfId="11737" xr:uid="{00000000-0005-0000-0000-0000C51B0000}"/>
    <cellStyle name="Input 4 2 3 2 2 2 5" xfId="11791" xr:uid="{00000000-0005-0000-0000-0000C61B0000}"/>
    <cellStyle name="Input 4 2 3 2 2 2 6" xfId="646" xr:uid="{00000000-0005-0000-0000-0000C71B0000}"/>
    <cellStyle name="Input 4 2 3 2 2 3" xfId="13999" xr:uid="{00000000-0005-0000-0000-0000C81B0000}"/>
    <cellStyle name="Input 4 2 3 2 2 3 2" xfId="12064" xr:uid="{00000000-0005-0000-0000-0000C91B0000}"/>
    <cellStyle name="Input 4 2 3 2 2 3 2 2" xfId="12070" xr:uid="{00000000-0005-0000-0000-0000CA1B0000}"/>
    <cellStyle name="Input 4 2 3 2 2 3 2 3" xfId="12289" xr:uid="{00000000-0005-0000-0000-0000CB1B0000}"/>
    <cellStyle name="Input 4 2 3 2 2 3 2 4" xfId="12359" xr:uid="{00000000-0005-0000-0000-0000CC1B0000}"/>
    <cellStyle name="Input 4 2 3 2 2 3 3" xfId="12436" xr:uid="{00000000-0005-0000-0000-0000CD1B0000}"/>
    <cellStyle name="Input 4 2 3 2 2 3 4" xfId="12540" xr:uid="{00000000-0005-0000-0000-0000CE1B0000}"/>
    <cellStyle name="Input 4 2 3 2 2 3 5" xfId="12562" xr:uid="{00000000-0005-0000-0000-0000CF1B0000}"/>
    <cellStyle name="Input 4 2 3 2 2 4" xfId="14004" xr:uid="{00000000-0005-0000-0000-0000D01B0000}"/>
    <cellStyle name="Input 4 2 3 2 2 4 2" xfId="12735" xr:uid="{00000000-0005-0000-0000-0000D11B0000}"/>
    <cellStyle name="Input 4 2 3 2 2 4 3" xfId="12836" xr:uid="{00000000-0005-0000-0000-0000D21B0000}"/>
    <cellStyle name="Input 4 2 3 2 2 4 4" xfId="12878" xr:uid="{00000000-0005-0000-0000-0000D31B0000}"/>
    <cellStyle name="Input 4 2 3 2 2 5" xfId="14011" xr:uid="{00000000-0005-0000-0000-0000D41B0000}"/>
    <cellStyle name="Input 4 2 3 2 2 6" xfId="9764" xr:uid="{00000000-0005-0000-0000-0000D51B0000}"/>
    <cellStyle name="Input 4 2 3 2 2 7" xfId="9773" xr:uid="{00000000-0005-0000-0000-0000D61B0000}"/>
    <cellStyle name="Input 4 2 3 2 3" xfId="4929" xr:uid="{00000000-0005-0000-0000-0000D71B0000}"/>
    <cellStyle name="Input 4 2 3 2 3 2" xfId="14028" xr:uid="{00000000-0005-0000-0000-0000D81B0000}"/>
    <cellStyle name="Input 4 2 3 2 3 2 2" xfId="5221" xr:uid="{00000000-0005-0000-0000-0000D91B0000}"/>
    <cellStyle name="Input 4 2 3 2 3 2 2 2" xfId="14753" xr:uid="{00000000-0005-0000-0000-0000DA1B0000}"/>
    <cellStyle name="Input 4 2 3 2 3 2 2 3" xfId="14758" xr:uid="{00000000-0005-0000-0000-0000DB1B0000}"/>
    <cellStyle name="Input 4 2 3 2 3 2 2 4" xfId="5686" xr:uid="{00000000-0005-0000-0000-0000DC1B0000}"/>
    <cellStyle name="Input 4 2 3 2 3 2 3" xfId="5231" xr:uid="{00000000-0005-0000-0000-0000DD1B0000}"/>
    <cellStyle name="Input 4 2 3 2 3 2 4" xfId="14915" xr:uid="{00000000-0005-0000-0000-0000DE1B0000}"/>
    <cellStyle name="Input 4 2 3 2 3 2 5" xfId="14920" xr:uid="{00000000-0005-0000-0000-0000DF1B0000}"/>
    <cellStyle name="Input 4 2 3 2 3 3" xfId="14032" xr:uid="{00000000-0005-0000-0000-0000E01B0000}"/>
    <cellStyle name="Input 4 2 3 2 3 3 2" xfId="14921" xr:uid="{00000000-0005-0000-0000-0000E11B0000}"/>
    <cellStyle name="Input 4 2 3 2 3 3 3" xfId="14923" xr:uid="{00000000-0005-0000-0000-0000E21B0000}"/>
    <cellStyle name="Input 4 2 3 2 3 3 4" xfId="14926" xr:uid="{00000000-0005-0000-0000-0000E31B0000}"/>
    <cellStyle name="Input 4 2 3 2 3 4" xfId="14037" xr:uid="{00000000-0005-0000-0000-0000E41B0000}"/>
    <cellStyle name="Input 4 2 3 2 3 5" xfId="14931" xr:uid="{00000000-0005-0000-0000-0000E51B0000}"/>
    <cellStyle name="Input 4 2 3 2 3 6" xfId="11102" xr:uid="{00000000-0005-0000-0000-0000E61B0000}"/>
    <cellStyle name="Input 4 2 3 2 4" xfId="4937" xr:uid="{00000000-0005-0000-0000-0000E71B0000}"/>
    <cellStyle name="Input 4 2 3 2 4 2" xfId="14053" xr:uid="{00000000-0005-0000-0000-0000E81B0000}"/>
    <cellStyle name="Input 4 2 3 2 4 2 2" xfId="5302" xr:uid="{00000000-0005-0000-0000-0000E91B0000}"/>
    <cellStyle name="Input 4 2 3 2 4 2 3" xfId="5377" xr:uid="{00000000-0005-0000-0000-0000EA1B0000}"/>
    <cellStyle name="Input 4 2 3 2 4 2 4" xfId="918" xr:uid="{00000000-0005-0000-0000-0000EB1B0000}"/>
    <cellStyle name="Input 4 2 3 2 4 3" xfId="14057" xr:uid="{00000000-0005-0000-0000-0000EC1B0000}"/>
    <cellStyle name="Input 4 2 3 2 4 4" xfId="14934" xr:uid="{00000000-0005-0000-0000-0000ED1B0000}"/>
    <cellStyle name="Input 4 2 3 2 4 5" xfId="14941" xr:uid="{00000000-0005-0000-0000-0000EE1B0000}"/>
    <cellStyle name="Input 4 2 3 2 5" xfId="7092" xr:uid="{00000000-0005-0000-0000-0000EF1B0000}"/>
    <cellStyle name="Input 4 2 3 2 5 2" xfId="7099" xr:uid="{00000000-0005-0000-0000-0000F01B0000}"/>
    <cellStyle name="Input 4 2 3 2 5 3" xfId="7101" xr:uid="{00000000-0005-0000-0000-0000F11B0000}"/>
    <cellStyle name="Input 4 2 3 2 5 4" xfId="7107" xr:uid="{00000000-0005-0000-0000-0000F21B0000}"/>
    <cellStyle name="Input 4 2 3 2 6" xfId="7110" xr:uid="{00000000-0005-0000-0000-0000F31B0000}"/>
    <cellStyle name="Input 4 2 3 2 7" xfId="7113" xr:uid="{00000000-0005-0000-0000-0000F41B0000}"/>
    <cellStyle name="Input 4 2 3 2 8" xfId="7115" xr:uid="{00000000-0005-0000-0000-0000F51B0000}"/>
    <cellStyle name="Input 4 2 3 3" xfId="14942" xr:uid="{00000000-0005-0000-0000-0000F61B0000}"/>
    <cellStyle name="Input 4 2 3 3 2" xfId="4995" xr:uid="{00000000-0005-0000-0000-0000F71B0000}"/>
    <cellStyle name="Input 4 2 3 3 2 2" xfId="7809" xr:uid="{00000000-0005-0000-0000-0000F81B0000}"/>
    <cellStyle name="Input 4 2 3 3 2 2 2" xfId="7812" xr:uid="{00000000-0005-0000-0000-0000F91B0000}"/>
    <cellStyle name="Input 4 2 3 3 2 2 2 2" xfId="14945" xr:uid="{00000000-0005-0000-0000-0000FA1B0000}"/>
    <cellStyle name="Input 4 2 3 3 2 2 2 3" xfId="14949" xr:uid="{00000000-0005-0000-0000-0000FB1B0000}"/>
    <cellStyle name="Input 4 2 3 3 2 2 2 4" xfId="14952" xr:uid="{00000000-0005-0000-0000-0000FC1B0000}"/>
    <cellStyle name="Input 4 2 3 3 2 2 3" xfId="7820" xr:uid="{00000000-0005-0000-0000-0000FD1B0000}"/>
    <cellStyle name="Input 4 2 3 3 2 2 4" xfId="7830" xr:uid="{00000000-0005-0000-0000-0000FE1B0000}"/>
    <cellStyle name="Input 4 2 3 3 2 2 5" xfId="14957" xr:uid="{00000000-0005-0000-0000-0000FF1B0000}"/>
    <cellStyle name="Input 4 2 3 3 2 3" xfId="7835" xr:uid="{00000000-0005-0000-0000-0000001C0000}"/>
    <cellStyle name="Input 4 2 3 3 2 3 2" xfId="14960" xr:uid="{00000000-0005-0000-0000-0000011C0000}"/>
    <cellStyle name="Input 4 2 3 3 2 3 3" xfId="14968" xr:uid="{00000000-0005-0000-0000-0000021C0000}"/>
    <cellStyle name="Input 4 2 3 3 2 3 4" xfId="14972" xr:uid="{00000000-0005-0000-0000-0000031C0000}"/>
    <cellStyle name="Input 4 2 3 3 2 4" xfId="7842" xr:uid="{00000000-0005-0000-0000-0000041C0000}"/>
    <cellStyle name="Input 4 2 3 3 2 5" xfId="7851" xr:uid="{00000000-0005-0000-0000-0000051C0000}"/>
    <cellStyle name="Input 4 2 3 3 2 6" xfId="9370" xr:uid="{00000000-0005-0000-0000-0000061C0000}"/>
    <cellStyle name="Input 4 2 3 3 3" xfId="5004" xr:uid="{00000000-0005-0000-0000-0000071C0000}"/>
    <cellStyle name="Input 4 2 3 3 3 2" xfId="4813" xr:uid="{00000000-0005-0000-0000-0000081C0000}"/>
    <cellStyle name="Input 4 2 3 3 3 2 2" xfId="14975" xr:uid="{00000000-0005-0000-0000-0000091C0000}"/>
    <cellStyle name="Input 4 2 3 3 3 2 3" xfId="14984" xr:uid="{00000000-0005-0000-0000-00000A1C0000}"/>
    <cellStyle name="Input 4 2 3 3 3 2 4" xfId="14990" xr:uid="{00000000-0005-0000-0000-00000B1C0000}"/>
    <cellStyle name="Input 4 2 3 3 3 3" xfId="4822" xr:uid="{00000000-0005-0000-0000-00000C1C0000}"/>
    <cellStyle name="Input 4 2 3 3 3 4" xfId="7859" xr:uid="{00000000-0005-0000-0000-00000D1C0000}"/>
    <cellStyle name="Input 4 2 3 3 3 5" xfId="14997" xr:uid="{00000000-0005-0000-0000-00000E1C0000}"/>
    <cellStyle name="Input 4 2 3 3 4" xfId="7866" xr:uid="{00000000-0005-0000-0000-00000F1C0000}"/>
    <cellStyle name="Input 4 2 3 3 4 2" xfId="14084" xr:uid="{00000000-0005-0000-0000-0000101C0000}"/>
    <cellStyle name="Input 4 2 3 3 4 3" xfId="14999" xr:uid="{00000000-0005-0000-0000-0000111C0000}"/>
    <cellStyle name="Input 4 2 3 3 4 4" xfId="15003" xr:uid="{00000000-0005-0000-0000-0000121C0000}"/>
    <cellStyle name="Input 4 2 3 3 5" xfId="7117" xr:uid="{00000000-0005-0000-0000-0000131C0000}"/>
    <cellStyle name="Input 4 2 3 3 6" xfId="7128" xr:uid="{00000000-0005-0000-0000-0000141C0000}"/>
    <cellStyle name="Input 4 2 3 3 7" xfId="5770" xr:uid="{00000000-0005-0000-0000-0000151C0000}"/>
    <cellStyle name="Input 4 2 3 4" xfId="15004" xr:uid="{00000000-0005-0000-0000-0000161C0000}"/>
    <cellStyle name="Input 4 2 3 4 2" xfId="3983" xr:uid="{00000000-0005-0000-0000-0000171C0000}"/>
    <cellStyle name="Input 4 2 3 4 2 2" xfId="7889" xr:uid="{00000000-0005-0000-0000-0000181C0000}"/>
    <cellStyle name="Input 4 2 3 4 2 2 2" xfId="7635" xr:uid="{00000000-0005-0000-0000-0000191C0000}"/>
    <cellStyle name="Input 4 2 3 4 2 2 3" xfId="15009" xr:uid="{00000000-0005-0000-0000-00001A1C0000}"/>
    <cellStyle name="Input 4 2 3 4 2 2 4" xfId="15013" xr:uid="{00000000-0005-0000-0000-00001B1C0000}"/>
    <cellStyle name="Input 4 2 3 4 2 3" xfId="7894" xr:uid="{00000000-0005-0000-0000-00001C1C0000}"/>
    <cellStyle name="Input 4 2 3 4 2 4" xfId="7897" xr:uid="{00000000-0005-0000-0000-00001D1C0000}"/>
    <cellStyle name="Input 4 2 3 4 2 5" xfId="15019" xr:uid="{00000000-0005-0000-0000-00001E1C0000}"/>
    <cellStyle name="Input 4 2 3 4 3" xfId="7903" xr:uid="{00000000-0005-0000-0000-00001F1C0000}"/>
    <cellStyle name="Input 4 2 3 4 3 2" xfId="13252" xr:uid="{00000000-0005-0000-0000-0000201C0000}"/>
    <cellStyle name="Input 4 2 3 4 3 3" xfId="13258" xr:uid="{00000000-0005-0000-0000-0000211C0000}"/>
    <cellStyle name="Input 4 2 3 4 3 4" xfId="14102" xr:uid="{00000000-0005-0000-0000-0000221C0000}"/>
    <cellStyle name="Input 4 2 3 4 4" xfId="7913" xr:uid="{00000000-0005-0000-0000-0000231C0000}"/>
    <cellStyle name="Input 4 2 3 4 5" xfId="7915" xr:uid="{00000000-0005-0000-0000-0000241C0000}"/>
    <cellStyle name="Input 4 2 3 4 6" xfId="8671" xr:uid="{00000000-0005-0000-0000-0000251C0000}"/>
    <cellStyle name="Input 4 2 3 5" xfId="15021" xr:uid="{00000000-0005-0000-0000-0000261C0000}"/>
    <cellStyle name="Input 4 2 3 5 2" xfId="7953" xr:uid="{00000000-0005-0000-0000-0000271C0000}"/>
    <cellStyle name="Input 4 2 3 5 2 2" xfId="14108" xr:uid="{00000000-0005-0000-0000-0000281C0000}"/>
    <cellStyle name="Input 4 2 3 5 2 3" xfId="15024" xr:uid="{00000000-0005-0000-0000-0000291C0000}"/>
    <cellStyle name="Input 4 2 3 5 2 4" xfId="15028" xr:uid="{00000000-0005-0000-0000-00002A1C0000}"/>
    <cellStyle name="Input 4 2 3 5 3" xfId="7959" xr:uid="{00000000-0005-0000-0000-00002B1C0000}"/>
    <cellStyle name="Input 4 2 3 5 4" xfId="7964" xr:uid="{00000000-0005-0000-0000-00002C1C0000}"/>
    <cellStyle name="Input 4 2 3 5 5" xfId="8736" xr:uid="{00000000-0005-0000-0000-00002D1C0000}"/>
    <cellStyle name="Input 4 2 3 6" xfId="15032" xr:uid="{00000000-0005-0000-0000-00002E1C0000}"/>
    <cellStyle name="Input 4 2 3 6 2" xfId="7979" xr:uid="{00000000-0005-0000-0000-00002F1C0000}"/>
    <cellStyle name="Input 4 2 3 6 3" xfId="7985" xr:uid="{00000000-0005-0000-0000-0000301C0000}"/>
    <cellStyle name="Input 4 2 3 6 4" xfId="15038" xr:uid="{00000000-0005-0000-0000-0000311C0000}"/>
    <cellStyle name="Input 4 2 3 7" xfId="15042" xr:uid="{00000000-0005-0000-0000-0000321C0000}"/>
    <cellStyle name="Input 4 2 3 8" xfId="2534" xr:uid="{00000000-0005-0000-0000-0000331C0000}"/>
    <cellStyle name="Input 4 2 3 9" xfId="2546" xr:uid="{00000000-0005-0000-0000-0000341C0000}"/>
    <cellStyle name="Input 4 2 4" xfId="15045" xr:uid="{00000000-0005-0000-0000-0000351C0000}"/>
    <cellStyle name="Input 4 2 4 2" xfId="8428" xr:uid="{00000000-0005-0000-0000-0000361C0000}"/>
    <cellStyle name="Input 4 2 4 2 2" xfId="5030" xr:uid="{00000000-0005-0000-0000-0000371C0000}"/>
    <cellStyle name="Input 4 2 4 2 2 2" xfId="13078" xr:uid="{00000000-0005-0000-0000-0000381C0000}"/>
    <cellStyle name="Input 4 2 4 2 2 2 2" xfId="14169" xr:uid="{00000000-0005-0000-0000-0000391C0000}"/>
    <cellStyle name="Input 4 2 4 2 2 2 2 2" xfId="15046" xr:uid="{00000000-0005-0000-0000-00003A1C0000}"/>
    <cellStyle name="Input 4 2 4 2 2 2 2 3" xfId="15047" xr:uid="{00000000-0005-0000-0000-00003B1C0000}"/>
    <cellStyle name="Input 4 2 4 2 2 2 2 4" xfId="15048" xr:uid="{00000000-0005-0000-0000-00003C1C0000}"/>
    <cellStyle name="Input 4 2 4 2 2 2 3" xfId="14173" xr:uid="{00000000-0005-0000-0000-00003D1C0000}"/>
    <cellStyle name="Input 4 2 4 2 2 2 4" xfId="14178" xr:uid="{00000000-0005-0000-0000-00003E1C0000}"/>
    <cellStyle name="Input 4 2 4 2 2 2 5" xfId="15050" xr:uid="{00000000-0005-0000-0000-00003F1C0000}"/>
    <cellStyle name="Input 4 2 4 2 2 3" xfId="13082" xr:uid="{00000000-0005-0000-0000-0000401C0000}"/>
    <cellStyle name="Input 4 2 4 2 2 3 2" xfId="15052" xr:uid="{00000000-0005-0000-0000-0000411C0000}"/>
    <cellStyle name="Input 4 2 4 2 2 3 3" xfId="15054" xr:uid="{00000000-0005-0000-0000-0000421C0000}"/>
    <cellStyle name="Input 4 2 4 2 2 3 4" xfId="15055" xr:uid="{00000000-0005-0000-0000-0000431C0000}"/>
    <cellStyle name="Input 4 2 4 2 2 4" xfId="14182" xr:uid="{00000000-0005-0000-0000-0000441C0000}"/>
    <cellStyle name="Input 4 2 4 2 2 5" xfId="14187" xr:uid="{00000000-0005-0000-0000-0000451C0000}"/>
    <cellStyle name="Input 4 2 4 2 2 6" xfId="15059" xr:uid="{00000000-0005-0000-0000-0000461C0000}"/>
    <cellStyle name="Input 4 2 4 2 3" xfId="3744" xr:uid="{00000000-0005-0000-0000-0000471C0000}"/>
    <cellStyle name="Input 4 2 4 2 3 2" xfId="13098" xr:uid="{00000000-0005-0000-0000-0000481C0000}"/>
    <cellStyle name="Input 4 2 4 2 3 2 2" xfId="15064" xr:uid="{00000000-0005-0000-0000-0000491C0000}"/>
    <cellStyle name="Input 4 2 4 2 3 2 3" xfId="15067" xr:uid="{00000000-0005-0000-0000-00004A1C0000}"/>
    <cellStyle name="Input 4 2 4 2 3 2 4" xfId="15070" xr:uid="{00000000-0005-0000-0000-00004B1C0000}"/>
    <cellStyle name="Input 4 2 4 2 3 3" xfId="14202" xr:uid="{00000000-0005-0000-0000-00004C1C0000}"/>
    <cellStyle name="Input 4 2 4 2 3 4" xfId="14203" xr:uid="{00000000-0005-0000-0000-00004D1C0000}"/>
    <cellStyle name="Input 4 2 4 2 3 5" xfId="15075" xr:uid="{00000000-0005-0000-0000-00004E1C0000}"/>
    <cellStyle name="Input 4 2 4 2 4" xfId="15077" xr:uid="{00000000-0005-0000-0000-00004F1C0000}"/>
    <cellStyle name="Input 4 2 4 2 4 2" xfId="14222" xr:uid="{00000000-0005-0000-0000-0000501C0000}"/>
    <cellStyle name="Input 4 2 4 2 4 3" xfId="14227" xr:uid="{00000000-0005-0000-0000-0000511C0000}"/>
    <cellStyle name="Input 4 2 4 2 4 4" xfId="12234" xr:uid="{00000000-0005-0000-0000-0000521C0000}"/>
    <cellStyle name="Input 4 2 4 2 5" xfId="7153" xr:uid="{00000000-0005-0000-0000-0000531C0000}"/>
    <cellStyle name="Input 4 2 4 2 6" xfId="7159" xr:uid="{00000000-0005-0000-0000-0000541C0000}"/>
    <cellStyle name="Input 4 2 4 2 7" xfId="2921" xr:uid="{00000000-0005-0000-0000-0000551C0000}"/>
    <cellStyle name="Input 4 2 4 3" xfId="8433" xr:uid="{00000000-0005-0000-0000-0000561C0000}"/>
    <cellStyle name="Input 4 2 4 3 2" xfId="5060" xr:uid="{00000000-0005-0000-0000-0000571C0000}"/>
    <cellStyle name="Input 4 2 4 3 2 2" xfId="6798" xr:uid="{00000000-0005-0000-0000-0000581C0000}"/>
    <cellStyle name="Input 4 2 4 3 2 2 2" xfId="225" xr:uid="{00000000-0005-0000-0000-0000591C0000}"/>
    <cellStyle name="Input 4 2 4 3 2 2 3" xfId="245" xr:uid="{00000000-0005-0000-0000-00005A1C0000}"/>
    <cellStyle name="Input 4 2 4 3 2 2 4" xfId="1035" xr:uid="{00000000-0005-0000-0000-00005B1C0000}"/>
    <cellStyle name="Input 4 2 4 3 2 3" xfId="6808" xr:uid="{00000000-0005-0000-0000-00005C1C0000}"/>
    <cellStyle name="Input 4 2 4 3 2 4" xfId="8021" xr:uid="{00000000-0005-0000-0000-00005D1C0000}"/>
    <cellStyle name="Input 4 2 4 3 2 5" xfId="15082" xr:uid="{00000000-0005-0000-0000-00005E1C0000}"/>
    <cellStyle name="Input 4 2 4 3 3" xfId="8023" xr:uid="{00000000-0005-0000-0000-00005F1C0000}"/>
    <cellStyle name="Input 4 2 4 3 3 2" xfId="1793" xr:uid="{00000000-0005-0000-0000-0000601C0000}"/>
    <cellStyle name="Input 4 2 4 3 3 3" xfId="14245" xr:uid="{00000000-0005-0000-0000-0000611C0000}"/>
    <cellStyle name="Input 4 2 4 3 3 4" xfId="15083" xr:uid="{00000000-0005-0000-0000-0000621C0000}"/>
    <cellStyle name="Input 4 2 4 3 4" xfId="8028" xr:uid="{00000000-0005-0000-0000-0000631C0000}"/>
    <cellStyle name="Input 4 2 4 3 5" xfId="8031" xr:uid="{00000000-0005-0000-0000-0000641C0000}"/>
    <cellStyle name="Input 4 2 4 3 6" xfId="8685" xr:uid="{00000000-0005-0000-0000-0000651C0000}"/>
    <cellStyle name="Input 4 2 4 4" xfId="15087" xr:uid="{00000000-0005-0000-0000-0000661C0000}"/>
    <cellStyle name="Input 4 2 4 4 2" xfId="4134" xr:uid="{00000000-0005-0000-0000-0000671C0000}"/>
    <cellStyle name="Input 4 2 4 4 2 2" xfId="5831" xr:uid="{00000000-0005-0000-0000-0000681C0000}"/>
    <cellStyle name="Input 4 2 4 4 2 3" xfId="14253" xr:uid="{00000000-0005-0000-0000-0000691C0000}"/>
    <cellStyle name="Input 4 2 4 4 2 4" xfId="15088" xr:uid="{00000000-0005-0000-0000-00006A1C0000}"/>
    <cellStyle name="Input 4 2 4 4 3" xfId="5326" xr:uid="{00000000-0005-0000-0000-00006B1C0000}"/>
    <cellStyle name="Input 4 2 4 4 4" xfId="5334" xr:uid="{00000000-0005-0000-0000-00006C1C0000}"/>
    <cellStyle name="Input 4 2 4 4 5" xfId="8768" xr:uid="{00000000-0005-0000-0000-00006D1C0000}"/>
    <cellStyle name="Input 4 2 4 5" xfId="15090" xr:uid="{00000000-0005-0000-0000-00006E1C0000}"/>
    <cellStyle name="Input 4 2 4 5 2" xfId="5466" xr:uid="{00000000-0005-0000-0000-00006F1C0000}"/>
    <cellStyle name="Input 4 2 4 5 3" xfId="5475" xr:uid="{00000000-0005-0000-0000-0000701C0000}"/>
    <cellStyle name="Input 4 2 4 5 4" xfId="7213" xr:uid="{00000000-0005-0000-0000-0000711C0000}"/>
    <cellStyle name="Input 4 2 4 6" xfId="14334" xr:uid="{00000000-0005-0000-0000-0000721C0000}"/>
    <cellStyle name="Input 4 2 4 7" xfId="14338" xr:uid="{00000000-0005-0000-0000-0000731C0000}"/>
    <cellStyle name="Input 4 2 4 8" xfId="14342" xr:uid="{00000000-0005-0000-0000-0000741C0000}"/>
    <cellStyle name="Input 4 2 5" xfId="15092" xr:uid="{00000000-0005-0000-0000-0000751C0000}"/>
    <cellStyle name="Input 4 2 5 2" xfId="12942" xr:uid="{00000000-0005-0000-0000-0000761C0000}"/>
    <cellStyle name="Input 4 2 5 2 2" xfId="5084" xr:uid="{00000000-0005-0000-0000-0000771C0000}"/>
    <cellStyle name="Input 4 2 5 2 2 2" xfId="13291" xr:uid="{00000000-0005-0000-0000-0000781C0000}"/>
    <cellStyle name="Input 4 2 5 2 2 2 2" xfId="15095" xr:uid="{00000000-0005-0000-0000-0000791C0000}"/>
    <cellStyle name="Input 4 2 5 2 2 2 3" xfId="15098" xr:uid="{00000000-0005-0000-0000-00007A1C0000}"/>
    <cellStyle name="Input 4 2 5 2 2 2 4" xfId="14323" xr:uid="{00000000-0005-0000-0000-00007B1C0000}"/>
    <cellStyle name="Input 4 2 5 2 2 3" xfId="13295" xr:uid="{00000000-0005-0000-0000-00007C1C0000}"/>
    <cellStyle name="Input 4 2 5 2 2 4" xfId="14276" xr:uid="{00000000-0005-0000-0000-00007D1C0000}"/>
    <cellStyle name="Input 4 2 5 2 2 5" xfId="15102" xr:uid="{00000000-0005-0000-0000-00007E1C0000}"/>
    <cellStyle name="Input 4 2 5 2 3" xfId="15103" xr:uid="{00000000-0005-0000-0000-00007F1C0000}"/>
    <cellStyle name="Input 4 2 5 2 3 2" xfId="13337" xr:uid="{00000000-0005-0000-0000-0000801C0000}"/>
    <cellStyle name="Input 4 2 5 2 3 3" xfId="14155" xr:uid="{00000000-0005-0000-0000-0000811C0000}"/>
    <cellStyle name="Input 4 2 5 2 3 4" xfId="14158" xr:uid="{00000000-0005-0000-0000-0000821C0000}"/>
    <cellStyle name="Input 4 2 5 2 4" xfId="11496" xr:uid="{00000000-0005-0000-0000-0000831C0000}"/>
    <cellStyle name="Input 4 2 5 2 5" xfId="11506" xr:uid="{00000000-0005-0000-0000-0000841C0000}"/>
    <cellStyle name="Input 4 2 5 2 6" xfId="11509" xr:uid="{00000000-0005-0000-0000-0000851C0000}"/>
    <cellStyle name="Input 4 2 5 3" xfId="12944" xr:uid="{00000000-0005-0000-0000-0000861C0000}"/>
    <cellStyle name="Input 4 2 5 3 2" xfId="8051" xr:uid="{00000000-0005-0000-0000-0000871C0000}"/>
    <cellStyle name="Input 4 2 5 3 2 2" xfId="135" xr:uid="{00000000-0005-0000-0000-0000881C0000}"/>
    <cellStyle name="Input 4 2 5 3 2 3" xfId="220" xr:uid="{00000000-0005-0000-0000-0000891C0000}"/>
    <cellStyle name="Input 4 2 5 3 2 4" xfId="240" xr:uid="{00000000-0005-0000-0000-00008A1C0000}"/>
    <cellStyle name="Input 4 2 5 3 3" xfId="8055" xr:uid="{00000000-0005-0000-0000-00008B1C0000}"/>
    <cellStyle name="Input 4 2 5 3 4" xfId="8059" xr:uid="{00000000-0005-0000-0000-00008C1C0000}"/>
    <cellStyle name="Input 4 2 5 3 5" xfId="8776" xr:uid="{00000000-0005-0000-0000-00008D1C0000}"/>
    <cellStyle name="Input 4 2 5 4" xfId="12946" xr:uid="{00000000-0005-0000-0000-00008E1C0000}"/>
    <cellStyle name="Input 4 2 5 4 2" xfId="5526" xr:uid="{00000000-0005-0000-0000-00008F1C0000}"/>
    <cellStyle name="Input 4 2 5 4 3" xfId="5532" xr:uid="{00000000-0005-0000-0000-0000901C0000}"/>
    <cellStyle name="Input 4 2 5 4 4" xfId="15105" xr:uid="{00000000-0005-0000-0000-0000911C0000}"/>
    <cellStyle name="Input 4 2 5 5" xfId="12948" xr:uid="{00000000-0005-0000-0000-0000921C0000}"/>
    <cellStyle name="Input 4 2 5 6" xfId="12951" xr:uid="{00000000-0005-0000-0000-0000931C0000}"/>
    <cellStyle name="Input 4 2 5 7" xfId="14580" xr:uid="{00000000-0005-0000-0000-0000941C0000}"/>
    <cellStyle name="Input 4 2 6" xfId="1959" xr:uid="{00000000-0005-0000-0000-0000951C0000}"/>
    <cellStyle name="Input 4 2 6 2" xfId="12967" xr:uid="{00000000-0005-0000-0000-0000961C0000}"/>
    <cellStyle name="Input 4 2 6 2 2" xfId="12970" xr:uid="{00000000-0005-0000-0000-0000971C0000}"/>
    <cellStyle name="Input 4 2 6 2 2 2" xfId="3269" xr:uid="{00000000-0005-0000-0000-0000981C0000}"/>
    <cellStyle name="Input 4 2 6 2 2 3" xfId="166" xr:uid="{00000000-0005-0000-0000-0000991C0000}"/>
    <cellStyle name="Input 4 2 6 2 2 4" xfId="3338" xr:uid="{00000000-0005-0000-0000-00009A1C0000}"/>
    <cellStyle name="Input 4 2 6 2 3" xfId="15106" xr:uid="{00000000-0005-0000-0000-00009B1C0000}"/>
    <cellStyle name="Input 4 2 6 2 4" xfId="11548" xr:uid="{00000000-0005-0000-0000-00009C1C0000}"/>
    <cellStyle name="Input 4 2 6 2 5" xfId="11550" xr:uid="{00000000-0005-0000-0000-00009D1C0000}"/>
    <cellStyle name="Input 4 2 6 3" xfId="12973" xr:uid="{00000000-0005-0000-0000-00009E1C0000}"/>
    <cellStyle name="Input 4 2 6 3 2" xfId="8084" xr:uid="{00000000-0005-0000-0000-00009F1C0000}"/>
    <cellStyle name="Input 4 2 6 3 3" xfId="8091" xr:uid="{00000000-0005-0000-0000-0000A01C0000}"/>
    <cellStyle name="Input 4 2 6 3 4" xfId="15108" xr:uid="{00000000-0005-0000-0000-0000A11C0000}"/>
    <cellStyle name="Input 4 2 6 4" xfId="3507" xr:uid="{00000000-0005-0000-0000-0000A21C0000}"/>
    <cellStyle name="Input 4 2 6 5" xfId="3514" xr:uid="{00000000-0005-0000-0000-0000A31C0000}"/>
    <cellStyle name="Input 4 2 6 6" xfId="3522" xr:uid="{00000000-0005-0000-0000-0000A41C0000}"/>
    <cellStyle name="Input 4 2 7" xfId="15109" xr:uid="{00000000-0005-0000-0000-0000A51C0000}"/>
    <cellStyle name="Input 4 2 7 2" xfId="15110" xr:uid="{00000000-0005-0000-0000-0000A61C0000}"/>
    <cellStyle name="Input 4 2 7 2 2" xfId="15111" xr:uid="{00000000-0005-0000-0000-0000A71C0000}"/>
    <cellStyle name="Input 4 2 7 2 3" xfId="15112" xr:uid="{00000000-0005-0000-0000-0000A81C0000}"/>
    <cellStyle name="Input 4 2 7 2 4" xfId="15113" xr:uid="{00000000-0005-0000-0000-0000A91C0000}"/>
    <cellStyle name="Input 4 2 7 3" xfId="15114" xr:uid="{00000000-0005-0000-0000-0000AA1C0000}"/>
    <cellStyle name="Input 4 2 7 4" xfId="15116" xr:uid="{00000000-0005-0000-0000-0000AB1C0000}"/>
    <cellStyle name="Input 4 2 7 5" xfId="15118" xr:uid="{00000000-0005-0000-0000-0000AC1C0000}"/>
    <cellStyle name="Input 4 2 8" xfId="15120" xr:uid="{00000000-0005-0000-0000-0000AD1C0000}"/>
    <cellStyle name="Input 4 2 8 2" xfId="13372" xr:uid="{00000000-0005-0000-0000-0000AE1C0000}"/>
    <cellStyle name="Input 4 2 8 3" xfId="13375" xr:uid="{00000000-0005-0000-0000-0000AF1C0000}"/>
    <cellStyle name="Input 4 2 8 4" xfId="15121" xr:uid="{00000000-0005-0000-0000-0000B01C0000}"/>
    <cellStyle name="Input 4 2 9" xfId="15123" xr:uid="{00000000-0005-0000-0000-0000B11C0000}"/>
    <cellStyle name="Input 4 3" xfId="4896" xr:uid="{00000000-0005-0000-0000-0000B21C0000}"/>
    <cellStyle name="Input 4 3 2" xfId="15124" xr:uid="{00000000-0005-0000-0000-0000B31C0000}"/>
    <cellStyle name="Input 4 3 2 2" xfId="13396" xr:uid="{00000000-0005-0000-0000-0000B41C0000}"/>
    <cellStyle name="Input 4 3 2 2 2" xfId="5917" xr:uid="{00000000-0005-0000-0000-0000B51C0000}"/>
    <cellStyle name="Input 4 3 2 2 2 2" xfId="2706" xr:uid="{00000000-0005-0000-0000-0000B61C0000}"/>
    <cellStyle name="Input 4 3 2 2 2 2 2" xfId="15125" xr:uid="{00000000-0005-0000-0000-0000B71C0000}"/>
    <cellStyle name="Input 4 3 2 2 2 2 2 2" xfId="15127" xr:uid="{00000000-0005-0000-0000-0000B81C0000}"/>
    <cellStyle name="Input 4 3 2 2 2 2 2 3" xfId="15129" xr:uid="{00000000-0005-0000-0000-0000B91C0000}"/>
    <cellStyle name="Input 4 3 2 2 2 2 2 4" xfId="15132" xr:uid="{00000000-0005-0000-0000-0000BA1C0000}"/>
    <cellStyle name="Input 4 3 2 2 2 2 3" xfId="15133" xr:uid="{00000000-0005-0000-0000-0000BB1C0000}"/>
    <cellStyle name="Input 4 3 2 2 2 2 4" xfId="15134" xr:uid="{00000000-0005-0000-0000-0000BC1C0000}"/>
    <cellStyle name="Input 4 3 2 2 2 2 5" xfId="15136" xr:uid="{00000000-0005-0000-0000-0000BD1C0000}"/>
    <cellStyle name="Input 4 3 2 2 2 3" xfId="2723" xr:uid="{00000000-0005-0000-0000-0000BE1C0000}"/>
    <cellStyle name="Input 4 3 2 2 2 3 2" xfId="15139" xr:uid="{00000000-0005-0000-0000-0000BF1C0000}"/>
    <cellStyle name="Input 4 3 2 2 2 3 3" xfId="15140" xr:uid="{00000000-0005-0000-0000-0000C01C0000}"/>
    <cellStyle name="Input 4 3 2 2 2 3 4" xfId="15141" xr:uid="{00000000-0005-0000-0000-0000C11C0000}"/>
    <cellStyle name="Input 4 3 2 2 2 4" xfId="5926" xr:uid="{00000000-0005-0000-0000-0000C21C0000}"/>
    <cellStyle name="Input 4 3 2 2 2 5" xfId="14257" xr:uid="{00000000-0005-0000-0000-0000C31C0000}"/>
    <cellStyle name="Input 4 3 2 2 2 6" xfId="9918" xr:uid="{00000000-0005-0000-0000-0000C41C0000}"/>
    <cellStyle name="Input 4 3 2 2 3" xfId="1043" xr:uid="{00000000-0005-0000-0000-0000C51C0000}"/>
    <cellStyle name="Input 4 3 2 2 3 2" xfId="15142" xr:uid="{00000000-0005-0000-0000-0000C61C0000}"/>
    <cellStyle name="Input 4 3 2 2 3 2 2" xfId="1114" xr:uid="{00000000-0005-0000-0000-0000C71C0000}"/>
    <cellStyle name="Input 4 3 2 2 3 2 3" xfId="1652" xr:uid="{00000000-0005-0000-0000-0000C81C0000}"/>
    <cellStyle name="Input 4 3 2 2 3 2 4" xfId="15144" xr:uid="{00000000-0005-0000-0000-0000C91C0000}"/>
    <cellStyle name="Input 4 3 2 2 3 3" xfId="15145" xr:uid="{00000000-0005-0000-0000-0000CA1C0000}"/>
    <cellStyle name="Input 4 3 2 2 3 4" xfId="15147" xr:uid="{00000000-0005-0000-0000-0000CB1C0000}"/>
    <cellStyle name="Input 4 3 2 2 3 5" xfId="15150" xr:uid="{00000000-0005-0000-0000-0000CC1C0000}"/>
    <cellStyle name="Input 4 3 2 2 4" xfId="1088" xr:uid="{00000000-0005-0000-0000-0000CD1C0000}"/>
    <cellStyle name="Input 4 3 2 2 4 2" xfId="1101" xr:uid="{00000000-0005-0000-0000-0000CE1C0000}"/>
    <cellStyle name="Input 4 3 2 2 4 3" xfId="7208" xr:uid="{00000000-0005-0000-0000-0000CF1C0000}"/>
    <cellStyle name="Input 4 3 2 2 4 4" xfId="8798" xr:uid="{00000000-0005-0000-0000-0000D01C0000}"/>
    <cellStyle name="Input 4 3 2 2 5" xfId="1054" xr:uid="{00000000-0005-0000-0000-0000D11C0000}"/>
    <cellStyle name="Input 4 3 2 2 6" xfId="15151" xr:uid="{00000000-0005-0000-0000-0000D21C0000}"/>
    <cellStyle name="Input 4 3 2 2 7" xfId="15152" xr:uid="{00000000-0005-0000-0000-0000D31C0000}"/>
    <cellStyle name="Input 4 3 2 3" xfId="15153" xr:uid="{00000000-0005-0000-0000-0000D41C0000}"/>
    <cellStyle name="Input 4 3 2 3 2" xfId="6076" xr:uid="{00000000-0005-0000-0000-0000D51C0000}"/>
    <cellStyle name="Input 4 3 2 3 2 2" xfId="15154" xr:uid="{00000000-0005-0000-0000-0000D61C0000}"/>
    <cellStyle name="Input 4 3 2 3 2 2 2" xfId="14766" xr:uid="{00000000-0005-0000-0000-0000D71C0000}"/>
    <cellStyle name="Input 4 3 2 3 2 2 3" xfId="14768" xr:uid="{00000000-0005-0000-0000-0000D81C0000}"/>
    <cellStyle name="Input 4 3 2 3 2 2 4" xfId="14770" xr:uid="{00000000-0005-0000-0000-0000D91C0000}"/>
    <cellStyle name="Input 4 3 2 3 2 3" xfId="15155" xr:uid="{00000000-0005-0000-0000-0000DA1C0000}"/>
    <cellStyle name="Input 4 3 2 3 2 4" xfId="6102" xr:uid="{00000000-0005-0000-0000-0000DB1C0000}"/>
    <cellStyle name="Input 4 3 2 3 2 5" xfId="7202" xr:uid="{00000000-0005-0000-0000-0000DC1C0000}"/>
    <cellStyle name="Input 4 3 2 3 3" xfId="6115" xr:uid="{00000000-0005-0000-0000-0000DD1C0000}"/>
    <cellStyle name="Input 4 3 2 3 3 2" xfId="15157" xr:uid="{00000000-0005-0000-0000-0000DE1C0000}"/>
    <cellStyle name="Input 4 3 2 3 3 3" xfId="15158" xr:uid="{00000000-0005-0000-0000-0000DF1C0000}"/>
    <cellStyle name="Input 4 3 2 3 3 4" xfId="12911" xr:uid="{00000000-0005-0000-0000-0000E01C0000}"/>
    <cellStyle name="Input 4 3 2 3 4" xfId="6127" xr:uid="{00000000-0005-0000-0000-0000E11C0000}"/>
    <cellStyle name="Input 4 3 2 3 5" xfId="15159" xr:uid="{00000000-0005-0000-0000-0000E21C0000}"/>
    <cellStyle name="Input 4 3 2 3 6" xfId="15160" xr:uid="{00000000-0005-0000-0000-0000E31C0000}"/>
    <cellStyle name="Input 4 3 2 4" xfId="15161" xr:uid="{00000000-0005-0000-0000-0000E41C0000}"/>
    <cellStyle name="Input 4 3 2 4 2" xfId="1589" xr:uid="{00000000-0005-0000-0000-0000E51C0000}"/>
    <cellStyle name="Input 4 3 2 4 2 2" xfId="1606" xr:uid="{00000000-0005-0000-0000-0000E61C0000}"/>
    <cellStyle name="Input 4 3 2 4 2 3" xfId="15164" xr:uid="{00000000-0005-0000-0000-0000E71C0000}"/>
    <cellStyle name="Input 4 3 2 4 2 4" xfId="15168" xr:uid="{00000000-0005-0000-0000-0000E81C0000}"/>
    <cellStyle name="Input 4 3 2 4 3" xfId="1615" xr:uid="{00000000-0005-0000-0000-0000E91C0000}"/>
    <cellStyle name="Input 4 3 2 4 4" xfId="1627" xr:uid="{00000000-0005-0000-0000-0000EA1C0000}"/>
    <cellStyle name="Input 4 3 2 4 5" xfId="1113" xr:uid="{00000000-0005-0000-0000-0000EB1C0000}"/>
    <cellStyle name="Input 4 3 2 5" xfId="15169" xr:uid="{00000000-0005-0000-0000-0000EC1C0000}"/>
    <cellStyle name="Input 4 3 2 5 2" xfId="6168" xr:uid="{00000000-0005-0000-0000-0000ED1C0000}"/>
    <cellStyle name="Input 4 3 2 5 3" xfId="15173" xr:uid="{00000000-0005-0000-0000-0000EE1C0000}"/>
    <cellStyle name="Input 4 3 2 5 4" xfId="15178" xr:uid="{00000000-0005-0000-0000-0000EF1C0000}"/>
    <cellStyle name="Input 4 3 2 6" xfId="15182" xr:uid="{00000000-0005-0000-0000-0000F01C0000}"/>
    <cellStyle name="Input 4 3 2 7" xfId="15184" xr:uid="{00000000-0005-0000-0000-0000F11C0000}"/>
    <cellStyle name="Input 4 3 2 8" xfId="2572" xr:uid="{00000000-0005-0000-0000-0000F21C0000}"/>
    <cellStyle name="Input 4 3 3" xfId="15186" xr:uid="{00000000-0005-0000-0000-0000F31C0000}"/>
    <cellStyle name="Input 4 3 3 2" xfId="15187" xr:uid="{00000000-0005-0000-0000-0000F41C0000}"/>
    <cellStyle name="Input 4 3 3 2 2" xfId="6309" xr:uid="{00000000-0005-0000-0000-0000F51C0000}"/>
    <cellStyle name="Input 4 3 3 2 2 2" xfId="14355" xr:uid="{00000000-0005-0000-0000-0000F61C0000}"/>
    <cellStyle name="Input 4 3 3 2 2 2 2" xfId="12595" xr:uid="{00000000-0005-0000-0000-0000F71C0000}"/>
    <cellStyle name="Input 4 3 3 2 2 2 3" xfId="12603" xr:uid="{00000000-0005-0000-0000-0000F81C0000}"/>
    <cellStyle name="Input 4 3 3 2 2 2 4" xfId="15190" xr:uid="{00000000-0005-0000-0000-0000F91C0000}"/>
    <cellStyle name="Input 4 3 3 2 2 3" xfId="14358" xr:uid="{00000000-0005-0000-0000-0000FA1C0000}"/>
    <cellStyle name="Input 4 3 3 2 2 4" xfId="14362" xr:uid="{00000000-0005-0000-0000-0000FB1C0000}"/>
    <cellStyle name="Input 4 3 3 2 2 5" xfId="15193" xr:uid="{00000000-0005-0000-0000-0000FC1C0000}"/>
    <cellStyle name="Input 4 3 3 2 3" xfId="1197" xr:uid="{00000000-0005-0000-0000-0000FD1C0000}"/>
    <cellStyle name="Input 4 3 3 2 3 2" xfId="14369" xr:uid="{00000000-0005-0000-0000-0000FE1C0000}"/>
    <cellStyle name="Input 4 3 3 2 3 3" xfId="14372" xr:uid="{00000000-0005-0000-0000-0000FF1C0000}"/>
    <cellStyle name="Input 4 3 3 2 3 4" xfId="15194" xr:uid="{00000000-0005-0000-0000-0000001D0000}"/>
    <cellStyle name="Input 4 3 3 2 4" xfId="1225" xr:uid="{00000000-0005-0000-0000-0000011D0000}"/>
    <cellStyle name="Input 4 3 3 2 5" xfId="1234" xr:uid="{00000000-0005-0000-0000-0000021D0000}"/>
    <cellStyle name="Input 4 3 3 2 6" xfId="1249" xr:uid="{00000000-0005-0000-0000-0000031D0000}"/>
    <cellStyle name="Input 4 3 3 3" xfId="15195" xr:uid="{00000000-0005-0000-0000-0000041D0000}"/>
    <cellStyle name="Input 4 3 3 3 2" xfId="312" xr:uid="{00000000-0005-0000-0000-0000051D0000}"/>
    <cellStyle name="Input 4 3 3 3 2 2" xfId="671" xr:uid="{00000000-0005-0000-0000-0000061D0000}"/>
    <cellStyle name="Input 4 3 3 3 2 3" xfId="775" xr:uid="{00000000-0005-0000-0000-0000071D0000}"/>
    <cellStyle name="Input 4 3 3 3 2 4" xfId="781" xr:uid="{00000000-0005-0000-0000-0000081D0000}"/>
    <cellStyle name="Input 4 3 3 3 3" xfId="432" xr:uid="{00000000-0005-0000-0000-0000091D0000}"/>
    <cellStyle name="Input 4 3 3 3 4" xfId="466" xr:uid="{00000000-0005-0000-0000-00000A1D0000}"/>
    <cellStyle name="Input 4 3 3 3 5" xfId="490" xr:uid="{00000000-0005-0000-0000-00000B1D0000}"/>
    <cellStyle name="Input 4 3 3 4" xfId="15196" xr:uid="{00000000-0005-0000-0000-00000C1D0000}"/>
    <cellStyle name="Input 4 3 3 4 2" xfId="1752" xr:uid="{00000000-0005-0000-0000-00000D1D0000}"/>
    <cellStyle name="Input 4 3 3 4 3" xfId="1775" xr:uid="{00000000-0005-0000-0000-00000E1D0000}"/>
    <cellStyle name="Input 4 3 3 4 4" xfId="1802" xr:uid="{00000000-0005-0000-0000-00000F1D0000}"/>
    <cellStyle name="Input 4 3 3 5" xfId="15197" xr:uid="{00000000-0005-0000-0000-0000101D0000}"/>
    <cellStyle name="Input 4 3 3 6" xfId="15198" xr:uid="{00000000-0005-0000-0000-0000111D0000}"/>
    <cellStyle name="Input 4 3 3 7" xfId="15199" xr:uid="{00000000-0005-0000-0000-0000121D0000}"/>
    <cellStyle name="Input 4 3 4" xfId="15200" xr:uid="{00000000-0005-0000-0000-0000131D0000}"/>
    <cellStyle name="Input 4 3 4 2" xfId="9910" xr:uid="{00000000-0005-0000-0000-0000141D0000}"/>
    <cellStyle name="Input 4 3 4 2 2" xfId="6422" xr:uid="{00000000-0005-0000-0000-0000151D0000}"/>
    <cellStyle name="Input 4 3 4 2 2 2" xfId="13558" xr:uid="{00000000-0005-0000-0000-0000161D0000}"/>
    <cellStyle name="Input 4 3 4 2 2 3" xfId="14418" xr:uid="{00000000-0005-0000-0000-0000171D0000}"/>
    <cellStyle name="Input 4 3 4 2 2 4" xfId="15202" xr:uid="{00000000-0005-0000-0000-0000181D0000}"/>
    <cellStyle name="Input 4 3 4 2 3" xfId="1327" xr:uid="{00000000-0005-0000-0000-0000191D0000}"/>
    <cellStyle name="Input 4 3 4 2 4" xfId="15203" xr:uid="{00000000-0005-0000-0000-00001A1D0000}"/>
    <cellStyle name="Input 4 3 4 2 5" xfId="1404" xr:uid="{00000000-0005-0000-0000-00001B1D0000}"/>
    <cellStyle name="Input 4 3 4 3" xfId="7243" xr:uid="{00000000-0005-0000-0000-00001C1D0000}"/>
    <cellStyle name="Input 4 3 4 3 2" xfId="6460" xr:uid="{00000000-0005-0000-0000-00001D1D0000}"/>
    <cellStyle name="Input 4 3 4 3 3" xfId="6468" xr:uid="{00000000-0005-0000-0000-00001E1D0000}"/>
    <cellStyle name="Input 4 3 4 3 4" xfId="7251" xr:uid="{00000000-0005-0000-0000-00001F1D0000}"/>
    <cellStyle name="Input 4 3 4 4" xfId="7253" xr:uid="{00000000-0005-0000-0000-0000201D0000}"/>
    <cellStyle name="Input 4 3 4 5" xfId="15204" xr:uid="{00000000-0005-0000-0000-0000211D0000}"/>
    <cellStyle name="Input 4 3 4 6" xfId="15205" xr:uid="{00000000-0005-0000-0000-0000221D0000}"/>
    <cellStyle name="Input 4 3 5" xfId="15206" xr:uid="{00000000-0005-0000-0000-0000231D0000}"/>
    <cellStyle name="Input 4 3 5 2" xfId="85" xr:uid="{00000000-0005-0000-0000-0000241D0000}"/>
    <cellStyle name="Input 4 3 5 2 2" xfId="2268" xr:uid="{00000000-0005-0000-0000-0000251D0000}"/>
    <cellStyle name="Input 4 3 5 2 3" xfId="2280" xr:uid="{00000000-0005-0000-0000-0000261D0000}"/>
    <cellStyle name="Input 4 3 5 2 4" xfId="11675" xr:uid="{00000000-0005-0000-0000-0000271D0000}"/>
    <cellStyle name="Input 4 3 5 3" xfId="520" xr:uid="{00000000-0005-0000-0000-0000281D0000}"/>
    <cellStyle name="Input 4 3 5 4" xfId="580" xr:uid="{00000000-0005-0000-0000-0000291D0000}"/>
    <cellStyle name="Input 4 3 5 5" xfId="15207" xr:uid="{00000000-0005-0000-0000-00002A1D0000}"/>
    <cellStyle name="Input 4 3 6" xfId="1964" xr:uid="{00000000-0005-0000-0000-00002B1D0000}"/>
    <cellStyle name="Input 4 3 6 2" xfId="15208" xr:uid="{00000000-0005-0000-0000-00002C1D0000}"/>
    <cellStyle name="Input 4 3 6 3" xfId="15211" xr:uid="{00000000-0005-0000-0000-00002D1D0000}"/>
    <cellStyle name="Input 4 3 6 4" xfId="15212" xr:uid="{00000000-0005-0000-0000-00002E1D0000}"/>
    <cellStyle name="Input 4 3 7" xfId="15213" xr:uid="{00000000-0005-0000-0000-00002F1D0000}"/>
    <cellStyle name="Input 4 3 8" xfId="15214" xr:uid="{00000000-0005-0000-0000-0000301D0000}"/>
    <cellStyle name="Input 4 3 9" xfId="15215" xr:uid="{00000000-0005-0000-0000-0000311D0000}"/>
    <cellStyle name="Input 4 4" xfId="3452" xr:uid="{00000000-0005-0000-0000-0000321D0000}"/>
    <cellStyle name="Input 4 4 2" xfId="15216" xr:uid="{00000000-0005-0000-0000-0000331D0000}"/>
    <cellStyle name="Input 4 4 2 2" xfId="15218" xr:uid="{00000000-0005-0000-0000-0000341D0000}"/>
    <cellStyle name="Input 4 4 2 2 2" xfId="7968" xr:uid="{00000000-0005-0000-0000-0000351D0000}"/>
    <cellStyle name="Input 4 4 2 2 2 2" xfId="7973" xr:uid="{00000000-0005-0000-0000-0000361D0000}"/>
    <cellStyle name="Input 4 4 2 2 2 2 2" xfId="15219" xr:uid="{00000000-0005-0000-0000-0000371D0000}"/>
    <cellStyle name="Input 4 4 2 2 2 2 2 2" xfId="15220" xr:uid="{00000000-0005-0000-0000-0000381D0000}"/>
    <cellStyle name="Input 4 4 2 2 2 2 2 3" xfId="15221" xr:uid="{00000000-0005-0000-0000-0000391D0000}"/>
    <cellStyle name="Input 4 4 2 2 2 2 2 4" xfId="15223" xr:uid="{00000000-0005-0000-0000-00003A1D0000}"/>
    <cellStyle name="Input 4 4 2 2 2 2 3" xfId="15224" xr:uid="{00000000-0005-0000-0000-00003B1D0000}"/>
    <cellStyle name="Input 4 4 2 2 2 2 4" xfId="15225" xr:uid="{00000000-0005-0000-0000-00003C1D0000}"/>
    <cellStyle name="Input 4 4 2 2 2 2 5" xfId="15226" xr:uid="{00000000-0005-0000-0000-00003D1D0000}"/>
    <cellStyle name="Input 4 4 2 2 2 3" xfId="7975" xr:uid="{00000000-0005-0000-0000-00003E1D0000}"/>
    <cellStyle name="Input 4 4 2 2 2 3 2" xfId="15227" xr:uid="{00000000-0005-0000-0000-00003F1D0000}"/>
    <cellStyle name="Input 4 4 2 2 2 3 3" xfId="15228" xr:uid="{00000000-0005-0000-0000-0000401D0000}"/>
    <cellStyle name="Input 4 4 2 2 2 3 4" xfId="15229" xr:uid="{00000000-0005-0000-0000-0000411D0000}"/>
    <cellStyle name="Input 4 4 2 2 2 4" xfId="7982" xr:uid="{00000000-0005-0000-0000-0000421D0000}"/>
    <cellStyle name="Input 4 4 2 2 2 5" xfId="15037" xr:uid="{00000000-0005-0000-0000-0000431D0000}"/>
    <cellStyle name="Input 4 4 2 2 2 6" xfId="10066" xr:uid="{00000000-0005-0000-0000-0000441D0000}"/>
    <cellStyle name="Input 4 4 2 2 3" xfId="7987" xr:uid="{00000000-0005-0000-0000-0000451D0000}"/>
    <cellStyle name="Input 4 4 2 2 3 2" xfId="15230" xr:uid="{00000000-0005-0000-0000-0000461D0000}"/>
    <cellStyle name="Input 4 4 2 2 3 2 2" xfId="15231" xr:uid="{00000000-0005-0000-0000-0000471D0000}"/>
    <cellStyle name="Input 4 4 2 2 3 2 3" xfId="15233" xr:uid="{00000000-0005-0000-0000-0000481D0000}"/>
    <cellStyle name="Input 4 4 2 2 3 2 4" xfId="15235" xr:uid="{00000000-0005-0000-0000-0000491D0000}"/>
    <cellStyle name="Input 4 4 2 2 3 3" xfId="15237" xr:uid="{00000000-0005-0000-0000-00004A1D0000}"/>
    <cellStyle name="Input 4 4 2 2 3 4" xfId="15239" xr:uid="{00000000-0005-0000-0000-00004B1D0000}"/>
    <cellStyle name="Input 4 4 2 2 3 5" xfId="15241" xr:uid="{00000000-0005-0000-0000-00004C1D0000}"/>
    <cellStyle name="Input 4 4 2 2 4" xfId="7992" xr:uid="{00000000-0005-0000-0000-00004D1D0000}"/>
    <cellStyle name="Input 4 4 2 2 4 2" xfId="5790" xr:uid="{00000000-0005-0000-0000-00004E1D0000}"/>
    <cellStyle name="Input 4 4 2 2 4 3" xfId="5795" xr:uid="{00000000-0005-0000-0000-00004F1D0000}"/>
    <cellStyle name="Input 4 4 2 2 4 4" xfId="15242" xr:uid="{00000000-0005-0000-0000-0000501D0000}"/>
    <cellStyle name="Input 4 4 2 2 5" xfId="7994" xr:uid="{00000000-0005-0000-0000-0000511D0000}"/>
    <cellStyle name="Input 4 4 2 2 6" xfId="15244" xr:uid="{00000000-0005-0000-0000-0000521D0000}"/>
    <cellStyle name="Input 4 4 2 2 7" xfId="15245" xr:uid="{00000000-0005-0000-0000-0000531D0000}"/>
    <cellStyle name="Input 4 4 2 3" xfId="15246" xr:uid="{00000000-0005-0000-0000-0000541D0000}"/>
    <cellStyle name="Input 4 4 2 3 2" xfId="5485" xr:uid="{00000000-0005-0000-0000-0000551D0000}"/>
    <cellStyle name="Input 4 4 2 3 2 2" xfId="13517" xr:uid="{00000000-0005-0000-0000-0000561D0000}"/>
    <cellStyle name="Input 4 4 2 3 2 2 2" xfId="15135" xr:uid="{00000000-0005-0000-0000-0000571D0000}"/>
    <cellStyle name="Input 4 4 2 3 2 2 3" xfId="15138" xr:uid="{00000000-0005-0000-0000-0000581D0000}"/>
    <cellStyle name="Input 4 4 2 3 2 2 4" xfId="15248" xr:uid="{00000000-0005-0000-0000-0000591D0000}"/>
    <cellStyle name="Input 4 4 2 3 2 3" xfId="13519" xr:uid="{00000000-0005-0000-0000-00005A1D0000}"/>
    <cellStyle name="Input 4 4 2 3 2 4" xfId="15251" xr:uid="{00000000-0005-0000-0000-00005B1D0000}"/>
    <cellStyle name="Input 4 4 2 3 2 5" xfId="15254" xr:uid="{00000000-0005-0000-0000-00005C1D0000}"/>
    <cellStyle name="Input 4 4 2 3 3" xfId="5496" xr:uid="{00000000-0005-0000-0000-00005D1D0000}"/>
    <cellStyle name="Input 4 4 2 3 3 2" xfId="15255" xr:uid="{00000000-0005-0000-0000-00005E1D0000}"/>
    <cellStyle name="Input 4 4 2 3 3 3" xfId="15256" xr:uid="{00000000-0005-0000-0000-00005F1D0000}"/>
    <cellStyle name="Input 4 4 2 3 3 4" xfId="15257" xr:uid="{00000000-0005-0000-0000-0000601D0000}"/>
    <cellStyle name="Input 4 4 2 3 4" xfId="5507" xr:uid="{00000000-0005-0000-0000-0000611D0000}"/>
    <cellStyle name="Input 4 4 2 3 5" xfId="15258" xr:uid="{00000000-0005-0000-0000-0000621D0000}"/>
    <cellStyle name="Input 4 4 2 3 6" xfId="15259" xr:uid="{00000000-0005-0000-0000-0000631D0000}"/>
    <cellStyle name="Input 4 4 2 4" xfId="15260" xr:uid="{00000000-0005-0000-0000-0000641D0000}"/>
    <cellStyle name="Input 4 4 2 4 2" xfId="5547" xr:uid="{00000000-0005-0000-0000-0000651D0000}"/>
    <cellStyle name="Input 4 4 2 4 2 2" xfId="15262" xr:uid="{00000000-0005-0000-0000-0000661D0000}"/>
    <cellStyle name="Input 4 4 2 4 2 3" xfId="15264" xr:uid="{00000000-0005-0000-0000-0000671D0000}"/>
    <cellStyle name="Input 4 4 2 4 2 4" xfId="5157" xr:uid="{00000000-0005-0000-0000-0000681D0000}"/>
    <cellStyle name="Input 4 4 2 4 3" xfId="5555" xr:uid="{00000000-0005-0000-0000-0000691D0000}"/>
    <cellStyle name="Input 4 4 2 4 4" xfId="14782" xr:uid="{00000000-0005-0000-0000-00006A1D0000}"/>
    <cellStyle name="Input 4 4 2 4 5" xfId="14785" xr:uid="{00000000-0005-0000-0000-00006B1D0000}"/>
    <cellStyle name="Input 4 4 2 5" xfId="6540" xr:uid="{00000000-0005-0000-0000-00006C1D0000}"/>
    <cellStyle name="Input 4 4 2 5 2" xfId="5603" xr:uid="{00000000-0005-0000-0000-00006D1D0000}"/>
    <cellStyle name="Input 4 4 2 5 3" xfId="6552" xr:uid="{00000000-0005-0000-0000-00006E1D0000}"/>
    <cellStyle name="Input 4 4 2 5 4" xfId="6568" xr:uid="{00000000-0005-0000-0000-00006F1D0000}"/>
    <cellStyle name="Input 4 4 2 6" xfId="6572" xr:uid="{00000000-0005-0000-0000-0000701D0000}"/>
    <cellStyle name="Input 4 4 2 7" xfId="5761" xr:uid="{00000000-0005-0000-0000-0000711D0000}"/>
    <cellStyle name="Input 4 4 2 8" xfId="5787" xr:uid="{00000000-0005-0000-0000-0000721D0000}"/>
    <cellStyle name="Input 4 4 3" xfId="15265" xr:uid="{00000000-0005-0000-0000-0000731D0000}"/>
    <cellStyle name="Input 4 4 3 2" xfId="15266" xr:uid="{00000000-0005-0000-0000-0000741D0000}"/>
    <cellStyle name="Input 4 4 3 2 2" xfId="8171" xr:uid="{00000000-0005-0000-0000-0000751D0000}"/>
    <cellStyle name="Input 4 4 3 2 2 2" xfId="14471" xr:uid="{00000000-0005-0000-0000-0000761D0000}"/>
    <cellStyle name="Input 4 4 3 2 2 2 2" xfId="15272" xr:uid="{00000000-0005-0000-0000-0000771D0000}"/>
    <cellStyle name="Input 4 4 3 2 2 2 3" xfId="15275" xr:uid="{00000000-0005-0000-0000-0000781D0000}"/>
    <cellStyle name="Input 4 4 3 2 2 2 4" xfId="15278" xr:uid="{00000000-0005-0000-0000-0000791D0000}"/>
    <cellStyle name="Input 4 4 3 2 2 3" xfId="14474" xr:uid="{00000000-0005-0000-0000-00007A1D0000}"/>
    <cellStyle name="Input 4 4 3 2 2 4" xfId="14478" xr:uid="{00000000-0005-0000-0000-00007B1D0000}"/>
    <cellStyle name="Input 4 4 3 2 2 5" xfId="15281" xr:uid="{00000000-0005-0000-0000-00007C1D0000}"/>
    <cellStyle name="Input 4 4 3 2 3" xfId="8175" xr:uid="{00000000-0005-0000-0000-00007D1D0000}"/>
    <cellStyle name="Input 4 4 3 2 3 2" xfId="14490" xr:uid="{00000000-0005-0000-0000-00007E1D0000}"/>
    <cellStyle name="Input 4 4 3 2 3 3" xfId="14493" xr:uid="{00000000-0005-0000-0000-00007F1D0000}"/>
    <cellStyle name="Input 4 4 3 2 3 4" xfId="15282" xr:uid="{00000000-0005-0000-0000-0000801D0000}"/>
    <cellStyle name="Input 4 4 3 2 4" xfId="8177" xr:uid="{00000000-0005-0000-0000-0000811D0000}"/>
    <cellStyle name="Input 4 4 3 2 5" xfId="786" xr:uid="{00000000-0005-0000-0000-0000821D0000}"/>
    <cellStyle name="Input 4 4 3 2 6" xfId="911" xr:uid="{00000000-0005-0000-0000-0000831D0000}"/>
    <cellStyle name="Input 4 4 3 3" xfId="15283" xr:uid="{00000000-0005-0000-0000-0000841D0000}"/>
    <cellStyle name="Input 4 4 3 3 2" xfId="5661" xr:uid="{00000000-0005-0000-0000-0000851D0000}"/>
    <cellStyle name="Input 4 4 3 3 2 2" xfId="14506" xr:uid="{00000000-0005-0000-0000-0000861D0000}"/>
    <cellStyle name="Input 4 4 3 3 2 3" xfId="14509" xr:uid="{00000000-0005-0000-0000-0000871D0000}"/>
    <cellStyle name="Input 4 4 3 3 2 4" xfId="7283" xr:uid="{00000000-0005-0000-0000-0000881D0000}"/>
    <cellStyle name="Input 4 4 3 3 3" xfId="5669" xr:uid="{00000000-0005-0000-0000-0000891D0000}"/>
    <cellStyle name="Input 4 4 3 3 4" xfId="7401" xr:uid="{00000000-0005-0000-0000-00008A1D0000}"/>
    <cellStyle name="Input 4 4 3 3 5" xfId="230" xr:uid="{00000000-0005-0000-0000-00008B1D0000}"/>
    <cellStyle name="Input 4 4 3 4" xfId="2195" xr:uid="{00000000-0005-0000-0000-00008C1D0000}"/>
    <cellStyle name="Input 4 4 3 4 2" xfId="2471" xr:uid="{00000000-0005-0000-0000-00008D1D0000}"/>
    <cellStyle name="Input 4 4 3 4 3" xfId="184" xr:uid="{00000000-0005-0000-0000-00008E1D0000}"/>
    <cellStyle name="Input 4 4 3 4 4" xfId="2688" xr:uid="{00000000-0005-0000-0000-00008F1D0000}"/>
    <cellStyle name="Input 4 4 3 5" xfId="2756" xr:uid="{00000000-0005-0000-0000-0000901D0000}"/>
    <cellStyle name="Input 4 4 3 6" xfId="2918" xr:uid="{00000000-0005-0000-0000-0000911D0000}"/>
    <cellStyle name="Input 4 4 3 7" xfId="1351" xr:uid="{00000000-0005-0000-0000-0000921D0000}"/>
    <cellStyle name="Input 4 4 4" xfId="15284" xr:uid="{00000000-0005-0000-0000-0000931D0000}"/>
    <cellStyle name="Input 4 4 4 2" xfId="9926" xr:uid="{00000000-0005-0000-0000-0000941D0000}"/>
    <cellStyle name="Input 4 4 4 2 2" xfId="8269" xr:uid="{00000000-0005-0000-0000-0000951D0000}"/>
    <cellStyle name="Input 4 4 4 2 2 2" xfId="13680" xr:uid="{00000000-0005-0000-0000-0000961D0000}"/>
    <cellStyle name="Input 4 4 4 2 2 3" xfId="2928" xr:uid="{00000000-0005-0000-0000-0000971D0000}"/>
    <cellStyle name="Input 4 4 4 2 2 4" xfId="2985" xr:uid="{00000000-0005-0000-0000-0000981D0000}"/>
    <cellStyle name="Input 4 4 4 2 3" xfId="25" xr:uid="{00000000-0005-0000-0000-0000991D0000}"/>
    <cellStyle name="Input 4 4 4 2 4" xfId="15285" xr:uid="{00000000-0005-0000-0000-00009A1D0000}"/>
    <cellStyle name="Input 4 4 4 2 5" xfId="15286" xr:uid="{00000000-0005-0000-0000-00009B1D0000}"/>
    <cellStyle name="Input 4 4 4 3" xfId="7405" xr:uid="{00000000-0005-0000-0000-00009C1D0000}"/>
    <cellStyle name="Input 4 4 4 3 2" xfId="5721" xr:uid="{00000000-0005-0000-0000-00009D1D0000}"/>
    <cellStyle name="Input 4 4 4 3 3" xfId="7409" xr:uid="{00000000-0005-0000-0000-00009E1D0000}"/>
    <cellStyle name="Input 4 4 4 3 4" xfId="15288" xr:uid="{00000000-0005-0000-0000-00009F1D0000}"/>
    <cellStyle name="Input 4 4 4 4" xfId="2207" xr:uid="{00000000-0005-0000-0000-0000A01D0000}"/>
    <cellStyle name="Input 4 4 4 5" xfId="2841" xr:uid="{00000000-0005-0000-0000-0000A11D0000}"/>
    <cellStyle name="Input 4 4 4 6" xfId="3275" xr:uid="{00000000-0005-0000-0000-0000A21D0000}"/>
    <cellStyle name="Input 4 4 5" xfId="15290" xr:uid="{00000000-0005-0000-0000-0000A31D0000}"/>
    <cellStyle name="Input 4 4 5 2" xfId="15291" xr:uid="{00000000-0005-0000-0000-0000A41D0000}"/>
    <cellStyle name="Input 4 4 5 2 2" xfId="8315" xr:uid="{00000000-0005-0000-0000-0000A51D0000}"/>
    <cellStyle name="Input 4 4 5 2 3" xfId="15293" xr:uid="{00000000-0005-0000-0000-0000A61D0000}"/>
    <cellStyle name="Input 4 4 5 2 4" xfId="10646" xr:uid="{00000000-0005-0000-0000-0000A71D0000}"/>
    <cellStyle name="Input 4 4 5 3" xfId="14709" xr:uid="{00000000-0005-0000-0000-0000A81D0000}"/>
    <cellStyle name="Input 4 4 5 4" xfId="3369" xr:uid="{00000000-0005-0000-0000-0000A91D0000}"/>
    <cellStyle name="Input 4 4 5 5" xfId="3496" xr:uid="{00000000-0005-0000-0000-0000AA1D0000}"/>
    <cellStyle name="Input 4 4 6" xfId="1970" xr:uid="{00000000-0005-0000-0000-0000AB1D0000}"/>
    <cellStyle name="Input 4 4 6 2" xfId="9059" xr:uid="{00000000-0005-0000-0000-0000AC1D0000}"/>
    <cellStyle name="Input 4 4 6 3" xfId="9063" xr:uid="{00000000-0005-0000-0000-0000AD1D0000}"/>
    <cellStyle name="Input 4 4 6 4" xfId="3624" xr:uid="{00000000-0005-0000-0000-0000AE1D0000}"/>
    <cellStyle name="Input 4 4 7" xfId="15296" xr:uid="{00000000-0005-0000-0000-0000AF1D0000}"/>
    <cellStyle name="Input 4 4 8" xfId="13659" xr:uid="{00000000-0005-0000-0000-0000B01D0000}"/>
    <cellStyle name="Input 4 4 9" xfId="13663" xr:uid="{00000000-0005-0000-0000-0000B11D0000}"/>
    <cellStyle name="Input 4 5" xfId="15297" xr:uid="{00000000-0005-0000-0000-0000B21D0000}"/>
    <cellStyle name="Input 4 5 2" xfId="160" xr:uid="{00000000-0005-0000-0000-0000B31D0000}"/>
    <cellStyle name="Input 4 5 2 2" xfId="15298" xr:uid="{00000000-0005-0000-0000-0000B41D0000}"/>
    <cellStyle name="Input 4 5 2 2 2" xfId="9324" xr:uid="{00000000-0005-0000-0000-0000B51D0000}"/>
    <cellStyle name="Input 4 5 2 2 2 2" xfId="9328" xr:uid="{00000000-0005-0000-0000-0000B61D0000}"/>
    <cellStyle name="Input 4 5 2 2 2 2 2" xfId="15299" xr:uid="{00000000-0005-0000-0000-0000B71D0000}"/>
    <cellStyle name="Input 4 5 2 2 2 2 3" xfId="15300" xr:uid="{00000000-0005-0000-0000-0000B81D0000}"/>
    <cellStyle name="Input 4 5 2 2 2 2 4" xfId="15301" xr:uid="{00000000-0005-0000-0000-0000B91D0000}"/>
    <cellStyle name="Input 4 5 2 2 2 3" xfId="9332" xr:uid="{00000000-0005-0000-0000-0000BA1D0000}"/>
    <cellStyle name="Input 4 5 2 2 2 4" xfId="9337" xr:uid="{00000000-0005-0000-0000-0000BB1D0000}"/>
    <cellStyle name="Input 4 5 2 2 2 5" xfId="15306" xr:uid="{00000000-0005-0000-0000-0000BC1D0000}"/>
    <cellStyle name="Input 4 5 2 2 3" xfId="9340" xr:uid="{00000000-0005-0000-0000-0000BD1D0000}"/>
    <cellStyle name="Input 4 5 2 2 3 2" xfId="15308" xr:uid="{00000000-0005-0000-0000-0000BE1D0000}"/>
    <cellStyle name="Input 4 5 2 2 3 3" xfId="15310" xr:uid="{00000000-0005-0000-0000-0000BF1D0000}"/>
    <cellStyle name="Input 4 5 2 2 3 4" xfId="15312" xr:uid="{00000000-0005-0000-0000-0000C01D0000}"/>
    <cellStyle name="Input 4 5 2 2 4" xfId="9344" xr:uid="{00000000-0005-0000-0000-0000C11D0000}"/>
    <cellStyle name="Input 4 5 2 2 5" xfId="9347" xr:uid="{00000000-0005-0000-0000-0000C21D0000}"/>
    <cellStyle name="Input 4 5 2 2 6" xfId="15314" xr:uid="{00000000-0005-0000-0000-0000C31D0000}"/>
    <cellStyle name="Input 4 5 2 3" xfId="15315" xr:uid="{00000000-0005-0000-0000-0000C41D0000}"/>
    <cellStyle name="Input 4 5 2 3 2" xfId="2218" xr:uid="{00000000-0005-0000-0000-0000C51D0000}"/>
    <cellStyle name="Input 4 5 2 3 2 2" xfId="15316" xr:uid="{00000000-0005-0000-0000-0000C61D0000}"/>
    <cellStyle name="Input 4 5 2 3 2 3" xfId="15317" xr:uid="{00000000-0005-0000-0000-0000C71D0000}"/>
    <cellStyle name="Input 4 5 2 3 2 4" xfId="15318" xr:uid="{00000000-0005-0000-0000-0000C81D0000}"/>
    <cellStyle name="Input 4 5 2 3 3" xfId="6012" xr:uid="{00000000-0005-0000-0000-0000C91D0000}"/>
    <cellStyle name="Input 4 5 2 3 4" xfId="6020" xr:uid="{00000000-0005-0000-0000-0000CA1D0000}"/>
    <cellStyle name="Input 4 5 2 3 5" xfId="15321" xr:uid="{00000000-0005-0000-0000-0000CB1D0000}"/>
    <cellStyle name="Input 4 5 2 4" xfId="15322" xr:uid="{00000000-0005-0000-0000-0000CC1D0000}"/>
    <cellStyle name="Input 4 5 2 4 2" xfId="6058" xr:uid="{00000000-0005-0000-0000-0000CD1D0000}"/>
    <cellStyle name="Input 4 5 2 4 3" xfId="6066" xr:uid="{00000000-0005-0000-0000-0000CE1D0000}"/>
    <cellStyle name="Input 4 5 2 4 4" xfId="14830" xr:uid="{00000000-0005-0000-0000-0000CF1D0000}"/>
    <cellStyle name="Input 4 5 2 5" xfId="346" xr:uid="{00000000-0005-0000-0000-0000D01D0000}"/>
    <cellStyle name="Input 4 5 2 6" xfId="3" xr:uid="{00000000-0005-0000-0000-0000D11D0000}"/>
    <cellStyle name="Input 4 5 2 7" xfId="5809" xr:uid="{00000000-0005-0000-0000-0000D21D0000}"/>
    <cellStyle name="Input 4 5 3" xfId="15323" xr:uid="{00000000-0005-0000-0000-0000D31D0000}"/>
    <cellStyle name="Input 4 5 3 2" xfId="15324" xr:uid="{00000000-0005-0000-0000-0000D41D0000}"/>
    <cellStyle name="Input 4 5 3 2 2" xfId="553" xr:uid="{00000000-0005-0000-0000-0000D51D0000}"/>
    <cellStyle name="Input 4 5 3 2 2 2" xfId="14589" xr:uid="{00000000-0005-0000-0000-0000D61D0000}"/>
    <cellStyle name="Input 4 5 3 2 2 3" xfId="14592" xr:uid="{00000000-0005-0000-0000-0000D71D0000}"/>
    <cellStyle name="Input 4 5 3 2 2 4" xfId="15325" xr:uid="{00000000-0005-0000-0000-0000D81D0000}"/>
    <cellStyle name="Input 4 5 3 2 3" xfId="2358" xr:uid="{00000000-0005-0000-0000-0000D91D0000}"/>
    <cellStyle name="Input 4 5 3 2 4" xfId="4186" xr:uid="{00000000-0005-0000-0000-0000DA1D0000}"/>
    <cellStyle name="Input 4 5 3 2 5" xfId="12617" xr:uid="{00000000-0005-0000-0000-0000DB1D0000}"/>
    <cellStyle name="Input 4 5 3 3" xfId="15326" xr:uid="{00000000-0005-0000-0000-0000DC1D0000}"/>
    <cellStyle name="Input 4 5 3 3 2" xfId="1548" xr:uid="{00000000-0005-0000-0000-0000DD1D0000}"/>
    <cellStyle name="Input 4 5 3 3 3" xfId="2363" xr:uid="{00000000-0005-0000-0000-0000DE1D0000}"/>
    <cellStyle name="Input 4 5 3 3 4" xfId="12625" xr:uid="{00000000-0005-0000-0000-0000DF1D0000}"/>
    <cellStyle name="Input 4 5 3 4" xfId="549" xr:uid="{00000000-0005-0000-0000-0000E01D0000}"/>
    <cellStyle name="Input 4 5 3 5" xfId="2347" xr:uid="{00000000-0005-0000-0000-0000E11D0000}"/>
    <cellStyle name="Input 4 5 3 6" xfId="4195" xr:uid="{00000000-0005-0000-0000-0000E21D0000}"/>
    <cellStyle name="Input 4 5 4" xfId="15327" xr:uid="{00000000-0005-0000-0000-0000E31D0000}"/>
    <cellStyle name="Input 4 5 4 2" xfId="11222" xr:uid="{00000000-0005-0000-0000-0000E41D0000}"/>
    <cellStyle name="Input 4 5 4 2 2" xfId="9543" xr:uid="{00000000-0005-0000-0000-0000E51D0000}"/>
    <cellStyle name="Input 4 5 4 2 3" xfId="9548" xr:uid="{00000000-0005-0000-0000-0000E61D0000}"/>
    <cellStyle name="Input 4 5 4 2 4" xfId="12647" xr:uid="{00000000-0005-0000-0000-0000E71D0000}"/>
    <cellStyle name="Input 4 5 4 3" xfId="11227" xr:uid="{00000000-0005-0000-0000-0000E81D0000}"/>
    <cellStyle name="Input 4 5 4 4" xfId="1564" xr:uid="{00000000-0005-0000-0000-0000E91D0000}"/>
    <cellStyle name="Input 4 5 4 5" xfId="2383" xr:uid="{00000000-0005-0000-0000-0000EA1D0000}"/>
    <cellStyle name="Input 4 5 5" xfId="15328" xr:uid="{00000000-0005-0000-0000-0000EB1D0000}"/>
    <cellStyle name="Input 4 5 5 2" xfId="737" xr:uid="{00000000-0005-0000-0000-0000EC1D0000}"/>
    <cellStyle name="Input 4 5 5 3" xfId="772" xr:uid="{00000000-0005-0000-0000-0000ED1D0000}"/>
    <cellStyle name="Input 4 5 5 4" xfId="2399" xr:uid="{00000000-0005-0000-0000-0000EE1D0000}"/>
    <cellStyle name="Input 4 5 6" xfId="15330" xr:uid="{00000000-0005-0000-0000-0000EF1D0000}"/>
    <cellStyle name="Input 4 5 7" xfId="15332" xr:uid="{00000000-0005-0000-0000-0000F01D0000}"/>
    <cellStyle name="Input 4 5 8" xfId="13670" xr:uid="{00000000-0005-0000-0000-0000F11D0000}"/>
    <cellStyle name="Input 4 6" xfId="15333" xr:uid="{00000000-0005-0000-0000-0000F21D0000}"/>
    <cellStyle name="Input 4 6 2" xfId="15334" xr:uid="{00000000-0005-0000-0000-0000F31D0000}"/>
    <cellStyle name="Input 4 6 2 2" xfId="15335" xr:uid="{00000000-0005-0000-0000-0000F41D0000}"/>
    <cellStyle name="Input 4 6 2 2 2" xfId="270" xr:uid="{00000000-0005-0000-0000-0000F51D0000}"/>
    <cellStyle name="Input 4 6 2 2 2 2" xfId="10423" xr:uid="{00000000-0005-0000-0000-0000F61D0000}"/>
    <cellStyle name="Input 4 6 2 2 2 3" xfId="10425" xr:uid="{00000000-0005-0000-0000-0000F71D0000}"/>
    <cellStyle name="Input 4 6 2 2 2 4" xfId="10428" xr:uid="{00000000-0005-0000-0000-0000F81D0000}"/>
    <cellStyle name="Input 4 6 2 2 3" xfId="10433" xr:uid="{00000000-0005-0000-0000-0000F91D0000}"/>
    <cellStyle name="Input 4 6 2 2 4" xfId="10436" xr:uid="{00000000-0005-0000-0000-0000FA1D0000}"/>
    <cellStyle name="Input 4 6 2 2 5" xfId="10439" xr:uid="{00000000-0005-0000-0000-0000FB1D0000}"/>
    <cellStyle name="Input 4 6 2 3" xfId="15336" xr:uid="{00000000-0005-0000-0000-0000FC1D0000}"/>
    <cellStyle name="Input 4 6 2 3 2" xfId="2526" xr:uid="{00000000-0005-0000-0000-0000FD1D0000}"/>
    <cellStyle name="Input 4 6 2 3 3" xfId="6352" xr:uid="{00000000-0005-0000-0000-0000FE1D0000}"/>
    <cellStyle name="Input 4 6 2 3 4" xfId="7551" xr:uid="{00000000-0005-0000-0000-0000FF1D0000}"/>
    <cellStyle name="Input 4 6 2 4" xfId="15337" xr:uid="{00000000-0005-0000-0000-0000001E0000}"/>
    <cellStyle name="Input 4 6 2 5" xfId="15338" xr:uid="{00000000-0005-0000-0000-0000011E0000}"/>
    <cellStyle name="Input 4 6 2 6" xfId="15339" xr:uid="{00000000-0005-0000-0000-0000021E0000}"/>
    <cellStyle name="Input 4 6 3" xfId="11844" xr:uid="{00000000-0005-0000-0000-0000031E0000}"/>
    <cellStyle name="Input 4 6 3 2" xfId="11845" xr:uid="{00000000-0005-0000-0000-0000041E0000}"/>
    <cellStyle name="Input 4 6 3 2 2" xfId="4263" xr:uid="{00000000-0005-0000-0000-0000051E0000}"/>
    <cellStyle name="Input 4 6 3 2 3" xfId="9615" xr:uid="{00000000-0005-0000-0000-0000061E0000}"/>
    <cellStyle name="Input 4 6 3 2 4" xfId="7763" xr:uid="{00000000-0005-0000-0000-0000071E0000}"/>
    <cellStyle name="Input 4 6 3 3" xfId="11913" xr:uid="{00000000-0005-0000-0000-0000081E0000}"/>
    <cellStyle name="Input 4 6 3 4" xfId="4499" xr:uid="{00000000-0005-0000-0000-0000091E0000}"/>
    <cellStyle name="Input 4 6 3 5" xfId="4650" xr:uid="{00000000-0005-0000-0000-00000A1E0000}"/>
    <cellStyle name="Input 4 6 4" xfId="11936" xr:uid="{00000000-0005-0000-0000-00000B1E0000}"/>
    <cellStyle name="Input 4 6 4 2" xfId="11939" xr:uid="{00000000-0005-0000-0000-00000C1E0000}"/>
    <cellStyle name="Input 4 6 4 3" xfId="11958" xr:uid="{00000000-0005-0000-0000-00000D1E0000}"/>
    <cellStyle name="Input 4 6 4 4" xfId="3384" xr:uid="{00000000-0005-0000-0000-00000E1E0000}"/>
    <cellStyle name="Input 4 6 5" xfId="11972" xr:uid="{00000000-0005-0000-0000-00000F1E0000}"/>
    <cellStyle name="Input 4 6 6" xfId="11982" xr:uid="{00000000-0005-0000-0000-0000101E0000}"/>
    <cellStyle name="Input 4 6 7" xfId="11994" xr:uid="{00000000-0005-0000-0000-0000111E0000}"/>
    <cellStyle name="Input 4 7" xfId="15340" xr:uid="{00000000-0005-0000-0000-0000121E0000}"/>
    <cellStyle name="Input 4 7 2" xfId="15342" xr:uid="{00000000-0005-0000-0000-0000131E0000}"/>
    <cellStyle name="Input 4 7 2 2" xfId="15345" xr:uid="{00000000-0005-0000-0000-0000141E0000}"/>
    <cellStyle name="Input 4 7 2 2 2" xfId="11685" xr:uid="{00000000-0005-0000-0000-0000151E0000}"/>
    <cellStyle name="Input 4 7 2 2 3" xfId="11690" xr:uid="{00000000-0005-0000-0000-0000161E0000}"/>
    <cellStyle name="Input 4 7 2 2 4" xfId="11694" xr:uid="{00000000-0005-0000-0000-0000171E0000}"/>
    <cellStyle name="Input 4 7 2 3" xfId="15347" xr:uid="{00000000-0005-0000-0000-0000181E0000}"/>
    <cellStyle name="Input 4 7 2 4" xfId="15350" xr:uid="{00000000-0005-0000-0000-0000191E0000}"/>
    <cellStyle name="Input 4 7 2 5" xfId="15353" xr:uid="{00000000-0005-0000-0000-00001A1E0000}"/>
    <cellStyle name="Input 4 7 3" xfId="12005" xr:uid="{00000000-0005-0000-0000-00001B1E0000}"/>
    <cellStyle name="Input 4 7 3 2" xfId="12009" xr:uid="{00000000-0005-0000-0000-00001C1E0000}"/>
    <cellStyle name="Input 4 7 3 3" xfId="12014" xr:uid="{00000000-0005-0000-0000-00001D1E0000}"/>
    <cellStyle name="Input 4 7 3 4" xfId="4794" xr:uid="{00000000-0005-0000-0000-00001E1E0000}"/>
    <cellStyle name="Input 4 7 4" xfId="12019" xr:uid="{00000000-0005-0000-0000-00001F1E0000}"/>
    <cellStyle name="Input 4 7 5" xfId="12033" xr:uid="{00000000-0005-0000-0000-0000201E0000}"/>
    <cellStyle name="Input 4 7 6" xfId="12038" xr:uid="{00000000-0005-0000-0000-0000211E0000}"/>
    <cellStyle name="Input 4 8" xfId="15354" xr:uid="{00000000-0005-0000-0000-0000221E0000}"/>
    <cellStyle name="Input 4 8 2" xfId="12303" xr:uid="{00000000-0005-0000-0000-0000231E0000}"/>
    <cellStyle name="Input 4 8 2 2" xfId="2668" xr:uid="{00000000-0005-0000-0000-0000241E0000}"/>
    <cellStyle name="Input 4 8 2 3" xfId="5844" xr:uid="{00000000-0005-0000-0000-0000251E0000}"/>
    <cellStyle name="Input 4 8 2 4" xfId="5848" xr:uid="{00000000-0005-0000-0000-0000261E0000}"/>
    <cellStyle name="Input 4 8 3" xfId="12042" xr:uid="{00000000-0005-0000-0000-0000271E0000}"/>
    <cellStyle name="Input 4 8 4" xfId="12048" xr:uid="{00000000-0005-0000-0000-0000281E0000}"/>
    <cellStyle name="Input 4 8 5" xfId="12052" xr:uid="{00000000-0005-0000-0000-0000291E0000}"/>
    <cellStyle name="Input 4 9" xfId="15355" xr:uid="{00000000-0005-0000-0000-00002A1E0000}"/>
    <cellStyle name="Input 4 9 2" xfId="14421" xr:uid="{00000000-0005-0000-0000-00002B1E0000}"/>
    <cellStyle name="Input 4 9 3" xfId="12058" xr:uid="{00000000-0005-0000-0000-00002C1E0000}"/>
    <cellStyle name="Input 4 9 4" xfId="2418" xr:uid="{00000000-0005-0000-0000-00002D1E0000}"/>
    <cellStyle name="Input 5" xfId="13616" xr:uid="{00000000-0005-0000-0000-00002E1E0000}"/>
    <cellStyle name="Input 5 10" xfId="968" xr:uid="{00000000-0005-0000-0000-00002F1E0000}"/>
    <cellStyle name="Input 5 11" xfId="1004" xr:uid="{00000000-0005-0000-0000-0000301E0000}"/>
    <cellStyle name="Input 5 12" xfId="1013" xr:uid="{00000000-0005-0000-0000-0000311E0000}"/>
    <cellStyle name="Input 5 13" xfId="208" xr:uid="{00000000-0005-0000-0000-0000321E0000}"/>
    <cellStyle name="Input 5 2" xfId="923" xr:uid="{00000000-0005-0000-0000-0000331E0000}"/>
    <cellStyle name="Input 5 2 10" xfId="15356" xr:uid="{00000000-0005-0000-0000-0000341E0000}"/>
    <cellStyle name="Input 5 2 11" xfId="14804" xr:uid="{00000000-0005-0000-0000-0000351E0000}"/>
    <cellStyle name="Input 5 2 12" xfId="14807" xr:uid="{00000000-0005-0000-0000-0000361E0000}"/>
    <cellStyle name="Input 5 2 2" xfId="13831" xr:uid="{00000000-0005-0000-0000-0000371E0000}"/>
    <cellStyle name="Input 5 2 2 2" xfId="13406" xr:uid="{00000000-0005-0000-0000-0000381E0000}"/>
    <cellStyle name="Input 5 2 2 2 2" xfId="9638" xr:uid="{00000000-0005-0000-0000-0000391E0000}"/>
    <cellStyle name="Input 5 2 2 2 2 2" xfId="3079" xr:uid="{00000000-0005-0000-0000-00003A1E0000}"/>
    <cellStyle name="Input 5 2 2 2 2 2 2" xfId="15357" xr:uid="{00000000-0005-0000-0000-00003B1E0000}"/>
    <cellStyle name="Input 5 2 2 2 2 2 2 2" xfId="8411" xr:uid="{00000000-0005-0000-0000-00003C1E0000}"/>
    <cellStyle name="Input 5 2 2 2 2 2 2 2 2" xfId="15359" xr:uid="{00000000-0005-0000-0000-00003D1E0000}"/>
    <cellStyle name="Input 5 2 2 2 2 2 2 2 3" xfId="15361" xr:uid="{00000000-0005-0000-0000-00003E1E0000}"/>
    <cellStyle name="Input 5 2 2 2 2 2 2 2 4" xfId="15364" xr:uid="{00000000-0005-0000-0000-00003F1E0000}"/>
    <cellStyle name="Input 5 2 2 2 2 2 2 3" xfId="8417" xr:uid="{00000000-0005-0000-0000-0000401E0000}"/>
    <cellStyle name="Input 5 2 2 2 2 2 2 4" xfId="15367" xr:uid="{00000000-0005-0000-0000-0000411E0000}"/>
    <cellStyle name="Input 5 2 2 2 2 2 2 5" xfId="15373" xr:uid="{00000000-0005-0000-0000-0000421E0000}"/>
    <cellStyle name="Input 5 2 2 2 2 2 3" xfId="15377" xr:uid="{00000000-0005-0000-0000-0000431E0000}"/>
    <cellStyle name="Input 5 2 2 2 2 2 3 2" xfId="8444" xr:uid="{00000000-0005-0000-0000-0000441E0000}"/>
    <cellStyle name="Input 5 2 2 2 2 2 3 3" xfId="15379" xr:uid="{00000000-0005-0000-0000-0000451E0000}"/>
    <cellStyle name="Input 5 2 2 2 2 2 3 4" xfId="15381" xr:uid="{00000000-0005-0000-0000-0000461E0000}"/>
    <cellStyle name="Input 5 2 2 2 2 2 4" xfId="15383" xr:uid="{00000000-0005-0000-0000-0000471E0000}"/>
    <cellStyle name="Input 5 2 2 2 2 2 5" xfId="15385" xr:uid="{00000000-0005-0000-0000-0000481E0000}"/>
    <cellStyle name="Input 5 2 2 2 2 2 6" xfId="15387" xr:uid="{00000000-0005-0000-0000-0000491E0000}"/>
    <cellStyle name="Input 5 2 2 2 2 3" xfId="15388" xr:uid="{00000000-0005-0000-0000-00004A1E0000}"/>
    <cellStyle name="Input 5 2 2 2 2 3 2" xfId="15390" xr:uid="{00000000-0005-0000-0000-00004B1E0000}"/>
    <cellStyle name="Input 5 2 2 2 2 3 2 2" xfId="1365" xr:uid="{00000000-0005-0000-0000-00004C1E0000}"/>
    <cellStyle name="Input 5 2 2 2 2 3 2 3" xfId="15392" xr:uid="{00000000-0005-0000-0000-00004D1E0000}"/>
    <cellStyle name="Input 5 2 2 2 2 3 2 4" xfId="15395" xr:uid="{00000000-0005-0000-0000-00004E1E0000}"/>
    <cellStyle name="Input 5 2 2 2 2 3 3" xfId="15397" xr:uid="{00000000-0005-0000-0000-00004F1E0000}"/>
    <cellStyle name="Input 5 2 2 2 2 3 4" xfId="15399" xr:uid="{00000000-0005-0000-0000-0000501E0000}"/>
    <cellStyle name="Input 5 2 2 2 2 3 5" xfId="15401" xr:uid="{00000000-0005-0000-0000-0000511E0000}"/>
    <cellStyle name="Input 5 2 2 2 2 4" xfId="12447" xr:uid="{00000000-0005-0000-0000-0000521E0000}"/>
    <cellStyle name="Input 5 2 2 2 2 4 2" xfId="12452" xr:uid="{00000000-0005-0000-0000-0000531E0000}"/>
    <cellStyle name="Input 5 2 2 2 2 4 3" xfId="12467" xr:uid="{00000000-0005-0000-0000-0000541E0000}"/>
    <cellStyle name="Input 5 2 2 2 2 4 4" xfId="12473" xr:uid="{00000000-0005-0000-0000-0000551E0000}"/>
    <cellStyle name="Input 5 2 2 2 2 5" xfId="12483" xr:uid="{00000000-0005-0000-0000-0000561E0000}"/>
    <cellStyle name="Input 5 2 2 2 2 6" xfId="7754" xr:uid="{00000000-0005-0000-0000-0000571E0000}"/>
    <cellStyle name="Input 5 2 2 2 2 7" xfId="7870" xr:uid="{00000000-0005-0000-0000-0000581E0000}"/>
    <cellStyle name="Input 5 2 2 2 3" xfId="9643" xr:uid="{00000000-0005-0000-0000-0000591E0000}"/>
    <cellStyle name="Input 5 2 2 2 3 2" xfId="15403" xr:uid="{00000000-0005-0000-0000-00005A1E0000}"/>
    <cellStyle name="Input 5 2 2 2 3 2 2" xfId="15404" xr:uid="{00000000-0005-0000-0000-00005B1E0000}"/>
    <cellStyle name="Input 5 2 2 2 3 2 2 2" xfId="8579" xr:uid="{00000000-0005-0000-0000-00005C1E0000}"/>
    <cellStyle name="Input 5 2 2 2 3 2 2 3" xfId="15406" xr:uid="{00000000-0005-0000-0000-00005D1E0000}"/>
    <cellStyle name="Input 5 2 2 2 3 2 2 4" xfId="661" xr:uid="{00000000-0005-0000-0000-00005E1E0000}"/>
    <cellStyle name="Input 5 2 2 2 3 2 3" xfId="15407" xr:uid="{00000000-0005-0000-0000-00005F1E0000}"/>
    <cellStyle name="Input 5 2 2 2 3 2 4" xfId="15408" xr:uid="{00000000-0005-0000-0000-0000601E0000}"/>
    <cellStyle name="Input 5 2 2 2 3 2 5" xfId="15409" xr:uid="{00000000-0005-0000-0000-0000611E0000}"/>
    <cellStyle name="Input 5 2 2 2 3 3" xfId="15411" xr:uid="{00000000-0005-0000-0000-0000621E0000}"/>
    <cellStyle name="Input 5 2 2 2 3 3 2" xfId="6726" xr:uid="{00000000-0005-0000-0000-0000631E0000}"/>
    <cellStyle name="Input 5 2 2 2 3 3 3" xfId="6730" xr:uid="{00000000-0005-0000-0000-0000641E0000}"/>
    <cellStyle name="Input 5 2 2 2 3 3 4" xfId="15413" xr:uid="{00000000-0005-0000-0000-0000651E0000}"/>
    <cellStyle name="Input 5 2 2 2 3 4" xfId="12493" xr:uid="{00000000-0005-0000-0000-0000661E0000}"/>
    <cellStyle name="Input 5 2 2 2 3 5" xfId="12507" xr:uid="{00000000-0005-0000-0000-0000671E0000}"/>
    <cellStyle name="Input 5 2 2 2 3 6" xfId="7997" xr:uid="{00000000-0005-0000-0000-0000681E0000}"/>
    <cellStyle name="Input 5 2 2 2 4" xfId="15417" xr:uid="{00000000-0005-0000-0000-0000691E0000}"/>
    <cellStyle name="Input 5 2 2 2 4 2" xfId="15419" xr:uid="{00000000-0005-0000-0000-00006A1E0000}"/>
    <cellStyle name="Input 5 2 2 2 4 2 2" xfId="15201" xr:uid="{00000000-0005-0000-0000-00006B1E0000}"/>
    <cellStyle name="Input 5 2 2 2 4 2 3" xfId="15420" xr:uid="{00000000-0005-0000-0000-00006C1E0000}"/>
    <cellStyle name="Input 5 2 2 2 4 2 4" xfId="15421" xr:uid="{00000000-0005-0000-0000-00006D1E0000}"/>
    <cellStyle name="Input 5 2 2 2 4 3" xfId="15422" xr:uid="{00000000-0005-0000-0000-00006E1E0000}"/>
    <cellStyle name="Input 5 2 2 2 4 4" xfId="12518" xr:uid="{00000000-0005-0000-0000-00006F1E0000}"/>
    <cellStyle name="Input 5 2 2 2 4 5" xfId="12524" xr:uid="{00000000-0005-0000-0000-0000701E0000}"/>
    <cellStyle name="Input 5 2 2 2 5" xfId="15427" xr:uid="{00000000-0005-0000-0000-0000711E0000}"/>
    <cellStyle name="Input 5 2 2 2 5 2" xfId="9484" xr:uid="{00000000-0005-0000-0000-0000721E0000}"/>
    <cellStyle name="Input 5 2 2 2 5 3" xfId="9487" xr:uid="{00000000-0005-0000-0000-0000731E0000}"/>
    <cellStyle name="Input 5 2 2 2 5 4" xfId="15429" xr:uid="{00000000-0005-0000-0000-0000741E0000}"/>
    <cellStyle name="Input 5 2 2 2 6" xfId="15436" xr:uid="{00000000-0005-0000-0000-0000751E0000}"/>
    <cellStyle name="Input 5 2 2 2 7" xfId="14482" xr:uid="{00000000-0005-0000-0000-0000761E0000}"/>
    <cellStyle name="Input 5 2 2 2 8" xfId="14484" xr:uid="{00000000-0005-0000-0000-0000771E0000}"/>
    <cellStyle name="Input 5 2 2 3" xfId="15437" xr:uid="{00000000-0005-0000-0000-0000781E0000}"/>
    <cellStyle name="Input 5 2 2 3 2" xfId="15442" xr:uid="{00000000-0005-0000-0000-0000791E0000}"/>
    <cellStyle name="Input 5 2 2 3 2 2" xfId="15444" xr:uid="{00000000-0005-0000-0000-00007A1E0000}"/>
    <cellStyle name="Input 5 2 2 3 2 2 2" xfId="15445" xr:uid="{00000000-0005-0000-0000-00007B1E0000}"/>
    <cellStyle name="Input 5 2 2 3 2 2 2 2" xfId="5777" xr:uid="{00000000-0005-0000-0000-00007C1E0000}"/>
    <cellStyle name="Input 5 2 2 3 2 2 2 3" xfId="5784" xr:uid="{00000000-0005-0000-0000-00007D1E0000}"/>
    <cellStyle name="Input 5 2 2 3 2 2 2 4" xfId="9609" xr:uid="{00000000-0005-0000-0000-00007E1E0000}"/>
    <cellStyle name="Input 5 2 2 3 2 2 3" xfId="15446" xr:uid="{00000000-0005-0000-0000-00007F1E0000}"/>
    <cellStyle name="Input 5 2 2 3 2 2 4" xfId="15447" xr:uid="{00000000-0005-0000-0000-0000801E0000}"/>
    <cellStyle name="Input 5 2 2 3 2 2 5" xfId="15448" xr:uid="{00000000-0005-0000-0000-0000811E0000}"/>
    <cellStyle name="Input 5 2 2 3 2 3" xfId="15449" xr:uid="{00000000-0005-0000-0000-0000821E0000}"/>
    <cellStyle name="Input 5 2 2 3 2 3 2" xfId="15451" xr:uid="{00000000-0005-0000-0000-0000831E0000}"/>
    <cellStyle name="Input 5 2 2 3 2 3 3" xfId="15453" xr:uid="{00000000-0005-0000-0000-0000841E0000}"/>
    <cellStyle name="Input 5 2 2 3 2 3 4" xfId="15455" xr:uid="{00000000-0005-0000-0000-0000851E0000}"/>
    <cellStyle name="Input 5 2 2 3 2 4" xfId="10306" xr:uid="{00000000-0005-0000-0000-0000861E0000}"/>
    <cellStyle name="Input 5 2 2 3 2 5" xfId="10331" xr:uid="{00000000-0005-0000-0000-0000871E0000}"/>
    <cellStyle name="Input 5 2 2 3 2 6" xfId="8126" xr:uid="{00000000-0005-0000-0000-0000881E0000}"/>
    <cellStyle name="Input 5 2 2 3 3" xfId="15459" xr:uid="{00000000-0005-0000-0000-0000891E0000}"/>
    <cellStyle name="Input 5 2 2 3 3 2" xfId="15460" xr:uid="{00000000-0005-0000-0000-00008A1E0000}"/>
    <cellStyle name="Input 5 2 2 3 3 2 2" xfId="15461" xr:uid="{00000000-0005-0000-0000-00008B1E0000}"/>
    <cellStyle name="Input 5 2 2 3 3 2 3" xfId="13981" xr:uid="{00000000-0005-0000-0000-00008C1E0000}"/>
    <cellStyle name="Input 5 2 2 3 3 2 4" xfId="13985" xr:uid="{00000000-0005-0000-0000-00008D1E0000}"/>
    <cellStyle name="Input 5 2 2 3 3 3" xfId="15462" xr:uid="{00000000-0005-0000-0000-00008E1E0000}"/>
    <cellStyle name="Input 5 2 2 3 3 4" xfId="10341" xr:uid="{00000000-0005-0000-0000-00008F1E0000}"/>
    <cellStyle name="Input 5 2 2 3 3 5" xfId="10348" xr:uid="{00000000-0005-0000-0000-0000901E0000}"/>
    <cellStyle name="Input 5 2 2 3 4" xfId="15466" xr:uid="{00000000-0005-0000-0000-0000911E0000}"/>
    <cellStyle name="Input 5 2 2 3 4 2" xfId="15467" xr:uid="{00000000-0005-0000-0000-0000921E0000}"/>
    <cellStyle name="Input 5 2 2 3 4 3" xfId="15468" xr:uid="{00000000-0005-0000-0000-0000931E0000}"/>
    <cellStyle name="Input 5 2 2 3 4 4" xfId="15471" xr:uid="{00000000-0005-0000-0000-0000941E0000}"/>
    <cellStyle name="Input 5 2 2 3 5" xfId="15476" xr:uid="{00000000-0005-0000-0000-0000951E0000}"/>
    <cellStyle name="Input 5 2 2 3 6" xfId="6237" xr:uid="{00000000-0005-0000-0000-0000961E0000}"/>
    <cellStyle name="Input 5 2 2 3 7" xfId="6246" xr:uid="{00000000-0005-0000-0000-0000971E0000}"/>
    <cellStyle name="Input 5 2 2 4" xfId="15477" xr:uid="{00000000-0005-0000-0000-0000981E0000}"/>
    <cellStyle name="Input 5 2 2 4 2" xfId="15479" xr:uid="{00000000-0005-0000-0000-0000991E0000}"/>
    <cellStyle name="Input 5 2 2 4 2 2" xfId="3460" xr:uid="{00000000-0005-0000-0000-00009A1E0000}"/>
    <cellStyle name="Input 5 2 2 4 2 2 2" xfId="15480" xr:uid="{00000000-0005-0000-0000-00009B1E0000}"/>
    <cellStyle name="Input 5 2 2 4 2 2 3" xfId="15481" xr:uid="{00000000-0005-0000-0000-00009C1E0000}"/>
    <cellStyle name="Input 5 2 2 4 2 2 4" xfId="15482" xr:uid="{00000000-0005-0000-0000-00009D1E0000}"/>
    <cellStyle name="Input 5 2 2 4 2 3" xfId="6419" xr:uid="{00000000-0005-0000-0000-00009E1E0000}"/>
    <cellStyle name="Input 5 2 2 4 2 4" xfId="10375" xr:uid="{00000000-0005-0000-0000-00009F1E0000}"/>
    <cellStyle name="Input 5 2 2 4 2 5" xfId="10381" xr:uid="{00000000-0005-0000-0000-0000A01E0000}"/>
    <cellStyle name="Input 5 2 2 4 3" xfId="15484" xr:uid="{00000000-0005-0000-0000-0000A11E0000}"/>
    <cellStyle name="Input 5 2 2 4 3 2" xfId="13761" xr:uid="{00000000-0005-0000-0000-0000A21E0000}"/>
    <cellStyle name="Input 5 2 2 4 3 3" xfId="13764" xr:uid="{00000000-0005-0000-0000-0000A31E0000}"/>
    <cellStyle name="Input 5 2 2 4 3 4" xfId="15488" xr:uid="{00000000-0005-0000-0000-0000A41E0000}"/>
    <cellStyle name="Input 5 2 2 4 4" xfId="15493" xr:uid="{00000000-0005-0000-0000-0000A51E0000}"/>
    <cellStyle name="Input 5 2 2 4 5" xfId="15496" xr:uid="{00000000-0005-0000-0000-0000A61E0000}"/>
    <cellStyle name="Input 5 2 2 4 6" xfId="15499" xr:uid="{00000000-0005-0000-0000-0000A71E0000}"/>
    <cellStyle name="Input 5 2 2 5" xfId="15500" xr:uid="{00000000-0005-0000-0000-0000A81E0000}"/>
    <cellStyle name="Input 5 2 2 5 2" xfId="881" xr:uid="{00000000-0005-0000-0000-0000A91E0000}"/>
    <cellStyle name="Input 5 2 2 5 2 2" xfId="15503" xr:uid="{00000000-0005-0000-0000-0000AA1E0000}"/>
    <cellStyle name="Input 5 2 2 5 2 3" xfId="15504" xr:uid="{00000000-0005-0000-0000-0000AB1E0000}"/>
    <cellStyle name="Input 5 2 2 5 2 4" xfId="15508" xr:uid="{00000000-0005-0000-0000-0000AC1E0000}"/>
    <cellStyle name="Input 5 2 2 5 3" xfId="15514" xr:uid="{00000000-0005-0000-0000-0000AD1E0000}"/>
    <cellStyle name="Input 5 2 2 5 4" xfId="15516" xr:uid="{00000000-0005-0000-0000-0000AE1E0000}"/>
    <cellStyle name="Input 5 2 2 5 5" xfId="15518" xr:uid="{00000000-0005-0000-0000-0000AF1E0000}"/>
    <cellStyle name="Input 5 2 2 6" xfId="15520" xr:uid="{00000000-0005-0000-0000-0000B01E0000}"/>
    <cellStyle name="Input 5 2 2 6 2" xfId="15522" xr:uid="{00000000-0005-0000-0000-0000B11E0000}"/>
    <cellStyle name="Input 5 2 2 6 3" xfId="15525" xr:uid="{00000000-0005-0000-0000-0000B21E0000}"/>
    <cellStyle name="Input 5 2 2 6 4" xfId="15528" xr:uid="{00000000-0005-0000-0000-0000B31E0000}"/>
    <cellStyle name="Input 5 2 2 7" xfId="15530" xr:uid="{00000000-0005-0000-0000-0000B41E0000}"/>
    <cellStyle name="Input 5 2 2 8" xfId="9797" xr:uid="{00000000-0005-0000-0000-0000B51E0000}"/>
    <cellStyle name="Input 5 2 2 9" xfId="9802" xr:uid="{00000000-0005-0000-0000-0000B61E0000}"/>
    <cellStyle name="Input 5 2 3" xfId="15531" xr:uid="{00000000-0005-0000-0000-0000B71E0000}"/>
    <cellStyle name="Input 5 2 3 2" xfId="15532" xr:uid="{00000000-0005-0000-0000-0000B81E0000}"/>
    <cellStyle name="Input 5 2 3 2 2" xfId="15534" xr:uid="{00000000-0005-0000-0000-0000B91E0000}"/>
    <cellStyle name="Input 5 2 3 2 2 2" xfId="3208" xr:uid="{00000000-0005-0000-0000-0000BA1E0000}"/>
    <cellStyle name="Input 5 2 3 2 2 2 2" xfId="14772" xr:uid="{00000000-0005-0000-0000-0000BB1E0000}"/>
    <cellStyle name="Input 5 2 3 2 2 2 2 2" xfId="8997" xr:uid="{00000000-0005-0000-0000-0000BC1E0000}"/>
    <cellStyle name="Input 5 2 3 2 2 2 2 2 2" xfId="15537" xr:uid="{00000000-0005-0000-0000-0000BD1E0000}"/>
    <cellStyle name="Input 5 2 3 2 2 2 2 2 3" xfId="15538" xr:uid="{00000000-0005-0000-0000-0000BE1E0000}"/>
    <cellStyle name="Input 5 2 3 2 2 2 2 2 4" xfId="15540" xr:uid="{00000000-0005-0000-0000-0000BF1E0000}"/>
    <cellStyle name="Input 5 2 3 2 2 2 2 3" xfId="4243" xr:uid="{00000000-0005-0000-0000-0000C01E0000}"/>
    <cellStyle name="Input 5 2 3 2 2 2 2 4" xfId="15542" xr:uid="{00000000-0005-0000-0000-0000C11E0000}"/>
    <cellStyle name="Input 5 2 3 2 2 2 2 5" xfId="15544" xr:uid="{00000000-0005-0000-0000-0000C21E0000}"/>
    <cellStyle name="Input 5 2 3 2 2 2 3" xfId="14774" xr:uid="{00000000-0005-0000-0000-0000C31E0000}"/>
    <cellStyle name="Input 5 2 3 2 2 2 3 2" xfId="15545" xr:uid="{00000000-0005-0000-0000-0000C41E0000}"/>
    <cellStyle name="Input 5 2 3 2 2 2 3 3" xfId="15546" xr:uid="{00000000-0005-0000-0000-0000C51E0000}"/>
    <cellStyle name="Input 5 2 3 2 2 2 3 4" xfId="15547" xr:uid="{00000000-0005-0000-0000-0000C61E0000}"/>
    <cellStyle name="Input 5 2 3 2 2 2 4" xfId="14777" xr:uid="{00000000-0005-0000-0000-0000C71E0000}"/>
    <cellStyle name="Input 5 2 3 2 2 2 5" xfId="15548" xr:uid="{00000000-0005-0000-0000-0000C81E0000}"/>
    <cellStyle name="Input 5 2 3 2 2 2 6" xfId="5161" xr:uid="{00000000-0005-0000-0000-0000C91E0000}"/>
    <cellStyle name="Input 5 2 3 2 2 3" xfId="13420" xr:uid="{00000000-0005-0000-0000-0000CA1E0000}"/>
    <cellStyle name="Input 5 2 3 2 2 3 2" xfId="15549" xr:uid="{00000000-0005-0000-0000-0000CB1E0000}"/>
    <cellStyle name="Input 5 2 3 2 2 3 2 2" xfId="15552" xr:uid="{00000000-0005-0000-0000-0000CC1E0000}"/>
    <cellStyle name="Input 5 2 3 2 2 3 2 3" xfId="15556" xr:uid="{00000000-0005-0000-0000-0000CD1E0000}"/>
    <cellStyle name="Input 5 2 3 2 2 3 2 4" xfId="15561" xr:uid="{00000000-0005-0000-0000-0000CE1E0000}"/>
    <cellStyle name="Input 5 2 3 2 2 3 3" xfId="15563" xr:uid="{00000000-0005-0000-0000-0000CF1E0000}"/>
    <cellStyle name="Input 5 2 3 2 2 3 4" xfId="15565" xr:uid="{00000000-0005-0000-0000-0000D01E0000}"/>
    <cellStyle name="Input 5 2 3 2 2 3 5" xfId="15567" xr:uid="{00000000-0005-0000-0000-0000D11E0000}"/>
    <cellStyle name="Input 5 2 3 2 2 4" xfId="9647" xr:uid="{00000000-0005-0000-0000-0000D21E0000}"/>
    <cellStyle name="Input 5 2 3 2 2 4 2" xfId="9654" xr:uid="{00000000-0005-0000-0000-0000D31E0000}"/>
    <cellStyle name="Input 5 2 3 2 2 4 3" xfId="9660" xr:uid="{00000000-0005-0000-0000-0000D41E0000}"/>
    <cellStyle name="Input 5 2 3 2 2 4 4" xfId="9666" xr:uid="{00000000-0005-0000-0000-0000D51E0000}"/>
    <cellStyle name="Input 5 2 3 2 2 5" xfId="9672" xr:uid="{00000000-0005-0000-0000-0000D61E0000}"/>
    <cellStyle name="Input 5 2 3 2 2 6" xfId="9185" xr:uid="{00000000-0005-0000-0000-0000D71E0000}"/>
    <cellStyle name="Input 5 2 3 2 2 7" xfId="9249" xr:uid="{00000000-0005-0000-0000-0000D81E0000}"/>
    <cellStyle name="Input 5 2 3 2 3" xfId="15570" xr:uid="{00000000-0005-0000-0000-0000D91E0000}"/>
    <cellStyle name="Input 5 2 3 2 3 2" xfId="14791" xr:uid="{00000000-0005-0000-0000-0000DA1E0000}"/>
    <cellStyle name="Input 5 2 3 2 3 2 2" xfId="15571" xr:uid="{00000000-0005-0000-0000-0000DB1E0000}"/>
    <cellStyle name="Input 5 2 3 2 3 2 2 2" xfId="15370" xr:uid="{00000000-0005-0000-0000-0000DC1E0000}"/>
    <cellStyle name="Input 5 2 3 2 3 2 2 3" xfId="15376" xr:uid="{00000000-0005-0000-0000-0000DD1E0000}"/>
    <cellStyle name="Input 5 2 3 2 3 2 2 4" xfId="3889" xr:uid="{00000000-0005-0000-0000-0000DE1E0000}"/>
    <cellStyle name="Input 5 2 3 2 3 2 3" xfId="15572" xr:uid="{00000000-0005-0000-0000-0000DF1E0000}"/>
    <cellStyle name="Input 5 2 3 2 3 2 4" xfId="15573" xr:uid="{00000000-0005-0000-0000-0000E01E0000}"/>
    <cellStyle name="Input 5 2 3 2 3 2 5" xfId="15574" xr:uid="{00000000-0005-0000-0000-0000E11E0000}"/>
    <cellStyle name="Input 5 2 3 2 3 3" xfId="14792" xr:uid="{00000000-0005-0000-0000-0000E21E0000}"/>
    <cellStyle name="Input 5 2 3 2 3 3 2" xfId="15575" xr:uid="{00000000-0005-0000-0000-0000E31E0000}"/>
    <cellStyle name="Input 5 2 3 2 3 3 3" xfId="15577" xr:uid="{00000000-0005-0000-0000-0000E41E0000}"/>
    <cellStyle name="Input 5 2 3 2 3 3 4" xfId="15579" xr:uid="{00000000-0005-0000-0000-0000E51E0000}"/>
    <cellStyle name="Input 5 2 3 2 3 4" xfId="9680" xr:uid="{00000000-0005-0000-0000-0000E61E0000}"/>
    <cellStyle name="Input 5 2 3 2 3 5" xfId="2760" xr:uid="{00000000-0005-0000-0000-0000E71E0000}"/>
    <cellStyle name="Input 5 2 3 2 3 6" xfId="2773" xr:uid="{00000000-0005-0000-0000-0000E81E0000}"/>
    <cellStyle name="Input 5 2 3 2 4" xfId="15582" xr:uid="{00000000-0005-0000-0000-0000E91E0000}"/>
    <cellStyle name="Input 5 2 3 2 4 2" xfId="14799" xr:uid="{00000000-0005-0000-0000-0000EA1E0000}"/>
    <cellStyle name="Input 5 2 3 2 4 2 2" xfId="2984" xr:uid="{00000000-0005-0000-0000-0000EB1E0000}"/>
    <cellStyle name="Input 5 2 3 2 4 2 3" xfId="2161" xr:uid="{00000000-0005-0000-0000-0000EC1E0000}"/>
    <cellStyle name="Input 5 2 3 2 4 2 4" xfId="1325" xr:uid="{00000000-0005-0000-0000-0000ED1E0000}"/>
    <cellStyle name="Input 5 2 3 2 4 3" xfId="14800" xr:uid="{00000000-0005-0000-0000-0000EE1E0000}"/>
    <cellStyle name="Input 5 2 3 2 4 4" xfId="10997" xr:uid="{00000000-0005-0000-0000-0000EF1E0000}"/>
    <cellStyle name="Input 5 2 3 2 4 5" xfId="11008" xr:uid="{00000000-0005-0000-0000-0000F01E0000}"/>
    <cellStyle name="Input 5 2 3 2 5" xfId="7297" xr:uid="{00000000-0005-0000-0000-0000F11E0000}"/>
    <cellStyle name="Input 5 2 3 2 5 2" xfId="7302" xr:uid="{00000000-0005-0000-0000-0000F21E0000}"/>
    <cellStyle name="Input 5 2 3 2 5 3" xfId="7304" xr:uid="{00000000-0005-0000-0000-0000F31E0000}"/>
    <cellStyle name="Input 5 2 3 2 5 4" xfId="7310" xr:uid="{00000000-0005-0000-0000-0000F41E0000}"/>
    <cellStyle name="Input 5 2 3 2 6" xfId="6218" xr:uid="{00000000-0005-0000-0000-0000F51E0000}"/>
    <cellStyle name="Input 5 2 3 2 7" xfId="6330" xr:uid="{00000000-0005-0000-0000-0000F61E0000}"/>
    <cellStyle name="Input 5 2 3 2 8" xfId="1662" xr:uid="{00000000-0005-0000-0000-0000F71E0000}"/>
    <cellStyle name="Input 5 2 3 3" xfId="15584" xr:uid="{00000000-0005-0000-0000-0000F81E0000}"/>
    <cellStyle name="Input 5 2 3 3 2" xfId="9209" xr:uid="{00000000-0005-0000-0000-0000F91E0000}"/>
    <cellStyle name="Input 5 2 3 3 2 2" xfId="9216" xr:uid="{00000000-0005-0000-0000-0000FA1E0000}"/>
    <cellStyle name="Input 5 2 3 3 2 2 2" xfId="1146" xr:uid="{00000000-0005-0000-0000-0000FB1E0000}"/>
    <cellStyle name="Input 5 2 3 3 2 2 2 2" xfId="15586" xr:uid="{00000000-0005-0000-0000-0000FC1E0000}"/>
    <cellStyle name="Input 5 2 3 3 2 2 2 3" xfId="15588" xr:uid="{00000000-0005-0000-0000-0000FD1E0000}"/>
    <cellStyle name="Input 5 2 3 3 2 2 2 4" xfId="15591" xr:uid="{00000000-0005-0000-0000-0000FE1E0000}"/>
    <cellStyle name="Input 5 2 3 3 2 2 3" xfId="1157" xr:uid="{00000000-0005-0000-0000-0000FF1E0000}"/>
    <cellStyle name="Input 5 2 3 3 2 2 4" xfId="4098" xr:uid="{00000000-0005-0000-0000-0000001F0000}"/>
    <cellStyle name="Input 5 2 3 3 2 2 5" xfId="15593" xr:uid="{00000000-0005-0000-0000-0000011F0000}"/>
    <cellStyle name="Input 5 2 3 3 2 3" xfId="9222" xr:uid="{00000000-0005-0000-0000-0000021F0000}"/>
    <cellStyle name="Input 5 2 3 3 2 3 2" xfId="15597" xr:uid="{00000000-0005-0000-0000-0000031F0000}"/>
    <cellStyle name="Input 5 2 3 3 2 3 3" xfId="15600" xr:uid="{00000000-0005-0000-0000-0000041F0000}"/>
    <cellStyle name="Input 5 2 3 3 2 3 4" xfId="15604" xr:uid="{00000000-0005-0000-0000-0000051F0000}"/>
    <cellStyle name="Input 5 2 3 3 2 4" xfId="392" xr:uid="{00000000-0005-0000-0000-0000061F0000}"/>
    <cellStyle name="Input 5 2 3 3 2 5" xfId="421" xr:uid="{00000000-0005-0000-0000-0000071F0000}"/>
    <cellStyle name="Input 5 2 3 3 2 6" xfId="461" xr:uid="{00000000-0005-0000-0000-0000081F0000}"/>
    <cellStyle name="Input 5 2 3 3 3" xfId="9232" xr:uid="{00000000-0005-0000-0000-0000091F0000}"/>
    <cellStyle name="Input 5 2 3 3 3 2" xfId="152" xr:uid="{00000000-0005-0000-0000-00000A1F0000}"/>
    <cellStyle name="Input 5 2 3 3 3 2 2" xfId="15607" xr:uid="{00000000-0005-0000-0000-00000B1F0000}"/>
    <cellStyle name="Input 5 2 3 3 3 2 3" xfId="1294" xr:uid="{00000000-0005-0000-0000-00000C1F0000}"/>
    <cellStyle name="Input 5 2 3 3 3 2 4" xfId="9627" xr:uid="{00000000-0005-0000-0000-00000D1F0000}"/>
    <cellStyle name="Input 5 2 3 3 3 3" xfId="9237" xr:uid="{00000000-0005-0000-0000-00000E1F0000}"/>
    <cellStyle name="Input 5 2 3 3 3 4" xfId="9244" xr:uid="{00000000-0005-0000-0000-00000F1F0000}"/>
    <cellStyle name="Input 5 2 3 3 3 5" xfId="11033" xr:uid="{00000000-0005-0000-0000-0000101F0000}"/>
    <cellStyle name="Input 5 2 3 3 4" xfId="9094" xr:uid="{00000000-0005-0000-0000-0000111F0000}"/>
    <cellStyle name="Input 5 2 3 3 4 2" xfId="14841" xr:uid="{00000000-0005-0000-0000-0000121F0000}"/>
    <cellStyle name="Input 5 2 3 3 4 3" xfId="15609" xr:uid="{00000000-0005-0000-0000-0000131F0000}"/>
    <cellStyle name="Input 5 2 3 3 4 4" xfId="11040" xr:uid="{00000000-0005-0000-0000-0000141F0000}"/>
    <cellStyle name="Input 5 2 3 3 5" xfId="6786" xr:uid="{00000000-0005-0000-0000-0000151F0000}"/>
    <cellStyle name="Input 5 2 3 3 6" xfId="6385" xr:uid="{00000000-0005-0000-0000-0000161F0000}"/>
    <cellStyle name="Input 5 2 3 3 7" xfId="6434" xr:uid="{00000000-0005-0000-0000-0000171F0000}"/>
    <cellStyle name="Input 5 2 3 4" xfId="15612" xr:uid="{00000000-0005-0000-0000-0000181F0000}"/>
    <cellStyle name="Input 5 2 3 4 2" xfId="9270" xr:uid="{00000000-0005-0000-0000-0000191F0000}"/>
    <cellStyle name="Input 5 2 3 4 2 2" xfId="9276" xr:uid="{00000000-0005-0000-0000-00001A1F0000}"/>
    <cellStyle name="Input 5 2 3 4 2 2 2" xfId="8345" xr:uid="{00000000-0005-0000-0000-00001B1F0000}"/>
    <cellStyle name="Input 5 2 3 4 2 2 3" xfId="15555" xr:uid="{00000000-0005-0000-0000-00001C1F0000}"/>
    <cellStyle name="Input 5 2 3 4 2 2 4" xfId="15559" xr:uid="{00000000-0005-0000-0000-00001D1F0000}"/>
    <cellStyle name="Input 5 2 3 4 2 3" xfId="9280" xr:uid="{00000000-0005-0000-0000-00001E1F0000}"/>
    <cellStyle name="Input 5 2 3 4 2 4" xfId="9287" xr:uid="{00000000-0005-0000-0000-00001F1F0000}"/>
    <cellStyle name="Input 5 2 3 4 2 5" xfId="15614" xr:uid="{00000000-0005-0000-0000-0000201F0000}"/>
    <cellStyle name="Input 5 2 3 4 3" xfId="9293" xr:uid="{00000000-0005-0000-0000-0000211F0000}"/>
    <cellStyle name="Input 5 2 3 4 3 2" xfId="13198" xr:uid="{00000000-0005-0000-0000-0000221F0000}"/>
    <cellStyle name="Input 5 2 3 4 3 3" xfId="13218" xr:uid="{00000000-0005-0000-0000-0000231F0000}"/>
    <cellStyle name="Input 5 2 3 4 3 4" xfId="11059" xr:uid="{00000000-0005-0000-0000-0000241F0000}"/>
    <cellStyle name="Input 5 2 3 4 4" xfId="9297" xr:uid="{00000000-0005-0000-0000-0000251F0000}"/>
    <cellStyle name="Input 5 2 3 4 5" xfId="8842" xr:uid="{00000000-0005-0000-0000-0000261F0000}"/>
    <cellStyle name="Input 5 2 3 4 6" xfId="6478" xr:uid="{00000000-0005-0000-0000-0000271F0000}"/>
    <cellStyle name="Input 5 2 3 5" xfId="15618" xr:uid="{00000000-0005-0000-0000-0000281F0000}"/>
    <cellStyle name="Input 5 2 3 5 2" xfId="9316" xr:uid="{00000000-0005-0000-0000-0000291F0000}"/>
    <cellStyle name="Input 5 2 3 5 2 2" xfId="14866" xr:uid="{00000000-0005-0000-0000-00002A1F0000}"/>
    <cellStyle name="Input 5 2 3 5 2 3" xfId="15620" xr:uid="{00000000-0005-0000-0000-00002B1F0000}"/>
    <cellStyle name="Input 5 2 3 5 2 4" xfId="15626" xr:uid="{00000000-0005-0000-0000-00002C1F0000}"/>
    <cellStyle name="Input 5 2 3 5 3" xfId="9319" xr:uid="{00000000-0005-0000-0000-00002D1F0000}"/>
    <cellStyle name="Input 5 2 3 5 4" xfId="9322" xr:uid="{00000000-0005-0000-0000-00002E1F0000}"/>
    <cellStyle name="Input 5 2 3 5 5" xfId="10140" xr:uid="{00000000-0005-0000-0000-00002F1F0000}"/>
    <cellStyle name="Input 5 2 3 6" xfId="15629" xr:uid="{00000000-0005-0000-0000-0000301F0000}"/>
    <cellStyle name="Input 5 2 3 6 2" xfId="9331" xr:uid="{00000000-0005-0000-0000-0000311F0000}"/>
    <cellStyle name="Input 5 2 3 6 3" xfId="9335" xr:uid="{00000000-0005-0000-0000-0000321F0000}"/>
    <cellStyle name="Input 5 2 3 6 4" xfId="15303" xr:uid="{00000000-0005-0000-0000-0000331F0000}"/>
    <cellStyle name="Input 5 2 3 7" xfId="15631" xr:uid="{00000000-0005-0000-0000-0000341F0000}"/>
    <cellStyle name="Input 5 2 3 8" xfId="9829" xr:uid="{00000000-0005-0000-0000-0000351F0000}"/>
    <cellStyle name="Input 5 2 3 9" xfId="9834" xr:uid="{00000000-0005-0000-0000-0000361F0000}"/>
    <cellStyle name="Input 5 2 4" xfId="15632" xr:uid="{00000000-0005-0000-0000-0000371F0000}"/>
    <cellStyle name="Input 5 2 4 2" xfId="15633" xr:uid="{00000000-0005-0000-0000-0000381F0000}"/>
    <cellStyle name="Input 5 2 4 2 2" xfId="10985" xr:uid="{00000000-0005-0000-0000-0000391F0000}"/>
    <cellStyle name="Input 5 2 4 2 2 2" xfId="14001" xr:uid="{00000000-0005-0000-0000-00003A1F0000}"/>
    <cellStyle name="Input 5 2 4 2 2 2 2" xfId="12738" xr:uid="{00000000-0005-0000-0000-00003B1F0000}"/>
    <cellStyle name="Input 5 2 4 2 2 2 2 2" xfId="3928" xr:uid="{00000000-0005-0000-0000-00003C1F0000}"/>
    <cellStyle name="Input 5 2 4 2 2 2 2 3" xfId="12807" xr:uid="{00000000-0005-0000-0000-00003D1F0000}"/>
    <cellStyle name="Input 5 2 4 2 2 2 2 4" xfId="12822" xr:uid="{00000000-0005-0000-0000-00003E1F0000}"/>
    <cellStyle name="Input 5 2 4 2 2 2 3" xfId="12839" xr:uid="{00000000-0005-0000-0000-00003F1F0000}"/>
    <cellStyle name="Input 5 2 4 2 2 2 4" xfId="12880" xr:uid="{00000000-0005-0000-0000-0000401F0000}"/>
    <cellStyle name="Input 5 2 4 2 2 2 5" xfId="12895" xr:uid="{00000000-0005-0000-0000-0000411F0000}"/>
    <cellStyle name="Input 5 2 4 2 2 3" xfId="14006" xr:uid="{00000000-0005-0000-0000-0000421F0000}"/>
    <cellStyle name="Input 5 2 4 2 2 3 2" xfId="15636" xr:uid="{00000000-0005-0000-0000-0000431F0000}"/>
    <cellStyle name="Input 5 2 4 2 2 3 3" xfId="15639" xr:uid="{00000000-0005-0000-0000-0000441F0000}"/>
    <cellStyle name="Input 5 2 4 2 2 3 4" xfId="15642" xr:uid="{00000000-0005-0000-0000-0000451F0000}"/>
    <cellStyle name="Input 5 2 4 2 2 4" xfId="9758" xr:uid="{00000000-0005-0000-0000-0000461F0000}"/>
    <cellStyle name="Input 5 2 4 2 2 5" xfId="9768" xr:uid="{00000000-0005-0000-0000-0000471F0000}"/>
    <cellStyle name="Input 5 2 4 2 2 6" xfId="3673" xr:uid="{00000000-0005-0000-0000-0000481F0000}"/>
    <cellStyle name="Input 5 2 4 2 3" xfId="10990" xr:uid="{00000000-0005-0000-0000-0000491F0000}"/>
    <cellStyle name="Input 5 2 4 2 3 2" xfId="14034" xr:uid="{00000000-0005-0000-0000-00004A1F0000}"/>
    <cellStyle name="Input 5 2 4 2 3 2 2" xfId="15647" xr:uid="{00000000-0005-0000-0000-00004B1F0000}"/>
    <cellStyle name="Input 5 2 4 2 3 2 3" xfId="15649" xr:uid="{00000000-0005-0000-0000-00004C1F0000}"/>
    <cellStyle name="Input 5 2 4 2 3 2 4" xfId="15652" xr:uid="{00000000-0005-0000-0000-00004D1F0000}"/>
    <cellStyle name="Input 5 2 4 2 3 3" xfId="14928" xr:uid="{00000000-0005-0000-0000-00004E1F0000}"/>
    <cellStyle name="Input 5 2 4 2 3 4" xfId="11100" xr:uid="{00000000-0005-0000-0000-00004F1F0000}"/>
    <cellStyle name="Input 5 2 4 2 3 5" xfId="512" xr:uid="{00000000-0005-0000-0000-0000501F0000}"/>
    <cellStyle name="Input 5 2 4 2 4" xfId="15655" xr:uid="{00000000-0005-0000-0000-0000511F0000}"/>
    <cellStyle name="Input 5 2 4 2 4 2" xfId="14936" xr:uid="{00000000-0005-0000-0000-0000521F0000}"/>
    <cellStyle name="Input 5 2 4 2 4 3" xfId="14938" xr:uid="{00000000-0005-0000-0000-0000531F0000}"/>
    <cellStyle name="Input 5 2 4 2 4 4" xfId="11123" xr:uid="{00000000-0005-0000-0000-0000541F0000}"/>
    <cellStyle name="Input 5 2 4 2 5" xfId="4528" xr:uid="{00000000-0005-0000-0000-0000551F0000}"/>
    <cellStyle name="Input 5 2 4 2 6" xfId="4505" xr:uid="{00000000-0005-0000-0000-0000561F0000}"/>
    <cellStyle name="Input 5 2 4 2 7" xfId="5635" xr:uid="{00000000-0005-0000-0000-0000571F0000}"/>
    <cellStyle name="Input 5 2 4 3" xfId="15657" xr:uid="{00000000-0005-0000-0000-0000581F0000}"/>
    <cellStyle name="Input 5 2 4 3 2" xfId="665" xr:uid="{00000000-0005-0000-0000-0000591F0000}"/>
    <cellStyle name="Input 5 2 4 3 2 2" xfId="7839" xr:uid="{00000000-0005-0000-0000-00005A1F0000}"/>
    <cellStyle name="Input 5 2 4 3 2 2 2" xfId="15662" xr:uid="{00000000-0005-0000-0000-00005B1F0000}"/>
    <cellStyle name="Input 5 2 4 3 2 2 3" xfId="15666" xr:uid="{00000000-0005-0000-0000-00005C1F0000}"/>
    <cellStyle name="Input 5 2 4 3 2 2 4" xfId="15669" xr:uid="{00000000-0005-0000-0000-00005D1F0000}"/>
    <cellStyle name="Input 5 2 4 3 2 3" xfId="7848" xr:uid="{00000000-0005-0000-0000-00005E1F0000}"/>
    <cellStyle name="Input 5 2 4 3 2 4" xfId="9367" xr:uid="{00000000-0005-0000-0000-00005F1F0000}"/>
    <cellStyle name="Input 5 2 4 3 2 5" xfId="15672" xr:uid="{00000000-0005-0000-0000-0000601F0000}"/>
    <cellStyle name="Input 5 2 4 3 3" xfId="2786" xr:uid="{00000000-0005-0000-0000-0000611F0000}"/>
    <cellStyle name="Input 5 2 4 3 3 2" xfId="7856" xr:uid="{00000000-0005-0000-0000-0000621F0000}"/>
    <cellStyle name="Input 5 2 4 3 3 3" xfId="14993" xr:uid="{00000000-0005-0000-0000-0000631F0000}"/>
    <cellStyle name="Input 5 2 4 3 3 4" xfId="11140" xr:uid="{00000000-0005-0000-0000-0000641F0000}"/>
    <cellStyle name="Input 5 2 4 3 4" xfId="9374" xr:uid="{00000000-0005-0000-0000-0000651F0000}"/>
    <cellStyle name="Input 5 2 4 3 5" xfId="8848" xr:uid="{00000000-0005-0000-0000-0000661F0000}"/>
    <cellStyle name="Input 5 2 4 3 6" xfId="6678" xr:uid="{00000000-0005-0000-0000-0000671F0000}"/>
    <cellStyle name="Input 5 2 4 4" xfId="15676" xr:uid="{00000000-0005-0000-0000-0000681F0000}"/>
    <cellStyle name="Input 5 2 4 4 2" xfId="31" xr:uid="{00000000-0005-0000-0000-0000691F0000}"/>
    <cellStyle name="Input 5 2 4 4 2 2" xfId="7900" xr:uid="{00000000-0005-0000-0000-00006A1F0000}"/>
    <cellStyle name="Input 5 2 4 4 2 3" xfId="15016" xr:uid="{00000000-0005-0000-0000-00006B1F0000}"/>
    <cellStyle name="Input 5 2 4 4 2 4" xfId="15679" xr:uid="{00000000-0005-0000-0000-00006C1F0000}"/>
    <cellStyle name="Input 5 2 4 4 3" xfId="5983" xr:uid="{00000000-0005-0000-0000-00006D1F0000}"/>
    <cellStyle name="Input 5 2 4 4 4" xfId="5990" xr:uid="{00000000-0005-0000-0000-00006E1F0000}"/>
    <cellStyle name="Input 5 2 4 4 5" xfId="15682" xr:uid="{00000000-0005-0000-0000-00006F1F0000}"/>
    <cellStyle name="Input 5 2 4 5" xfId="15685" xr:uid="{00000000-0005-0000-0000-0000701F0000}"/>
    <cellStyle name="Input 5 2 4 5 2" xfId="5997" xr:uid="{00000000-0005-0000-0000-0000711F0000}"/>
    <cellStyle name="Input 5 2 4 5 3" xfId="6003" xr:uid="{00000000-0005-0000-0000-0000721F0000}"/>
    <cellStyle name="Input 5 2 4 5 4" xfId="15687" xr:uid="{00000000-0005-0000-0000-0000731F0000}"/>
    <cellStyle name="Input 5 2 4 6" xfId="15689" xr:uid="{00000000-0005-0000-0000-0000741F0000}"/>
    <cellStyle name="Input 5 2 4 7" xfId="15691" xr:uid="{00000000-0005-0000-0000-0000751F0000}"/>
    <cellStyle name="Input 5 2 4 8" xfId="15693" xr:uid="{00000000-0005-0000-0000-0000761F0000}"/>
    <cellStyle name="Input 5 2 5" xfId="15694" xr:uid="{00000000-0005-0000-0000-0000771F0000}"/>
    <cellStyle name="Input 5 2 5 2" xfId="15695" xr:uid="{00000000-0005-0000-0000-0000781F0000}"/>
    <cellStyle name="Input 5 2 5 2 2" xfId="15696" xr:uid="{00000000-0005-0000-0000-0000791F0000}"/>
    <cellStyle name="Input 5 2 5 2 2 2" xfId="14180" xr:uid="{00000000-0005-0000-0000-00007A1F0000}"/>
    <cellStyle name="Input 5 2 5 2 2 2 2" xfId="15698" xr:uid="{00000000-0005-0000-0000-00007B1F0000}"/>
    <cellStyle name="Input 5 2 5 2 2 2 3" xfId="15700" xr:uid="{00000000-0005-0000-0000-00007C1F0000}"/>
    <cellStyle name="Input 5 2 5 2 2 2 4" xfId="15701" xr:uid="{00000000-0005-0000-0000-00007D1F0000}"/>
    <cellStyle name="Input 5 2 5 2 2 3" xfId="14184" xr:uid="{00000000-0005-0000-0000-00007E1F0000}"/>
    <cellStyle name="Input 5 2 5 2 2 4" xfId="15057" xr:uid="{00000000-0005-0000-0000-00007F1F0000}"/>
    <cellStyle name="Input 5 2 5 2 2 5" xfId="15702" xr:uid="{00000000-0005-0000-0000-0000801F0000}"/>
    <cellStyle name="Input 5 2 5 2 3" xfId="15707" xr:uid="{00000000-0005-0000-0000-0000811F0000}"/>
    <cellStyle name="Input 5 2 5 2 3 2" xfId="14206" xr:uid="{00000000-0005-0000-0000-0000821F0000}"/>
    <cellStyle name="Input 5 2 5 2 3 3" xfId="15073" xr:uid="{00000000-0005-0000-0000-0000831F0000}"/>
    <cellStyle name="Input 5 2 5 2 3 4" xfId="11163" xr:uid="{00000000-0005-0000-0000-0000841F0000}"/>
    <cellStyle name="Input 5 2 5 2 4" xfId="12230" xr:uid="{00000000-0005-0000-0000-0000851F0000}"/>
    <cellStyle name="Input 5 2 5 2 5" xfId="12259" xr:uid="{00000000-0005-0000-0000-0000861F0000}"/>
    <cellStyle name="Input 5 2 5 2 6" xfId="3848" xr:uid="{00000000-0005-0000-0000-0000871F0000}"/>
    <cellStyle name="Input 5 2 5 3" xfId="15709" xr:uid="{00000000-0005-0000-0000-0000881F0000}"/>
    <cellStyle name="Input 5 2 5 3 2" xfId="9391" xr:uid="{00000000-0005-0000-0000-0000891F0000}"/>
    <cellStyle name="Input 5 2 5 3 2 2" xfId="8019" xr:uid="{00000000-0005-0000-0000-00008A1F0000}"/>
    <cellStyle name="Input 5 2 5 3 2 3" xfId="15080" xr:uid="{00000000-0005-0000-0000-00008B1F0000}"/>
    <cellStyle name="Input 5 2 5 3 2 4" xfId="15711" xr:uid="{00000000-0005-0000-0000-00008C1F0000}"/>
    <cellStyle name="Input 5 2 5 3 3" xfId="9397" xr:uid="{00000000-0005-0000-0000-00008D1F0000}"/>
    <cellStyle name="Input 5 2 5 3 4" xfId="9405" xr:uid="{00000000-0005-0000-0000-00008E1F0000}"/>
    <cellStyle name="Input 5 2 5 3 5" xfId="12274" xr:uid="{00000000-0005-0000-0000-00008F1F0000}"/>
    <cellStyle name="Input 5 2 5 4" xfId="15714" xr:uid="{00000000-0005-0000-0000-0000901F0000}"/>
    <cellStyle name="Input 5 2 5 4 2" xfId="6039" xr:uid="{00000000-0005-0000-0000-0000911F0000}"/>
    <cellStyle name="Input 5 2 5 4 3" xfId="6047" xr:uid="{00000000-0005-0000-0000-0000921F0000}"/>
    <cellStyle name="Input 5 2 5 4 4" xfId="15719" xr:uid="{00000000-0005-0000-0000-0000931F0000}"/>
    <cellStyle name="Input 5 2 5 5" xfId="14455" xr:uid="{00000000-0005-0000-0000-0000941F0000}"/>
    <cellStyle name="Input 5 2 5 6" xfId="14461" xr:uid="{00000000-0005-0000-0000-0000951F0000}"/>
    <cellStyle name="Input 5 2 5 7" xfId="14464" xr:uid="{00000000-0005-0000-0000-0000961F0000}"/>
    <cellStyle name="Input 5 2 6" xfId="15721" xr:uid="{00000000-0005-0000-0000-0000971F0000}"/>
    <cellStyle name="Input 5 2 6 2" xfId="15722" xr:uid="{00000000-0005-0000-0000-0000981F0000}"/>
    <cellStyle name="Input 5 2 6 2 2" xfId="15723" xr:uid="{00000000-0005-0000-0000-0000991F0000}"/>
    <cellStyle name="Input 5 2 6 2 2 2" xfId="14274" xr:uid="{00000000-0005-0000-0000-00009A1F0000}"/>
    <cellStyle name="Input 5 2 6 2 2 3" xfId="15100" xr:uid="{00000000-0005-0000-0000-00009B1F0000}"/>
    <cellStyle name="Input 5 2 6 2 2 4" xfId="15725" xr:uid="{00000000-0005-0000-0000-00009C1F0000}"/>
    <cellStyle name="Input 5 2 6 2 3" xfId="15728" xr:uid="{00000000-0005-0000-0000-00009D1F0000}"/>
    <cellStyle name="Input 5 2 6 2 4" xfId="12341" xr:uid="{00000000-0005-0000-0000-00009E1F0000}"/>
    <cellStyle name="Input 5 2 6 2 5" xfId="12346" xr:uid="{00000000-0005-0000-0000-00009F1F0000}"/>
    <cellStyle name="Input 5 2 6 3" xfId="15730" xr:uid="{00000000-0005-0000-0000-0000A01F0000}"/>
    <cellStyle name="Input 5 2 6 3 2" xfId="9006" xr:uid="{00000000-0005-0000-0000-0000A11F0000}"/>
    <cellStyle name="Input 5 2 6 3 3" xfId="9012" xr:uid="{00000000-0005-0000-0000-0000A21F0000}"/>
    <cellStyle name="Input 5 2 6 3 4" xfId="15734" xr:uid="{00000000-0005-0000-0000-0000A31F0000}"/>
    <cellStyle name="Input 5 2 6 4" xfId="2340" xr:uid="{00000000-0005-0000-0000-0000A41F0000}"/>
    <cellStyle name="Input 5 2 6 5" xfId="3047" xr:uid="{00000000-0005-0000-0000-0000A51F0000}"/>
    <cellStyle name="Input 5 2 6 6" xfId="3055" xr:uid="{00000000-0005-0000-0000-0000A61F0000}"/>
    <cellStyle name="Input 5 2 7" xfId="15736" xr:uid="{00000000-0005-0000-0000-0000A71F0000}"/>
    <cellStyle name="Input 5 2 7 2" xfId="15740" xr:uid="{00000000-0005-0000-0000-0000A81F0000}"/>
    <cellStyle name="Input 5 2 7 2 2" xfId="1215" xr:uid="{00000000-0005-0000-0000-0000A91F0000}"/>
    <cellStyle name="Input 5 2 7 2 3" xfId="1223" xr:uid="{00000000-0005-0000-0000-0000AA1F0000}"/>
    <cellStyle name="Input 5 2 7 2 4" xfId="8352" xr:uid="{00000000-0005-0000-0000-0000AB1F0000}"/>
    <cellStyle name="Input 5 2 7 3" xfId="15746" xr:uid="{00000000-0005-0000-0000-0000AC1F0000}"/>
    <cellStyle name="Input 5 2 7 4" xfId="15751" xr:uid="{00000000-0005-0000-0000-0000AD1F0000}"/>
    <cellStyle name="Input 5 2 7 5" xfId="15269" xr:uid="{00000000-0005-0000-0000-0000AE1F0000}"/>
    <cellStyle name="Input 5 2 8" xfId="15752" xr:uid="{00000000-0005-0000-0000-0000AF1F0000}"/>
    <cellStyle name="Input 5 2 8 2" xfId="13937" xr:uid="{00000000-0005-0000-0000-0000B01F0000}"/>
    <cellStyle name="Input 5 2 8 3" xfId="13965" xr:uid="{00000000-0005-0000-0000-0000B11F0000}"/>
    <cellStyle name="Input 5 2 8 4" xfId="13974" xr:uid="{00000000-0005-0000-0000-0000B21F0000}"/>
    <cellStyle name="Input 5 2 9" xfId="13461" xr:uid="{00000000-0005-0000-0000-0000B31F0000}"/>
    <cellStyle name="Input 5 3" xfId="934" xr:uid="{00000000-0005-0000-0000-0000B41F0000}"/>
    <cellStyle name="Input 5 3 2" xfId="15753" xr:uid="{00000000-0005-0000-0000-0000B51F0000}"/>
    <cellStyle name="Input 5 3 2 2" xfId="9447" xr:uid="{00000000-0005-0000-0000-0000B61F0000}"/>
    <cellStyle name="Input 5 3 2 2 2" xfId="15756" xr:uid="{00000000-0005-0000-0000-0000B71F0000}"/>
    <cellStyle name="Input 5 3 2 2 2 2" xfId="5414" xr:uid="{00000000-0005-0000-0000-0000B81F0000}"/>
    <cellStyle name="Input 5 3 2 2 2 2 2" xfId="15758" xr:uid="{00000000-0005-0000-0000-0000B91F0000}"/>
    <cellStyle name="Input 5 3 2 2 2 2 2 2" xfId="2065" xr:uid="{00000000-0005-0000-0000-0000BA1F0000}"/>
    <cellStyle name="Input 5 3 2 2 2 2 2 3" xfId="2079" xr:uid="{00000000-0005-0000-0000-0000BB1F0000}"/>
    <cellStyle name="Input 5 3 2 2 2 2 2 4" xfId="15760" xr:uid="{00000000-0005-0000-0000-0000BC1F0000}"/>
    <cellStyle name="Input 5 3 2 2 2 2 3" xfId="15761" xr:uid="{00000000-0005-0000-0000-0000BD1F0000}"/>
    <cellStyle name="Input 5 3 2 2 2 2 4" xfId="15763" xr:uid="{00000000-0005-0000-0000-0000BE1F0000}"/>
    <cellStyle name="Input 5 3 2 2 2 2 5" xfId="15766" xr:uid="{00000000-0005-0000-0000-0000BF1F0000}"/>
    <cellStyle name="Input 5 3 2 2 2 3" xfId="15768" xr:uid="{00000000-0005-0000-0000-0000C01F0000}"/>
    <cellStyle name="Input 5 3 2 2 2 3 2" xfId="15771" xr:uid="{00000000-0005-0000-0000-0000C11F0000}"/>
    <cellStyle name="Input 5 3 2 2 2 3 3" xfId="15774" xr:uid="{00000000-0005-0000-0000-0000C21F0000}"/>
    <cellStyle name="Input 5 3 2 2 2 3 4" xfId="15777" xr:uid="{00000000-0005-0000-0000-0000C31F0000}"/>
    <cellStyle name="Input 5 3 2 2 2 4" xfId="12847" xr:uid="{00000000-0005-0000-0000-0000C41F0000}"/>
    <cellStyle name="Input 5 3 2 2 2 5" xfId="12851" xr:uid="{00000000-0005-0000-0000-0000C51F0000}"/>
    <cellStyle name="Input 5 3 2 2 2 6" xfId="12853" xr:uid="{00000000-0005-0000-0000-0000C61F0000}"/>
    <cellStyle name="Input 5 3 2 2 3" xfId="15779" xr:uid="{00000000-0005-0000-0000-0000C71F0000}"/>
    <cellStyle name="Input 5 3 2 2 3 2" xfId="15780" xr:uid="{00000000-0005-0000-0000-0000C81F0000}"/>
    <cellStyle name="Input 5 3 2 2 3 2 2" xfId="15782" xr:uid="{00000000-0005-0000-0000-0000C91F0000}"/>
    <cellStyle name="Input 5 3 2 2 3 2 3" xfId="15784" xr:uid="{00000000-0005-0000-0000-0000CA1F0000}"/>
    <cellStyle name="Input 5 3 2 2 3 2 4" xfId="15786" xr:uid="{00000000-0005-0000-0000-0000CB1F0000}"/>
    <cellStyle name="Input 5 3 2 2 3 3" xfId="15789" xr:uid="{00000000-0005-0000-0000-0000CC1F0000}"/>
    <cellStyle name="Input 5 3 2 2 3 4" xfId="15794" xr:uid="{00000000-0005-0000-0000-0000CD1F0000}"/>
    <cellStyle name="Input 5 3 2 2 3 5" xfId="15800" xr:uid="{00000000-0005-0000-0000-0000CE1F0000}"/>
    <cellStyle name="Input 5 3 2 2 4" xfId="12900" xr:uid="{00000000-0005-0000-0000-0000CF1F0000}"/>
    <cellStyle name="Input 5 3 2 2 4 2" xfId="8597" xr:uid="{00000000-0005-0000-0000-0000D01F0000}"/>
    <cellStyle name="Input 5 3 2 2 4 3" xfId="8603" xr:uid="{00000000-0005-0000-0000-0000D11F0000}"/>
    <cellStyle name="Input 5 3 2 2 4 4" xfId="10014" xr:uid="{00000000-0005-0000-0000-0000D21F0000}"/>
    <cellStyle name="Input 5 3 2 2 5" xfId="12904" xr:uid="{00000000-0005-0000-0000-0000D31F0000}"/>
    <cellStyle name="Input 5 3 2 2 6" xfId="12908" xr:uid="{00000000-0005-0000-0000-0000D41F0000}"/>
    <cellStyle name="Input 5 3 2 2 7" xfId="15802" xr:uid="{00000000-0005-0000-0000-0000D51F0000}"/>
    <cellStyle name="Input 5 3 2 3" xfId="7659" xr:uid="{00000000-0005-0000-0000-0000D61F0000}"/>
    <cellStyle name="Input 5 3 2 3 2" xfId="15805" xr:uid="{00000000-0005-0000-0000-0000D71F0000}"/>
    <cellStyle name="Input 5 3 2 3 2 2" xfId="15806" xr:uid="{00000000-0005-0000-0000-0000D81F0000}"/>
    <cellStyle name="Input 5 3 2 3 2 2 2" xfId="15382" xr:uid="{00000000-0005-0000-0000-0000D91F0000}"/>
    <cellStyle name="Input 5 3 2 3 2 2 3" xfId="15384" xr:uid="{00000000-0005-0000-0000-0000DA1F0000}"/>
    <cellStyle name="Input 5 3 2 3 2 2 4" xfId="15386" xr:uid="{00000000-0005-0000-0000-0000DB1F0000}"/>
    <cellStyle name="Input 5 3 2 3 2 3" xfId="15808" xr:uid="{00000000-0005-0000-0000-0000DC1F0000}"/>
    <cellStyle name="Input 5 3 2 3 2 4" xfId="15811" xr:uid="{00000000-0005-0000-0000-0000DD1F0000}"/>
    <cellStyle name="Input 5 3 2 3 2 5" xfId="1257" xr:uid="{00000000-0005-0000-0000-0000DE1F0000}"/>
    <cellStyle name="Input 5 3 2 3 3" xfId="15813" xr:uid="{00000000-0005-0000-0000-0000DF1F0000}"/>
    <cellStyle name="Input 5 3 2 3 3 2" xfId="15814" xr:uid="{00000000-0005-0000-0000-0000E01F0000}"/>
    <cellStyle name="Input 5 3 2 3 3 3" xfId="15816" xr:uid="{00000000-0005-0000-0000-0000E11F0000}"/>
    <cellStyle name="Input 5 3 2 3 3 4" xfId="15819" xr:uid="{00000000-0005-0000-0000-0000E21F0000}"/>
    <cellStyle name="Input 5 3 2 3 4" xfId="15821" xr:uid="{00000000-0005-0000-0000-0000E31F0000}"/>
    <cellStyle name="Input 5 3 2 3 5" xfId="15823" xr:uid="{00000000-0005-0000-0000-0000E41F0000}"/>
    <cellStyle name="Input 5 3 2 3 6" xfId="15825" xr:uid="{00000000-0005-0000-0000-0000E51F0000}"/>
    <cellStyle name="Input 5 3 2 4" xfId="15826" xr:uid="{00000000-0005-0000-0000-0000E61F0000}"/>
    <cellStyle name="Input 5 3 2 4 2" xfId="15830" xr:uid="{00000000-0005-0000-0000-0000E71F0000}"/>
    <cellStyle name="Input 5 3 2 4 2 2" xfId="15831" xr:uid="{00000000-0005-0000-0000-0000E81F0000}"/>
    <cellStyle name="Input 5 3 2 4 2 3" xfId="15832" xr:uid="{00000000-0005-0000-0000-0000E91F0000}"/>
    <cellStyle name="Input 5 3 2 4 2 4" xfId="15833" xr:uid="{00000000-0005-0000-0000-0000EA1F0000}"/>
    <cellStyle name="Input 5 3 2 4 3" xfId="15835" xr:uid="{00000000-0005-0000-0000-0000EB1F0000}"/>
    <cellStyle name="Input 5 3 2 4 4" xfId="15837" xr:uid="{00000000-0005-0000-0000-0000EC1F0000}"/>
    <cellStyle name="Input 5 3 2 4 5" xfId="15838" xr:uid="{00000000-0005-0000-0000-0000ED1F0000}"/>
    <cellStyle name="Input 5 3 2 5" xfId="15839" xr:uid="{00000000-0005-0000-0000-0000EE1F0000}"/>
    <cellStyle name="Input 5 3 2 5 2" xfId="15843" xr:uid="{00000000-0005-0000-0000-0000EF1F0000}"/>
    <cellStyle name="Input 5 3 2 5 3" xfId="15846" xr:uid="{00000000-0005-0000-0000-0000F01F0000}"/>
    <cellStyle name="Input 5 3 2 5 4" xfId="15847" xr:uid="{00000000-0005-0000-0000-0000F11F0000}"/>
    <cellStyle name="Input 5 3 2 6" xfId="15848" xr:uid="{00000000-0005-0000-0000-0000F21F0000}"/>
    <cellStyle name="Input 5 3 2 7" xfId="15849" xr:uid="{00000000-0005-0000-0000-0000F31F0000}"/>
    <cellStyle name="Input 5 3 2 8" xfId="9854" xr:uid="{00000000-0005-0000-0000-0000F41F0000}"/>
    <cellStyle name="Input 5 3 3" xfId="15850" xr:uid="{00000000-0005-0000-0000-0000F51F0000}"/>
    <cellStyle name="Input 5 3 3 2" xfId="15852" xr:uid="{00000000-0005-0000-0000-0000F61F0000}"/>
    <cellStyle name="Input 5 3 3 2 2" xfId="15853" xr:uid="{00000000-0005-0000-0000-0000F71F0000}"/>
    <cellStyle name="Input 5 3 3 2 2 2" xfId="5925" xr:uid="{00000000-0005-0000-0000-0000F81F0000}"/>
    <cellStyle name="Input 5 3 3 2 2 2 2" xfId="15854" xr:uid="{00000000-0005-0000-0000-0000F91F0000}"/>
    <cellStyle name="Input 5 3 3 2 2 2 3" xfId="15855" xr:uid="{00000000-0005-0000-0000-0000FA1F0000}"/>
    <cellStyle name="Input 5 3 3 2 2 2 4" xfId="15856" xr:uid="{00000000-0005-0000-0000-0000FB1F0000}"/>
    <cellStyle name="Input 5 3 3 2 2 3" xfId="14256" xr:uid="{00000000-0005-0000-0000-0000FC1F0000}"/>
    <cellStyle name="Input 5 3 3 2 2 4" xfId="9922" xr:uid="{00000000-0005-0000-0000-0000FD1F0000}"/>
    <cellStyle name="Input 5 3 3 2 2 5" xfId="9932" xr:uid="{00000000-0005-0000-0000-0000FE1F0000}"/>
    <cellStyle name="Input 5 3 3 2 3" xfId="15857" xr:uid="{00000000-0005-0000-0000-0000FF1F0000}"/>
    <cellStyle name="Input 5 3 3 2 3 2" xfId="15146" xr:uid="{00000000-0005-0000-0000-000000200000}"/>
    <cellStyle name="Input 5 3 3 2 3 3" xfId="15149" xr:uid="{00000000-0005-0000-0000-000001200000}"/>
    <cellStyle name="Input 5 3 3 2 3 4" xfId="9944" xr:uid="{00000000-0005-0000-0000-000002200000}"/>
    <cellStyle name="Input 5 3 3 2 4" xfId="15859" xr:uid="{00000000-0005-0000-0000-000003200000}"/>
    <cellStyle name="Input 5 3 3 2 5" xfId="15861" xr:uid="{00000000-0005-0000-0000-000004200000}"/>
    <cellStyle name="Input 5 3 3 2 6" xfId="7369" xr:uid="{00000000-0005-0000-0000-000005200000}"/>
    <cellStyle name="Input 5 3 3 3" xfId="15863" xr:uid="{00000000-0005-0000-0000-000006200000}"/>
    <cellStyle name="Input 5 3 3 3 2" xfId="15867" xr:uid="{00000000-0005-0000-0000-000007200000}"/>
    <cellStyle name="Input 5 3 3 3 2 2" xfId="6100" xr:uid="{00000000-0005-0000-0000-000008200000}"/>
    <cellStyle name="Input 5 3 3 3 2 3" xfId="7200" xr:uid="{00000000-0005-0000-0000-000009200000}"/>
    <cellStyle name="Input 5 3 3 3 2 4" xfId="9456" xr:uid="{00000000-0005-0000-0000-00000A200000}"/>
    <cellStyle name="Input 5 3 3 3 3" xfId="15870" xr:uid="{00000000-0005-0000-0000-00000B200000}"/>
    <cellStyle name="Input 5 3 3 3 4" xfId="15875" xr:uid="{00000000-0005-0000-0000-00000C200000}"/>
    <cellStyle name="Input 5 3 3 3 5" xfId="15880" xr:uid="{00000000-0005-0000-0000-00000D200000}"/>
    <cellStyle name="Input 5 3 3 4" xfId="15882" xr:uid="{00000000-0005-0000-0000-00000E200000}"/>
    <cellStyle name="Input 5 3 3 4 2" xfId="15886" xr:uid="{00000000-0005-0000-0000-00000F200000}"/>
    <cellStyle name="Input 5 3 3 4 3" xfId="15889" xr:uid="{00000000-0005-0000-0000-000010200000}"/>
    <cellStyle name="Input 5 3 3 4 4" xfId="15891" xr:uid="{00000000-0005-0000-0000-000011200000}"/>
    <cellStyle name="Input 5 3 3 5" xfId="15893" xr:uid="{00000000-0005-0000-0000-000012200000}"/>
    <cellStyle name="Input 5 3 3 6" xfId="15895" xr:uid="{00000000-0005-0000-0000-000013200000}"/>
    <cellStyle name="Input 5 3 3 7" xfId="15897" xr:uid="{00000000-0005-0000-0000-000014200000}"/>
    <cellStyle name="Input 5 3 4" xfId="15898" xr:uid="{00000000-0005-0000-0000-000015200000}"/>
    <cellStyle name="Input 5 3 4 2" xfId="15900" xr:uid="{00000000-0005-0000-0000-000016200000}"/>
    <cellStyle name="Input 5 3 4 2 2" xfId="15901" xr:uid="{00000000-0005-0000-0000-000017200000}"/>
    <cellStyle name="Input 5 3 4 2 2 2" xfId="14361" xr:uid="{00000000-0005-0000-0000-000018200000}"/>
    <cellStyle name="Input 5 3 4 2 2 3" xfId="15192" xr:uid="{00000000-0005-0000-0000-000019200000}"/>
    <cellStyle name="Input 5 3 4 2 2 4" xfId="10006" xr:uid="{00000000-0005-0000-0000-00001A200000}"/>
    <cellStyle name="Input 5 3 4 2 3" xfId="15902" xr:uid="{00000000-0005-0000-0000-00001B200000}"/>
    <cellStyle name="Input 5 3 4 2 4" xfId="15905" xr:uid="{00000000-0005-0000-0000-00001C200000}"/>
    <cellStyle name="Input 5 3 4 2 5" xfId="15906" xr:uid="{00000000-0005-0000-0000-00001D200000}"/>
    <cellStyle name="Input 5 3 4 3" xfId="15911" xr:uid="{00000000-0005-0000-0000-00001E200000}"/>
    <cellStyle name="Input 5 3 4 3 2" xfId="15914" xr:uid="{00000000-0005-0000-0000-00001F200000}"/>
    <cellStyle name="Input 5 3 4 3 3" xfId="15916" xr:uid="{00000000-0005-0000-0000-000020200000}"/>
    <cellStyle name="Input 5 3 4 3 4" xfId="15918" xr:uid="{00000000-0005-0000-0000-000021200000}"/>
    <cellStyle name="Input 5 3 4 4" xfId="15920" xr:uid="{00000000-0005-0000-0000-000022200000}"/>
    <cellStyle name="Input 5 3 4 5" xfId="15922" xr:uid="{00000000-0005-0000-0000-000023200000}"/>
    <cellStyle name="Input 5 3 4 6" xfId="15924" xr:uid="{00000000-0005-0000-0000-000024200000}"/>
    <cellStyle name="Input 5 3 5" xfId="15925" xr:uid="{00000000-0005-0000-0000-000025200000}"/>
    <cellStyle name="Input 5 3 5 2" xfId="15415" xr:uid="{00000000-0005-0000-0000-000026200000}"/>
    <cellStyle name="Input 5 3 5 2 2" xfId="15418" xr:uid="{00000000-0005-0000-0000-000027200000}"/>
    <cellStyle name="Input 5 3 5 2 3" xfId="15424" xr:uid="{00000000-0005-0000-0000-000028200000}"/>
    <cellStyle name="Input 5 3 5 2 4" xfId="12521" xr:uid="{00000000-0005-0000-0000-000029200000}"/>
    <cellStyle name="Input 5 3 5 3" xfId="15426" xr:uid="{00000000-0005-0000-0000-00002A200000}"/>
    <cellStyle name="Input 5 3 5 4" xfId="15435" xr:uid="{00000000-0005-0000-0000-00002B200000}"/>
    <cellStyle name="Input 5 3 5 5" xfId="14481" xr:uid="{00000000-0005-0000-0000-00002C200000}"/>
    <cellStyle name="Input 5 3 6" xfId="15926" xr:uid="{00000000-0005-0000-0000-00002D200000}"/>
    <cellStyle name="Input 5 3 6 2" xfId="15464" xr:uid="{00000000-0005-0000-0000-00002E200000}"/>
    <cellStyle name="Input 5 3 6 3" xfId="15475" xr:uid="{00000000-0005-0000-0000-00002F200000}"/>
    <cellStyle name="Input 5 3 6 4" xfId="6236" xr:uid="{00000000-0005-0000-0000-000030200000}"/>
    <cellStyle name="Input 5 3 7" xfId="15927" xr:uid="{00000000-0005-0000-0000-000031200000}"/>
    <cellStyle name="Input 5 3 8" xfId="15928" xr:uid="{00000000-0005-0000-0000-000032200000}"/>
    <cellStyle name="Input 5 3 9" xfId="15929" xr:uid="{00000000-0005-0000-0000-000033200000}"/>
    <cellStyle name="Input 5 4" xfId="15930" xr:uid="{00000000-0005-0000-0000-000034200000}"/>
    <cellStyle name="Input 5 4 2" xfId="15933" xr:uid="{00000000-0005-0000-0000-000035200000}"/>
    <cellStyle name="Input 5 4 2 2" xfId="15934" xr:uid="{00000000-0005-0000-0000-000036200000}"/>
    <cellStyle name="Input 5 4 2 2 2" xfId="15935" xr:uid="{00000000-0005-0000-0000-000037200000}"/>
    <cellStyle name="Input 5 4 2 2 2 2" xfId="7682" xr:uid="{00000000-0005-0000-0000-000038200000}"/>
    <cellStyle name="Input 5 4 2 2 2 2 2" xfId="15936" xr:uid="{00000000-0005-0000-0000-000039200000}"/>
    <cellStyle name="Input 5 4 2 2 2 2 2 2" xfId="15937" xr:uid="{00000000-0005-0000-0000-00003A200000}"/>
    <cellStyle name="Input 5 4 2 2 2 2 2 3" xfId="15939" xr:uid="{00000000-0005-0000-0000-00003B200000}"/>
    <cellStyle name="Input 5 4 2 2 2 2 2 4" xfId="15940" xr:uid="{00000000-0005-0000-0000-00003C200000}"/>
    <cellStyle name="Input 5 4 2 2 2 2 3" xfId="15941" xr:uid="{00000000-0005-0000-0000-00003D200000}"/>
    <cellStyle name="Input 5 4 2 2 2 2 4" xfId="15942" xr:uid="{00000000-0005-0000-0000-00003E200000}"/>
    <cellStyle name="Input 5 4 2 2 2 2 5" xfId="109" xr:uid="{00000000-0005-0000-0000-00003F200000}"/>
    <cellStyle name="Input 5 4 2 2 2 3" xfId="15944" xr:uid="{00000000-0005-0000-0000-000040200000}"/>
    <cellStyle name="Input 5 4 2 2 2 3 2" xfId="15946" xr:uid="{00000000-0005-0000-0000-000041200000}"/>
    <cellStyle name="Input 5 4 2 2 2 3 3" xfId="15948" xr:uid="{00000000-0005-0000-0000-000042200000}"/>
    <cellStyle name="Input 5 4 2 2 2 3 4" xfId="15950" xr:uid="{00000000-0005-0000-0000-000043200000}"/>
    <cellStyle name="Input 5 4 2 2 2 4" xfId="15953" xr:uid="{00000000-0005-0000-0000-000044200000}"/>
    <cellStyle name="Input 5 4 2 2 2 5" xfId="15956" xr:uid="{00000000-0005-0000-0000-000045200000}"/>
    <cellStyle name="Input 5 4 2 2 2 6" xfId="15958" xr:uid="{00000000-0005-0000-0000-000046200000}"/>
    <cellStyle name="Input 5 4 2 2 3" xfId="15961" xr:uid="{00000000-0005-0000-0000-000047200000}"/>
    <cellStyle name="Input 5 4 2 2 3 2" xfId="15962" xr:uid="{00000000-0005-0000-0000-000048200000}"/>
    <cellStyle name="Input 5 4 2 2 3 2 2" xfId="15963" xr:uid="{00000000-0005-0000-0000-000049200000}"/>
    <cellStyle name="Input 5 4 2 2 3 2 3" xfId="15964" xr:uid="{00000000-0005-0000-0000-00004A200000}"/>
    <cellStyle name="Input 5 4 2 2 3 2 4" xfId="15965" xr:uid="{00000000-0005-0000-0000-00004B200000}"/>
    <cellStyle name="Input 5 4 2 2 3 3" xfId="15967" xr:uid="{00000000-0005-0000-0000-00004C200000}"/>
    <cellStyle name="Input 5 4 2 2 3 4" xfId="15971" xr:uid="{00000000-0005-0000-0000-00004D200000}"/>
    <cellStyle name="Input 5 4 2 2 3 5" xfId="15976" xr:uid="{00000000-0005-0000-0000-00004E200000}"/>
    <cellStyle name="Input 5 4 2 2 4" xfId="15978" xr:uid="{00000000-0005-0000-0000-00004F200000}"/>
    <cellStyle name="Input 5 4 2 2 4 2" xfId="6245" xr:uid="{00000000-0005-0000-0000-000050200000}"/>
    <cellStyle name="Input 5 4 2 2 4 3" xfId="6251" xr:uid="{00000000-0005-0000-0000-000051200000}"/>
    <cellStyle name="Input 5 4 2 2 4 4" xfId="15982" xr:uid="{00000000-0005-0000-0000-000052200000}"/>
    <cellStyle name="Input 5 4 2 2 5" xfId="15984" xr:uid="{00000000-0005-0000-0000-000053200000}"/>
    <cellStyle name="Input 5 4 2 2 6" xfId="15986" xr:uid="{00000000-0005-0000-0000-000054200000}"/>
    <cellStyle name="Input 5 4 2 2 7" xfId="15988" xr:uid="{00000000-0005-0000-0000-000055200000}"/>
    <cellStyle name="Input 5 4 2 3" xfId="15989" xr:uid="{00000000-0005-0000-0000-000056200000}"/>
    <cellStyle name="Input 5 4 2 3 2" xfId="15990" xr:uid="{00000000-0005-0000-0000-000057200000}"/>
    <cellStyle name="Input 5 4 2 3 2 2" xfId="5171" xr:uid="{00000000-0005-0000-0000-000058200000}"/>
    <cellStyle name="Input 5 4 2 3 2 2 2" xfId="15762" xr:uid="{00000000-0005-0000-0000-000059200000}"/>
    <cellStyle name="Input 5 4 2 3 2 2 3" xfId="15765" xr:uid="{00000000-0005-0000-0000-00005A200000}"/>
    <cellStyle name="Input 5 4 2 3 2 2 4" xfId="15992" xr:uid="{00000000-0005-0000-0000-00005B200000}"/>
    <cellStyle name="Input 5 4 2 3 2 3" xfId="1478" xr:uid="{00000000-0005-0000-0000-00005C200000}"/>
    <cellStyle name="Input 5 4 2 3 2 4" xfId="15995" xr:uid="{00000000-0005-0000-0000-00005D200000}"/>
    <cellStyle name="Input 5 4 2 3 2 5" xfId="15998" xr:uid="{00000000-0005-0000-0000-00005E200000}"/>
    <cellStyle name="Input 5 4 2 3 3" xfId="15999" xr:uid="{00000000-0005-0000-0000-00005F200000}"/>
    <cellStyle name="Input 5 4 2 3 3 2" xfId="16000" xr:uid="{00000000-0005-0000-0000-000060200000}"/>
    <cellStyle name="Input 5 4 2 3 3 3" xfId="16001" xr:uid="{00000000-0005-0000-0000-000061200000}"/>
    <cellStyle name="Input 5 4 2 3 3 4" xfId="16003" xr:uid="{00000000-0005-0000-0000-000062200000}"/>
    <cellStyle name="Input 5 4 2 3 4" xfId="16006" xr:uid="{00000000-0005-0000-0000-000063200000}"/>
    <cellStyle name="Input 5 4 2 3 5" xfId="16010" xr:uid="{00000000-0005-0000-0000-000064200000}"/>
    <cellStyle name="Input 5 4 2 3 6" xfId="16014" xr:uid="{00000000-0005-0000-0000-000065200000}"/>
    <cellStyle name="Input 5 4 2 4" xfId="16015" xr:uid="{00000000-0005-0000-0000-000066200000}"/>
    <cellStyle name="Input 5 4 2 4 2" xfId="16017" xr:uid="{00000000-0005-0000-0000-000067200000}"/>
    <cellStyle name="Input 5 4 2 4 2 2" xfId="16018" xr:uid="{00000000-0005-0000-0000-000068200000}"/>
    <cellStyle name="Input 5 4 2 4 2 3" xfId="16020" xr:uid="{00000000-0005-0000-0000-000069200000}"/>
    <cellStyle name="Input 5 4 2 4 2 4" xfId="5565" xr:uid="{00000000-0005-0000-0000-00006A200000}"/>
    <cellStyle name="Input 5 4 2 4 3" xfId="16022" xr:uid="{00000000-0005-0000-0000-00006B200000}"/>
    <cellStyle name="Input 5 4 2 4 4" xfId="16023" xr:uid="{00000000-0005-0000-0000-00006C200000}"/>
    <cellStyle name="Input 5 4 2 4 5" xfId="16024" xr:uid="{00000000-0005-0000-0000-00006D200000}"/>
    <cellStyle name="Input 5 4 2 5" xfId="16025" xr:uid="{00000000-0005-0000-0000-00006E200000}"/>
    <cellStyle name="Input 5 4 2 5 2" xfId="16026" xr:uid="{00000000-0005-0000-0000-00006F200000}"/>
    <cellStyle name="Input 5 4 2 5 3" xfId="16028" xr:uid="{00000000-0005-0000-0000-000070200000}"/>
    <cellStyle name="Input 5 4 2 5 4" xfId="16030" xr:uid="{00000000-0005-0000-0000-000071200000}"/>
    <cellStyle name="Input 5 4 2 6" xfId="16031" xr:uid="{00000000-0005-0000-0000-000072200000}"/>
    <cellStyle name="Input 5 4 2 7" xfId="16032" xr:uid="{00000000-0005-0000-0000-000073200000}"/>
    <cellStyle name="Input 5 4 2 8" xfId="16033" xr:uid="{00000000-0005-0000-0000-000074200000}"/>
    <cellStyle name="Input 5 4 3" xfId="16034" xr:uid="{00000000-0005-0000-0000-000075200000}"/>
    <cellStyle name="Input 5 4 3 2" xfId="16035" xr:uid="{00000000-0005-0000-0000-000076200000}"/>
    <cellStyle name="Input 5 4 3 2 2" xfId="16036" xr:uid="{00000000-0005-0000-0000-000077200000}"/>
    <cellStyle name="Input 5 4 3 2 2 2" xfId="7981" xr:uid="{00000000-0005-0000-0000-000078200000}"/>
    <cellStyle name="Input 5 4 3 2 2 2 2" xfId="16037" xr:uid="{00000000-0005-0000-0000-000079200000}"/>
    <cellStyle name="Input 5 4 3 2 2 2 3" xfId="16038" xr:uid="{00000000-0005-0000-0000-00007A200000}"/>
    <cellStyle name="Input 5 4 3 2 2 2 4" xfId="16039" xr:uid="{00000000-0005-0000-0000-00007B200000}"/>
    <cellStyle name="Input 5 4 3 2 2 3" xfId="15036" xr:uid="{00000000-0005-0000-0000-00007C200000}"/>
    <cellStyle name="Input 5 4 3 2 2 4" xfId="10070" xr:uid="{00000000-0005-0000-0000-00007D200000}"/>
    <cellStyle name="Input 5 4 3 2 2 5" xfId="10075" xr:uid="{00000000-0005-0000-0000-00007E200000}"/>
    <cellStyle name="Input 5 4 3 2 3" xfId="16040" xr:uid="{00000000-0005-0000-0000-00007F200000}"/>
    <cellStyle name="Input 5 4 3 2 3 2" xfId="15238" xr:uid="{00000000-0005-0000-0000-000080200000}"/>
    <cellStyle name="Input 5 4 3 2 3 3" xfId="15240" xr:uid="{00000000-0005-0000-0000-000081200000}"/>
    <cellStyle name="Input 5 4 3 2 3 4" xfId="11320" xr:uid="{00000000-0005-0000-0000-000082200000}"/>
    <cellStyle name="Input 5 4 3 2 4" xfId="16042" xr:uid="{00000000-0005-0000-0000-000083200000}"/>
    <cellStyle name="Input 5 4 3 2 5" xfId="16044" xr:uid="{00000000-0005-0000-0000-000084200000}"/>
    <cellStyle name="Input 5 4 3 2 6" xfId="8836" xr:uid="{00000000-0005-0000-0000-000085200000}"/>
    <cellStyle name="Input 5 4 3 3" xfId="16046" xr:uid="{00000000-0005-0000-0000-000086200000}"/>
    <cellStyle name="Input 5 4 3 3 2" xfId="16049" xr:uid="{00000000-0005-0000-0000-000087200000}"/>
    <cellStyle name="Input 5 4 3 3 2 2" xfId="15250" xr:uid="{00000000-0005-0000-0000-000088200000}"/>
    <cellStyle name="Input 5 4 3 3 2 3" xfId="15253" xr:uid="{00000000-0005-0000-0000-000089200000}"/>
    <cellStyle name="Input 5 4 3 3 2 4" xfId="16051" xr:uid="{00000000-0005-0000-0000-00008A200000}"/>
    <cellStyle name="Input 5 4 3 3 3" xfId="16054" xr:uid="{00000000-0005-0000-0000-00008B200000}"/>
    <cellStyle name="Input 5 4 3 3 4" xfId="16059" xr:uid="{00000000-0005-0000-0000-00008C200000}"/>
    <cellStyle name="Input 5 4 3 3 5" xfId="16064" xr:uid="{00000000-0005-0000-0000-00008D200000}"/>
    <cellStyle name="Input 5 4 3 4" xfId="5136" xr:uid="{00000000-0005-0000-0000-00008E200000}"/>
    <cellStyle name="Input 5 4 3 4 2" xfId="5145" xr:uid="{00000000-0005-0000-0000-00008F200000}"/>
    <cellStyle name="Input 5 4 3 4 3" xfId="5308" xr:uid="{00000000-0005-0000-0000-000090200000}"/>
    <cellStyle name="Input 5 4 3 4 4" xfId="5381" xr:uid="{00000000-0005-0000-0000-000091200000}"/>
    <cellStyle name="Input 5 4 3 5" xfId="5211" xr:uid="{00000000-0005-0000-0000-000092200000}"/>
    <cellStyle name="Input 5 4 3 6" xfId="5217" xr:uid="{00000000-0005-0000-0000-000093200000}"/>
    <cellStyle name="Input 5 4 3 7" xfId="5229" xr:uid="{00000000-0005-0000-0000-000094200000}"/>
    <cellStyle name="Input 5 4 4" xfId="16066" xr:uid="{00000000-0005-0000-0000-000095200000}"/>
    <cellStyle name="Input 5 4 4 2" xfId="16068" xr:uid="{00000000-0005-0000-0000-000096200000}"/>
    <cellStyle name="Input 5 4 4 2 2" xfId="16069" xr:uid="{00000000-0005-0000-0000-000097200000}"/>
    <cellStyle name="Input 5 4 4 2 2 2" xfId="14477" xr:uid="{00000000-0005-0000-0000-000098200000}"/>
    <cellStyle name="Input 5 4 4 2 2 3" xfId="15280" xr:uid="{00000000-0005-0000-0000-000099200000}"/>
    <cellStyle name="Input 5 4 4 2 2 4" xfId="16071" xr:uid="{00000000-0005-0000-0000-00009A200000}"/>
    <cellStyle name="Input 5 4 4 2 3" xfId="16072" xr:uid="{00000000-0005-0000-0000-00009B200000}"/>
    <cellStyle name="Input 5 4 4 2 4" xfId="16076" xr:uid="{00000000-0005-0000-0000-00009C200000}"/>
    <cellStyle name="Input 5 4 4 2 5" xfId="16077" xr:uid="{00000000-0005-0000-0000-00009D200000}"/>
    <cellStyle name="Input 5 4 4 3" xfId="16083" xr:uid="{00000000-0005-0000-0000-00009E200000}"/>
    <cellStyle name="Input 5 4 4 3 2" xfId="16086" xr:uid="{00000000-0005-0000-0000-00009F200000}"/>
    <cellStyle name="Input 5 4 4 3 3" xfId="16088" xr:uid="{00000000-0005-0000-0000-0000A0200000}"/>
    <cellStyle name="Input 5 4 4 3 4" xfId="16090" xr:uid="{00000000-0005-0000-0000-0000A1200000}"/>
    <cellStyle name="Input 5 4 4 4" xfId="5279" xr:uid="{00000000-0005-0000-0000-0000A2200000}"/>
    <cellStyle name="Input 5 4 4 5" xfId="5178" xr:uid="{00000000-0005-0000-0000-0000A3200000}"/>
    <cellStyle name="Input 5 4 4 6" xfId="1483" xr:uid="{00000000-0005-0000-0000-0000A4200000}"/>
    <cellStyle name="Input 5 4 5" xfId="16092" xr:uid="{00000000-0005-0000-0000-0000A5200000}"/>
    <cellStyle name="Input 5 4 5 2" xfId="15581" xr:uid="{00000000-0005-0000-0000-0000A6200000}"/>
    <cellStyle name="Input 5 4 5 2 2" xfId="14798" xr:uid="{00000000-0005-0000-0000-0000A7200000}"/>
    <cellStyle name="Input 5 4 5 2 3" xfId="14803" xr:uid="{00000000-0005-0000-0000-0000A8200000}"/>
    <cellStyle name="Input 5 4 5 2 4" xfId="11000" xr:uid="{00000000-0005-0000-0000-0000A9200000}"/>
    <cellStyle name="Input 5 4 5 3" xfId="7296" xr:uid="{00000000-0005-0000-0000-0000AA200000}"/>
    <cellStyle name="Input 5 4 5 4" xfId="6217" xr:uid="{00000000-0005-0000-0000-0000AB200000}"/>
    <cellStyle name="Input 5 4 5 5" xfId="6329" xr:uid="{00000000-0005-0000-0000-0000AC200000}"/>
    <cellStyle name="Input 5 4 6" xfId="16094" xr:uid="{00000000-0005-0000-0000-0000AD200000}"/>
    <cellStyle name="Input 5 4 6 2" xfId="9092" xr:uid="{00000000-0005-0000-0000-0000AE200000}"/>
    <cellStyle name="Input 5 4 6 3" xfId="6784" xr:uid="{00000000-0005-0000-0000-0000AF200000}"/>
    <cellStyle name="Input 5 4 6 4" xfId="6382" xr:uid="{00000000-0005-0000-0000-0000B0200000}"/>
    <cellStyle name="Input 5 4 7" xfId="16096" xr:uid="{00000000-0005-0000-0000-0000B1200000}"/>
    <cellStyle name="Input 5 4 8" xfId="16098" xr:uid="{00000000-0005-0000-0000-0000B2200000}"/>
    <cellStyle name="Input 5 4 9" xfId="16100" xr:uid="{00000000-0005-0000-0000-0000B3200000}"/>
    <cellStyle name="Input 5 5" xfId="16101" xr:uid="{00000000-0005-0000-0000-0000B4200000}"/>
    <cellStyle name="Input 5 5 2" xfId="16104" xr:uid="{00000000-0005-0000-0000-0000B5200000}"/>
    <cellStyle name="Input 5 5 2 2" xfId="16105" xr:uid="{00000000-0005-0000-0000-0000B6200000}"/>
    <cellStyle name="Input 5 5 2 2 2" xfId="16107" xr:uid="{00000000-0005-0000-0000-0000B7200000}"/>
    <cellStyle name="Input 5 5 2 2 2 2" xfId="9107" xr:uid="{00000000-0005-0000-0000-0000B8200000}"/>
    <cellStyle name="Input 5 5 2 2 2 2 2" xfId="16108" xr:uid="{00000000-0005-0000-0000-0000B9200000}"/>
    <cellStyle name="Input 5 5 2 2 2 2 3" xfId="16109" xr:uid="{00000000-0005-0000-0000-0000BA200000}"/>
    <cellStyle name="Input 5 5 2 2 2 2 4" xfId="16110" xr:uid="{00000000-0005-0000-0000-0000BB200000}"/>
    <cellStyle name="Input 5 5 2 2 2 3" xfId="16112" xr:uid="{00000000-0005-0000-0000-0000BC200000}"/>
    <cellStyle name="Input 5 5 2 2 2 4" xfId="16115" xr:uid="{00000000-0005-0000-0000-0000BD200000}"/>
    <cellStyle name="Input 5 5 2 2 2 5" xfId="16118" xr:uid="{00000000-0005-0000-0000-0000BE200000}"/>
    <cellStyle name="Input 5 5 2 2 3" xfId="16120" xr:uid="{00000000-0005-0000-0000-0000BF200000}"/>
    <cellStyle name="Input 5 5 2 2 3 2" xfId="16121" xr:uid="{00000000-0005-0000-0000-0000C0200000}"/>
    <cellStyle name="Input 5 5 2 2 3 3" xfId="16123" xr:uid="{00000000-0005-0000-0000-0000C1200000}"/>
    <cellStyle name="Input 5 5 2 2 3 4" xfId="16126" xr:uid="{00000000-0005-0000-0000-0000C2200000}"/>
    <cellStyle name="Input 5 5 2 2 4" xfId="16129" xr:uid="{00000000-0005-0000-0000-0000C3200000}"/>
    <cellStyle name="Input 5 5 2 2 5" xfId="16132" xr:uid="{00000000-0005-0000-0000-0000C4200000}"/>
    <cellStyle name="Input 5 5 2 2 6" xfId="16134" xr:uid="{00000000-0005-0000-0000-0000C5200000}"/>
    <cellStyle name="Input 5 5 2 3" xfId="16135" xr:uid="{00000000-0005-0000-0000-0000C6200000}"/>
    <cellStyle name="Input 5 5 2 3 2" xfId="16136" xr:uid="{00000000-0005-0000-0000-0000C7200000}"/>
    <cellStyle name="Input 5 5 2 3 2 2" xfId="16137" xr:uid="{00000000-0005-0000-0000-0000C8200000}"/>
    <cellStyle name="Input 5 5 2 3 2 3" xfId="16139" xr:uid="{00000000-0005-0000-0000-0000C9200000}"/>
    <cellStyle name="Input 5 5 2 3 2 4" xfId="16141" xr:uid="{00000000-0005-0000-0000-0000CA200000}"/>
    <cellStyle name="Input 5 5 2 3 3" xfId="16143" xr:uid="{00000000-0005-0000-0000-0000CB200000}"/>
    <cellStyle name="Input 5 5 2 3 4" xfId="16145" xr:uid="{00000000-0005-0000-0000-0000CC200000}"/>
    <cellStyle name="Input 5 5 2 3 5" xfId="16150" xr:uid="{00000000-0005-0000-0000-0000CD200000}"/>
    <cellStyle name="Input 5 5 2 4" xfId="16155" xr:uid="{00000000-0005-0000-0000-0000CE200000}"/>
    <cellStyle name="Input 5 5 2 4 2" xfId="16156" xr:uid="{00000000-0005-0000-0000-0000CF200000}"/>
    <cellStyle name="Input 5 5 2 4 3" xfId="16158" xr:uid="{00000000-0005-0000-0000-0000D0200000}"/>
    <cellStyle name="Input 5 5 2 4 4" xfId="16160" xr:uid="{00000000-0005-0000-0000-0000D1200000}"/>
    <cellStyle name="Input 5 5 2 5" xfId="16161" xr:uid="{00000000-0005-0000-0000-0000D2200000}"/>
    <cellStyle name="Input 5 5 2 6" xfId="16162" xr:uid="{00000000-0005-0000-0000-0000D3200000}"/>
    <cellStyle name="Input 5 5 2 7" xfId="16163" xr:uid="{00000000-0005-0000-0000-0000D4200000}"/>
    <cellStyle name="Input 5 5 3" xfId="16164" xr:uid="{00000000-0005-0000-0000-0000D5200000}"/>
    <cellStyle name="Input 5 5 3 2" xfId="16165" xr:uid="{00000000-0005-0000-0000-0000D6200000}"/>
    <cellStyle name="Input 5 5 3 2 2" xfId="16167" xr:uid="{00000000-0005-0000-0000-0000D7200000}"/>
    <cellStyle name="Input 5 5 3 2 2 2" xfId="9336" xr:uid="{00000000-0005-0000-0000-0000D8200000}"/>
    <cellStyle name="Input 5 5 3 2 2 3" xfId="15305" xr:uid="{00000000-0005-0000-0000-0000D9200000}"/>
    <cellStyle name="Input 5 5 3 2 2 4" xfId="16170" xr:uid="{00000000-0005-0000-0000-0000DA200000}"/>
    <cellStyle name="Input 5 5 3 2 3" xfId="16171" xr:uid="{00000000-0005-0000-0000-0000DB200000}"/>
    <cellStyle name="Input 5 5 3 2 4" xfId="12748" xr:uid="{00000000-0005-0000-0000-0000DC200000}"/>
    <cellStyle name="Input 5 5 3 2 5" xfId="12753" xr:uid="{00000000-0005-0000-0000-0000DD200000}"/>
    <cellStyle name="Input 5 5 3 3" xfId="16173" xr:uid="{00000000-0005-0000-0000-0000DE200000}"/>
    <cellStyle name="Input 5 5 3 3 2" xfId="16176" xr:uid="{00000000-0005-0000-0000-0000DF200000}"/>
    <cellStyle name="Input 5 5 3 3 3" xfId="16179" xr:uid="{00000000-0005-0000-0000-0000E0200000}"/>
    <cellStyle name="Input 5 5 3 3 4" xfId="16182" xr:uid="{00000000-0005-0000-0000-0000E1200000}"/>
    <cellStyle name="Input 5 5 3 4" xfId="4259" xr:uid="{00000000-0005-0000-0000-0000E2200000}"/>
    <cellStyle name="Input 5 5 3 5" xfId="5139" xr:uid="{00000000-0005-0000-0000-0000E3200000}"/>
    <cellStyle name="Input 5 5 3 6" xfId="5301" xr:uid="{00000000-0005-0000-0000-0000E4200000}"/>
    <cellStyle name="Input 5 5 4" xfId="16185" xr:uid="{00000000-0005-0000-0000-0000E5200000}"/>
    <cellStyle name="Input 5 5 4 2" xfId="16187" xr:uid="{00000000-0005-0000-0000-0000E6200000}"/>
    <cellStyle name="Input 5 5 4 2 2" xfId="16190" xr:uid="{00000000-0005-0000-0000-0000E7200000}"/>
    <cellStyle name="Input 5 5 4 2 3" xfId="16192" xr:uid="{00000000-0005-0000-0000-0000E8200000}"/>
    <cellStyle name="Input 5 5 4 2 4" xfId="16194" xr:uid="{00000000-0005-0000-0000-0000E9200000}"/>
    <cellStyle name="Input 5 5 4 3" xfId="16199" xr:uid="{00000000-0005-0000-0000-0000EA200000}"/>
    <cellStyle name="Input 5 5 4 4" xfId="6627" xr:uid="{00000000-0005-0000-0000-0000EB200000}"/>
    <cellStyle name="Input 5 5 4 5" xfId="5420" xr:uid="{00000000-0005-0000-0000-0000EC200000}"/>
    <cellStyle name="Input 5 5 5" xfId="16201" xr:uid="{00000000-0005-0000-0000-0000ED200000}"/>
    <cellStyle name="Input 5 5 5 2" xfId="15654" xr:uid="{00000000-0005-0000-0000-0000EE200000}"/>
    <cellStyle name="Input 5 5 5 3" xfId="4531" xr:uid="{00000000-0005-0000-0000-0000EF200000}"/>
    <cellStyle name="Input 5 5 5 4" xfId="4509" xr:uid="{00000000-0005-0000-0000-0000F0200000}"/>
    <cellStyle name="Input 5 5 6" xfId="16204" xr:uid="{00000000-0005-0000-0000-0000F1200000}"/>
    <cellStyle name="Input 5 5 7" xfId="16207" xr:uid="{00000000-0005-0000-0000-0000F2200000}"/>
    <cellStyle name="Input 5 5 8" xfId="16210" xr:uid="{00000000-0005-0000-0000-0000F3200000}"/>
    <cellStyle name="Input 5 6" xfId="16211" xr:uid="{00000000-0005-0000-0000-0000F4200000}"/>
    <cellStyle name="Input 5 6 2" xfId="16214" xr:uid="{00000000-0005-0000-0000-0000F5200000}"/>
    <cellStyle name="Input 5 6 2 2" xfId="376" xr:uid="{00000000-0005-0000-0000-0000F6200000}"/>
    <cellStyle name="Input 5 6 2 2 2" xfId="16218" xr:uid="{00000000-0005-0000-0000-0000F7200000}"/>
    <cellStyle name="Input 5 6 2 2 2 2" xfId="4206" xr:uid="{00000000-0005-0000-0000-0000F8200000}"/>
    <cellStyle name="Input 5 6 2 2 2 3" xfId="16221" xr:uid="{00000000-0005-0000-0000-0000F9200000}"/>
    <cellStyle name="Input 5 6 2 2 2 4" xfId="12460" xr:uid="{00000000-0005-0000-0000-0000FA200000}"/>
    <cellStyle name="Input 5 6 2 2 3" xfId="16222" xr:uid="{00000000-0005-0000-0000-0000FB200000}"/>
    <cellStyle name="Input 5 6 2 2 4" xfId="16223" xr:uid="{00000000-0005-0000-0000-0000FC200000}"/>
    <cellStyle name="Input 5 6 2 2 5" xfId="16224" xr:uid="{00000000-0005-0000-0000-0000FD200000}"/>
    <cellStyle name="Input 5 6 2 3" xfId="16225" xr:uid="{00000000-0005-0000-0000-0000FE200000}"/>
    <cellStyle name="Input 5 6 2 3 2" xfId="16226" xr:uid="{00000000-0005-0000-0000-0000FF200000}"/>
    <cellStyle name="Input 5 6 2 3 3" xfId="16228" xr:uid="{00000000-0005-0000-0000-000000210000}"/>
    <cellStyle name="Input 5 6 2 3 4" xfId="16230" xr:uid="{00000000-0005-0000-0000-000001210000}"/>
    <cellStyle name="Input 5 6 2 4" xfId="16231" xr:uid="{00000000-0005-0000-0000-000002210000}"/>
    <cellStyle name="Input 5 6 2 5" xfId="16232" xr:uid="{00000000-0005-0000-0000-000003210000}"/>
    <cellStyle name="Input 5 6 2 6" xfId="10292" xr:uid="{00000000-0005-0000-0000-000004210000}"/>
    <cellStyle name="Input 5 6 3" xfId="12074" xr:uid="{00000000-0005-0000-0000-000005210000}"/>
    <cellStyle name="Input 5 6 3 2" xfId="12079" xr:uid="{00000000-0005-0000-0000-000006210000}"/>
    <cellStyle name="Input 5 6 3 2 2" xfId="12083" xr:uid="{00000000-0005-0000-0000-000007210000}"/>
    <cellStyle name="Input 5 6 3 2 3" xfId="12116" xr:uid="{00000000-0005-0000-0000-000008210000}"/>
    <cellStyle name="Input 5 6 3 2 4" xfId="12131" xr:uid="{00000000-0005-0000-0000-000009210000}"/>
    <cellStyle name="Input 5 6 3 3" xfId="12141" xr:uid="{00000000-0005-0000-0000-00000A210000}"/>
    <cellStyle name="Input 5 6 3 4" xfId="6703" xr:uid="{00000000-0005-0000-0000-00000B210000}"/>
    <cellStyle name="Input 5 6 3 5" xfId="5755" xr:uid="{00000000-0005-0000-0000-00000C210000}"/>
    <cellStyle name="Input 5 6 4" xfId="12165" xr:uid="{00000000-0005-0000-0000-00000D210000}"/>
    <cellStyle name="Input 5 6 4 2" xfId="12172" xr:uid="{00000000-0005-0000-0000-00000E210000}"/>
    <cellStyle name="Input 5 6 4 3" xfId="7334" xr:uid="{00000000-0005-0000-0000-00000F210000}"/>
    <cellStyle name="Input 5 6 4 4" xfId="6836" xr:uid="{00000000-0005-0000-0000-000010210000}"/>
    <cellStyle name="Input 5 6 5" xfId="12224" xr:uid="{00000000-0005-0000-0000-000011210000}"/>
    <cellStyle name="Input 5 6 6" xfId="12265" xr:uid="{00000000-0005-0000-0000-000012210000}"/>
    <cellStyle name="Input 5 6 7" xfId="12284" xr:uid="{00000000-0005-0000-0000-000013210000}"/>
    <cellStyle name="Input 5 7" xfId="16233" xr:uid="{00000000-0005-0000-0000-000014210000}"/>
    <cellStyle name="Input 5 7 2" xfId="16235" xr:uid="{00000000-0005-0000-0000-000015210000}"/>
    <cellStyle name="Input 5 7 2 2" xfId="3322" xr:uid="{00000000-0005-0000-0000-000016210000}"/>
    <cellStyle name="Input 5 7 2 2 2" xfId="16239" xr:uid="{00000000-0005-0000-0000-000017210000}"/>
    <cellStyle name="Input 5 7 2 2 3" xfId="16240" xr:uid="{00000000-0005-0000-0000-000018210000}"/>
    <cellStyle name="Input 5 7 2 2 4" xfId="16241" xr:uid="{00000000-0005-0000-0000-000019210000}"/>
    <cellStyle name="Input 5 7 2 3" xfId="16242" xr:uid="{00000000-0005-0000-0000-00001A210000}"/>
    <cellStyle name="Input 5 7 2 4" xfId="16243" xr:uid="{00000000-0005-0000-0000-00001B210000}"/>
    <cellStyle name="Input 5 7 2 5" xfId="16244" xr:uid="{00000000-0005-0000-0000-00001C210000}"/>
    <cellStyle name="Input 5 7 3" xfId="12293" xr:uid="{00000000-0005-0000-0000-00001D210000}"/>
    <cellStyle name="Input 5 7 3 2" xfId="12299" xr:uid="{00000000-0005-0000-0000-00001E210000}"/>
    <cellStyle name="Input 5 7 3 3" xfId="12307" xr:uid="{00000000-0005-0000-0000-00001F210000}"/>
    <cellStyle name="Input 5 7 3 4" xfId="6911" xr:uid="{00000000-0005-0000-0000-000020210000}"/>
    <cellStyle name="Input 5 7 4" xfId="12318" xr:uid="{00000000-0005-0000-0000-000021210000}"/>
    <cellStyle name="Input 5 7 5" xfId="12338" xr:uid="{00000000-0005-0000-0000-000022210000}"/>
    <cellStyle name="Input 5 7 6" xfId="12354" xr:uid="{00000000-0005-0000-0000-000023210000}"/>
    <cellStyle name="Input 5 8" xfId="16245" xr:uid="{00000000-0005-0000-0000-000024210000}"/>
    <cellStyle name="Input 5 8 2" xfId="16248" xr:uid="{00000000-0005-0000-0000-000025210000}"/>
    <cellStyle name="Input 5 8 2 2" xfId="16253" xr:uid="{00000000-0005-0000-0000-000026210000}"/>
    <cellStyle name="Input 5 8 2 3" xfId="16254" xr:uid="{00000000-0005-0000-0000-000027210000}"/>
    <cellStyle name="Input 5 8 2 4" xfId="16256" xr:uid="{00000000-0005-0000-0000-000028210000}"/>
    <cellStyle name="Input 5 8 3" xfId="12368" xr:uid="{00000000-0005-0000-0000-000029210000}"/>
    <cellStyle name="Input 5 8 4" xfId="12376" xr:uid="{00000000-0005-0000-0000-00002A210000}"/>
    <cellStyle name="Input 5 8 5" xfId="12400" xr:uid="{00000000-0005-0000-0000-00002B210000}"/>
    <cellStyle name="Input 5 9" xfId="16258" xr:uid="{00000000-0005-0000-0000-00002C210000}"/>
    <cellStyle name="Input 5 9 2" xfId="16261" xr:uid="{00000000-0005-0000-0000-00002D210000}"/>
    <cellStyle name="Input 5 9 3" xfId="12413" xr:uid="{00000000-0005-0000-0000-00002E210000}"/>
    <cellStyle name="Input 5 9 4" xfId="12430" xr:uid="{00000000-0005-0000-0000-00002F210000}"/>
    <cellStyle name="Input 6" xfId="13621" xr:uid="{00000000-0005-0000-0000-000030210000}"/>
    <cellStyle name="Input 6 10" xfId="16262" xr:uid="{00000000-0005-0000-0000-000031210000}"/>
    <cellStyle name="Input 6 11" xfId="16263" xr:uid="{00000000-0005-0000-0000-000032210000}"/>
    <cellStyle name="Input 6 12" xfId="16264" xr:uid="{00000000-0005-0000-0000-000033210000}"/>
    <cellStyle name="Input 6 13" xfId="16265" xr:uid="{00000000-0005-0000-0000-000034210000}"/>
    <cellStyle name="Input 6 2" xfId="16270" xr:uid="{00000000-0005-0000-0000-000035210000}"/>
    <cellStyle name="Input 6 2 10" xfId="11573" xr:uid="{00000000-0005-0000-0000-000036210000}"/>
    <cellStyle name="Input 6 2 11" xfId="16274" xr:uid="{00000000-0005-0000-0000-000037210000}"/>
    <cellStyle name="Input 6 2 12" xfId="16279" xr:uid="{00000000-0005-0000-0000-000038210000}"/>
    <cellStyle name="Input 6 2 2" xfId="12067" xr:uid="{00000000-0005-0000-0000-000039210000}"/>
    <cellStyle name="Input 6 2 2 2" xfId="12073" xr:uid="{00000000-0005-0000-0000-00003A210000}"/>
    <cellStyle name="Input 6 2 2 2 2" xfId="12077" xr:uid="{00000000-0005-0000-0000-00003B210000}"/>
    <cellStyle name="Input 6 2 2 2 2 2" xfId="12082" xr:uid="{00000000-0005-0000-0000-00003C210000}"/>
    <cellStyle name="Input 6 2 2 2 2 2 2" xfId="12086" xr:uid="{00000000-0005-0000-0000-00003D210000}"/>
    <cellStyle name="Input 6 2 2 2 2 2 2 2" xfId="10431" xr:uid="{00000000-0005-0000-0000-00003E210000}"/>
    <cellStyle name="Input 6 2 2 2 2 2 2 2 2" xfId="12089" xr:uid="{00000000-0005-0000-0000-00003F210000}"/>
    <cellStyle name="Input 6 2 2 2 2 2 2 2 3" xfId="12092" xr:uid="{00000000-0005-0000-0000-000040210000}"/>
    <cellStyle name="Input 6 2 2 2 2 2 2 2 4" xfId="12096" xr:uid="{00000000-0005-0000-0000-000041210000}"/>
    <cellStyle name="Input 6 2 2 2 2 2 2 3" xfId="12100" xr:uid="{00000000-0005-0000-0000-000042210000}"/>
    <cellStyle name="Input 6 2 2 2 2 2 2 4" xfId="12103" xr:uid="{00000000-0005-0000-0000-000043210000}"/>
    <cellStyle name="Input 6 2 2 2 2 2 2 5" xfId="12110" xr:uid="{00000000-0005-0000-0000-000044210000}"/>
    <cellStyle name="Input 6 2 2 2 2 2 3" xfId="12119" xr:uid="{00000000-0005-0000-0000-000045210000}"/>
    <cellStyle name="Input 6 2 2 2 2 2 3 2" xfId="12122" xr:uid="{00000000-0005-0000-0000-000046210000}"/>
    <cellStyle name="Input 6 2 2 2 2 2 3 3" xfId="12125" xr:uid="{00000000-0005-0000-0000-000047210000}"/>
    <cellStyle name="Input 6 2 2 2 2 2 3 4" xfId="12127" xr:uid="{00000000-0005-0000-0000-000048210000}"/>
    <cellStyle name="Input 6 2 2 2 2 2 4" xfId="12135" xr:uid="{00000000-0005-0000-0000-000049210000}"/>
    <cellStyle name="Input 6 2 2 2 2 2 5" xfId="12139" xr:uid="{00000000-0005-0000-0000-00004A210000}"/>
    <cellStyle name="Input 6 2 2 2 2 2 6" xfId="11217" xr:uid="{00000000-0005-0000-0000-00004B210000}"/>
    <cellStyle name="Input 6 2 2 2 2 3" xfId="12144" xr:uid="{00000000-0005-0000-0000-00004C210000}"/>
    <cellStyle name="Input 6 2 2 2 2 3 2" xfId="11074" xr:uid="{00000000-0005-0000-0000-00004D210000}"/>
    <cellStyle name="Input 6 2 2 2 2 3 2 2" xfId="12149" xr:uid="{00000000-0005-0000-0000-00004E210000}"/>
    <cellStyle name="Input 6 2 2 2 2 3 2 3" xfId="12153" xr:uid="{00000000-0005-0000-0000-00004F210000}"/>
    <cellStyle name="Input 6 2 2 2 2 3 2 4" xfId="12155" xr:uid="{00000000-0005-0000-0000-000050210000}"/>
    <cellStyle name="Input 6 2 2 2 2 3 3" xfId="11085" xr:uid="{00000000-0005-0000-0000-000051210000}"/>
    <cellStyle name="Input 6 2 2 2 2 3 4" xfId="11094" xr:uid="{00000000-0005-0000-0000-000052210000}"/>
    <cellStyle name="Input 6 2 2 2 2 3 5" xfId="12163" xr:uid="{00000000-0005-0000-0000-000053210000}"/>
    <cellStyle name="Input 6 2 2 2 2 4" xfId="6707" xr:uid="{00000000-0005-0000-0000-000054210000}"/>
    <cellStyle name="Input 6 2 2 2 2 4 2" xfId="6713" xr:uid="{00000000-0005-0000-0000-000055210000}"/>
    <cellStyle name="Input 6 2 2 2 2 4 3" xfId="6774" xr:uid="{00000000-0005-0000-0000-000056210000}"/>
    <cellStyle name="Input 6 2 2 2 2 4 4" xfId="6817" xr:uid="{00000000-0005-0000-0000-000057210000}"/>
    <cellStyle name="Input 6 2 2 2 2 5" xfId="5759" xr:uid="{00000000-0005-0000-0000-000058210000}"/>
    <cellStyle name="Input 6 2 2 2 2 6" xfId="5863" xr:uid="{00000000-0005-0000-0000-000059210000}"/>
    <cellStyle name="Input 6 2 2 2 2 7" xfId="5923" xr:uid="{00000000-0005-0000-0000-00005A210000}"/>
    <cellStyle name="Input 6 2 2 2 3" xfId="12169" xr:uid="{00000000-0005-0000-0000-00005B210000}"/>
    <cellStyle name="Input 6 2 2 2 3 2" xfId="12175" xr:uid="{00000000-0005-0000-0000-00005C210000}"/>
    <cellStyle name="Input 6 2 2 2 3 2 2" xfId="12181" xr:uid="{00000000-0005-0000-0000-00005D210000}"/>
    <cellStyle name="Input 6 2 2 2 3 2 2 2" xfId="11879" xr:uid="{00000000-0005-0000-0000-00005E210000}"/>
    <cellStyle name="Input 6 2 2 2 3 2 2 3" xfId="11889" xr:uid="{00000000-0005-0000-0000-00005F210000}"/>
    <cellStyle name="Input 6 2 2 2 3 2 2 4" xfId="12185" xr:uid="{00000000-0005-0000-0000-000060210000}"/>
    <cellStyle name="Input 6 2 2 2 3 2 3" xfId="12196" xr:uid="{00000000-0005-0000-0000-000061210000}"/>
    <cellStyle name="Input 6 2 2 2 3 2 4" xfId="12203" xr:uid="{00000000-0005-0000-0000-000062210000}"/>
    <cellStyle name="Input 6 2 2 2 3 2 5" xfId="12210" xr:uid="{00000000-0005-0000-0000-000063210000}"/>
    <cellStyle name="Input 6 2 2 2 3 3" xfId="7337" xr:uid="{00000000-0005-0000-0000-000064210000}"/>
    <cellStyle name="Input 6 2 2 2 3 3 2" xfId="2059" xr:uid="{00000000-0005-0000-0000-000065210000}"/>
    <cellStyle name="Input 6 2 2 2 3 3 3" xfId="11261" xr:uid="{00000000-0005-0000-0000-000066210000}"/>
    <cellStyle name="Input 6 2 2 2 3 3 4" xfId="12221" xr:uid="{00000000-0005-0000-0000-000067210000}"/>
    <cellStyle name="Input 6 2 2 2 3 4" xfId="6840" xr:uid="{00000000-0005-0000-0000-000068210000}"/>
    <cellStyle name="Input 6 2 2 2 3 5" xfId="5959" xr:uid="{00000000-0005-0000-0000-000069210000}"/>
    <cellStyle name="Input 6 2 2 2 3 6" xfId="6031" xr:uid="{00000000-0005-0000-0000-00006A210000}"/>
    <cellStyle name="Input 6 2 2 2 4" xfId="12227" xr:uid="{00000000-0005-0000-0000-00006B210000}"/>
    <cellStyle name="Input 6 2 2 2 4 2" xfId="12232" xr:uid="{00000000-0005-0000-0000-00006C210000}"/>
    <cellStyle name="Input 6 2 2 2 4 2 2" xfId="12239" xr:uid="{00000000-0005-0000-0000-00006D210000}"/>
    <cellStyle name="Input 6 2 2 2 4 2 3" xfId="12243" xr:uid="{00000000-0005-0000-0000-00006E210000}"/>
    <cellStyle name="Input 6 2 2 2 4 2 4" xfId="12251" xr:uid="{00000000-0005-0000-0000-00006F210000}"/>
    <cellStyle name="Input 6 2 2 2 4 3" xfId="12261" xr:uid="{00000000-0005-0000-0000-000070210000}"/>
    <cellStyle name="Input 6 2 2 2 4 4" xfId="3850" xr:uid="{00000000-0005-0000-0000-000071210000}"/>
    <cellStyle name="Input 6 2 2 2 4 5" xfId="1502" xr:uid="{00000000-0005-0000-0000-000072210000}"/>
    <cellStyle name="Input 6 2 2 2 5" xfId="12268" xr:uid="{00000000-0005-0000-0000-000073210000}"/>
    <cellStyle name="Input 6 2 2 2 5 2" xfId="9407" xr:uid="{00000000-0005-0000-0000-000074210000}"/>
    <cellStyle name="Input 6 2 2 2 5 3" xfId="12276" xr:uid="{00000000-0005-0000-0000-000075210000}"/>
    <cellStyle name="Input 6 2 2 2 5 4" xfId="6532" xr:uid="{00000000-0005-0000-0000-000076210000}"/>
    <cellStyle name="Input 6 2 2 2 6" xfId="12281" xr:uid="{00000000-0005-0000-0000-000077210000}"/>
    <cellStyle name="Input 6 2 2 2 7" xfId="12286" xr:uid="{00000000-0005-0000-0000-000078210000}"/>
    <cellStyle name="Input 6 2 2 2 8" xfId="12288" xr:uid="{00000000-0005-0000-0000-000079210000}"/>
    <cellStyle name="Input 6 2 2 3" xfId="12292" xr:uid="{00000000-0005-0000-0000-00007A210000}"/>
    <cellStyle name="Input 6 2 2 3 2" xfId="12297" xr:uid="{00000000-0005-0000-0000-00007B210000}"/>
    <cellStyle name="Input 6 2 2 3 2 2" xfId="12302" xr:uid="{00000000-0005-0000-0000-00007C210000}"/>
    <cellStyle name="Input 6 2 2 3 2 2 2" xfId="11394" xr:uid="{00000000-0005-0000-0000-00007D210000}"/>
    <cellStyle name="Input 6 2 2 3 2 2 2 2" xfId="7052" xr:uid="{00000000-0005-0000-0000-00007E210000}"/>
    <cellStyle name="Input 6 2 2 3 2 2 2 3" xfId="7059" xr:uid="{00000000-0005-0000-0000-00007F210000}"/>
    <cellStyle name="Input 6 2 2 3 2 2 2 4" xfId="7064" xr:uid="{00000000-0005-0000-0000-000080210000}"/>
    <cellStyle name="Input 6 2 2 3 2 2 3" xfId="11398" xr:uid="{00000000-0005-0000-0000-000081210000}"/>
    <cellStyle name="Input 6 2 2 3 2 2 4" xfId="11402" xr:uid="{00000000-0005-0000-0000-000082210000}"/>
    <cellStyle name="Input 6 2 2 3 2 2 5" xfId="12306" xr:uid="{00000000-0005-0000-0000-000083210000}"/>
    <cellStyle name="Input 6 2 2 3 2 3" xfId="12310" xr:uid="{00000000-0005-0000-0000-000084210000}"/>
    <cellStyle name="Input 6 2 2 3 2 3 2" xfId="11417" xr:uid="{00000000-0005-0000-0000-000085210000}"/>
    <cellStyle name="Input 6 2 2 3 2 3 3" xfId="11425" xr:uid="{00000000-0005-0000-0000-000086210000}"/>
    <cellStyle name="Input 6 2 2 3 2 3 4" xfId="12314" xr:uid="{00000000-0005-0000-0000-000087210000}"/>
    <cellStyle name="Input 6 2 2 3 2 4" xfId="6915" xr:uid="{00000000-0005-0000-0000-000088210000}"/>
    <cellStyle name="Input 6 2 2 3 2 5" xfId="6225" xr:uid="{00000000-0005-0000-0000-000089210000}"/>
    <cellStyle name="Input 6 2 2 3 2 6" xfId="6285" xr:uid="{00000000-0005-0000-0000-00008A210000}"/>
    <cellStyle name="Input 6 2 2 3 3" xfId="12316" xr:uid="{00000000-0005-0000-0000-00008B210000}"/>
    <cellStyle name="Input 6 2 2 3 3 2" xfId="12322" xr:uid="{00000000-0005-0000-0000-00008C210000}"/>
    <cellStyle name="Input 6 2 2 3 3 2 2" xfId="11459" xr:uid="{00000000-0005-0000-0000-00008D210000}"/>
    <cellStyle name="Input 6 2 2 3 3 2 3" xfId="11467" xr:uid="{00000000-0005-0000-0000-00008E210000}"/>
    <cellStyle name="Input 6 2 2 3 3 2 4" xfId="12328" xr:uid="{00000000-0005-0000-0000-00008F210000}"/>
    <cellStyle name="Input 6 2 2 3 3 3" xfId="12333" xr:uid="{00000000-0005-0000-0000-000090210000}"/>
    <cellStyle name="Input 6 2 2 3 3 4" xfId="6940" xr:uid="{00000000-0005-0000-0000-000091210000}"/>
    <cellStyle name="Input 6 2 2 3 3 5" xfId="6337" xr:uid="{00000000-0005-0000-0000-000092210000}"/>
    <cellStyle name="Input 6 2 2 3 4" xfId="12336" xr:uid="{00000000-0005-0000-0000-000093210000}"/>
    <cellStyle name="Input 6 2 2 3 4 2" xfId="12343" xr:uid="{00000000-0005-0000-0000-000094210000}"/>
    <cellStyle name="Input 6 2 2 3 4 3" xfId="12348" xr:uid="{00000000-0005-0000-0000-000095210000}"/>
    <cellStyle name="Input 6 2 2 3 4 4" xfId="4250" xr:uid="{00000000-0005-0000-0000-000096210000}"/>
    <cellStyle name="Input 6 2 2 3 5" xfId="12351" xr:uid="{00000000-0005-0000-0000-000097210000}"/>
    <cellStyle name="Input 6 2 2 3 6" xfId="12356" xr:uid="{00000000-0005-0000-0000-000098210000}"/>
    <cellStyle name="Input 6 2 2 3 7" xfId="12358" xr:uid="{00000000-0005-0000-0000-000099210000}"/>
    <cellStyle name="Input 6 2 2 4" xfId="12362" xr:uid="{00000000-0005-0000-0000-00009A210000}"/>
    <cellStyle name="Input 6 2 2 4 2" xfId="12365" xr:uid="{00000000-0005-0000-0000-00009B210000}"/>
    <cellStyle name="Input 6 2 2 4 2 2" xfId="6305" xr:uid="{00000000-0005-0000-0000-00009C210000}"/>
    <cellStyle name="Input 6 2 2 4 2 2 2" xfId="8069" xr:uid="{00000000-0005-0000-0000-00009D210000}"/>
    <cellStyle name="Input 6 2 2 4 2 2 3" xfId="8100" xr:uid="{00000000-0005-0000-0000-00009E210000}"/>
    <cellStyle name="Input 6 2 2 4 2 2 4" xfId="8115" xr:uid="{00000000-0005-0000-0000-00009F210000}"/>
    <cellStyle name="Input 6 2 2 4 2 3" xfId="7523" xr:uid="{00000000-0005-0000-0000-0000A0210000}"/>
    <cellStyle name="Input 6 2 2 4 2 4" xfId="6960" xr:uid="{00000000-0005-0000-0000-0000A1210000}"/>
    <cellStyle name="Input 6 2 2 4 2 5" xfId="6397" xr:uid="{00000000-0005-0000-0000-0000A2210000}"/>
    <cellStyle name="Input 6 2 2 4 3" xfId="12371" xr:uid="{00000000-0005-0000-0000-0000A3210000}"/>
    <cellStyle name="Input 6 2 2 4 3 2" xfId="12384" xr:uid="{00000000-0005-0000-0000-0000A4210000}"/>
    <cellStyle name="Input 6 2 2 4 3 3" xfId="12392" xr:uid="{00000000-0005-0000-0000-0000A5210000}"/>
    <cellStyle name="Input 6 2 2 4 3 4" xfId="7004" xr:uid="{00000000-0005-0000-0000-0000A6210000}"/>
    <cellStyle name="Input 6 2 2 4 4" xfId="12395" xr:uid="{00000000-0005-0000-0000-0000A7210000}"/>
    <cellStyle name="Input 6 2 2 4 5" xfId="12402" xr:uid="{00000000-0005-0000-0000-0000A8210000}"/>
    <cellStyle name="Input 6 2 2 4 6" xfId="12405" xr:uid="{00000000-0005-0000-0000-0000A9210000}"/>
    <cellStyle name="Input 6 2 2 5" xfId="12407" xr:uid="{00000000-0005-0000-0000-0000AA210000}"/>
    <cellStyle name="Input 6 2 2 5 2" xfId="12412" xr:uid="{00000000-0005-0000-0000-0000AB210000}"/>
    <cellStyle name="Input 6 2 2 5 2 2" xfId="12418" xr:uid="{00000000-0005-0000-0000-0000AC210000}"/>
    <cellStyle name="Input 6 2 2 5 2 3" xfId="12423" xr:uid="{00000000-0005-0000-0000-0000AD210000}"/>
    <cellStyle name="Input 6 2 2 5 2 4" xfId="7025" xr:uid="{00000000-0005-0000-0000-0000AE210000}"/>
    <cellStyle name="Input 6 2 2 5 3" xfId="12427" xr:uid="{00000000-0005-0000-0000-0000AF210000}"/>
    <cellStyle name="Input 6 2 2 5 4" xfId="12432" xr:uid="{00000000-0005-0000-0000-0000B0210000}"/>
    <cellStyle name="Input 6 2 2 5 5" xfId="12434" xr:uid="{00000000-0005-0000-0000-0000B1210000}"/>
    <cellStyle name="Input 6 2 2 6" xfId="8608" xr:uid="{00000000-0005-0000-0000-0000B2210000}"/>
    <cellStyle name="Input 6 2 2 6 2" xfId="8614" xr:uid="{00000000-0005-0000-0000-0000B3210000}"/>
    <cellStyle name="Input 6 2 2 6 3" xfId="8617" xr:uid="{00000000-0005-0000-0000-0000B4210000}"/>
    <cellStyle name="Input 6 2 2 6 4" xfId="8621" xr:uid="{00000000-0005-0000-0000-0000B5210000}"/>
    <cellStyle name="Input 6 2 2 7" xfId="8625" xr:uid="{00000000-0005-0000-0000-0000B6210000}"/>
    <cellStyle name="Input 6 2 2 8" xfId="8631" xr:uid="{00000000-0005-0000-0000-0000B7210000}"/>
    <cellStyle name="Input 6 2 2 9" xfId="8637" xr:uid="{00000000-0005-0000-0000-0000B8210000}"/>
    <cellStyle name="Input 6 2 3" xfId="12439" xr:uid="{00000000-0005-0000-0000-0000B9210000}"/>
    <cellStyle name="Input 6 2 3 2" xfId="12442" xr:uid="{00000000-0005-0000-0000-0000BA210000}"/>
    <cellStyle name="Input 6 2 3 2 2" xfId="12444" xr:uid="{00000000-0005-0000-0000-0000BB210000}"/>
    <cellStyle name="Input 6 2 3 2 2 2" xfId="12451" xr:uid="{00000000-0005-0000-0000-0000BC210000}"/>
    <cellStyle name="Input 6 2 3 2 2 2 2" xfId="12456" xr:uid="{00000000-0005-0000-0000-0000BD210000}"/>
    <cellStyle name="Input 6 2 3 2 2 2 2 2" xfId="12461" xr:uid="{00000000-0005-0000-0000-0000BE210000}"/>
    <cellStyle name="Input 6 2 3 2 2 2 2 2 2" xfId="16281" xr:uid="{00000000-0005-0000-0000-0000BF210000}"/>
    <cellStyle name="Input 6 2 3 2 2 2 2 2 3" xfId="753" xr:uid="{00000000-0005-0000-0000-0000C0210000}"/>
    <cellStyle name="Input 6 2 3 2 2 2 2 2 4" xfId="2543" xr:uid="{00000000-0005-0000-0000-0000C1210000}"/>
    <cellStyle name="Input 6 2 3 2 2 2 2 3" xfId="12466" xr:uid="{00000000-0005-0000-0000-0000C2210000}"/>
    <cellStyle name="Input 6 2 3 2 2 2 2 4" xfId="10944" xr:uid="{00000000-0005-0000-0000-0000C3210000}"/>
    <cellStyle name="Input 6 2 3 2 2 2 2 5" xfId="10950" xr:uid="{00000000-0005-0000-0000-0000C4210000}"/>
    <cellStyle name="Input 6 2 3 2 2 2 3" xfId="12472" xr:uid="{00000000-0005-0000-0000-0000C5210000}"/>
    <cellStyle name="Input 6 2 3 2 2 2 3 2" xfId="16285" xr:uid="{00000000-0005-0000-0000-0000C6210000}"/>
    <cellStyle name="Input 6 2 3 2 2 2 3 3" xfId="16290" xr:uid="{00000000-0005-0000-0000-0000C7210000}"/>
    <cellStyle name="Input 6 2 3 2 2 2 3 4" xfId="16294" xr:uid="{00000000-0005-0000-0000-0000C8210000}"/>
    <cellStyle name="Input 6 2 3 2 2 2 4" xfId="12478" xr:uid="{00000000-0005-0000-0000-0000C9210000}"/>
    <cellStyle name="Input 6 2 3 2 2 2 5" xfId="12482" xr:uid="{00000000-0005-0000-0000-0000CA210000}"/>
    <cellStyle name="Input 6 2 3 2 2 2 6" xfId="5572" xr:uid="{00000000-0005-0000-0000-0000CB210000}"/>
    <cellStyle name="Input 6 2 3 2 2 3" xfId="12487" xr:uid="{00000000-0005-0000-0000-0000CC210000}"/>
    <cellStyle name="Input 6 2 3 2 2 3 2" xfId="4904" xr:uid="{00000000-0005-0000-0000-0000CD210000}"/>
    <cellStyle name="Input 6 2 3 2 2 3 2 2" xfId="16301" xr:uid="{00000000-0005-0000-0000-0000CE210000}"/>
    <cellStyle name="Input 6 2 3 2 2 3 2 3" xfId="924" xr:uid="{00000000-0005-0000-0000-0000CF210000}"/>
    <cellStyle name="Input 6 2 3 2 2 3 2 4" xfId="935" xr:uid="{00000000-0005-0000-0000-0000D0210000}"/>
    <cellStyle name="Input 6 2 3 2 2 3 3" xfId="4924" xr:uid="{00000000-0005-0000-0000-0000D1210000}"/>
    <cellStyle name="Input 6 2 3 2 2 3 4" xfId="4935" xr:uid="{00000000-0005-0000-0000-0000D2210000}"/>
    <cellStyle name="Input 6 2 3 2 2 3 5" xfId="16304" xr:uid="{00000000-0005-0000-0000-0000D3210000}"/>
    <cellStyle name="Input 6 2 3 2 2 4" xfId="7761" xr:uid="{00000000-0005-0000-0000-0000D4210000}"/>
    <cellStyle name="Input 6 2 3 2 2 4 2" xfId="4993" xr:uid="{00000000-0005-0000-0000-0000D5210000}"/>
    <cellStyle name="Input 6 2 3 2 2 4 3" xfId="5002" xr:uid="{00000000-0005-0000-0000-0000D6210000}"/>
    <cellStyle name="Input 6 2 3 2 2 4 4" xfId="5010" xr:uid="{00000000-0005-0000-0000-0000D7210000}"/>
    <cellStyle name="Input 6 2 3 2 2 5" xfId="7877" xr:uid="{00000000-0005-0000-0000-0000D8210000}"/>
    <cellStyle name="Input 6 2 3 2 2 6" xfId="7927" xr:uid="{00000000-0005-0000-0000-0000D9210000}"/>
    <cellStyle name="Input 6 2 3 2 2 7" xfId="7972" xr:uid="{00000000-0005-0000-0000-0000DA210000}"/>
    <cellStyle name="Input 6 2 3 2 3" xfId="12491" xr:uid="{00000000-0005-0000-0000-0000DB210000}"/>
    <cellStyle name="Input 6 2 3 2 3 2" xfId="12497" xr:uid="{00000000-0005-0000-0000-0000DC210000}"/>
    <cellStyle name="Input 6 2 3 2 3 2 2" xfId="8909" xr:uid="{00000000-0005-0000-0000-0000DD210000}"/>
    <cellStyle name="Input 6 2 3 2 3 2 2 2" xfId="12106" xr:uid="{00000000-0005-0000-0000-0000DE210000}"/>
    <cellStyle name="Input 6 2 3 2 3 2 2 3" xfId="12114" xr:uid="{00000000-0005-0000-0000-0000DF210000}"/>
    <cellStyle name="Input 6 2 3 2 3 2 2 4" xfId="13744" xr:uid="{00000000-0005-0000-0000-0000E0210000}"/>
    <cellStyle name="Input 6 2 3 2 3 2 3" xfId="10176" xr:uid="{00000000-0005-0000-0000-0000E1210000}"/>
    <cellStyle name="Input 6 2 3 2 3 2 4" xfId="12505" xr:uid="{00000000-0005-0000-0000-0000E2210000}"/>
    <cellStyle name="Input 6 2 3 2 3 2 5" xfId="16310" xr:uid="{00000000-0005-0000-0000-0000E3210000}"/>
    <cellStyle name="Input 6 2 3 2 3 3" xfId="12511" xr:uid="{00000000-0005-0000-0000-0000E4210000}"/>
    <cellStyle name="Input 6 2 3 2 3 3 2" xfId="16316" xr:uid="{00000000-0005-0000-0000-0000E5210000}"/>
    <cellStyle name="Input 6 2 3 2 3 3 3" xfId="16323" xr:uid="{00000000-0005-0000-0000-0000E6210000}"/>
    <cellStyle name="Input 6 2 3 2 3 3 4" xfId="16329" xr:uid="{00000000-0005-0000-0000-0000E7210000}"/>
    <cellStyle name="Input 6 2 3 2 3 4" xfId="8004" xr:uid="{00000000-0005-0000-0000-0000E8210000}"/>
    <cellStyle name="Input 6 2 3 2 3 5" xfId="5431" xr:uid="{00000000-0005-0000-0000-0000E9210000}"/>
    <cellStyle name="Input 6 2 3 2 3 6" xfId="5459" xr:uid="{00000000-0005-0000-0000-0000EA210000}"/>
    <cellStyle name="Input 6 2 3 2 4" xfId="12516" xr:uid="{00000000-0005-0000-0000-0000EB210000}"/>
    <cellStyle name="Input 6 2 3 2 4 2" xfId="12522" xr:uid="{00000000-0005-0000-0000-0000EC210000}"/>
    <cellStyle name="Input 6 2 3 2 4 2 2" xfId="16335" xr:uid="{00000000-0005-0000-0000-0000ED210000}"/>
    <cellStyle name="Input 6 2 3 2 4 2 3" xfId="12941" xr:uid="{00000000-0005-0000-0000-0000EE210000}"/>
    <cellStyle name="Input 6 2 3 2 4 2 4" xfId="16339" xr:uid="{00000000-0005-0000-0000-0000EF210000}"/>
    <cellStyle name="Input 6 2 3 2 4 3" xfId="12527" xr:uid="{00000000-0005-0000-0000-0000F0210000}"/>
    <cellStyle name="Input 6 2 3 2 4 4" xfId="8047" xr:uid="{00000000-0005-0000-0000-0000F1210000}"/>
    <cellStyle name="Input 6 2 3 2 4 5" xfId="5521" xr:uid="{00000000-0005-0000-0000-0000F2210000}"/>
    <cellStyle name="Input 6 2 3 2 5" xfId="7444" xr:uid="{00000000-0005-0000-0000-0000F3210000}"/>
    <cellStyle name="Input 6 2 3 2 5 2" xfId="15432" xr:uid="{00000000-0005-0000-0000-0000F4210000}"/>
    <cellStyle name="Input 6 2 3 2 5 3" xfId="16343" xr:uid="{00000000-0005-0000-0000-0000F5210000}"/>
    <cellStyle name="Input 6 2 3 2 5 4" xfId="8076" xr:uid="{00000000-0005-0000-0000-0000F6210000}"/>
    <cellStyle name="Input 6 2 3 2 6" xfId="7450" xr:uid="{00000000-0005-0000-0000-0000F7210000}"/>
    <cellStyle name="Input 6 2 3 2 7" xfId="7453" xr:uid="{00000000-0005-0000-0000-0000F8210000}"/>
    <cellStyle name="Input 6 2 3 2 8" xfId="16346" xr:uid="{00000000-0005-0000-0000-0000F9210000}"/>
    <cellStyle name="Input 6 2 3 3" xfId="12531" xr:uid="{00000000-0005-0000-0000-0000FA210000}"/>
    <cellStyle name="Input 6 2 3 3 2" xfId="3689" xr:uid="{00000000-0005-0000-0000-0000FB210000}"/>
    <cellStyle name="Input 6 2 3 3 2 2" xfId="10311" xr:uid="{00000000-0005-0000-0000-0000FC210000}"/>
    <cellStyle name="Input 6 2 3 3 2 2 2" xfId="10317" xr:uid="{00000000-0005-0000-0000-0000FD210000}"/>
    <cellStyle name="Input 6 2 3 3 2 2 2 2" xfId="16351" xr:uid="{00000000-0005-0000-0000-0000FE210000}"/>
    <cellStyle name="Input 6 2 3 3 2 2 2 3" xfId="14401" xr:uid="{00000000-0005-0000-0000-0000FF210000}"/>
    <cellStyle name="Input 6 2 3 3 2 2 2 4" xfId="14404" xr:uid="{00000000-0005-0000-0000-000000220000}"/>
    <cellStyle name="Input 6 2 3 3 2 2 3" xfId="10323" xr:uid="{00000000-0005-0000-0000-000001220000}"/>
    <cellStyle name="Input 6 2 3 3 2 2 4" xfId="10329" xr:uid="{00000000-0005-0000-0000-000002220000}"/>
    <cellStyle name="Input 6 2 3 3 2 2 5" xfId="16354" xr:uid="{00000000-0005-0000-0000-000003220000}"/>
    <cellStyle name="Input 6 2 3 3 2 3" xfId="10336" xr:uid="{00000000-0005-0000-0000-000004220000}"/>
    <cellStyle name="Input 6 2 3 3 2 3 2" xfId="6288" xr:uid="{00000000-0005-0000-0000-000005220000}"/>
    <cellStyle name="Input 6 2 3 3 2 3 3" xfId="6316" xr:uid="{00000000-0005-0000-0000-000006220000}"/>
    <cellStyle name="Input 6 2 3 3 2 3 4" xfId="16357" xr:uid="{00000000-0005-0000-0000-000007220000}"/>
    <cellStyle name="Input 6 2 3 3 2 4" xfId="8133" xr:uid="{00000000-0005-0000-0000-000008220000}"/>
    <cellStyle name="Input 6 2 3 3 2 5" xfId="8155" xr:uid="{00000000-0005-0000-0000-000009220000}"/>
    <cellStyle name="Input 6 2 3 3 2 6" xfId="8168" xr:uid="{00000000-0005-0000-0000-00000A220000}"/>
    <cellStyle name="Input 6 2 3 3 3" xfId="3698" xr:uid="{00000000-0005-0000-0000-00000B220000}"/>
    <cellStyle name="Input 6 2 3 3 3 2" xfId="10344" xr:uid="{00000000-0005-0000-0000-00000C220000}"/>
    <cellStyle name="Input 6 2 3 3 3 2 2" xfId="11672" xr:uid="{00000000-0005-0000-0000-00000D220000}"/>
    <cellStyle name="Input 6 2 3 3 3 2 3" xfId="9902" xr:uid="{00000000-0005-0000-0000-00000E220000}"/>
    <cellStyle name="Input 6 2 3 3 3 2 4" xfId="9907" xr:uid="{00000000-0005-0000-0000-00000F220000}"/>
    <cellStyle name="Input 6 2 3 3 3 3" xfId="10351" xr:uid="{00000000-0005-0000-0000-000010220000}"/>
    <cellStyle name="Input 6 2 3 3 3 4" xfId="8192" xr:uid="{00000000-0005-0000-0000-000011220000}"/>
    <cellStyle name="Input 6 2 3 3 3 5" xfId="5646" xr:uid="{00000000-0005-0000-0000-000012220000}"/>
    <cellStyle name="Input 6 2 3 3 4" xfId="9311" xr:uid="{00000000-0005-0000-0000-000013220000}"/>
    <cellStyle name="Input 6 2 3 3 4 2" xfId="15473" xr:uid="{00000000-0005-0000-0000-000014220000}"/>
    <cellStyle name="Input 6 2 3 3 4 3" xfId="16360" xr:uid="{00000000-0005-0000-0000-000015220000}"/>
    <cellStyle name="Input 6 2 3 3 4 4" xfId="8209" xr:uid="{00000000-0005-0000-0000-000016220000}"/>
    <cellStyle name="Input 6 2 3 3 5" xfId="50" xr:uid="{00000000-0005-0000-0000-000017220000}"/>
    <cellStyle name="Input 6 2 3 3 6" xfId="8897" xr:uid="{00000000-0005-0000-0000-000018220000}"/>
    <cellStyle name="Input 6 2 3 3 7" xfId="16361" xr:uid="{00000000-0005-0000-0000-000019220000}"/>
    <cellStyle name="Input 6 2 3 4" xfId="12534" xr:uid="{00000000-0005-0000-0000-00001A220000}"/>
    <cellStyle name="Input 6 2 3 4 2" xfId="10373" xr:uid="{00000000-0005-0000-0000-00001B220000}"/>
    <cellStyle name="Input 6 2 3 4 2 2" xfId="10379" xr:uid="{00000000-0005-0000-0000-00001C220000}"/>
    <cellStyle name="Input 6 2 3 4 2 2 2" xfId="10222" xr:uid="{00000000-0005-0000-0000-00001D220000}"/>
    <cellStyle name="Input 6 2 3 4 2 2 3" xfId="11708" xr:uid="{00000000-0005-0000-0000-00001E220000}"/>
    <cellStyle name="Input 6 2 3 4 2 2 4" xfId="16365" xr:uid="{00000000-0005-0000-0000-00001F220000}"/>
    <cellStyle name="Input 6 2 3 4 2 3" xfId="10385" xr:uid="{00000000-0005-0000-0000-000020220000}"/>
    <cellStyle name="Input 6 2 3 4 2 4" xfId="8246" xr:uid="{00000000-0005-0000-0000-000021220000}"/>
    <cellStyle name="Input 6 2 3 4 2 5" xfId="8264" xr:uid="{00000000-0005-0000-0000-000022220000}"/>
    <cellStyle name="Input 6 2 3 4 3" xfId="10393" xr:uid="{00000000-0005-0000-0000-000023220000}"/>
    <cellStyle name="Input 6 2 3 4 3 2" xfId="15492" xr:uid="{00000000-0005-0000-0000-000024220000}"/>
    <cellStyle name="Input 6 2 3 4 3 3" xfId="16369" xr:uid="{00000000-0005-0000-0000-000025220000}"/>
    <cellStyle name="Input 6 2 3 4 3 4" xfId="8287" xr:uid="{00000000-0005-0000-0000-000026220000}"/>
    <cellStyle name="Input 6 2 3 4 4" xfId="10400" xr:uid="{00000000-0005-0000-0000-000027220000}"/>
    <cellStyle name="Input 6 2 3 4 5" xfId="10403" xr:uid="{00000000-0005-0000-0000-000028220000}"/>
    <cellStyle name="Input 6 2 3 4 6" xfId="16370" xr:uid="{00000000-0005-0000-0000-000029220000}"/>
    <cellStyle name="Input 6 2 3 5" xfId="12537" xr:uid="{00000000-0005-0000-0000-00002A220000}"/>
    <cellStyle name="Input 6 2 3 5 2" xfId="10413" xr:uid="{00000000-0005-0000-0000-00002B220000}"/>
    <cellStyle name="Input 6 2 3 5 2 2" xfId="15511" xr:uid="{00000000-0005-0000-0000-00002C220000}"/>
    <cellStyle name="Input 6 2 3 5 2 3" xfId="16372" xr:uid="{00000000-0005-0000-0000-00002D220000}"/>
    <cellStyle name="Input 6 2 3 5 2 4" xfId="8309" xr:uid="{00000000-0005-0000-0000-00002E220000}"/>
    <cellStyle name="Input 6 2 3 5 3" xfId="10418" xr:uid="{00000000-0005-0000-0000-00002F220000}"/>
    <cellStyle name="Input 6 2 3 5 4" xfId="10421" xr:uid="{00000000-0005-0000-0000-000030220000}"/>
    <cellStyle name="Input 6 2 3 5 5" xfId="16373" xr:uid="{00000000-0005-0000-0000-000031220000}"/>
    <cellStyle name="Input 6 2 3 6" xfId="8644" xr:uid="{00000000-0005-0000-0000-000032220000}"/>
    <cellStyle name="Input 6 2 3 6 2" xfId="16374" xr:uid="{00000000-0005-0000-0000-000033220000}"/>
    <cellStyle name="Input 6 2 3 6 3" xfId="16375" xr:uid="{00000000-0005-0000-0000-000034220000}"/>
    <cellStyle name="Input 6 2 3 6 4" xfId="16376" xr:uid="{00000000-0005-0000-0000-000035220000}"/>
    <cellStyle name="Input 6 2 3 7" xfId="8649" xr:uid="{00000000-0005-0000-0000-000036220000}"/>
    <cellStyle name="Input 6 2 3 8" xfId="8653" xr:uid="{00000000-0005-0000-0000-000037220000}"/>
    <cellStyle name="Input 6 2 3 9" xfId="10031" xr:uid="{00000000-0005-0000-0000-000038220000}"/>
    <cellStyle name="Input 6 2 4" xfId="12543" xr:uid="{00000000-0005-0000-0000-000039220000}"/>
    <cellStyle name="Input 6 2 4 2" xfId="12546" xr:uid="{00000000-0005-0000-0000-00003A220000}"/>
    <cellStyle name="Input 6 2 4 2 2" xfId="2107" xr:uid="{00000000-0005-0000-0000-00003B220000}"/>
    <cellStyle name="Input 6 2 4 2 2 2" xfId="9653" xr:uid="{00000000-0005-0000-0000-00003C220000}"/>
    <cellStyle name="Input 6 2 4 2 2 2 2" xfId="9659" xr:uid="{00000000-0005-0000-0000-00003D220000}"/>
    <cellStyle name="Input 6 2 4 2 2 2 2 2" xfId="13206" xr:uid="{00000000-0005-0000-0000-00003E220000}"/>
    <cellStyle name="Input 6 2 4 2 2 2 2 3" xfId="13211" xr:uid="{00000000-0005-0000-0000-00003F220000}"/>
    <cellStyle name="Input 6 2 4 2 2 2 2 4" xfId="13212" xr:uid="{00000000-0005-0000-0000-000040220000}"/>
    <cellStyle name="Input 6 2 4 2 2 2 3" xfId="9665" xr:uid="{00000000-0005-0000-0000-000041220000}"/>
    <cellStyle name="Input 6 2 4 2 2 2 4" xfId="9671" xr:uid="{00000000-0005-0000-0000-000042220000}"/>
    <cellStyle name="Input 6 2 4 2 2 2 5" xfId="16378" xr:uid="{00000000-0005-0000-0000-000043220000}"/>
    <cellStyle name="Input 6 2 4 2 2 3" xfId="9678" xr:uid="{00000000-0005-0000-0000-000044220000}"/>
    <cellStyle name="Input 6 2 4 2 2 3 2" xfId="16380" xr:uid="{00000000-0005-0000-0000-000045220000}"/>
    <cellStyle name="Input 6 2 4 2 2 3 3" xfId="16382" xr:uid="{00000000-0005-0000-0000-000046220000}"/>
    <cellStyle name="Input 6 2 4 2 2 3 4" xfId="16384" xr:uid="{00000000-0005-0000-0000-000047220000}"/>
    <cellStyle name="Input 6 2 4 2 2 4" xfId="9192" xr:uid="{00000000-0005-0000-0000-000048220000}"/>
    <cellStyle name="Input 6 2 4 2 2 5" xfId="9256" xr:uid="{00000000-0005-0000-0000-000049220000}"/>
    <cellStyle name="Input 6 2 4 2 2 6" xfId="9302" xr:uid="{00000000-0005-0000-0000-00004A220000}"/>
    <cellStyle name="Input 6 2 4 2 3" xfId="2115" xr:uid="{00000000-0005-0000-0000-00004B220000}"/>
    <cellStyle name="Input 6 2 4 2 3 2" xfId="9687" xr:uid="{00000000-0005-0000-0000-00004C220000}"/>
    <cellStyle name="Input 6 2 4 2 3 2 2" xfId="10939" xr:uid="{00000000-0005-0000-0000-00004D220000}"/>
    <cellStyle name="Input 6 2 4 2 3 2 3" xfId="10966" xr:uid="{00000000-0005-0000-0000-00004E220000}"/>
    <cellStyle name="Input 6 2 4 2 3 2 4" xfId="10973" xr:uid="{00000000-0005-0000-0000-00004F220000}"/>
    <cellStyle name="Input 6 2 4 2 3 3" xfId="2766" xr:uid="{00000000-0005-0000-0000-000050220000}"/>
    <cellStyle name="Input 6 2 4 2 3 4" xfId="2782" xr:uid="{00000000-0005-0000-0000-000051220000}"/>
    <cellStyle name="Input 6 2 4 2 3 5" xfId="2801" xr:uid="{00000000-0005-0000-0000-000052220000}"/>
    <cellStyle name="Input 6 2 4 2 4" xfId="3180" xr:uid="{00000000-0005-0000-0000-000053220000}"/>
    <cellStyle name="Input 6 2 4 2 4 2" xfId="11001" xr:uid="{00000000-0005-0000-0000-000054220000}"/>
    <cellStyle name="Input 6 2 4 2 4 3" xfId="11011" xr:uid="{00000000-0005-0000-0000-000055220000}"/>
    <cellStyle name="Input 6 2 4 2 4 4" xfId="2855" xr:uid="{00000000-0005-0000-0000-000056220000}"/>
    <cellStyle name="Input 6 2 4 2 5" xfId="9690" xr:uid="{00000000-0005-0000-0000-000057220000}"/>
    <cellStyle name="Input 6 2 4 2 6" xfId="9699" xr:uid="{00000000-0005-0000-0000-000058220000}"/>
    <cellStyle name="Input 6 2 4 2 7" xfId="11020" xr:uid="{00000000-0005-0000-0000-000059220000}"/>
    <cellStyle name="Input 6 2 4 3" xfId="12549" xr:uid="{00000000-0005-0000-0000-00005A220000}"/>
    <cellStyle name="Input 6 2 4 3 2" xfId="2243" xr:uid="{00000000-0005-0000-0000-00005B220000}"/>
    <cellStyle name="Input 6 2 4 3 2 2" xfId="399" xr:uid="{00000000-0005-0000-0000-00005C220000}"/>
    <cellStyle name="Input 6 2 4 3 2 2 2" xfId="11760" xr:uid="{00000000-0005-0000-0000-00005D220000}"/>
    <cellStyle name="Input 6 2 4 3 2 2 3" xfId="11763" xr:uid="{00000000-0005-0000-0000-00005E220000}"/>
    <cellStyle name="Input 6 2 4 3 2 2 4" xfId="16386" xr:uid="{00000000-0005-0000-0000-00005F220000}"/>
    <cellStyle name="Input 6 2 4 3 2 3" xfId="426" xr:uid="{00000000-0005-0000-0000-000060220000}"/>
    <cellStyle name="Input 6 2 4 3 2 4" xfId="454" xr:uid="{00000000-0005-0000-0000-000061220000}"/>
    <cellStyle name="Input 6 2 4 3 2 5" xfId="477" xr:uid="{00000000-0005-0000-0000-000062220000}"/>
    <cellStyle name="Input 6 2 4 3 3" xfId="1932" xr:uid="{00000000-0005-0000-0000-000063220000}"/>
    <cellStyle name="Input 6 2 4 3 3 2" xfId="9247" xr:uid="{00000000-0005-0000-0000-000064220000}"/>
    <cellStyle name="Input 6 2 4 3 3 3" xfId="11036" xr:uid="{00000000-0005-0000-0000-000065220000}"/>
    <cellStyle name="Input 6 2 4 3 3 4" xfId="2982" xr:uid="{00000000-0005-0000-0000-000066220000}"/>
    <cellStyle name="Input 6 2 4 3 4" xfId="9713" xr:uid="{00000000-0005-0000-0000-000067220000}"/>
    <cellStyle name="Input 6 2 4 3 5" xfId="9717" xr:uid="{00000000-0005-0000-0000-000068220000}"/>
    <cellStyle name="Input 6 2 4 3 6" xfId="11051" xr:uid="{00000000-0005-0000-0000-000069220000}"/>
    <cellStyle name="Input 6 2 4 4" xfId="12552" xr:uid="{00000000-0005-0000-0000-00006A220000}"/>
    <cellStyle name="Input 6 2 4 4 2" xfId="6346" xr:uid="{00000000-0005-0000-0000-00006B220000}"/>
    <cellStyle name="Input 6 2 4 4 2 2" xfId="9290" xr:uid="{00000000-0005-0000-0000-00006C220000}"/>
    <cellStyle name="Input 6 2 4 4 2 3" xfId="15616" xr:uid="{00000000-0005-0000-0000-00006D220000}"/>
    <cellStyle name="Input 6 2 4 4 2 4" xfId="9529" xr:uid="{00000000-0005-0000-0000-00006E220000}"/>
    <cellStyle name="Input 6 2 4 4 3" xfId="411" xr:uid="{00000000-0005-0000-0000-00006F220000}"/>
    <cellStyle name="Input 6 2 4 4 4" xfId="9734" xr:uid="{00000000-0005-0000-0000-000070220000}"/>
    <cellStyle name="Input 6 2 4 4 5" xfId="279" xr:uid="{00000000-0005-0000-0000-000071220000}"/>
    <cellStyle name="Input 6 2 4 5" xfId="12555" xr:uid="{00000000-0005-0000-0000-000072220000}"/>
    <cellStyle name="Input 6 2 4 5 2" xfId="9742" xr:uid="{00000000-0005-0000-0000-000073220000}"/>
    <cellStyle name="Input 6 2 4 5 3" xfId="9748" xr:uid="{00000000-0005-0000-0000-000074220000}"/>
    <cellStyle name="Input 6 2 4 5 4" xfId="11069" xr:uid="{00000000-0005-0000-0000-000075220000}"/>
    <cellStyle name="Input 6 2 4 6" xfId="12558" xr:uid="{00000000-0005-0000-0000-000076220000}"/>
    <cellStyle name="Input 6 2 4 7" xfId="12560" xr:uid="{00000000-0005-0000-0000-000077220000}"/>
    <cellStyle name="Input 6 2 4 8" xfId="16387" xr:uid="{00000000-0005-0000-0000-000078220000}"/>
    <cellStyle name="Input 6 2 5" xfId="12564" xr:uid="{00000000-0005-0000-0000-000079220000}"/>
    <cellStyle name="Input 6 2 5 2" xfId="12567" xr:uid="{00000000-0005-0000-0000-00007A220000}"/>
    <cellStyle name="Input 6 2 5 2 2" xfId="3221" xr:uid="{00000000-0005-0000-0000-00007B220000}"/>
    <cellStyle name="Input 6 2 5 2 2 2" xfId="9766" xr:uid="{00000000-0005-0000-0000-00007C220000}"/>
    <cellStyle name="Input 6 2 5 2 2 2 2" xfId="16389" xr:uid="{00000000-0005-0000-0000-00007D220000}"/>
    <cellStyle name="Input 6 2 5 2 2 2 3" xfId="16391" xr:uid="{00000000-0005-0000-0000-00007E220000}"/>
    <cellStyle name="Input 6 2 5 2 2 2 4" xfId="16393" xr:uid="{00000000-0005-0000-0000-00007F220000}"/>
    <cellStyle name="Input 6 2 5 2 2 3" xfId="9775" xr:uid="{00000000-0005-0000-0000-000080220000}"/>
    <cellStyle name="Input 6 2 5 2 2 4" xfId="3680" xr:uid="{00000000-0005-0000-0000-000081220000}"/>
    <cellStyle name="Input 6 2 5 2 2 5" xfId="3709" xr:uid="{00000000-0005-0000-0000-000082220000}"/>
    <cellStyle name="Input 6 2 5 2 3" xfId="3229" xr:uid="{00000000-0005-0000-0000-000083220000}"/>
    <cellStyle name="Input 6 2 5 2 3 2" xfId="11104" xr:uid="{00000000-0005-0000-0000-000084220000}"/>
    <cellStyle name="Input 6 2 5 2 3 3" xfId="515" xr:uid="{00000000-0005-0000-0000-000085220000}"/>
    <cellStyle name="Input 6 2 5 2 3 4" xfId="574" xr:uid="{00000000-0005-0000-0000-000086220000}"/>
    <cellStyle name="Input 6 2 5 2 4" xfId="9783" xr:uid="{00000000-0005-0000-0000-000087220000}"/>
    <cellStyle name="Input 6 2 5 2 5" xfId="9788" xr:uid="{00000000-0005-0000-0000-000088220000}"/>
    <cellStyle name="Input 6 2 5 2 6" xfId="11129" xr:uid="{00000000-0005-0000-0000-000089220000}"/>
    <cellStyle name="Input 6 2 5 3" xfId="12571" xr:uid="{00000000-0005-0000-0000-00008A220000}"/>
    <cellStyle name="Input 6 2 5 3 2" xfId="9806" xr:uid="{00000000-0005-0000-0000-00008B220000}"/>
    <cellStyle name="Input 6 2 5 3 2 2" xfId="9371" xr:uid="{00000000-0005-0000-0000-00008C220000}"/>
    <cellStyle name="Input 6 2 5 3 2 3" xfId="15674" xr:uid="{00000000-0005-0000-0000-00008D220000}"/>
    <cellStyle name="Input 6 2 5 3 2 4" xfId="3780" xr:uid="{00000000-0005-0000-0000-00008E220000}"/>
    <cellStyle name="Input 6 2 5 3 3" xfId="9813" xr:uid="{00000000-0005-0000-0000-00008F220000}"/>
    <cellStyle name="Input 6 2 5 3 4" xfId="9822" xr:uid="{00000000-0005-0000-0000-000090220000}"/>
    <cellStyle name="Input 6 2 5 3 5" xfId="11145" xr:uid="{00000000-0005-0000-0000-000091220000}"/>
    <cellStyle name="Input 6 2 5 4" xfId="12575" xr:uid="{00000000-0005-0000-0000-000092220000}"/>
    <cellStyle name="Input 6 2 5 4 2" xfId="9837" xr:uid="{00000000-0005-0000-0000-000093220000}"/>
    <cellStyle name="Input 6 2 5 4 3" xfId="9843" xr:uid="{00000000-0005-0000-0000-000094220000}"/>
    <cellStyle name="Input 6 2 5 4 4" xfId="11156" xr:uid="{00000000-0005-0000-0000-000095220000}"/>
    <cellStyle name="Input 6 2 5 5" xfId="12580" xr:uid="{00000000-0005-0000-0000-000096220000}"/>
    <cellStyle name="Input 6 2 5 6" xfId="12585" xr:uid="{00000000-0005-0000-0000-000097220000}"/>
    <cellStyle name="Input 6 2 5 7" xfId="16394" xr:uid="{00000000-0005-0000-0000-000098220000}"/>
    <cellStyle name="Input 6 2 6" xfId="2562" xr:uid="{00000000-0005-0000-0000-000099220000}"/>
    <cellStyle name="Input 6 2 6 2" xfId="2569" xr:uid="{00000000-0005-0000-0000-00009A220000}"/>
    <cellStyle name="Input 6 2 6 2 2" xfId="9117" xr:uid="{00000000-0005-0000-0000-00009B220000}"/>
    <cellStyle name="Input 6 2 6 2 2 2" xfId="15060" xr:uid="{00000000-0005-0000-0000-00009C220000}"/>
    <cellStyle name="Input 6 2 6 2 2 3" xfId="15704" xr:uid="{00000000-0005-0000-0000-00009D220000}"/>
    <cellStyle name="Input 6 2 6 2 2 4" xfId="11641" xr:uid="{00000000-0005-0000-0000-00009E220000}"/>
    <cellStyle name="Input 6 2 6 2 3" xfId="9124" xr:uid="{00000000-0005-0000-0000-00009F220000}"/>
    <cellStyle name="Input 6 2 6 2 4" xfId="9128" xr:uid="{00000000-0005-0000-0000-0000A0220000}"/>
    <cellStyle name="Input 6 2 6 2 5" xfId="11168" xr:uid="{00000000-0005-0000-0000-0000A1220000}"/>
    <cellStyle name="Input 6 2 6 3" xfId="2581" xr:uid="{00000000-0005-0000-0000-0000A2220000}"/>
    <cellStyle name="Input 6 2 6 3 2" xfId="9856" xr:uid="{00000000-0005-0000-0000-0000A3220000}"/>
    <cellStyle name="Input 6 2 6 3 3" xfId="9860" xr:uid="{00000000-0005-0000-0000-0000A4220000}"/>
    <cellStyle name="Input 6 2 6 3 4" xfId="11175" xr:uid="{00000000-0005-0000-0000-0000A5220000}"/>
    <cellStyle name="Input 6 2 6 4" xfId="2590" xr:uid="{00000000-0005-0000-0000-0000A6220000}"/>
    <cellStyle name="Input 6 2 6 5" xfId="12588" xr:uid="{00000000-0005-0000-0000-0000A7220000}"/>
    <cellStyle name="Input 6 2 6 6" xfId="16395" xr:uid="{00000000-0005-0000-0000-0000A8220000}"/>
    <cellStyle name="Input 6 2 7" xfId="2595" xr:uid="{00000000-0005-0000-0000-0000A9220000}"/>
    <cellStyle name="Input 6 2 7 2" xfId="12593" xr:uid="{00000000-0005-0000-0000-0000AA220000}"/>
    <cellStyle name="Input 6 2 7 2 2" xfId="9871" xr:uid="{00000000-0005-0000-0000-0000AB220000}"/>
    <cellStyle name="Input 6 2 7 2 3" xfId="9875" xr:uid="{00000000-0005-0000-0000-0000AC220000}"/>
    <cellStyle name="Input 6 2 7 2 4" xfId="11187" xr:uid="{00000000-0005-0000-0000-0000AD220000}"/>
    <cellStyle name="Input 6 2 7 3" xfId="12601" xr:uid="{00000000-0005-0000-0000-0000AE220000}"/>
    <cellStyle name="Input 6 2 7 4" xfId="12606" xr:uid="{00000000-0005-0000-0000-0000AF220000}"/>
    <cellStyle name="Input 6 2 7 5" xfId="16396" xr:uid="{00000000-0005-0000-0000-0000B0220000}"/>
    <cellStyle name="Input 6 2 8" xfId="2601" xr:uid="{00000000-0005-0000-0000-0000B1220000}"/>
    <cellStyle name="Input 6 2 8 2" xfId="16400" xr:uid="{00000000-0005-0000-0000-0000B2220000}"/>
    <cellStyle name="Input 6 2 8 3" xfId="16404" xr:uid="{00000000-0005-0000-0000-0000B3220000}"/>
    <cellStyle name="Input 6 2 8 4" xfId="16405" xr:uid="{00000000-0005-0000-0000-0000B4220000}"/>
    <cellStyle name="Input 6 2 9" xfId="16406" xr:uid="{00000000-0005-0000-0000-0000B5220000}"/>
    <cellStyle name="Input 6 3" xfId="16411" xr:uid="{00000000-0005-0000-0000-0000B6220000}"/>
    <cellStyle name="Input 6 3 2" xfId="12740" xr:uid="{00000000-0005-0000-0000-0000B7220000}"/>
    <cellStyle name="Input 6 3 2 2" xfId="3931" xr:uid="{00000000-0005-0000-0000-0000B8220000}"/>
    <cellStyle name="Input 6 3 2 2 2" xfId="8973" xr:uid="{00000000-0005-0000-0000-0000B9220000}"/>
    <cellStyle name="Input 6 3 2 2 2 2" xfId="12744" xr:uid="{00000000-0005-0000-0000-0000BA220000}"/>
    <cellStyle name="Input 6 3 2 2 2 2 2" xfId="12749" xr:uid="{00000000-0005-0000-0000-0000BB220000}"/>
    <cellStyle name="Input 6 3 2 2 2 2 2 2" xfId="16413" xr:uid="{00000000-0005-0000-0000-0000BC220000}"/>
    <cellStyle name="Input 6 3 2 2 2 2 2 3" xfId="16414" xr:uid="{00000000-0005-0000-0000-0000BD220000}"/>
    <cellStyle name="Input 6 3 2 2 2 2 2 4" xfId="16418" xr:uid="{00000000-0005-0000-0000-0000BE220000}"/>
    <cellStyle name="Input 6 3 2 2 2 2 3" xfId="12754" xr:uid="{00000000-0005-0000-0000-0000BF220000}"/>
    <cellStyle name="Input 6 3 2 2 2 2 4" xfId="3329" xr:uid="{00000000-0005-0000-0000-0000C0220000}"/>
    <cellStyle name="Input 6 3 2 2 2 2 5" xfId="3333" xr:uid="{00000000-0005-0000-0000-0000C1220000}"/>
    <cellStyle name="Input 6 3 2 2 2 3" xfId="12756" xr:uid="{00000000-0005-0000-0000-0000C2220000}"/>
    <cellStyle name="Input 6 3 2 2 2 3 2" xfId="16183" xr:uid="{00000000-0005-0000-0000-0000C3220000}"/>
    <cellStyle name="Input 6 3 2 2 2 3 3" xfId="16420" xr:uid="{00000000-0005-0000-0000-0000C4220000}"/>
    <cellStyle name="Input 6 3 2 2 2 3 4" xfId="3343" xr:uid="{00000000-0005-0000-0000-0000C5220000}"/>
    <cellStyle name="Input 6 3 2 2 2 4" xfId="12762" xr:uid="{00000000-0005-0000-0000-0000C6220000}"/>
    <cellStyle name="Input 6 3 2 2 2 5" xfId="12769" xr:uid="{00000000-0005-0000-0000-0000C7220000}"/>
    <cellStyle name="Input 6 3 2 2 2 6" xfId="16421" xr:uid="{00000000-0005-0000-0000-0000C8220000}"/>
    <cellStyle name="Input 6 3 2 2 3" xfId="12776" xr:uid="{00000000-0005-0000-0000-0000C9220000}"/>
    <cellStyle name="Input 6 3 2 2 3 2" xfId="12782" xr:uid="{00000000-0005-0000-0000-0000CA220000}"/>
    <cellStyle name="Input 6 3 2 2 3 2 2" xfId="16195" xr:uid="{00000000-0005-0000-0000-0000CB220000}"/>
    <cellStyle name="Input 6 3 2 2 3 2 3" xfId="16425" xr:uid="{00000000-0005-0000-0000-0000CC220000}"/>
    <cellStyle name="Input 6 3 2 2 3 2 4" xfId="3089" xr:uid="{00000000-0005-0000-0000-0000CD220000}"/>
    <cellStyle name="Input 6 3 2 2 3 3" xfId="12784" xr:uid="{00000000-0005-0000-0000-0000CE220000}"/>
    <cellStyle name="Input 6 3 2 2 3 4" xfId="12791" xr:uid="{00000000-0005-0000-0000-0000CF220000}"/>
    <cellStyle name="Input 6 3 2 2 3 5" xfId="16426" xr:uid="{00000000-0005-0000-0000-0000D0220000}"/>
    <cellStyle name="Input 6 3 2 2 4" xfId="12799" xr:uid="{00000000-0005-0000-0000-0000D1220000}"/>
    <cellStyle name="Input 6 3 2 2 4 2" xfId="9784" xr:uid="{00000000-0005-0000-0000-0000D2220000}"/>
    <cellStyle name="Input 6 3 2 2 4 3" xfId="9789" xr:uid="{00000000-0005-0000-0000-0000D3220000}"/>
    <cellStyle name="Input 6 3 2 2 4 4" xfId="11130" xr:uid="{00000000-0005-0000-0000-0000D4220000}"/>
    <cellStyle name="Input 6 3 2 2 5" xfId="12801" xr:uid="{00000000-0005-0000-0000-0000D5220000}"/>
    <cellStyle name="Input 6 3 2 2 6" xfId="12803" xr:uid="{00000000-0005-0000-0000-0000D6220000}"/>
    <cellStyle name="Input 6 3 2 2 7" xfId="16431" xr:uid="{00000000-0005-0000-0000-0000D7220000}"/>
    <cellStyle name="Input 6 3 2 3" xfId="12809" xr:uid="{00000000-0005-0000-0000-0000D8220000}"/>
    <cellStyle name="Input 6 3 2 3 2" xfId="3759" xr:uid="{00000000-0005-0000-0000-0000D9220000}"/>
    <cellStyle name="Input 6 3 2 3 2 2" xfId="12813" xr:uid="{00000000-0005-0000-0000-0000DA220000}"/>
    <cellStyle name="Input 6 3 2 3 2 2 2" xfId="12132" xr:uid="{00000000-0005-0000-0000-0000DB220000}"/>
    <cellStyle name="Input 6 3 2 3 2 2 3" xfId="12136" xr:uid="{00000000-0005-0000-0000-0000DC220000}"/>
    <cellStyle name="Input 6 3 2 3 2 2 4" xfId="11213" xr:uid="{00000000-0005-0000-0000-0000DD220000}"/>
    <cellStyle name="Input 6 3 2 3 2 3" xfId="1128" xr:uid="{00000000-0005-0000-0000-0000DE220000}"/>
    <cellStyle name="Input 6 3 2 3 2 4" xfId="11768" xr:uid="{00000000-0005-0000-0000-0000DF220000}"/>
    <cellStyle name="Input 6 3 2 3 2 5" xfId="16433" xr:uid="{00000000-0005-0000-0000-0000E0220000}"/>
    <cellStyle name="Input 6 3 2 3 3" xfId="12816" xr:uid="{00000000-0005-0000-0000-0000E1220000}"/>
    <cellStyle name="Input 6 3 2 3 3 2" xfId="16438" xr:uid="{00000000-0005-0000-0000-0000E2220000}"/>
    <cellStyle name="Input 6 3 2 3 3 3" xfId="1129" xr:uid="{00000000-0005-0000-0000-0000E3220000}"/>
    <cellStyle name="Input 6 3 2 3 3 4" xfId="16439" xr:uid="{00000000-0005-0000-0000-0000E4220000}"/>
    <cellStyle name="Input 6 3 2 3 4" xfId="5969" xr:uid="{00000000-0005-0000-0000-0000E5220000}"/>
    <cellStyle name="Input 6 3 2 3 5" xfId="5975" xr:uid="{00000000-0005-0000-0000-0000E6220000}"/>
    <cellStyle name="Input 6 3 2 3 6" xfId="16441" xr:uid="{00000000-0005-0000-0000-0000E7220000}"/>
    <cellStyle name="Input 6 3 2 4" xfId="12825" xr:uid="{00000000-0005-0000-0000-0000E8220000}"/>
    <cellStyle name="Input 6 3 2 4 2" xfId="7884" xr:uid="{00000000-0005-0000-0000-0000E9220000}"/>
    <cellStyle name="Input 6 3 2 4 2 2" xfId="16443" xr:uid="{00000000-0005-0000-0000-0000EA220000}"/>
    <cellStyle name="Input 6 3 2 4 2 3" xfId="16444" xr:uid="{00000000-0005-0000-0000-0000EB220000}"/>
    <cellStyle name="Input 6 3 2 4 2 4" xfId="16445" xr:uid="{00000000-0005-0000-0000-0000EC220000}"/>
    <cellStyle name="Input 6 3 2 4 3" xfId="12829" xr:uid="{00000000-0005-0000-0000-0000ED220000}"/>
    <cellStyle name="Input 6 3 2 4 4" xfId="12832" xr:uid="{00000000-0005-0000-0000-0000EE220000}"/>
    <cellStyle name="Input 6 3 2 4 5" xfId="16446" xr:uid="{00000000-0005-0000-0000-0000EF220000}"/>
    <cellStyle name="Input 6 3 2 5" xfId="12835" xr:uid="{00000000-0005-0000-0000-0000F0220000}"/>
    <cellStyle name="Input 6 3 2 5 2" xfId="16449" xr:uid="{00000000-0005-0000-0000-0000F1220000}"/>
    <cellStyle name="Input 6 3 2 5 3" xfId="16451" xr:uid="{00000000-0005-0000-0000-0000F2220000}"/>
    <cellStyle name="Input 6 3 2 5 4" xfId="16452" xr:uid="{00000000-0005-0000-0000-0000F3220000}"/>
    <cellStyle name="Input 6 3 2 6" xfId="7909" xr:uid="{00000000-0005-0000-0000-0000F4220000}"/>
    <cellStyle name="Input 6 3 2 7" xfId="7920" xr:uid="{00000000-0005-0000-0000-0000F5220000}"/>
    <cellStyle name="Input 6 3 2 8" xfId="8669" xr:uid="{00000000-0005-0000-0000-0000F6220000}"/>
    <cellStyle name="Input 6 3 3" xfId="12841" xr:uid="{00000000-0005-0000-0000-0000F7220000}"/>
    <cellStyle name="Input 6 3 3 2" xfId="12843" xr:uid="{00000000-0005-0000-0000-0000F8220000}"/>
    <cellStyle name="Input 6 3 3 2 2" xfId="10187" xr:uid="{00000000-0005-0000-0000-0000F9220000}"/>
    <cellStyle name="Input 6 3 3 2 2 2" xfId="12845" xr:uid="{00000000-0005-0000-0000-0000FA220000}"/>
    <cellStyle name="Input 6 3 3 2 2 2 2" xfId="16453" xr:uid="{00000000-0005-0000-0000-0000FB220000}"/>
    <cellStyle name="Input 6 3 3 2 2 2 3" xfId="16455" xr:uid="{00000000-0005-0000-0000-0000FC220000}"/>
    <cellStyle name="Input 6 3 3 2 2 2 4" xfId="16457" xr:uid="{00000000-0005-0000-0000-0000FD220000}"/>
    <cellStyle name="Input 6 3 3 2 2 3" xfId="12849" xr:uid="{00000000-0005-0000-0000-0000FE220000}"/>
    <cellStyle name="Input 6 3 3 2 2 4" xfId="12856" xr:uid="{00000000-0005-0000-0000-0000FF220000}"/>
    <cellStyle name="Input 6 3 3 2 2 5" xfId="16459" xr:uid="{00000000-0005-0000-0000-000000230000}"/>
    <cellStyle name="Input 6 3 3 2 3" xfId="12858" xr:uid="{00000000-0005-0000-0000-000001230000}"/>
    <cellStyle name="Input 6 3 3 2 3 2" xfId="15790" xr:uid="{00000000-0005-0000-0000-000002230000}"/>
    <cellStyle name="Input 6 3 3 2 3 3" xfId="15795" xr:uid="{00000000-0005-0000-0000-000003230000}"/>
    <cellStyle name="Input 6 3 3 2 3 4" xfId="16460" xr:uid="{00000000-0005-0000-0000-000004230000}"/>
    <cellStyle name="Input 6 3 3 2 4" xfId="12860" xr:uid="{00000000-0005-0000-0000-000005230000}"/>
    <cellStyle name="Input 6 3 3 2 5" xfId="12862" xr:uid="{00000000-0005-0000-0000-000006230000}"/>
    <cellStyle name="Input 6 3 3 2 6" xfId="16462" xr:uid="{00000000-0005-0000-0000-000007230000}"/>
    <cellStyle name="Input 6 3 3 3" xfId="12865" xr:uid="{00000000-0005-0000-0000-000008230000}"/>
    <cellStyle name="Input 6 3 3 3 2" xfId="7932" xr:uid="{00000000-0005-0000-0000-000009230000}"/>
    <cellStyle name="Input 6 3 3 3 2 2" xfId="15809" xr:uid="{00000000-0005-0000-0000-00000A230000}"/>
    <cellStyle name="Input 6 3 3 3 2 3" xfId="1254" xr:uid="{00000000-0005-0000-0000-00000B230000}"/>
    <cellStyle name="Input 6 3 3 3 2 4" xfId="16463" xr:uid="{00000000-0005-0000-0000-00000C230000}"/>
    <cellStyle name="Input 6 3 3 3 3" xfId="7940" xr:uid="{00000000-0005-0000-0000-00000D230000}"/>
    <cellStyle name="Input 6 3 3 3 4" xfId="7946" xr:uid="{00000000-0005-0000-0000-00000E230000}"/>
    <cellStyle name="Input 6 3 3 3 5" xfId="16464" xr:uid="{00000000-0005-0000-0000-00000F230000}"/>
    <cellStyle name="Input 6 3 3 4" xfId="12868" xr:uid="{00000000-0005-0000-0000-000010230000}"/>
    <cellStyle name="Input 6 3 3 4 2" xfId="10449" xr:uid="{00000000-0005-0000-0000-000011230000}"/>
    <cellStyle name="Input 6 3 3 4 3" xfId="16466" xr:uid="{00000000-0005-0000-0000-000012230000}"/>
    <cellStyle name="Input 6 3 3 4 4" xfId="16467" xr:uid="{00000000-0005-0000-0000-000013230000}"/>
    <cellStyle name="Input 6 3 3 5" xfId="12871" xr:uid="{00000000-0005-0000-0000-000014230000}"/>
    <cellStyle name="Input 6 3 3 6" xfId="12875" xr:uid="{00000000-0005-0000-0000-000015230000}"/>
    <cellStyle name="Input 6 3 3 7" xfId="13020" xr:uid="{00000000-0005-0000-0000-000016230000}"/>
    <cellStyle name="Input 6 3 4" xfId="12882" xr:uid="{00000000-0005-0000-0000-000017230000}"/>
    <cellStyle name="Input 6 3 4 2" xfId="12884" xr:uid="{00000000-0005-0000-0000-000018230000}"/>
    <cellStyle name="Input 6 3 4 2 2" xfId="3294" xr:uid="{00000000-0005-0000-0000-000019230000}"/>
    <cellStyle name="Input 6 3 4 2 2 2" xfId="9919" xr:uid="{00000000-0005-0000-0000-00001A230000}"/>
    <cellStyle name="Input 6 3 4 2 2 3" xfId="9934" xr:uid="{00000000-0005-0000-0000-00001B230000}"/>
    <cellStyle name="Input 6 3 4 2 2 4" xfId="9937" xr:uid="{00000000-0005-0000-0000-00001C230000}"/>
    <cellStyle name="Input 6 3 4 2 3" xfId="3302" xr:uid="{00000000-0005-0000-0000-00001D230000}"/>
    <cellStyle name="Input 6 3 4 2 4" xfId="8463" xr:uid="{00000000-0005-0000-0000-00001E230000}"/>
    <cellStyle name="Input 6 3 4 2 5" xfId="9947" xr:uid="{00000000-0005-0000-0000-00001F230000}"/>
    <cellStyle name="Input 6 3 4 3" xfId="12887" xr:uid="{00000000-0005-0000-0000-000020230000}"/>
    <cellStyle name="Input 6 3 4 3 2" xfId="8504" xr:uid="{00000000-0005-0000-0000-000021230000}"/>
    <cellStyle name="Input 6 3 4 3 3" xfId="8511" xr:uid="{00000000-0005-0000-0000-000022230000}"/>
    <cellStyle name="Input 6 3 4 3 4" xfId="9964" xr:uid="{00000000-0005-0000-0000-000023230000}"/>
    <cellStyle name="Input 6 3 4 4" xfId="12890" xr:uid="{00000000-0005-0000-0000-000024230000}"/>
    <cellStyle name="Input 6 3 4 5" xfId="12893" xr:uid="{00000000-0005-0000-0000-000025230000}"/>
    <cellStyle name="Input 6 3 4 6" xfId="16468" xr:uid="{00000000-0005-0000-0000-000026230000}"/>
    <cellStyle name="Input 6 3 5" xfId="12897" xr:uid="{00000000-0005-0000-0000-000027230000}"/>
    <cellStyle name="Input 6 3 5 2" xfId="12899" xr:uid="{00000000-0005-0000-0000-000028230000}"/>
    <cellStyle name="Input 6 3 5 2 2" xfId="8594" xr:uid="{00000000-0005-0000-0000-000029230000}"/>
    <cellStyle name="Input 6 3 5 2 3" xfId="8600" xr:uid="{00000000-0005-0000-0000-00002A230000}"/>
    <cellStyle name="Input 6 3 5 2 4" xfId="10010" xr:uid="{00000000-0005-0000-0000-00002B230000}"/>
    <cellStyle name="Input 6 3 5 3" xfId="12903" xr:uid="{00000000-0005-0000-0000-00002C230000}"/>
    <cellStyle name="Input 6 3 5 4" xfId="12907" xr:uid="{00000000-0005-0000-0000-00002D230000}"/>
    <cellStyle name="Input 6 3 5 5" xfId="15801" xr:uid="{00000000-0005-0000-0000-00002E230000}"/>
    <cellStyle name="Input 6 3 6" xfId="2621" xr:uid="{00000000-0005-0000-0000-00002F230000}"/>
    <cellStyle name="Input 6 3 6 2" xfId="15820" xr:uid="{00000000-0005-0000-0000-000030230000}"/>
    <cellStyle name="Input 6 3 6 3" xfId="15822" xr:uid="{00000000-0005-0000-0000-000031230000}"/>
    <cellStyle name="Input 6 3 6 4" xfId="15824" xr:uid="{00000000-0005-0000-0000-000032230000}"/>
    <cellStyle name="Input 6 3 7" xfId="1337" xr:uid="{00000000-0005-0000-0000-000033230000}"/>
    <cellStyle name="Input 6 3 8" xfId="1387" xr:uid="{00000000-0005-0000-0000-000034230000}"/>
    <cellStyle name="Input 6 3 9" xfId="16469" xr:uid="{00000000-0005-0000-0000-000035230000}"/>
    <cellStyle name="Input 6 4" xfId="16473" xr:uid="{00000000-0005-0000-0000-000036230000}"/>
    <cellStyle name="Input 6 4 2" xfId="16475" xr:uid="{00000000-0005-0000-0000-000037230000}"/>
    <cellStyle name="Input 6 4 2 2" xfId="16476" xr:uid="{00000000-0005-0000-0000-000038230000}"/>
    <cellStyle name="Input 6 4 2 2 2" xfId="16477" xr:uid="{00000000-0005-0000-0000-000039230000}"/>
    <cellStyle name="Input 6 4 2 2 2 2" xfId="8831" xr:uid="{00000000-0005-0000-0000-00003A230000}"/>
    <cellStyle name="Input 6 4 2 2 2 2 2" xfId="8833" xr:uid="{00000000-0005-0000-0000-00003B230000}"/>
    <cellStyle name="Input 6 4 2 2 2 2 2 2" xfId="8838" xr:uid="{00000000-0005-0000-0000-00003C230000}"/>
    <cellStyle name="Input 6 4 2 2 2 2 2 3" xfId="8846" xr:uid="{00000000-0005-0000-0000-00003D230000}"/>
    <cellStyle name="Input 6 4 2 2 2 2 2 4" xfId="8854" xr:uid="{00000000-0005-0000-0000-00003E230000}"/>
    <cellStyle name="Input 6 4 2 2 2 2 3" xfId="8861" xr:uid="{00000000-0005-0000-0000-00003F230000}"/>
    <cellStyle name="Input 6 4 2 2 2 2 4" xfId="8876" xr:uid="{00000000-0005-0000-0000-000040230000}"/>
    <cellStyle name="Input 6 4 2 2 2 2 5" xfId="8880" xr:uid="{00000000-0005-0000-0000-000041230000}"/>
    <cellStyle name="Input 6 4 2 2 2 3" xfId="8887" xr:uid="{00000000-0005-0000-0000-000042230000}"/>
    <cellStyle name="Input 6 4 2 2 2 3 2" xfId="8891" xr:uid="{00000000-0005-0000-0000-000043230000}"/>
    <cellStyle name="Input 6 4 2 2 2 3 3" xfId="8914" xr:uid="{00000000-0005-0000-0000-000044230000}"/>
    <cellStyle name="Input 6 4 2 2 2 3 4" xfId="8919" xr:uid="{00000000-0005-0000-0000-000045230000}"/>
    <cellStyle name="Input 6 4 2 2 2 4" xfId="8931" xr:uid="{00000000-0005-0000-0000-000046230000}"/>
    <cellStyle name="Input 6 4 2 2 2 5" xfId="8946" xr:uid="{00000000-0005-0000-0000-000047230000}"/>
    <cellStyle name="Input 6 4 2 2 2 6" xfId="8971" xr:uid="{00000000-0005-0000-0000-000048230000}"/>
    <cellStyle name="Input 6 4 2 2 3" xfId="16478" xr:uid="{00000000-0005-0000-0000-000049230000}"/>
    <cellStyle name="Input 6 4 2 2 3 2" xfId="9144" xr:uid="{00000000-0005-0000-0000-00004A230000}"/>
    <cellStyle name="Input 6 4 2 2 3 2 2" xfId="287" xr:uid="{00000000-0005-0000-0000-00004B230000}"/>
    <cellStyle name="Input 6 4 2 2 3 2 3" xfId="105" xr:uid="{00000000-0005-0000-0000-00004C230000}"/>
    <cellStyle name="Input 6 4 2 2 3 2 4" xfId="538" xr:uid="{00000000-0005-0000-0000-00004D230000}"/>
    <cellStyle name="Input 6 4 2 2 3 3" xfId="9160" xr:uid="{00000000-0005-0000-0000-00004E230000}"/>
    <cellStyle name="Input 6 4 2 2 3 4" xfId="9165" xr:uid="{00000000-0005-0000-0000-00004F230000}"/>
    <cellStyle name="Input 6 4 2 2 3 5" xfId="9171" xr:uid="{00000000-0005-0000-0000-000050230000}"/>
    <cellStyle name="Input 6 4 2 2 4" xfId="16479" xr:uid="{00000000-0005-0000-0000-000051230000}"/>
    <cellStyle name="Input 6 4 2 2 4 2" xfId="9381" xr:uid="{00000000-0005-0000-0000-000052230000}"/>
    <cellStyle name="Input 6 4 2 2 4 3" xfId="9413" xr:uid="{00000000-0005-0000-0000-000053230000}"/>
    <cellStyle name="Input 6 4 2 2 4 4" xfId="9423" xr:uid="{00000000-0005-0000-0000-000054230000}"/>
    <cellStyle name="Input 6 4 2 2 5" xfId="16480" xr:uid="{00000000-0005-0000-0000-000055230000}"/>
    <cellStyle name="Input 6 4 2 2 6" xfId="16481" xr:uid="{00000000-0005-0000-0000-000056230000}"/>
    <cellStyle name="Input 6 4 2 2 7" xfId="16482" xr:uid="{00000000-0005-0000-0000-000057230000}"/>
    <cellStyle name="Input 6 4 2 3" xfId="16483" xr:uid="{00000000-0005-0000-0000-000058230000}"/>
    <cellStyle name="Input 6 4 2 3 2" xfId="16484" xr:uid="{00000000-0005-0000-0000-000059230000}"/>
    <cellStyle name="Input 6 4 2 3 2 2" xfId="168" xr:uid="{00000000-0005-0000-0000-00005A230000}"/>
    <cellStyle name="Input 6 4 2 3 2 2 2" xfId="3326" xr:uid="{00000000-0005-0000-0000-00005B230000}"/>
    <cellStyle name="Input 6 4 2 3 2 2 3" xfId="3332" xr:uid="{00000000-0005-0000-0000-00005C230000}"/>
    <cellStyle name="Input 6 4 2 3 2 2 4" xfId="3336" xr:uid="{00000000-0005-0000-0000-00005D230000}"/>
    <cellStyle name="Input 6 4 2 3 2 3" xfId="3340" xr:uid="{00000000-0005-0000-0000-00005E230000}"/>
    <cellStyle name="Input 6 4 2 3 2 4" xfId="3355" xr:uid="{00000000-0005-0000-0000-00005F230000}"/>
    <cellStyle name="Input 6 4 2 3 2 5" xfId="3359" xr:uid="{00000000-0005-0000-0000-000060230000}"/>
    <cellStyle name="Input 6 4 2 3 3" xfId="16485" xr:uid="{00000000-0005-0000-0000-000061230000}"/>
    <cellStyle name="Input 6 4 2 3 3 2" xfId="1417" xr:uid="{00000000-0005-0000-0000-000062230000}"/>
    <cellStyle name="Input 6 4 2 3 3 3" xfId="3609" xr:uid="{00000000-0005-0000-0000-000063230000}"/>
    <cellStyle name="Input 6 4 2 3 3 4" xfId="3613" xr:uid="{00000000-0005-0000-0000-000064230000}"/>
    <cellStyle name="Input 6 4 2 3 4" xfId="16486" xr:uid="{00000000-0005-0000-0000-000065230000}"/>
    <cellStyle name="Input 6 4 2 3 5" xfId="16487" xr:uid="{00000000-0005-0000-0000-000066230000}"/>
    <cellStyle name="Input 6 4 2 3 6" xfId="16488" xr:uid="{00000000-0005-0000-0000-000067230000}"/>
    <cellStyle name="Input 6 4 2 4" xfId="16489" xr:uid="{00000000-0005-0000-0000-000068230000}"/>
    <cellStyle name="Input 6 4 2 4 2" xfId="16491" xr:uid="{00000000-0005-0000-0000-000069230000}"/>
    <cellStyle name="Input 6 4 2 4 2 2" xfId="11212" xr:uid="{00000000-0005-0000-0000-00006A230000}"/>
    <cellStyle name="Input 6 4 2 4 2 3" xfId="11309" xr:uid="{00000000-0005-0000-0000-00006B230000}"/>
    <cellStyle name="Input 6 4 2 4 2 4" xfId="4488" xr:uid="{00000000-0005-0000-0000-00006C230000}"/>
    <cellStyle name="Input 6 4 2 4 3" xfId="16493" xr:uid="{00000000-0005-0000-0000-00006D230000}"/>
    <cellStyle name="Input 6 4 2 4 4" xfId="16494" xr:uid="{00000000-0005-0000-0000-00006E230000}"/>
    <cellStyle name="Input 6 4 2 4 5" xfId="16495" xr:uid="{00000000-0005-0000-0000-00006F230000}"/>
    <cellStyle name="Input 6 4 2 5" xfId="16496" xr:uid="{00000000-0005-0000-0000-000070230000}"/>
    <cellStyle name="Input 6 4 2 5 2" xfId="16497" xr:uid="{00000000-0005-0000-0000-000071230000}"/>
    <cellStyle name="Input 6 4 2 5 3" xfId="16498" xr:uid="{00000000-0005-0000-0000-000072230000}"/>
    <cellStyle name="Input 6 4 2 5 4" xfId="16499" xr:uid="{00000000-0005-0000-0000-000073230000}"/>
    <cellStyle name="Input 6 4 2 6" xfId="16500" xr:uid="{00000000-0005-0000-0000-000074230000}"/>
    <cellStyle name="Input 6 4 2 7" xfId="16502" xr:uid="{00000000-0005-0000-0000-000075230000}"/>
    <cellStyle name="Input 6 4 2 8" xfId="16504" xr:uid="{00000000-0005-0000-0000-000076230000}"/>
    <cellStyle name="Input 6 4 3" xfId="16505" xr:uid="{00000000-0005-0000-0000-000077230000}"/>
    <cellStyle name="Input 6 4 3 2" xfId="16506" xr:uid="{00000000-0005-0000-0000-000078230000}"/>
    <cellStyle name="Input 6 4 3 2 2" xfId="16507" xr:uid="{00000000-0005-0000-0000-000079230000}"/>
    <cellStyle name="Input 6 4 3 2 2 2" xfId="15951" xr:uid="{00000000-0005-0000-0000-00007A230000}"/>
    <cellStyle name="Input 6 4 3 2 2 2 2" xfId="16510" xr:uid="{00000000-0005-0000-0000-00007B230000}"/>
    <cellStyle name="Input 6 4 3 2 2 2 3" xfId="16512" xr:uid="{00000000-0005-0000-0000-00007C230000}"/>
    <cellStyle name="Input 6 4 3 2 2 2 4" xfId="16514" xr:uid="{00000000-0005-0000-0000-00007D230000}"/>
    <cellStyle name="Input 6 4 3 2 2 3" xfId="15954" xr:uid="{00000000-0005-0000-0000-00007E230000}"/>
    <cellStyle name="Input 6 4 3 2 2 4" xfId="15960" xr:uid="{00000000-0005-0000-0000-00007F230000}"/>
    <cellStyle name="Input 6 4 3 2 2 5" xfId="16516" xr:uid="{00000000-0005-0000-0000-000080230000}"/>
    <cellStyle name="Input 6 4 3 2 3" xfId="16517" xr:uid="{00000000-0005-0000-0000-000081230000}"/>
    <cellStyle name="Input 6 4 3 2 3 2" xfId="15968" xr:uid="{00000000-0005-0000-0000-000082230000}"/>
    <cellStyle name="Input 6 4 3 2 3 3" xfId="15972" xr:uid="{00000000-0005-0000-0000-000083230000}"/>
    <cellStyle name="Input 6 4 3 2 3 4" xfId="16518" xr:uid="{00000000-0005-0000-0000-000084230000}"/>
    <cellStyle name="Input 6 4 3 2 4" xfId="16520" xr:uid="{00000000-0005-0000-0000-000085230000}"/>
    <cellStyle name="Input 6 4 3 2 5" xfId="16521" xr:uid="{00000000-0005-0000-0000-000086230000}"/>
    <cellStyle name="Input 6 4 3 2 6" xfId="16508" xr:uid="{00000000-0005-0000-0000-000087230000}"/>
    <cellStyle name="Input 6 4 3 3" xfId="16523" xr:uid="{00000000-0005-0000-0000-000088230000}"/>
    <cellStyle name="Input 6 4 3 3 2" xfId="16524" xr:uid="{00000000-0005-0000-0000-000089230000}"/>
    <cellStyle name="Input 6 4 3 3 2 2" xfId="15993" xr:uid="{00000000-0005-0000-0000-00008A230000}"/>
    <cellStyle name="Input 6 4 3 3 2 3" xfId="15996" xr:uid="{00000000-0005-0000-0000-00008B230000}"/>
    <cellStyle name="Input 6 4 3 3 2 4" xfId="16525" xr:uid="{00000000-0005-0000-0000-00008C230000}"/>
    <cellStyle name="Input 6 4 3 3 3" xfId="16526" xr:uid="{00000000-0005-0000-0000-00008D230000}"/>
    <cellStyle name="Input 6 4 3 3 4" xfId="16527" xr:uid="{00000000-0005-0000-0000-00008E230000}"/>
    <cellStyle name="Input 6 4 3 3 5" xfId="16528" xr:uid="{00000000-0005-0000-0000-00008F230000}"/>
    <cellStyle name="Input 6 4 3 4" xfId="5471" xr:uid="{00000000-0005-0000-0000-000090230000}"/>
    <cellStyle name="Input 6 4 3 4 2" xfId="5889" xr:uid="{00000000-0005-0000-0000-000091230000}"/>
    <cellStyle name="Input 6 4 3 4 3" xfId="7140" xr:uid="{00000000-0005-0000-0000-000092230000}"/>
    <cellStyle name="Input 6 4 3 4 4" xfId="7166" xr:uid="{00000000-0005-0000-0000-000093230000}"/>
    <cellStyle name="Input 6 4 3 5" xfId="5482" xr:uid="{00000000-0005-0000-0000-000094230000}"/>
    <cellStyle name="Input 6 4 3 6" xfId="7217" xr:uid="{00000000-0005-0000-0000-000095230000}"/>
    <cellStyle name="Input 6 4 3 7" xfId="7241" xr:uid="{00000000-0005-0000-0000-000096230000}"/>
    <cellStyle name="Input 6 4 4" xfId="16529" xr:uid="{00000000-0005-0000-0000-000097230000}"/>
    <cellStyle name="Input 6 4 4 2" xfId="16530" xr:uid="{00000000-0005-0000-0000-000098230000}"/>
    <cellStyle name="Input 6 4 4 2 2" xfId="7136" xr:uid="{00000000-0005-0000-0000-000099230000}"/>
    <cellStyle name="Input 6 4 4 2 2 2" xfId="10067" xr:uid="{00000000-0005-0000-0000-00009A230000}"/>
    <cellStyle name="Input 6 4 4 2 2 3" xfId="10072" xr:uid="{00000000-0005-0000-0000-00009B230000}"/>
    <cellStyle name="Input 6 4 4 2 2 4" xfId="10077" xr:uid="{00000000-0005-0000-0000-00009C230000}"/>
    <cellStyle name="Input 6 4 4 2 3" xfId="8747" xr:uid="{00000000-0005-0000-0000-00009D230000}"/>
    <cellStyle name="Input 6 4 4 2 4" xfId="8752" xr:uid="{00000000-0005-0000-0000-00009E230000}"/>
    <cellStyle name="Input 6 4 4 2 5" xfId="4010" xr:uid="{00000000-0005-0000-0000-00009F230000}"/>
    <cellStyle name="Input 6 4 4 3" xfId="16531" xr:uid="{00000000-0005-0000-0000-0000A0230000}"/>
    <cellStyle name="Input 6 4 4 3 2" xfId="2828" xr:uid="{00000000-0005-0000-0000-0000A1230000}"/>
    <cellStyle name="Input 6 4 4 3 3" xfId="2136" xr:uid="{00000000-0005-0000-0000-0000A2230000}"/>
    <cellStyle name="Input 6 4 4 3 4" xfId="1181" xr:uid="{00000000-0005-0000-0000-0000A3230000}"/>
    <cellStyle name="Input 6 4 4 4" xfId="7276" xr:uid="{00000000-0005-0000-0000-0000A4230000}"/>
    <cellStyle name="Input 6 4 4 5" xfId="7356" xr:uid="{00000000-0005-0000-0000-0000A5230000}"/>
    <cellStyle name="Input 6 4 4 6" xfId="7364" xr:uid="{00000000-0005-0000-0000-0000A6230000}"/>
    <cellStyle name="Input 6 4 5" xfId="16532" xr:uid="{00000000-0005-0000-0000-0000A7230000}"/>
    <cellStyle name="Input 6 4 5 2" xfId="15858" xr:uid="{00000000-0005-0000-0000-0000A8230000}"/>
    <cellStyle name="Input 6 4 5 2 2" xfId="8800" xr:uid="{00000000-0005-0000-0000-0000A9230000}"/>
    <cellStyle name="Input 6 4 5 2 3" xfId="8804" xr:uid="{00000000-0005-0000-0000-0000AA230000}"/>
    <cellStyle name="Input 6 4 5 2 4" xfId="10108" xr:uid="{00000000-0005-0000-0000-0000AB230000}"/>
    <cellStyle name="Input 6 4 5 3" xfId="15860" xr:uid="{00000000-0005-0000-0000-0000AC230000}"/>
    <cellStyle name="Input 6 4 5 4" xfId="7368" xr:uid="{00000000-0005-0000-0000-0000AD230000}"/>
    <cellStyle name="Input 6 4 5 5" xfId="7372" xr:uid="{00000000-0005-0000-0000-0000AE230000}"/>
    <cellStyle name="Input 6 4 6" xfId="16534" xr:uid="{00000000-0005-0000-0000-0000AF230000}"/>
    <cellStyle name="Input 6 4 6 2" xfId="15873" xr:uid="{00000000-0005-0000-0000-0000B0230000}"/>
    <cellStyle name="Input 6 4 6 3" xfId="15878" xr:uid="{00000000-0005-0000-0000-0000B1230000}"/>
    <cellStyle name="Input 6 4 6 4" xfId="5821" xr:uid="{00000000-0005-0000-0000-0000B2230000}"/>
    <cellStyle name="Input 6 4 7" xfId="16536" xr:uid="{00000000-0005-0000-0000-0000B3230000}"/>
    <cellStyle name="Input 6 4 8" xfId="16538" xr:uid="{00000000-0005-0000-0000-0000B4230000}"/>
    <cellStyle name="Input 6 4 9" xfId="16540" xr:uid="{00000000-0005-0000-0000-0000B5230000}"/>
    <cellStyle name="Input 6 5" xfId="16541" xr:uid="{00000000-0005-0000-0000-0000B6230000}"/>
    <cellStyle name="Input 6 5 2" xfId="16543" xr:uid="{00000000-0005-0000-0000-0000B7230000}"/>
    <cellStyle name="Input 6 5 2 2" xfId="16544" xr:uid="{00000000-0005-0000-0000-0000B8230000}"/>
    <cellStyle name="Input 6 5 2 2 2" xfId="16545" xr:uid="{00000000-0005-0000-0000-0000B9230000}"/>
    <cellStyle name="Input 6 5 2 2 2 2" xfId="16546" xr:uid="{00000000-0005-0000-0000-0000BA230000}"/>
    <cellStyle name="Input 6 5 2 2 2 2 2" xfId="7504" xr:uid="{00000000-0005-0000-0000-0000BB230000}"/>
    <cellStyle name="Input 6 5 2 2 2 2 3" xfId="7508" xr:uid="{00000000-0005-0000-0000-0000BC230000}"/>
    <cellStyle name="Input 6 5 2 2 2 2 4" xfId="4722" xr:uid="{00000000-0005-0000-0000-0000BD230000}"/>
    <cellStyle name="Input 6 5 2 2 2 3" xfId="16547" xr:uid="{00000000-0005-0000-0000-0000BE230000}"/>
    <cellStyle name="Input 6 5 2 2 2 4" xfId="16551" xr:uid="{00000000-0005-0000-0000-0000BF230000}"/>
    <cellStyle name="Input 6 5 2 2 2 5" xfId="16555" xr:uid="{00000000-0005-0000-0000-0000C0230000}"/>
    <cellStyle name="Input 6 5 2 2 3" xfId="16556" xr:uid="{00000000-0005-0000-0000-0000C1230000}"/>
    <cellStyle name="Input 6 5 2 2 3 2" xfId="16557" xr:uid="{00000000-0005-0000-0000-0000C2230000}"/>
    <cellStyle name="Input 6 5 2 2 3 3" xfId="16558" xr:uid="{00000000-0005-0000-0000-0000C3230000}"/>
    <cellStyle name="Input 6 5 2 2 3 4" xfId="16560" xr:uid="{00000000-0005-0000-0000-0000C4230000}"/>
    <cellStyle name="Input 6 5 2 2 4" xfId="16562" xr:uid="{00000000-0005-0000-0000-0000C5230000}"/>
    <cellStyle name="Input 6 5 2 2 5" xfId="16563" xr:uid="{00000000-0005-0000-0000-0000C6230000}"/>
    <cellStyle name="Input 6 5 2 2 6" xfId="16564" xr:uid="{00000000-0005-0000-0000-0000C7230000}"/>
    <cellStyle name="Input 6 5 2 3" xfId="16565" xr:uid="{00000000-0005-0000-0000-0000C8230000}"/>
    <cellStyle name="Input 6 5 2 3 2" xfId="16566" xr:uid="{00000000-0005-0000-0000-0000C9230000}"/>
    <cellStyle name="Input 6 5 2 3 2 2" xfId="16567" xr:uid="{00000000-0005-0000-0000-0000CA230000}"/>
    <cellStyle name="Input 6 5 2 3 2 3" xfId="16568" xr:uid="{00000000-0005-0000-0000-0000CB230000}"/>
    <cellStyle name="Input 6 5 2 3 2 4" xfId="16569" xr:uid="{00000000-0005-0000-0000-0000CC230000}"/>
    <cellStyle name="Input 6 5 2 3 3" xfId="16571" xr:uid="{00000000-0005-0000-0000-0000CD230000}"/>
    <cellStyle name="Input 6 5 2 3 4" xfId="16573" xr:uid="{00000000-0005-0000-0000-0000CE230000}"/>
    <cellStyle name="Input 6 5 2 3 5" xfId="16575" xr:uid="{00000000-0005-0000-0000-0000CF230000}"/>
    <cellStyle name="Input 6 5 2 4" xfId="16576" xr:uid="{00000000-0005-0000-0000-0000D0230000}"/>
    <cellStyle name="Input 6 5 2 4 2" xfId="10555" xr:uid="{00000000-0005-0000-0000-0000D1230000}"/>
    <cellStyle name="Input 6 5 2 4 3" xfId="10558" xr:uid="{00000000-0005-0000-0000-0000D2230000}"/>
    <cellStyle name="Input 6 5 2 4 4" xfId="10562" xr:uid="{00000000-0005-0000-0000-0000D3230000}"/>
    <cellStyle name="Input 6 5 2 5" xfId="16577" xr:uid="{00000000-0005-0000-0000-0000D4230000}"/>
    <cellStyle name="Input 6 5 2 6" xfId="16578" xr:uid="{00000000-0005-0000-0000-0000D5230000}"/>
    <cellStyle name="Input 6 5 2 7" xfId="16579" xr:uid="{00000000-0005-0000-0000-0000D6230000}"/>
    <cellStyle name="Input 6 5 3" xfId="16580" xr:uid="{00000000-0005-0000-0000-0000D7230000}"/>
    <cellStyle name="Input 6 5 3 2" xfId="16581" xr:uid="{00000000-0005-0000-0000-0000D8230000}"/>
    <cellStyle name="Input 6 5 3 2 2" xfId="16582" xr:uid="{00000000-0005-0000-0000-0000D9230000}"/>
    <cellStyle name="Input 6 5 3 2 2 2" xfId="16113" xr:uid="{00000000-0005-0000-0000-0000DA230000}"/>
    <cellStyle name="Input 6 5 3 2 2 3" xfId="16116" xr:uid="{00000000-0005-0000-0000-0000DB230000}"/>
    <cellStyle name="Input 6 5 3 2 2 4" xfId="16583" xr:uid="{00000000-0005-0000-0000-0000DC230000}"/>
    <cellStyle name="Input 6 5 3 2 3" xfId="16584" xr:uid="{00000000-0005-0000-0000-0000DD230000}"/>
    <cellStyle name="Input 6 5 3 2 4" xfId="16454" xr:uid="{00000000-0005-0000-0000-0000DE230000}"/>
    <cellStyle name="Input 6 5 3 2 5" xfId="16456" xr:uid="{00000000-0005-0000-0000-0000DF230000}"/>
    <cellStyle name="Input 6 5 3 3" xfId="16585" xr:uid="{00000000-0005-0000-0000-0000E0230000}"/>
    <cellStyle name="Input 6 5 3 3 2" xfId="16586" xr:uid="{00000000-0005-0000-0000-0000E1230000}"/>
    <cellStyle name="Input 6 5 3 3 3" xfId="16588" xr:uid="{00000000-0005-0000-0000-0000E2230000}"/>
    <cellStyle name="Input 6 5 3 3 4" xfId="16590" xr:uid="{00000000-0005-0000-0000-0000E3230000}"/>
    <cellStyle name="Input 6 5 3 4" xfId="7618" xr:uid="{00000000-0005-0000-0000-0000E4230000}"/>
    <cellStyle name="Input 6 5 3 5" xfId="7658" xr:uid="{00000000-0005-0000-0000-0000E5230000}"/>
    <cellStyle name="Input 6 5 3 6" xfId="7671" xr:uid="{00000000-0005-0000-0000-0000E6230000}"/>
    <cellStyle name="Input 6 5 4" xfId="16592" xr:uid="{00000000-0005-0000-0000-0000E7230000}"/>
    <cellStyle name="Input 6 5 4 2" xfId="16594" xr:uid="{00000000-0005-0000-0000-0000E8230000}"/>
    <cellStyle name="Input 6 5 4 2 2" xfId="7322" xr:uid="{00000000-0005-0000-0000-0000E9230000}"/>
    <cellStyle name="Input 6 5 4 2 3" xfId="8371" xr:uid="{00000000-0005-0000-0000-0000EA230000}"/>
    <cellStyle name="Input 6 5 4 2 4" xfId="8378" xr:uid="{00000000-0005-0000-0000-0000EB230000}"/>
    <cellStyle name="Input 6 5 4 3" xfId="16597" xr:uid="{00000000-0005-0000-0000-0000EC230000}"/>
    <cellStyle name="Input 6 5 4 4" xfId="7384" xr:uid="{00000000-0005-0000-0000-0000ED230000}"/>
    <cellStyle name="Input 6 5 4 5" xfId="5154" xr:uid="{00000000-0005-0000-0000-0000EE230000}"/>
    <cellStyle name="Input 6 5 5" xfId="16599" xr:uid="{00000000-0005-0000-0000-0000EF230000}"/>
    <cellStyle name="Input 6 5 5 2" xfId="15904" xr:uid="{00000000-0005-0000-0000-0000F0230000}"/>
    <cellStyle name="Input 6 5 5 3" xfId="15909" xr:uid="{00000000-0005-0000-0000-0000F1230000}"/>
    <cellStyle name="Input 6 5 5 4" xfId="7721" xr:uid="{00000000-0005-0000-0000-0000F2230000}"/>
    <cellStyle name="Input 6 5 6" xfId="16602" xr:uid="{00000000-0005-0000-0000-0000F3230000}"/>
    <cellStyle name="Input 6 5 7" xfId="16605" xr:uid="{00000000-0005-0000-0000-0000F4230000}"/>
    <cellStyle name="Input 6 5 8" xfId="16608" xr:uid="{00000000-0005-0000-0000-0000F5230000}"/>
    <cellStyle name="Input 6 6" xfId="16609" xr:uid="{00000000-0005-0000-0000-0000F6230000}"/>
    <cellStyle name="Input 6 6 2" xfId="16612" xr:uid="{00000000-0005-0000-0000-0000F7230000}"/>
    <cellStyle name="Input 6 6 2 2" xfId="16614" xr:uid="{00000000-0005-0000-0000-0000F8230000}"/>
    <cellStyle name="Input 6 6 2 2 2" xfId="16615" xr:uid="{00000000-0005-0000-0000-0000F9230000}"/>
    <cellStyle name="Input 6 6 2 2 2 2" xfId="16616" xr:uid="{00000000-0005-0000-0000-0000FA230000}"/>
    <cellStyle name="Input 6 6 2 2 2 3" xfId="13199" xr:uid="{00000000-0005-0000-0000-0000FB230000}"/>
    <cellStyle name="Input 6 6 2 2 2 4" xfId="13207" xr:uid="{00000000-0005-0000-0000-0000FC230000}"/>
    <cellStyle name="Input 6 6 2 2 3" xfId="16617" xr:uid="{00000000-0005-0000-0000-0000FD230000}"/>
    <cellStyle name="Input 6 6 2 2 4" xfId="16618" xr:uid="{00000000-0005-0000-0000-0000FE230000}"/>
    <cellStyle name="Input 6 6 2 2 5" xfId="16619" xr:uid="{00000000-0005-0000-0000-0000FF230000}"/>
    <cellStyle name="Input 6 6 2 3" xfId="16620" xr:uid="{00000000-0005-0000-0000-000000240000}"/>
    <cellStyle name="Input 6 6 2 3 2" xfId="16621" xr:uid="{00000000-0005-0000-0000-000001240000}"/>
    <cellStyle name="Input 6 6 2 3 3" xfId="16624" xr:uid="{00000000-0005-0000-0000-000002240000}"/>
    <cellStyle name="Input 6 6 2 3 4" xfId="16627" xr:uid="{00000000-0005-0000-0000-000003240000}"/>
    <cellStyle name="Input 6 6 2 4" xfId="10189" xr:uid="{00000000-0005-0000-0000-000004240000}"/>
    <cellStyle name="Input 6 6 2 5" xfId="10191" xr:uid="{00000000-0005-0000-0000-000005240000}"/>
    <cellStyle name="Input 6 6 2 6" xfId="10194" xr:uid="{00000000-0005-0000-0000-000006240000}"/>
    <cellStyle name="Input 6 6 3" xfId="12446" xr:uid="{00000000-0005-0000-0000-000007240000}"/>
    <cellStyle name="Input 6 6 3 2" xfId="12448" xr:uid="{00000000-0005-0000-0000-000008240000}"/>
    <cellStyle name="Input 6 6 3 2 2" xfId="12453" xr:uid="{00000000-0005-0000-0000-000009240000}"/>
    <cellStyle name="Input 6 6 3 2 3" xfId="12468" xr:uid="{00000000-0005-0000-0000-00000A240000}"/>
    <cellStyle name="Input 6 6 3 2 4" xfId="12474" xr:uid="{00000000-0005-0000-0000-00000B240000}"/>
    <cellStyle name="Input 6 6 3 3" xfId="12484" xr:uid="{00000000-0005-0000-0000-00000C240000}"/>
    <cellStyle name="Input 6 6 3 4" xfId="7756" xr:uid="{00000000-0005-0000-0000-00000D240000}"/>
    <cellStyle name="Input 6 6 3 5" xfId="7872" xr:uid="{00000000-0005-0000-0000-00000E240000}"/>
    <cellStyle name="Input 6 6 4" xfId="12489" xr:uid="{00000000-0005-0000-0000-00000F240000}"/>
    <cellStyle name="Input 6 6 4 2" xfId="12494" xr:uid="{00000000-0005-0000-0000-000010240000}"/>
    <cellStyle name="Input 6 6 4 3" xfId="12508" xr:uid="{00000000-0005-0000-0000-000011240000}"/>
    <cellStyle name="Input 6 6 4 4" xfId="8000" xr:uid="{00000000-0005-0000-0000-000012240000}"/>
    <cellStyle name="Input 6 6 5" xfId="12514" xr:uid="{00000000-0005-0000-0000-000013240000}"/>
    <cellStyle name="Input 6 6 6" xfId="7442" xr:uid="{00000000-0005-0000-0000-000014240000}"/>
    <cellStyle name="Input 6 6 7" xfId="7448" xr:uid="{00000000-0005-0000-0000-000015240000}"/>
    <cellStyle name="Input 6 7" xfId="16629" xr:uid="{00000000-0005-0000-0000-000016240000}"/>
    <cellStyle name="Input 6 7 2" xfId="16632" xr:uid="{00000000-0005-0000-0000-000017240000}"/>
    <cellStyle name="Input 6 7 2 2" xfId="16637" xr:uid="{00000000-0005-0000-0000-000018240000}"/>
    <cellStyle name="Input 6 7 2 2 2" xfId="16638" xr:uid="{00000000-0005-0000-0000-000019240000}"/>
    <cellStyle name="Input 6 7 2 2 3" xfId="16639" xr:uid="{00000000-0005-0000-0000-00001A240000}"/>
    <cellStyle name="Input 6 7 2 2 4" xfId="16640" xr:uid="{00000000-0005-0000-0000-00001B240000}"/>
    <cellStyle name="Input 6 7 2 3" xfId="16642" xr:uid="{00000000-0005-0000-0000-00001C240000}"/>
    <cellStyle name="Input 6 7 2 4" xfId="10207" xr:uid="{00000000-0005-0000-0000-00001D240000}"/>
    <cellStyle name="Input 6 7 2 5" xfId="10214" xr:uid="{00000000-0005-0000-0000-00001E240000}"/>
    <cellStyle name="Input 6 7 3" xfId="3686" xr:uid="{00000000-0005-0000-0000-00001F240000}"/>
    <cellStyle name="Input 6 7 3 2" xfId="10307" xr:uid="{00000000-0005-0000-0000-000020240000}"/>
    <cellStyle name="Input 6 7 3 3" xfId="10332" xr:uid="{00000000-0005-0000-0000-000021240000}"/>
    <cellStyle name="Input 6 7 3 4" xfId="8128" xr:uid="{00000000-0005-0000-0000-000022240000}"/>
    <cellStyle name="Input 6 7 4" xfId="3695" xr:uid="{00000000-0005-0000-0000-000023240000}"/>
    <cellStyle name="Input 6 7 5" xfId="9308" xr:uid="{00000000-0005-0000-0000-000024240000}"/>
    <cellStyle name="Input 6 7 6" xfId="47" xr:uid="{00000000-0005-0000-0000-000025240000}"/>
    <cellStyle name="Input 6 8" xfId="16643" xr:uid="{00000000-0005-0000-0000-000026240000}"/>
    <cellStyle name="Input 6 8 2" xfId="16647" xr:uid="{00000000-0005-0000-0000-000027240000}"/>
    <cellStyle name="Input 6 8 2 2" xfId="16648" xr:uid="{00000000-0005-0000-0000-000028240000}"/>
    <cellStyle name="Input 6 8 2 3" xfId="16649" xr:uid="{00000000-0005-0000-0000-000029240000}"/>
    <cellStyle name="Input 6 8 2 4" xfId="16650" xr:uid="{00000000-0005-0000-0000-00002A240000}"/>
    <cellStyle name="Input 6 8 3" xfId="10369" xr:uid="{00000000-0005-0000-0000-00002B240000}"/>
    <cellStyle name="Input 6 8 4" xfId="10390" xr:uid="{00000000-0005-0000-0000-00002C240000}"/>
    <cellStyle name="Input 6 8 5" xfId="10397" xr:uid="{00000000-0005-0000-0000-00002D240000}"/>
    <cellStyle name="Input 6 9" xfId="16651" xr:uid="{00000000-0005-0000-0000-00002E240000}"/>
    <cellStyle name="Input 6 9 2" xfId="16653" xr:uid="{00000000-0005-0000-0000-00002F240000}"/>
    <cellStyle name="Input 6 9 3" xfId="10410" xr:uid="{00000000-0005-0000-0000-000030240000}"/>
    <cellStyle name="Input 6 9 4" xfId="10416" xr:uid="{00000000-0005-0000-0000-000031240000}"/>
    <cellStyle name="Input 7" xfId="13625" xr:uid="{00000000-0005-0000-0000-000032240000}"/>
    <cellStyle name="Input 7 10" xfId="16655" xr:uid="{00000000-0005-0000-0000-000033240000}"/>
    <cellStyle name="Input 7 11" xfId="16658" xr:uid="{00000000-0005-0000-0000-000034240000}"/>
    <cellStyle name="Input 7 12" xfId="16661" xr:uid="{00000000-0005-0000-0000-000035240000}"/>
    <cellStyle name="Input 7 13" xfId="16663" xr:uid="{00000000-0005-0000-0000-000036240000}"/>
    <cellStyle name="Input 7 2" xfId="16665" xr:uid="{00000000-0005-0000-0000-000037240000}"/>
    <cellStyle name="Input 7 2 10" xfId="16668" xr:uid="{00000000-0005-0000-0000-000038240000}"/>
    <cellStyle name="Input 7 2 11" xfId="16671" xr:uid="{00000000-0005-0000-0000-000039240000}"/>
    <cellStyle name="Input 7 2 12" xfId="16673" xr:uid="{00000000-0005-0000-0000-00003A240000}"/>
    <cellStyle name="Input 7 2 2" xfId="16027" xr:uid="{00000000-0005-0000-0000-00003B240000}"/>
    <cellStyle name="Input 7 2 2 2" xfId="1495" xr:uid="{00000000-0005-0000-0000-00003C240000}"/>
    <cellStyle name="Input 7 2 2 2 2" xfId="1509" xr:uid="{00000000-0005-0000-0000-00003D240000}"/>
    <cellStyle name="Input 7 2 2 2 2 2" xfId="4501" xr:uid="{00000000-0005-0000-0000-00003E240000}"/>
    <cellStyle name="Input 7 2 2 2 2 2 2" xfId="4517" xr:uid="{00000000-0005-0000-0000-00003F240000}"/>
    <cellStyle name="Input 7 2 2 2 2 2 2 2" xfId="4526" xr:uid="{00000000-0005-0000-0000-000040240000}"/>
    <cellStyle name="Input 7 2 2 2 2 2 2 2 2" xfId="1708" xr:uid="{00000000-0005-0000-0000-000041240000}"/>
    <cellStyle name="Input 7 2 2 2 2 2 2 2 3" xfId="1746" xr:uid="{00000000-0005-0000-0000-000042240000}"/>
    <cellStyle name="Input 7 2 2 2 2 2 2 2 4" xfId="1773" xr:uid="{00000000-0005-0000-0000-000043240000}"/>
    <cellStyle name="Input 7 2 2 2 2 2 2 3" xfId="4539" xr:uid="{00000000-0005-0000-0000-000044240000}"/>
    <cellStyle name="Input 7 2 2 2 2 2 2 4" xfId="4562" xr:uid="{00000000-0005-0000-0000-000045240000}"/>
    <cellStyle name="Input 7 2 2 2 2 2 2 5" xfId="4571" xr:uid="{00000000-0005-0000-0000-000046240000}"/>
    <cellStyle name="Input 7 2 2 2 2 2 3" xfId="4585" xr:uid="{00000000-0005-0000-0000-000047240000}"/>
    <cellStyle name="Input 7 2 2 2 2 2 3 2" xfId="4594" xr:uid="{00000000-0005-0000-0000-000048240000}"/>
    <cellStyle name="Input 7 2 2 2 2 2 3 3" xfId="4598" xr:uid="{00000000-0005-0000-0000-000049240000}"/>
    <cellStyle name="Input 7 2 2 2 2 2 3 4" xfId="4603" xr:uid="{00000000-0005-0000-0000-00004A240000}"/>
    <cellStyle name="Input 7 2 2 2 2 2 4" xfId="4609" xr:uid="{00000000-0005-0000-0000-00004B240000}"/>
    <cellStyle name="Input 7 2 2 2 2 2 5" xfId="4617" xr:uid="{00000000-0005-0000-0000-00004C240000}"/>
    <cellStyle name="Input 7 2 2 2 2 2 6" xfId="4630" xr:uid="{00000000-0005-0000-0000-00004D240000}"/>
    <cellStyle name="Input 7 2 2 2 2 3" xfId="4652" xr:uid="{00000000-0005-0000-0000-00004E240000}"/>
    <cellStyle name="Input 7 2 2 2 2 3 2" xfId="4657" xr:uid="{00000000-0005-0000-0000-00004F240000}"/>
    <cellStyle name="Input 7 2 2 2 2 3 2 2" xfId="4662" xr:uid="{00000000-0005-0000-0000-000050240000}"/>
    <cellStyle name="Input 7 2 2 2 2 3 2 3" xfId="4664" xr:uid="{00000000-0005-0000-0000-000051240000}"/>
    <cellStyle name="Input 7 2 2 2 2 3 2 4" xfId="4666" xr:uid="{00000000-0005-0000-0000-000052240000}"/>
    <cellStyle name="Input 7 2 2 2 2 3 3" xfId="4677" xr:uid="{00000000-0005-0000-0000-000053240000}"/>
    <cellStyle name="Input 7 2 2 2 2 3 4" xfId="4695" xr:uid="{00000000-0005-0000-0000-000054240000}"/>
    <cellStyle name="Input 7 2 2 2 2 3 5" xfId="4700" xr:uid="{00000000-0005-0000-0000-000055240000}"/>
    <cellStyle name="Input 7 2 2 2 2 4" xfId="4712" xr:uid="{00000000-0005-0000-0000-000056240000}"/>
    <cellStyle name="Input 7 2 2 2 2 4 2" xfId="4720" xr:uid="{00000000-0005-0000-0000-000057240000}"/>
    <cellStyle name="Input 7 2 2 2 2 4 3" xfId="797" xr:uid="{00000000-0005-0000-0000-000058240000}"/>
    <cellStyle name="Input 7 2 2 2 2 4 4" xfId="809" xr:uid="{00000000-0005-0000-0000-000059240000}"/>
    <cellStyle name="Input 7 2 2 2 2 5" xfId="1892" xr:uid="{00000000-0005-0000-0000-00005A240000}"/>
    <cellStyle name="Input 7 2 2 2 2 6" xfId="4739" xr:uid="{00000000-0005-0000-0000-00005B240000}"/>
    <cellStyle name="Input 7 2 2 2 2 7" xfId="4749" xr:uid="{00000000-0005-0000-0000-00005C240000}"/>
    <cellStyle name="Input 7 2 2 2 3" xfId="1529" xr:uid="{00000000-0005-0000-0000-00005D240000}"/>
    <cellStyle name="Input 7 2 2 2 3 2" xfId="3386" xr:uid="{00000000-0005-0000-0000-00005E240000}"/>
    <cellStyle name="Input 7 2 2 2 3 2 2" xfId="3835" xr:uid="{00000000-0005-0000-0000-00005F240000}"/>
    <cellStyle name="Input 7 2 2 2 3 2 2 2" xfId="470" xr:uid="{00000000-0005-0000-0000-000060240000}"/>
    <cellStyle name="Input 7 2 2 2 3 2 2 3" xfId="494" xr:uid="{00000000-0005-0000-0000-000061240000}"/>
    <cellStyle name="Input 7 2 2 2 3 2 2 4" xfId="543" xr:uid="{00000000-0005-0000-0000-000062240000}"/>
    <cellStyle name="Input 7 2 2 2 3 2 3" xfId="1487" xr:uid="{00000000-0005-0000-0000-000063240000}"/>
    <cellStyle name="Input 7 2 2 2 3 2 4" xfId="1579" xr:uid="{00000000-0005-0000-0000-000064240000}"/>
    <cellStyle name="Input 7 2 2 2 3 2 5" xfId="1598" xr:uid="{00000000-0005-0000-0000-000065240000}"/>
    <cellStyle name="Input 7 2 2 2 3 3" xfId="3401" xr:uid="{00000000-0005-0000-0000-000066240000}"/>
    <cellStyle name="Input 7 2 2 2 3 3 2" xfId="4751" xr:uid="{00000000-0005-0000-0000-000067240000}"/>
    <cellStyle name="Input 7 2 2 2 3 3 3" xfId="4760" xr:uid="{00000000-0005-0000-0000-000068240000}"/>
    <cellStyle name="Input 7 2 2 2 3 3 4" xfId="4765" xr:uid="{00000000-0005-0000-0000-000069240000}"/>
    <cellStyle name="Input 7 2 2 2 3 4" xfId="4771" xr:uid="{00000000-0005-0000-0000-00006A240000}"/>
    <cellStyle name="Input 7 2 2 2 3 5" xfId="292" xr:uid="{00000000-0005-0000-0000-00006B240000}"/>
    <cellStyle name="Input 7 2 2 2 3 6" xfId="112" xr:uid="{00000000-0005-0000-0000-00006C240000}"/>
    <cellStyle name="Input 7 2 2 2 4" xfId="1542" xr:uid="{00000000-0005-0000-0000-00006D240000}"/>
    <cellStyle name="Input 7 2 2 2 4 2" xfId="4222" xr:uid="{00000000-0005-0000-0000-00006E240000}"/>
    <cellStyle name="Input 7 2 2 2 4 2 2" xfId="4239" xr:uid="{00000000-0005-0000-0000-00006F240000}"/>
    <cellStyle name="Input 7 2 2 2 4 2 3" xfId="1670" xr:uid="{00000000-0005-0000-0000-000070240000}"/>
    <cellStyle name="Input 7 2 2 2 4 2 4" xfId="1712" xr:uid="{00000000-0005-0000-0000-000071240000}"/>
    <cellStyle name="Input 7 2 2 2 4 3" xfId="4276" xr:uid="{00000000-0005-0000-0000-000072240000}"/>
    <cellStyle name="Input 7 2 2 2 4 4" xfId="4331" xr:uid="{00000000-0005-0000-0000-000073240000}"/>
    <cellStyle name="Input 7 2 2 2 4 5" xfId="4347" xr:uid="{00000000-0005-0000-0000-000074240000}"/>
    <cellStyle name="Input 7 2 2 2 5" xfId="2371" xr:uid="{00000000-0005-0000-0000-000075240000}"/>
    <cellStyle name="Input 7 2 2 2 5 2" xfId="4360" xr:uid="{00000000-0005-0000-0000-000076240000}"/>
    <cellStyle name="Input 7 2 2 2 5 3" xfId="4389" xr:uid="{00000000-0005-0000-0000-000077240000}"/>
    <cellStyle name="Input 7 2 2 2 5 4" xfId="4413" xr:uid="{00000000-0005-0000-0000-000078240000}"/>
    <cellStyle name="Input 7 2 2 2 6" xfId="4448" xr:uid="{00000000-0005-0000-0000-000079240000}"/>
    <cellStyle name="Input 7 2 2 2 7" xfId="4476" xr:uid="{00000000-0005-0000-0000-00007A240000}"/>
    <cellStyle name="Input 7 2 2 2 8" xfId="4482" xr:uid="{00000000-0005-0000-0000-00007B240000}"/>
    <cellStyle name="Input 7 2 2 3" xfId="1567" xr:uid="{00000000-0005-0000-0000-00007C240000}"/>
    <cellStyle name="Input 7 2 2 3 2" xfId="726" xr:uid="{00000000-0005-0000-0000-00007D240000}"/>
    <cellStyle name="Input 7 2 2 3 2 2" xfId="4796" xr:uid="{00000000-0005-0000-0000-00007E240000}"/>
    <cellStyle name="Input 7 2 2 3 2 2 2" xfId="4804" xr:uid="{00000000-0005-0000-0000-00007F240000}"/>
    <cellStyle name="Input 7 2 2 3 2 2 2 2" xfId="4809" xr:uid="{00000000-0005-0000-0000-000080240000}"/>
    <cellStyle name="Input 7 2 2 3 2 2 2 3" xfId="4829" xr:uid="{00000000-0005-0000-0000-000081240000}"/>
    <cellStyle name="Input 7 2 2 3 2 2 2 4" xfId="4832" xr:uid="{00000000-0005-0000-0000-000082240000}"/>
    <cellStyle name="Input 7 2 2 3 2 2 3" xfId="4844" xr:uid="{00000000-0005-0000-0000-000083240000}"/>
    <cellStyle name="Input 7 2 2 3 2 2 4" xfId="4854" xr:uid="{00000000-0005-0000-0000-000084240000}"/>
    <cellStyle name="Input 7 2 2 3 2 2 5" xfId="4862" xr:uid="{00000000-0005-0000-0000-000085240000}"/>
    <cellStyle name="Input 7 2 2 3 2 3" xfId="4871" xr:uid="{00000000-0005-0000-0000-000086240000}"/>
    <cellStyle name="Input 7 2 2 3 2 3 2" xfId="4878" xr:uid="{00000000-0005-0000-0000-000087240000}"/>
    <cellStyle name="Input 7 2 2 3 2 3 3" xfId="4895" xr:uid="{00000000-0005-0000-0000-000088240000}"/>
    <cellStyle name="Input 7 2 2 3 2 3 4" xfId="4900" xr:uid="{00000000-0005-0000-0000-000089240000}"/>
    <cellStyle name="Input 7 2 2 3 2 4" xfId="4907" xr:uid="{00000000-0005-0000-0000-00008A240000}"/>
    <cellStyle name="Input 7 2 2 3 2 5" xfId="4915" xr:uid="{00000000-0005-0000-0000-00008B240000}"/>
    <cellStyle name="Input 7 2 2 3 2 6" xfId="4931" xr:uid="{00000000-0005-0000-0000-00008C240000}"/>
    <cellStyle name="Input 7 2 2 3 3" xfId="763" xr:uid="{00000000-0005-0000-0000-00008D240000}"/>
    <cellStyle name="Input 7 2 2 3 3 2" xfId="4941" xr:uid="{00000000-0005-0000-0000-00008E240000}"/>
    <cellStyle name="Input 7 2 2 3 3 2 2" xfId="4949" xr:uid="{00000000-0005-0000-0000-00008F240000}"/>
    <cellStyle name="Input 7 2 2 3 3 2 3" xfId="4960" xr:uid="{00000000-0005-0000-0000-000090240000}"/>
    <cellStyle name="Input 7 2 2 3 3 2 4" xfId="4964" xr:uid="{00000000-0005-0000-0000-000091240000}"/>
    <cellStyle name="Input 7 2 2 3 3 3" xfId="4970" xr:uid="{00000000-0005-0000-0000-000092240000}"/>
    <cellStyle name="Input 7 2 2 3 3 4" xfId="4986" xr:uid="{00000000-0005-0000-0000-000093240000}"/>
    <cellStyle name="Input 7 2 2 3 3 5" xfId="4997" xr:uid="{00000000-0005-0000-0000-000094240000}"/>
    <cellStyle name="Input 7 2 2 3 4" xfId="2394" xr:uid="{00000000-0005-0000-0000-000095240000}"/>
    <cellStyle name="Input 7 2 2 3 4 2" xfId="3856" xr:uid="{00000000-0005-0000-0000-000096240000}"/>
    <cellStyle name="Input 7 2 2 3 4 3" xfId="3934" xr:uid="{00000000-0005-0000-0000-000097240000}"/>
    <cellStyle name="Input 7 2 2 3 4 4" xfId="3965" xr:uid="{00000000-0005-0000-0000-000098240000}"/>
    <cellStyle name="Input 7 2 2 3 5" xfId="2408" xr:uid="{00000000-0005-0000-0000-000099240000}"/>
    <cellStyle name="Input 7 2 2 3 6" xfId="2430" xr:uid="{00000000-0005-0000-0000-00009A240000}"/>
    <cellStyle name="Input 7 2 2 3 7" xfId="2444" xr:uid="{00000000-0005-0000-0000-00009B240000}"/>
    <cellStyle name="Input 7 2 2 4" xfId="1586" xr:uid="{00000000-0005-0000-0000-00009C240000}"/>
    <cellStyle name="Input 7 2 2 4 2" xfId="1603" xr:uid="{00000000-0005-0000-0000-00009D240000}"/>
    <cellStyle name="Input 7 2 2 4 2 2" xfId="5012" xr:uid="{00000000-0005-0000-0000-00009E240000}"/>
    <cellStyle name="Input 7 2 2 4 2 2 2" xfId="280" xr:uid="{00000000-0005-0000-0000-00009F240000}"/>
    <cellStyle name="Input 7 2 2 4 2 2 3" xfId="96" xr:uid="{00000000-0005-0000-0000-0000A0240000}"/>
    <cellStyle name="Input 7 2 2 4 2 2 4" xfId="527" xr:uid="{00000000-0005-0000-0000-0000A1240000}"/>
    <cellStyle name="Input 7 2 2 4 2 3" xfId="5022" xr:uid="{00000000-0005-0000-0000-0000A2240000}"/>
    <cellStyle name="Input 7 2 2 4 2 4" xfId="5028" xr:uid="{00000000-0005-0000-0000-0000A3240000}"/>
    <cellStyle name="Input 7 2 2 4 2 5" xfId="5032" xr:uid="{00000000-0005-0000-0000-0000A4240000}"/>
    <cellStyle name="Input 7 2 2 4 3" xfId="5037" xr:uid="{00000000-0005-0000-0000-0000A5240000}"/>
    <cellStyle name="Input 7 2 2 4 3 2" xfId="5043" xr:uid="{00000000-0005-0000-0000-0000A6240000}"/>
    <cellStyle name="Input 7 2 2 4 3 3" xfId="5048" xr:uid="{00000000-0005-0000-0000-0000A7240000}"/>
    <cellStyle name="Input 7 2 2 4 3 4" xfId="5053" xr:uid="{00000000-0005-0000-0000-0000A8240000}"/>
    <cellStyle name="Input 7 2 2 4 4" xfId="4081" xr:uid="{00000000-0005-0000-0000-0000A9240000}"/>
    <cellStyle name="Input 7 2 2 4 5" xfId="4144" xr:uid="{00000000-0005-0000-0000-0000AA240000}"/>
    <cellStyle name="Input 7 2 2 4 6" xfId="4162" xr:uid="{00000000-0005-0000-0000-0000AB240000}"/>
    <cellStyle name="Input 7 2 2 5" xfId="1613" xr:uid="{00000000-0005-0000-0000-0000AC240000}"/>
    <cellStyle name="Input 7 2 2 5 2" xfId="1409" xr:uid="{00000000-0005-0000-0000-0000AD240000}"/>
    <cellStyle name="Input 7 2 2 5 2 2" xfId="1420" xr:uid="{00000000-0005-0000-0000-0000AE240000}"/>
    <cellStyle name="Input 7 2 2 5 2 3" xfId="5079" xr:uid="{00000000-0005-0000-0000-0000AF240000}"/>
    <cellStyle name="Input 7 2 2 5 2 4" xfId="5082" xr:uid="{00000000-0005-0000-0000-0000B0240000}"/>
    <cellStyle name="Input 7 2 2 5 3" xfId="1429" xr:uid="{00000000-0005-0000-0000-0000B1240000}"/>
    <cellStyle name="Input 7 2 2 5 4" xfId="1452" xr:uid="{00000000-0005-0000-0000-0000B2240000}"/>
    <cellStyle name="Input 7 2 2 5 5" xfId="693" xr:uid="{00000000-0005-0000-0000-0000B3240000}"/>
    <cellStyle name="Input 7 2 2 6" xfId="1624" xr:uid="{00000000-0005-0000-0000-0000B4240000}"/>
    <cellStyle name="Input 7 2 2 6 2" xfId="1638" xr:uid="{00000000-0005-0000-0000-0000B5240000}"/>
    <cellStyle name="Input 7 2 2 6 3" xfId="5098" xr:uid="{00000000-0005-0000-0000-0000B6240000}"/>
    <cellStyle name="Input 7 2 2 6 4" xfId="4211" xr:uid="{00000000-0005-0000-0000-0000B7240000}"/>
    <cellStyle name="Input 7 2 2 7" xfId="1110" xr:uid="{00000000-0005-0000-0000-0000B8240000}"/>
    <cellStyle name="Input 7 2 2 8" xfId="1649" xr:uid="{00000000-0005-0000-0000-0000B9240000}"/>
    <cellStyle name="Input 7 2 2 9" xfId="8810" xr:uid="{00000000-0005-0000-0000-0000BA240000}"/>
    <cellStyle name="Input 7 2 3" xfId="16029" xr:uid="{00000000-0005-0000-0000-0000BB240000}"/>
    <cellStyle name="Input 7 2 3 2" xfId="6135" xr:uid="{00000000-0005-0000-0000-0000BC240000}"/>
    <cellStyle name="Input 7 2 3 2 2" xfId="3009" xr:uid="{00000000-0005-0000-0000-0000BD240000}"/>
    <cellStyle name="Input 7 2 3 2 2 2" xfId="6704" xr:uid="{00000000-0005-0000-0000-0000BE240000}"/>
    <cellStyle name="Input 7 2 3 2 2 2 2" xfId="6709" xr:uid="{00000000-0005-0000-0000-0000BF240000}"/>
    <cellStyle name="Input 7 2 3 2 2 2 2 2" xfId="6717" xr:uid="{00000000-0005-0000-0000-0000C0240000}"/>
    <cellStyle name="Input 7 2 3 2 2 2 2 2 2" xfId="6722" xr:uid="{00000000-0005-0000-0000-0000C1240000}"/>
    <cellStyle name="Input 7 2 3 2 2 2 2 2 3" xfId="6739" xr:uid="{00000000-0005-0000-0000-0000C2240000}"/>
    <cellStyle name="Input 7 2 3 2 2 2 2 2 4" xfId="6232" xr:uid="{00000000-0005-0000-0000-0000C3240000}"/>
    <cellStyle name="Input 7 2 3 2 2 2 2 3" xfId="6741" xr:uid="{00000000-0005-0000-0000-0000C4240000}"/>
    <cellStyle name="Input 7 2 3 2 2 2 2 4" xfId="6752" xr:uid="{00000000-0005-0000-0000-0000C5240000}"/>
    <cellStyle name="Input 7 2 3 2 2 2 2 5" xfId="6758" xr:uid="{00000000-0005-0000-0000-0000C6240000}"/>
    <cellStyle name="Input 7 2 3 2 2 2 3" xfId="6770" xr:uid="{00000000-0005-0000-0000-0000C7240000}"/>
    <cellStyle name="Input 7 2 3 2 2 2 3 2" xfId="6778" xr:uid="{00000000-0005-0000-0000-0000C8240000}"/>
    <cellStyle name="Input 7 2 3 2 2 2 3 3" xfId="6797" xr:uid="{00000000-0005-0000-0000-0000C9240000}"/>
    <cellStyle name="Input 7 2 3 2 2 2 3 4" xfId="6804" xr:uid="{00000000-0005-0000-0000-0000CA240000}"/>
    <cellStyle name="Input 7 2 3 2 2 2 4" xfId="6814" xr:uid="{00000000-0005-0000-0000-0000CB240000}"/>
    <cellStyle name="Input 7 2 3 2 2 2 5" xfId="6821" xr:uid="{00000000-0005-0000-0000-0000CC240000}"/>
    <cellStyle name="Input 7 2 3 2 2 2 6" xfId="6827" xr:uid="{00000000-0005-0000-0000-0000CD240000}"/>
    <cellStyle name="Input 7 2 3 2 2 3" xfId="5756" xr:uid="{00000000-0005-0000-0000-0000CE240000}"/>
    <cellStyle name="Input 7 2 3 2 2 3 2" xfId="2605" xr:uid="{00000000-0005-0000-0000-0000CF240000}"/>
    <cellStyle name="Input 7 2 3 2 2 3 2 2" xfId="2617" xr:uid="{00000000-0005-0000-0000-0000D0240000}"/>
    <cellStyle name="Input 7 2 3 2 2 3 2 3" xfId="1334" xr:uid="{00000000-0005-0000-0000-0000D1240000}"/>
    <cellStyle name="Input 7 2 3 2 2 3 2 4" xfId="1380" xr:uid="{00000000-0005-0000-0000-0000D2240000}"/>
    <cellStyle name="Input 7 2 3 2 2 3 3" xfId="2630" xr:uid="{00000000-0005-0000-0000-0000D3240000}"/>
    <cellStyle name="Input 7 2 3 2 2 3 4" xfId="2646" xr:uid="{00000000-0005-0000-0000-0000D4240000}"/>
    <cellStyle name="Input 7 2 3 2 2 3 5" xfId="2666" xr:uid="{00000000-0005-0000-0000-0000D5240000}"/>
    <cellStyle name="Input 7 2 3 2 2 4" xfId="5860" xr:uid="{00000000-0005-0000-0000-0000D6240000}"/>
    <cellStyle name="Input 7 2 3 2 2 4 2" xfId="99" xr:uid="{00000000-0005-0000-0000-0000D7240000}"/>
    <cellStyle name="Input 7 2 3 2 2 4 3" xfId="533" xr:uid="{00000000-0005-0000-0000-0000D8240000}"/>
    <cellStyle name="Input 7 2 3 2 2 4 4" xfId="592" xr:uid="{00000000-0005-0000-0000-0000D9240000}"/>
    <cellStyle name="Input 7 2 3 2 2 5" xfId="5920" xr:uid="{00000000-0005-0000-0000-0000DA240000}"/>
    <cellStyle name="Input 7 2 3 2 2 6" xfId="1046" xr:uid="{00000000-0005-0000-0000-0000DB240000}"/>
    <cellStyle name="Input 7 2 3 2 2 7" xfId="1090" xr:uid="{00000000-0005-0000-0000-0000DC240000}"/>
    <cellStyle name="Input 7 2 3 2 3" xfId="3379" xr:uid="{00000000-0005-0000-0000-0000DD240000}"/>
    <cellStyle name="Input 7 2 3 2 3 2" xfId="6837" xr:uid="{00000000-0005-0000-0000-0000DE240000}"/>
    <cellStyle name="Input 7 2 3 2 3 2 2" xfId="6847" xr:uid="{00000000-0005-0000-0000-0000DF240000}"/>
    <cellStyle name="Input 7 2 3 2 3 2 2 2" xfId="4558" xr:uid="{00000000-0005-0000-0000-0000E0240000}"/>
    <cellStyle name="Input 7 2 3 2 3 2 2 3" xfId="4567" xr:uid="{00000000-0005-0000-0000-0000E1240000}"/>
    <cellStyle name="Input 7 2 3 2 3 2 2 4" xfId="4576" xr:uid="{00000000-0005-0000-0000-0000E2240000}"/>
    <cellStyle name="Input 7 2 3 2 3 2 3" xfId="6866" xr:uid="{00000000-0005-0000-0000-0000E3240000}"/>
    <cellStyle name="Input 7 2 3 2 3 2 4" xfId="6874" xr:uid="{00000000-0005-0000-0000-0000E4240000}"/>
    <cellStyle name="Input 7 2 3 2 3 2 5" xfId="6882" xr:uid="{00000000-0005-0000-0000-0000E5240000}"/>
    <cellStyle name="Input 7 2 3 2 3 3" xfId="5956" xr:uid="{00000000-0005-0000-0000-0000E6240000}"/>
    <cellStyle name="Input 7 2 3 2 3 3 2" xfId="2792" xr:uid="{00000000-0005-0000-0000-0000E7240000}"/>
    <cellStyle name="Input 7 2 3 2 3 3 3" xfId="2812" xr:uid="{00000000-0005-0000-0000-0000E8240000}"/>
    <cellStyle name="Input 7 2 3 2 3 3 4" xfId="2216" xr:uid="{00000000-0005-0000-0000-0000E9240000}"/>
    <cellStyle name="Input 7 2 3 2 3 4" xfId="6027" xr:uid="{00000000-0005-0000-0000-0000EA240000}"/>
    <cellStyle name="Input 7 2 3 2 3 5" xfId="6078" xr:uid="{00000000-0005-0000-0000-0000EB240000}"/>
    <cellStyle name="Input 7 2 3 2 3 6" xfId="6117" xr:uid="{00000000-0005-0000-0000-0000EC240000}"/>
    <cellStyle name="Input 7 2 3 2 4" xfId="3394" xr:uid="{00000000-0005-0000-0000-0000ED240000}"/>
    <cellStyle name="Input 7 2 3 2 4 2" xfId="3845" xr:uid="{00000000-0005-0000-0000-0000EE240000}"/>
    <cellStyle name="Input 7 2 3 2 4 2 2" xfId="483" xr:uid="{00000000-0005-0000-0000-0000EF240000}"/>
    <cellStyle name="Input 7 2 3 2 4 2 3" xfId="507" xr:uid="{00000000-0005-0000-0000-0000F0240000}"/>
    <cellStyle name="Input 7 2 3 2 4 2 4" xfId="565" xr:uid="{00000000-0005-0000-0000-0000F1240000}"/>
    <cellStyle name="Input 7 2 3 2 4 3" xfId="1498" xr:uid="{00000000-0005-0000-0000-0000F2240000}"/>
    <cellStyle name="Input 7 2 3 2 4 4" xfId="1571" xr:uid="{00000000-0005-0000-0000-0000F3240000}"/>
    <cellStyle name="Input 7 2 3 2 4 5" xfId="1591" xr:uid="{00000000-0005-0000-0000-0000F4240000}"/>
    <cellStyle name="Input 7 2 3 2 5" xfId="3408" xr:uid="{00000000-0005-0000-0000-0000F5240000}"/>
    <cellStyle name="Input 7 2 3 2 5 2" xfId="6528" xr:uid="{00000000-0005-0000-0000-0000F6240000}"/>
    <cellStyle name="Input 7 2 3 2 5 3" xfId="6139" xr:uid="{00000000-0005-0000-0000-0000F7240000}"/>
    <cellStyle name="Input 7 2 3 2 5 4" xfId="6155" xr:uid="{00000000-0005-0000-0000-0000F8240000}"/>
    <cellStyle name="Input 7 2 3 2 6" xfId="6891" xr:uid="{00000000-0005-0000-0000-0000F9240000}"/>
    <cellStyle name="Input 7 2 3 2 7" xfId="301" xr:uid="{00000000-0005-0000-0000-0000FA240000}"/>
    <cellStyle name="Input 7 2 3 2 8" xfId="6901" xr:uid="{00000000-0005-0000-0000-0000FB240000}"/>
    <cellStyle name="Input 7 2 3 3" xfId="6161" xr:uid="{00000000-0005-0000-0000-0000FC240000}"/>
    <cellStyle name="Input 7 2 3 3 2" xfId="6907" xr:uid="{00000000-0005-0000-0000-0000FD240000}"/>
    <cellStyle name="Input 7 2 3 3 2 2" xfId="6912" xr:uid="{00000000-0005-0000-0000-0000FE240000}"/>
    <cellStyle name="Input 7 2 3 3 2 2 2" xfId="3550" xr:uid="{00000000-0005-0000-0000-0000FF240000}"/>
    <cellStyle name="Input 7 2 3 3 2 2 2 2" xfId="2327" xr:uid="{00000000-0005-0000-0000-000000250000}"/>
    <cellStyle name="Input 7 2 3 3 2 2 2 3" xfId="3556" xr:uid="{00000000-0005-0000-0000-000001250000}"/>
    <cellStyle name="Input 7 2 3 3 2 2 2 4" xfId="3568" xr:uid="{00000000-0005-0000-0000-000002250000}"/>
    <cellStyle name="Input 7 2 3 3 2 2 3" xfId="3581" xr:uid="{00000000-0005-0000-0000-000003250000}"/>
    <cellStyle name="Input 7 2 3 3 2 2 4" xfId="3589" xr:uid="{00000000-0005-0000-0000-000004250000}"/>
    <cellStyle name="Input 7 2 3 3 2 2 5" xfId="3596" xr:uid="{00000000-0005-0000-0000-000005250000}"/>
    <cellStyle name="Input 7 2 3 3 2 3" xfId="6222" xr:uid="{00000000-0005-0000-0000-000006250000}"/>
    <cellStyle name="Input 7 2 3 3 2 3 2" xfId="3066" xr:uid="{00000000-0005-0000-0000-000007250000}"/>
    <cellStyle name="Input 7 2 3 3 2 3 3" xfId="2933" xr:uid="{00000000-0005-0000-0000-000008250000}"/>
    <cellStyle name="Input 7 2 3 3 2 3 4" xfId="2945" xr:uid="{00000000-0005-0000-0000-000009250000}"/>
    <cellStyle name="Input 7 2 3 3 2 4" xfId="6282" xr:uid="{00000000-0005-0000-0000-00000A250000}"/>
    <cellStyle name="Input 7 2 3 3 2 5" xfId="6311" xr:uid="{00000000-0005-0000-0000-00000B250000}"/>
    <cellStyle name="Input 7 2 3 3 2 6" xfId="1199" xr:uid="{00000000-0005-0000-0000-00000C250000}"/>
    <cellStyle name="Input 7 2 3 3 3" xfId="6934" xr:uid="{00000000-0005-0000-0000-00000D250000}"/>
    <cellStyle name="Input 7 2 3 3 3 2" xfId="6937" xr:uid="{00000000-0005-0000-0000-00000E250000}"/>
    <cellStyle name="Input 7 2 3 3 3 2 2" xfId="3704" xr:uid="{00000000-0005-0000-0000-00000F250000}"/>
    <cellStyle name="Input 7 2 3 3 3 2 3" xfId="3714" xr:uid="{00000000-0005-0000-0000-000010250000}"/>
    <cellStyle name="Input 7 2 3 3 3 2 4" xfId="265" xr:uid="{00000000-0005-0000-0000-000011250000}"/>
    <cellStyle name="Input 7 2 3 3 3 3" xfId="6334" xr:uid="{00000000-0005-0000-0000-000012250000}"/>
    <cellStyle name="Input 7 2 3 3 3 4" xfId="6365" xr:uid="{00000000-0005-0000-0000-000013250000}"/>
    <cellStyle name="Input 7 2 3 3 3 5" xfId="314" xr:uid="{00000000-0005-0000-0000-000014250000}"/>
    <cellStyle name="Input 7 2 3 3 4" xfId="4230" xr:uid="{00000000-0005-0000-0000-000015250000}"/>
    <cellStyle name="Input 7 2 3 3 4 2" xfId="4247" xr:uid="{00000000-0005-0000-0000-000016250000}"/>
    <cellStyle name="Input 7 2 3 3 4 3" xfId="1674" xr:uid="{00000000-0005-0000-0000-000017250000}"/>
    <cellStyle name="Input 7 2 3 3 4 4" xfId="1717" xr:uid="{00000000-0005-0000-0000-000018250000}"/>
    <cellStyle name="Input 7 2 3 3 5" xfId="4284" xr:uid="{00000000-0005-0000-0000-000019250000}"/>
    <cellStyle name="Input 7 2 3 3 6" xfId="4338" xr:uid="{00000000-0005-0000-0000-00001A250000}"/>
    <cellStyle name="Input 7 2 3 3 7" xfId="4351" xr:uid="{00000000-0005-0000-0000-00001B250000}"/>
    <cellStyle name="Input 7 2 3 4" xfId="6174" xr:uid="{00000000-0005-0000-0000-00001C250000}"/>
    <cellStyle name="Input 7 2 3 4 2" xfId="6954" xr:uid="{00000000-0005-0000-0000-00001D250000}"/>
    <cellStyle name="Input 7 2 3 4 2 2" xfId="6956" xr:uid="{00000000-0005-0000-0000-00001E250000}"/>
    <cellStyle name="Input 7 2 3 4 2 2 2" xfId="4047" xr:uid="{00000000-0005-0000-0000-00001F250000}"/>
    <cellStyle name="Input 7 2 3 4 2 2 3" xfId="4066" xr:uid="{00000000-0005-0000-0000-000020250000}"/>
    <cellStyle name="Input 7 2 3 4 2 2 4" xfId="6985" xr:uid="{00000000-0005-0000-0000-000021250000}"/>
    <cellStyle name="Input 7 2 3 4 2 3" xfId="6394" xr:uid="{00000000-0005-0000-0000-000022250000}"/>
    <cellStyle name="Input 7 2 3 4 2 4" xfId="6413" xr:uid="{00000000-0005-0000-0000-000023250000}"/>
    <cellStyle name="Input 7 2 3 4 2 5" xfId="6424" xr:uid="{00000000-0005-0000-0000-000024250000}"/>
    <cellStyle name="Input 7 2 3 4 3" xfId="6996" xr:uid="{00000000-0005-0000-0000-000025250000}"/>
    <cellStyle name="Input 7 2 3 4 3 2" xfId="7000" xr:uid="{00000000-0005-0000-0000-000026250000}"/>
    <cellStyle name="Input 7 2 3 4 3 3" xfId="6440" xr:uid="{00000000-0005-0000-0000-000027250000}"/>
    <cellStyle name="Input 7 2 3 4 3 4" xfId="6457" xr:uid="{00000000-0005-0000-0000-000028250000}"/>
    <cellStyle name="Input 7 2 3 4 4" xfId="4375" xr:uid="{00000000-0005-0000-0000-000029250000}"/>
    <cellStyle name="Input 7 2 3 4 5" xfId="4407" xr:uid="{00000000-0005-0000-0000-00002A250000}"/>
    <cellStyle name="Input 7 2 3 4 6" xfId="4427" xr:uid="{00000000-0005-0000-0000-00002B250000}"/>
    <cellStyle name="Input 7 2 3 5" xfId="6181" xr:uid="{00000000-0005-0000-0000-00002C250000}"/>
    <cellStyle name="Input 7 2 3 5 2" xfId="7019" xr:uid="{00000000-0005-0000-0000-00002D250000}"/>
    <cellStyle name="Input 7 2 3 5 2 2" xfId="7022" xr:uid="{00000000-0005-0000-0000-00002E250000}"/>
    <cellStyle name="Input 7 2 3 5 2 3" xfId="6482" xr:uid="{00000000-0005-0000-0000-00002F250000}"/>
    <cellStyle name="Input 7 2 3 5 2 4" xfId="6495" xr:uid="{00000000-0005-0000-0000-000030250000}"/>
    <cellStyle name="Input 7 2 3 5 3" xfId="7032" xr:uid="{00000000-0005-0000-0000-000031250000}"/>
    <cellStyle name="Input 7 2 3 5 4" xfId="66" xr:uid="{00000000-0005-0000-0000-000032250000}"/>
    <cellStyle name="Input 7 2 3 5 5" xfId="4463" xr:uid="{00000000-0005-0000-0000-000033250000}"/>
    <cellStyle name="Input 7 2 3 6" xfId="7040" xr:uid="{00000000-0005-0000-0000-000034250000}"/>
    <cellStyle name="Input 7 2 3 6 2" xfId="7045" xr:uid="{00000000-0005-0000-0000-000035250000}"/>
    <cellStyle name="Input 7 2 3 6 3" xfId="7054" xr:uid="{00000000-0005-0000-0000-000036250000}"/>
    <cellStyle name="Input 7 2 3 6 4" xfId="7061" xr:uid="{00000000-0005-0000-0000-000037250000}"/>
    <cellStyle name="Input 7 2 3 7" xfId="1120" xr:uid="{00000000-0005-0000-0000-000038250000}"/>
    <cellStyle name="Input 7 2 3 8" xfId="8812" xr:uid="{00000000-0005-0000-0000-000039250000}"/>
    <cellStyle name="Input 7 2 3 9" xfId="7427" xr:uid="{00000000-0005-0000-0000-00003A250000}"/>
    <cellStyle name="Input 7 2 4" xfId="16675" xr:uid="{00000000-0005-0000-0000-00003B250000}"/>
    <cellStyle name="Input 7 2 4 2" xfId="6187" xr:uid="{00000000-0005-0000-0000-00003C250000}"/>
    <cellStyle name="Input 7 2 4 2 2" xfId="3510" xr:uid="{00000000-0005-0000-0000-00003D250000}"/>
    <cellStyle name="Input 7 2 4 2 2 2" xfId="7757" xr:uid="{00000000-0005-0000-0000-00003E250000}"/>
    <cellStyle name="Input 7 2 4 2 2 2 2" xfId="4991" xr:uid="{00000000-0005-0000-0000-00003F250000}"/>
    <cellStyle name="Input 7 2 4 2 2 2 2 2" xfId="7748" xr:uid="{00000000-0005-0000-0000-000040250000}"/>
    <cellStyle name="Input 7 2 4 2 2 2 2 3" xfId="7781" xr:uid="{00000000-0005-0000-0000-000041250000}"/>
    <cellStyle name="Input 7 2 4 2 2 2 2 4" xfId="7788" xr:uid="{00000000-0005-0000-0000-000042250000}"/>
    <cellStyle name="Input 7 2 4 2 2 2 3" xfId="4999" xr:uid="{00000000-0005-0000-0000-000043250000}"/>
    <cellStyle name="Input 7 2 4 2 2 2 4" xfId="5007" xr:uid="{00000000-0005-0000-0000-000044250000}"/>
    <cellStyle name="Input 7 2 4 2 2 2 5" xfId="7868" xr:uid="{00000000-0005-0000-0000-000045250000}"/>
    <cellStyle name="Input 7 2 4 2 2 3" xfId="7873" xr:uid="{00000000-0005-0000-0000-000046250000}"/>
    <cellStyle name="Input 7 2 4 2 2 3 2" xfId="3967" xr:uid="{00000000-0005-0000-0000-000047250000}"/>
    <cellStyle name="Input 7 2 4 2 2 3 3" xfId="3986" xr:uid="{00000000-0005-0000-0000-000048250000}"/>
    <cellStyle name="Input 7 2 4 2 2 3 4" xfId="7905" xr:uid="{00000000-0005-0000-0000-000049250000}"/>
    <cellStyle name="Input 7 2 4 2 2 4" xfId="7923" xr:uid="{00000000-0005-0000-0000-00004A250000}"/>
    <cellStyle name="Input 7 2 4 2 2 5" xfId="7970" xr:uid="{00000000-0005-0000-0000-00004B250000}"/>
    <cellStyle name="Input 7 2 4 2 2 6" xfId="7989" xr:uid="{00000000-0005-0000-0000-00004C250000}"/>
    <cellStyle name="Input 7 2 4 2 3" xfId="3518" xr:uid="{00000000-0005-0000-0000-00004D250000}"/>
    <cellStyle name="Input 7 2 4 2 3 2" xfId="8001" xr:uid="{00000000-0005-0000-0000-00004E250000}"/>
    <cellStyle name="Input 7 2 4 2 3 2 2" xfId="5057" xr:uid="{00000000-0005-0000-0000-00004F250000}"/>
    <cellStyle name="Input 7 2 4 2 3 2 3" xfId="5063" xr:uid="{00000000-0005-0000-0000-000050250000}"/>
    <cellStyle name="Input 7 2 4 2 3 2 4" xfId="8025" xr:uid="{00000000-0005-0000-0000-000051250000}"/>
    <cellStyle name="Input 7 2 4 2 3 3" xfId="5428" xr:uid="{00000000-0005-0000-0000-000052250000}"/>
    <cellStyle name="Input 7 2 4 2 3 4" xfId="5457" xr:uid="{00000000-0005-0000-0000-000053250000}"/>
    <cellStyle name="Input 7 2 4 2 3 5" xfId="5487" xr:uid="{00000000-0005-0000-0000-000054250000}"/>
    <cellStyle name="Input 7 2 4 2 4" xfId="8038" xr:uid="{00000000-0005-0000-0000-000055250000}"/>
    <cellStyle name="Input 7 2 4 2 4 2" xfId="8043" xr:uid="{00000000-0005-0000-0000-000056250000}"/>
    <cellStyle name="Input 7 2 4 2 4 3" xfId="5518" xr:uid="{00000000-0005-0000-0000-000057250000}"/>
    <cellStyle name="Input 7 2 4 2 4 4" xfId="5541" xr:uid="{00000000-0005-0000-0000-000058250000}"/>
    <cellStyle name="Input 7 2 4 2 5" xfId="8064" xr:uid="{00000000-0005-0000-0000-000059250000}"/>
    <cellStyle name="Input 7 2 4 2 6" xfId="8096" xr:uid="{00000000-0005-0000-0000-00005A250000}"/>
    <cellStyle name="Input 7 2 4 2 7" xfId="8111" xr:uid="{00000000-0005-0000-0000-00005B250000}"/>
    <cellStyle name="Input 7 2 4 3" xfId="6198" xr:uid="{00000000-0005-0000-0000-00005C250000}"/>
    <cellStyle name="Input 7 2 4 3 2" xfId="8123" xr:uid="{00000000-0005-0000-0000-00005D250000}"/>
    <cellStyle name="Input 7 2 4 3 2 2" xfId="8129" xr:uid="{00000000-0005-0000-0000-00005E250000}"/>
    <cellStyle name="Input 7 2 4 3 2 2 2" xfId="6361" xr:uid="{00000000-0005-0000-0000-00005F250000}"/>
    <cellStyle name="Input 7 2 4 3 2 2 3" xfId="316" xr:uid="{00000000-0005-0000-0000-000060250000}"/>
    <cellStyle name="Input 7 2 4 3 2 2 4" xfId="435" xr:uid="{00000000-0005-0000-0000-000061250000}"/>
    <cellStyle name="Input 7 2 4 3 2 3" xfId="8152" xr:uid="{00000000-0005-0000-0000-000062250000}"/>
    <cellStyle name="Input 7 2 4 3 2 4" xfId="8166" xr:uid="{00000000-0005-0000-0000-000063250000}"/>
    <cellStyle name="Input 7 2 4 3 2 5" xfId="8173" xr:uid="{00000000-0005-0000-0000-000064250000}"/>
    <cellStyle name="Input 7 2 4 3 3" xfId="8184" xr:uid="{00000000-0005-0000-0000-000065250000}"/>
    <cellStyle name="Input 7 2 4 3 3 2" xfId="8189" xr:uid="{00000000-0005-0000-0000-000066250000}"/>
    <cellStyle name="Input 7 2 4 3 3 3" xfId="5644" xr:uid="{00000000-0005-0000-0000-000067250000}"/>
    <cellStyle name="Input 7 2 4 3 3 4" xfId="5653" xr:uid="{00000000-0005-0000-0000-000068250000}"/>
    <cellStyle name="Input 7 2 4 3 4" xfId="8202" xr:uid="{00000000-0005-0000-0000-000069250000}"/>
    <cellStyle name="Input 7 2 4 3 5" xfId="8213" xr:uid="{00000000-0005-0000-0000-00006A250000}"/>
    <cellStyle name="Input 7 2 4 3 6" xfId="8225" xr:uid="{00000000-0005-0000-0000-00006B250000}"/>
    <cellStyle name="Input 7 2 4 4" xfId="8232" xr:uid="{00000000-0005-0000-0000-00006C250000}"/>
    <cellStyle name="Input 7 2 4 4 2" xfId="8237" xr:uid="{00000000-0005-0000-0000-00006D250000}"/>
    <cellStyle name="Input 7 2 4 4 2 2" xfId="8242" xr:uid="{00000000-0005-0000-0000-00006E250000}"/>
    <cellStyle name="Input 7 2 4 4 2 3" xfId="8261" xr:uid="{00000000-0005-0000-0000-00006F250000}"/>
    <cellStyle name="Input 7 2 4 4 2 4" xfId="8266" xr:uid="{00000000-0005-0000-0000-000070250000}"/>
    <cellStyle name="Input 7 2 4 4 3" xfId="8281" xr:uid="{00000000-0005-0000-0000-000071250000}"/>
    <cellStyle name="Input 7 2 4 4 4" xfId="8294" xr:uid="{00000000-0005-0000-0000-000072250000}"/>
    <cellStyle name="Input 7 2 4 4 5" xfId="4048" xr:uid="{00000000-0005-0000-0000-000073250000}"/>
    <cellStyle name="Input 7 2 4 5" xfId="8303" xr:uid="{00000000-0005-0000-0000-000074250000}"/>
    <cellStyle name="Input 7 2 4 5 2" xfId="8306" xr:uid="{00000000-0005-0000-0000-000075250000}"/>
    <cellStyle name="Input 7 2 4 5 3" xfId="8320" xr:uid="{00000000-0005-0000-0000-000076250000}"/>
    <cellStyle name="Input 7 2 4 5 4" xfId="8327" xr:uid="{00000000-0005-0000-0000-000077250000}"/>
    <cellStyle name="Input 7 2 4 6" xfId="8330" xr:uid="{00000000-0005-0000-0000-000078250000}"/>
    <cellStyle name="Input 7 2 4 7" xfId="8337" xr:uid="{00000000-0005-0000-0000-000079250000}"/>
    <cellStyle name="Input 7 2 4 8" xfId="16676" xr:uid="{00000000-0005-0000-0000-00007A250000}"/>
    <cellStyle name="Input 7 2 5" xfId="16678" xr:uid="{00000000-0005-0000-0000-00007B250000}"/>
    <cellStyle name="Input 7 2 5 2" xfId="9178" xr:uid="{00000000-0005-0000-0000-00007C250000}"/>
    <cellStyle name="Input 7 2 5 2 2" xfId="9183" xr:uid="{00000000-0005-0000-0000-00007D250000}"/>
    <cellStyle name="Input 7 2 5 2 2 2" xfId="9188" xr:uid="{00000000-0005-0000-0000-00007E250000}"/>
    <cellStyle name="Input 7 2 5 2 2 2 2" xfId="9194" xr:uid="{00000000-0005-0000-0000-00007F250000}"/>
    <cellStyle name="Input 7 2 5 2 2 2 3" xfId="9211" xr:uid="{00000000-0005-0000-0000-000080250000}"/>
    <cellStyle name="Input 7 2 5 2 2 2 4" xfId="9234" xr:uid="{00000000-0005-0000-0000-000081250000}"/>
    <cellStyle name="Input 7 2 5 2 2 3" xfId="9252" xr:uid="{00000000-0005-0000-0000-000082250000}"/>
    <cellStyle name="Input 7 2 5 2 2 4" xfId="9300" xr:uid="{00000000-0005-0000-0000-000083250000}"/>
    <cellStyle name="Input 7 2 5 2 2 5" xfId="9326" xr:uid="{00000000-0005-0000-0000-000084250000}"/>
    <cellStyle name="Input 7 2 5 2 3" xfId="9354" xr:uid="{00000000-0005-0000-0000-000085250000}"/>
    <cellStyle name="Input 7 2 5 2 3 2" xfId="2776" xr:uid="{00000000-0005-0000-0000-000086250000}"/>
    <cellStyle name="Input 7 2 5 2 3 3" xfId="2797" xr:uid="{00000000-0005-0000-0000-000087250000}"/>
    <cellStyle name="Input 7 2 5 2 3 4" xfId="2816" xr:uid="{00000000-0005-0000-0000-000088250000}"/>
    <cellStyle name="Input 7 2 5 2 4" xfId="9382" xr:uid="{00000000-0005-0000-0000-000089250000}"/>
    <cellStyle name="Input 7 2 5 2 5" xfId="9414" xr:uid="{00000000-0005-0000-0000-00008A250000}"/>
    <cellStyle name="Input 7 2 5 2 6" xfId="9424" xr:uid="{00000000-0005-0000-0000-00008B250000}"/>
    <cellStyle name="Input 7 2 5 3" xfId="9437" xr:uid="{00000000-0005-0000-0000-00008C250000}"/>
    <cellStyle name="Input 7 2 5 3 2" xfId="9441" xr:uid="{00000000-0005-0000-0000-00008D250000}"/>
    <cellStyle name="Input 7 2 5 3 2 2" xfId="458" xr:uid="{00000000-0005-0000-0000-00008E250000}"/>
    <cellStyle name="Input 7 2 5 3 2 3" xfId="475" xr:uid="{00000000-0005-0000-0000-00008F250000}"/>
    <cellStyle name="Input 7 2 5 3 2 4" xfId="498" xr:uid="{00000000-0005-0000-0000-000090250000}"/>
    <cellStyle name="Input 7 2 5 3 3" xfId="9466" xr:uid="{00000000-0005-0000-0000-000091250000}"/>
    <cellStyle name="Input 7 2 5 3 4" xfId="9479" xr:uid="{00000000-0005-0000-0000-000092250000}"/>
    <cellStyle name="Input 7 2 5 3 5" xfId="9494" xr:uid="{00000000-0005-0000-0000-000093250000}"/>
    <cellStyle name="Input 7 2 5 4" xfId="9523" xr:uid="{00000000-0005-0000-0000-000094250000}"/>
    <cellStyle name="Input 7 2 5 4 2" xfId="9526" xr:uid="{00000000-0005-0000-0000-000095250000}"/>
    <cellStyle name="Input 7 2 5 4 3" xfId="9552" xr:uid="{00000000-0005-0000-0000-000096250000}"/>
    <cellStyle name="Input 7 2 5 4 4" xfId="9556" xr:uid="{00000000-0005-0000-0000-000097250000}"/>
    <cellStyle name="Input 7 2 5 5" xfId="9577" xr:uid="{00000000-0005-0000-0000-000098250000}"/>
    <cellStyle name="Input 7 2 5 6" xfId="9601" xr:uid="{00000000-0005-0000-0000-000099250000}"/>
    <cellStyle name="Input 7 2 5 7" xfId="9607" xr:uid="{00000000-0005-0000-0000-00009A250000}"/>
    <cellStyle name="Input 7 2 6" xfId="16680" xr:uid="{00000000-0005-0000-0000-00009B250000}"/>
    <cellStyle name="Input 7 2 6 2" xfId="6586" xr:uid="{00000000-0005-0000-0000-00009C250000}"/>
    <cellStyle name="Input 7 2 6 2 2" xfId="3668" xr:uid="{00000000-0005-0000-0000-00009D250000}"/>
    <cellStyle name="Input 7 2 6 2 2 2" xfId="3676" xr:uid="{00000000-0005-0000-0000-00009E250000}"/>
    <cellStyle name="Input 7 2 6 2 2 3" xfId="3707" xr:uid="{00000000-0005-0000-0000-00009F250000}"/>
    <cellStyle name="Input 7 2 6 2 2 4" xfId="3716" xr:uid="{00000000-0005-0000-0000-0000A0250000}"/>
    <cellStyle name="Input 7 2 6 2 3" xfId="3723" xr:uid="{00000000-0005-0000-0000-0000A1250000}"/>
    <cellStyle name="Input 7 2 6 2 4" xfId="1434" xr:uid="{00000000-0005-0000-0000-0000A2250000}"/>
    <cellStyle name="Input 7 2 6 2 5" xfId="3731" xr:uid="{00000000-0005-0000-0000-0000A3250000}"/>
    <cellStyle name="Input 7 2 6 3" xfId="7698" xr:uid="{00000000-0005-0000-0000-0000A4250000}"/>
    <cellStyle name="Input 7 2 6 3 2" xfId="1278" xr:uid="{00000000-0005-0000-0000-0000A5250000}"/>
    <cellStyle name="Input 7 2 6 3 3" xfId="1286" xr:uid="{00000000-0005-0000-0000-0000A6250000}"/>
    <cellStyle name="Input 7 2 6 3 4" xfId="1467" xr:uid="{00000000-0005-0000-0000-0000A7250000}"/>
    <cellStyle name="Input 7 2 6 4" xfId="9148" xr:uid="{00000000-0005-0000-0000-0000A8250000}"/>
    <cellStyle name="Input 7 2 6 5" xfId="10515" xr:uid="{00000000-0005-0000-0000-0000A9250000}"/>
    <cellStyle name="Input 7 2 6 6" xfId="10541" xr:uid="{00000000-0005-0000-0000-0000AA250000}"/>
    <cellStyle name="Input 7 2 7" xfId="16681" xr:uid="{00000000-0005-0000-0000-0000AB250000}"/>
    <cellStyle name="Input 7 2 7 2" xfId="11634" xr:uid="{00000000-0005-0000-0000-0000AC250000}"/>
    <cellStyle name="Input 7 2 7 2 2" xfId="11638" xr:uid="{00000000-0005-0000-0000-0000AD250000}"/>
    <cellStyle name="Input 7 2 7 2 3" xfId="11703" xr:uid="{00000000-0005-0000-0000-0000AE250000}"/>
    <cellStyle name="Input 7 2 7 2 4" xfId="11719" xr:uid="{00000000-0005-0000-0000-0000AF250000}"/>
    <cellStyle name="Input 7 2 7 3" xfId="11743" xr:uid="{00000000-0005-0000-0000-0000B0250000}"/>
    <cellStyle name="Input 7 2 7 4" xfId="11794" xr:uid="{00000000-0005-0000-0000-0000B1250000}"/>
    <cellStyle name="Input 7 2 7 5" xfId="649" xr:uid="{00000000-0005-0000-0000-0000B2250000}"/>
    <cellStyle name="Input 7 2 8" xfId="16682" xr:uid="{00000000-0005-0000-0000-0000B3250000}"/>
    <cellStyle name="Input 7 2 8 2" xfId="12440" xr:uid="{00000000-0005-0000-0000-0000B4250000}"/>
    <cellStyle name="Input 7 2 8 3" xfId="12544" xr:uid="{00000000-0005-0000-0000-0000B5250000}"/>
    <cellStyle name="Input 7 2 8 4" xfId="12565" xr:uid="{00000000-0005-0000-0000-0000B6250000}"/>
    <cellStyle name="Input 7 2 9" xfId="16683" xr:uid="{00000000-0005-0000-0000-0000B7250000}"/>
    <cellStyle name="Input 7 3" xfId="16685" xr:uid="{00000000-0005-0000-0000-0000B8250000}"/>
    <cellStyle name="Input 7 3 2" xfId="16686" xr:uid="{00000000-0005-0000-0000-0000B9250000}"/>
    <cellStyle name="Input 7 3 2 2" xfId="16687" xr:uid="{00000000-0005-0000-0000-0000BA250000}"/>
    <cellStyle name="Input 7 3 2 2 2" xfId="16688" xr:uid="{00000000-0005-0000-0000-0000BB250000}"/>
    <cellStyle name="Input 7 3 2 2 2 2" xfId="12632" xr:uid="{00000000-0005-0000-0000-0000BC250000}"/>
    <cellStyle name="Input 7 3 2 2 2 2 2" xfId="2424" xr:uid="{00000000-0005-0000-0000-0000BD250000}"/>
    <cellStyle name="Input 7 3 2 2 2 2 2 2" xfId="1310" xr:uid="{00000000-0005-0000-0000-0000BE250000}"/>
    <cellStyle name="Input 7 3 2 2 2 2 2 3" xfId="3424" xr:uid="{00000000-0005-0000-0000-0000BF250000}"/>
    <cellStyle name="Input 7 3 2 2 2 2 2 4" xfId="3433" xr:uid="{00000000-0005-0000-0000-0000C0250000}"/>
    <cellStyle name="Input 7 3 2 2 2 2 3" xfId="2439" xr:uid="{00000000-0005-0000-0000-0000C1250000}"/>
    <cellStyle name="Input 7 3 2 2 2 2 4" xfId="2452" xr:uid="{00000000-0005-0000-0000-0000C2250000}"/>
    <cellStyle name="Input 7 3 2 2 2 2 5" xfId="4077" xr:uid="{00000000-0005-0000-0000-0000C3250000}"/>
    <cellStyle name="Input 7 3 2 2 2 3" xfId="12635" xr:uid="{00000000-0005-0000-0000-0000C4250000}"/>
    <cellStyle name="Input 7 3 2 2 2 3 2" xfId="4159" xr:uid="{00000000-0005-0000-0000-0000C5250000}"/>
    <cellStyle name="Input 7 3 2 2 2 3 3" xfId="4170" xr:uid="{00000000-0005-0000-0000-0000C6250000}"/>
    <cellStyle name="Input 7 3 2 2 2 3 4" xfId="4177" xr:uid="{00000000-0005-0000-0000-0000C7250000}"/>
    <cellStyle name="Input 7 3 2 2 2 4" xfId="2032" xr:uid="{00000000-0005-0000-0000-0000C8250000}"/>
    <cellStyle name="Input 7 3 2 2 2 5" xfId="9639" xr:uid="{00000000-0005-0000-0000-0000C9250000}"/>
    <cellStyle name="Input 7 3 2 2 2 6" xfId="9644" xr:uid="{00000000-0005-0000-0000-0000CA250000}"/>
    <cellStyle name="Input 7 3 2 2 3" xfId="16690" xr:uid="{00000000-0005-0000-0000-0000CB250000}"/>
    <cellStyle name="Input 7 3 2 2 3 2" xfId="12662" xr:uid="{00000000-0005-0000-0000-0000CC250000}"/>
    <cellStyle name="Input 7 3 2 2 3 2 2" xfId="4343" xr:uid="{00000000-0005-0000-0000-0000CD250000}"/>
    <cellStyle name="Input 7 3 2 2 3 2 3" xfId="4356" xr:uid="{00000000-0005-0000-0000-0000CE250000}"/>
    <cellStyle name="Input 7 3 2 2 3 2 4" xfId="199" xr:uid="{00000000-0005-0000-0000-0000CF250000}"/>
    <cellStyle name="Input 7 3 2 2 3 3" xfId="12669" xr:uid="{00000000-0005-0000-0000-0000D0250000}"/>
    <cellStyle name="Input 7 3 2 2 3 4" xfId="16696" xr:uid="{00000000-0005-0000-0000-0000D1250000}"/>
    <cellStyle name="Input 7 3 2 2 3 5" xfId="15443" xr:uid="{00000000-0005-0000-0000-0000D2250000}"/>
    <cellStyle name="Input 7 3 2 2 4" xfId="16698" xr:uid="{00000000-0005-0000-0000-0000D3250000}"/>
    <cellStyle name="Input 7 3 2 2 4 2" xfId="10817" xr:uid="{00000000-0005-0000-0000-0000D4250000}"/>
    <cellStyle name="Input 7 3 2 2 4 3" xfId="10824" xr:uid="{00000000-0005-0000-0000-0000D5250000}"/>
    <cellStyle name="Input 7 3 2 2 4 4" xfId="16702" xr:uid="{00000000-0005-0000-0000-0000D6250000}"/>
    <cellStyle name="Input 7 3 2 2 5" xfId="16704" xr:uid="{00000000-0005-0000-0000-0000D7250000}"/>
    <cellStyle name="Input 7 3 2 2 6" xfId="16705" xr:uid="{00000000-0005-0000-0000-0000D8250000}"/>
    <cellStyle name="Input 7 3 2 2 7" xfId="16706" xr:uid="{00000000-0005-0000-0000-0000D9250000}"/>
    <cellStyle name="Input 7 3 2 3" xfId="16707" xr:uid="{00000000-0005-0000-0000-0000DA250000}"/>
    <cellStyle name="Input 7 3 2 3 2" xfId="16711" xr:uid="{00000000-0005-0000-0000-0000DB250000}"/>
    <cellStyle name="Input 7 3 2 3 2 2" xfId="12683" xr:uid="{00000000-0005-0000-0000-0000DC250000}"/>
    <cellStyle name="Input 7 3 2 3 2 2 2" xfId="4613" xr:uid="{00000000-0005-0000-0000-0000DD250000}"/>
    <cellStyle name="Input 7 3 2 3 2 2 3" xfId="4620" xr:uid="{00000000-0005-0000-0000-0000DE250000}"/>
    <cellStyle name="Input 7 3 2 3 2 2 4" xfId="4628" xr:uid="{00000000-0005-0000-0000-0000DF250000}"/>
    <cellStyle name="Input 7 3 2 3 2 3" xfId="12686" xr:uid="{00000000-0005-0000-0000-0000E0250000}"/>
    <cellStyle name="Input 7 3 2 3 2 4" xfId="16713" xr:uid="{00000000-0005-0000-0000-0000E1250000}"/>
    <cellStyle name="Input 7 3 2 3 2 5" xfId="15535" xr:uid="{00000000-0005-0000-0000-0000E2250000}"/>
    <cellStyle name="Input 7 3 2 3 3" xfId="16715" xr:uid="{00000000-0005-0000-0000-0000E3250000}"/>
    <cellStyle name="Input 7 3 2 3 3 2" xfId="12697" xr:uid="{00000000-0005-0000-0000-0000E4250000}"/>
    <cellStyle name="Input 7 3 2 3 3 3" xfId="16720" xr:uid="{00000000-0005-0000-0000-0000E5250000}"/>
    <cellStyle name="Input 7 3 2 3 3 4" xfId="16724" xr:uid="{00000000-0005-0000-0000-0000E6250000}"/>
    <cellStyle name="Input 7 3 2 3 4" xfId="16725" xr:uid="{00000000-0005-0000-0000-0000E7250000}"/>
    <cellStyle name="Input 7 3 2 3 5" xfId="16726" xr:uid="{00000000-0005-0000-0000-0000E8250000}"/>
    <cellStyle name="Input 7 3 2 3 6" xfId="16727" xr:uid="{00000000-0005-0000-0000-0000E9250000}"/>
    <cellStyle name="Input 7 3 2 4" xfId="1757" xr:uid="{00000000-0005-0000-0000-0000EA250000}"/>
    <cellStyle name="Input 7 3 2 4 2" xfId="16730" xr:uid="{00000000-0005-0000-0000-0000EB250000}"/>
    <cellStyle name="Input 7 3 2 4 2 2" xfId="12708" xr:uid="{00000000-0005-0000-0000-0000EC250000}"/>
    <cellStyle name="Input 7 3 2 4 2 3" xfId="16731" xr:uid="{00000000-0005-0000-0000-0000ED250000}"/>
    <cellStyle name="Input 7 3 2 4 2 4" xfId="16732" xr:uid="{00000000-0005-0000-0000-0000EE250000}"/>
    <cellStyle name="Input 7 3 2 4 3" xfId="16734" xr:uid="{00000000-0005-0000-0000-0000EF250000}"/>
    <cellStyle name="Input 7 3 2 4 4" xfId="16735" xr:uid="{00000000-0005-0000-0000-0000F0250000}"/>
    <cellStyle name="Input 7 3 2 4 5" xfId="16736" xr:uid="{00000000-0005-0000-0000-0000F1250000}"/>
    <cellStyle name="Input 7 3 2 5" xfId="1779" xr:uid="{00000000-0005-0000-0000-0000F2250000}"/>
    <cellStyle name="Input 7 3 2 5 2" xfId="16738" xr:uid="{00000000-0005-0000-0000-0000F3250000}"/>
    <cellStyle name="Input 7 3 2 5 3" xfId="14143" xr:uid="{00000000-0005-0000-0000-0000F4250000}"/>
    <cellStyle name="Input 7 3 2 5 4" xfId="14145" xr:uid="{00000000-0005-0000-0000-0000F5250000}"/>
    <cellStyle name="Input 7 3 2 6" xfId="1799" xr:uid="{00000000-0005-0000-0000-0000F6250000}"/>
    <cellStyle name="Input 7 3 2 7" xfId="1805" xr:uid="{00000000-0005-0000-0000-0000F7250000}"/>
    <cellStyle name="Input 7 3 2 8" xfId="1809" xr:uid="{00000000-0005-0000-0000-0000F8250000}"/>
    <cellStyle name="Input 7 3 3" xfId="16739" xr:uid="{00000000-0005-0000-0000-0000F9250000}"/>
    <cellStyle name="Input 7 3 3 2" xfId="16740" xr:uid="{00000000-0005-0000-0000-0000FA250000}"/>
    <cellStyle name="Input 7 3 3 2 2" xfId="2910" xr:uid="{00000000-0005-0000-0000-0000FB250000}"/>
    <cellStyle name="Input 7 3 3 2 2 2" xfId="12766" xr:uid="{00000000-0005-0000-0000-0000FC250000}"/>
    <cellStyle name="Input 7 3 3 2 2 2 2" xfId="6603" xr:uid="{00000000-0005-0000-0000-0000FD250000}"/>
    <cellStyle name="Input 7 3 3 2 2 2 3" xfId="6609" xr:uid="{00000000-0005-0000-0000-0000FE250000}"/>
    <cellStyle name="Input 7 3 3 2 2 2 4" xfId="6613" xr:uid="{00000000-0005-0000-0000-0000FF250000}"/>
    <cellStyle name="Input 7 3 3 2 2 3" xfId="12773" xr:uid="{00000000-0005-0000-0000-000000260000}"/>
    <cellStyle name="Input 7 3 3 2 2 4" xfId="16423" xr:uid="{00000000-0005-0000-0000-000001260000}"/>
    <cellStyle name="Input 7 3 3 2 2 5" xfId="15757" xr:uid="{00000000-0005-0000-0000-000002260000}"/>
    <cellStyle name="Input 7 3 3 2 3" xfId="1342" xr:uid="{00000000-0005-0000-0000-000003260000}"/>
    <cellStyle name="Input 7 3 3 2 3 2" xfId="12796" xr:uid="{00000000-0005-0000-0000-000004260000}"/>
    <cellStyle name="Input 7 3 3 2 3 3" xfId="16430" xr:uid="{00000000-0005-0000-0000-000005260000}"/>
    <cellStyle name="Input 7 3 3 2 3 4" xfId="16744" xr:uid="{00000000-0005-0000-0000-000006260000}"/>
    <cellStyle name="Input 7 3 3 2 4" xfId="16745" xr:uid="{00000000-0005-0000-0000-000007260000}"/>
    <cellStyle name="Input 7 3 3 2 5" xfId="16746" xr:uid="{00000000-0005-0000-0000-000008260000}"/>
    <cellStyle name="Input 7 3 3 2 6" xfId="16747" xr:uid="{00000000-0005-0000-0000-000009260000}"/>
    <cellStyle name="Input 7 3 3 3" xfId="16749" xr:uid="{00000000-0005-0000-0000-00000A260000}"/>
    <cellStyle name="Input 7 3 3 3 2" xfId="16753" xr:uid="{00000000-0005-0000-0000-00000B260000}"/>
    <cellStyle name="Input 7 3 3 3 2 2" xfId="11766" xr:uid="{00000000-0005-0000-0000-00000C260000}"/>
    <cellStyle name="Input 7 3 3 3 2 3" xfId="16432" xr:uid="{00000000-0005-0000-0000-00000D260000}"/>
    <cellStyle name="Input 7 3 3 3 2 4" xfId="16754" xr:uid="{00000000-0005-0000-0000-00000E260000}"/>
    <cellStyle name="Input 7 3 3 3 3" xfId="16758" xr:uid="{00000000-0005-0000-0000-00000F260000}"/>
    <cellStyle name="Input 7 3 3 3 4" xfId="16761" xr:uid="{00000000-0005-0000-0000-000010260000}"/>
    <cellStyle name="Input 7 3 3 3 5" xfId="16763" xr:uid="{00000000-0005-0000-0000-000011260000}"/>
    <cellStyle name="Input 7 3 3 4" xfId="16765" xr:uid="{00000000-0005-0000-0000-000012260000}"/>
    <cellStyle name="Input 7 3 3 4 2" xfId="16766" xr:uid="{00000000-0005-0000-0000-000013260000}"/>
    <cellStyle name="Input 7 3 3 4 3" xfId="16767" xr:uid="{00000000-0005-0000-0000-000014260000}"/>
    <cellStyle name="Input 7 3 3 4 4" xfId="15938" xr:uid="{00000000-0005-0000-0000-000015260000}"/>
    <cellStyle name="Input 7 3 3 5" xfId="16667" xr:uid="{00000000-0005-0000-0000-000016260000}"/>
    <cellStyle name="Input 7 3 3 6" xfId="16670" xr:uid="{00000000-0005-0000-0000-000017260000}"/>
    <cellStyle name="Input 7 3 3 7" xfId="16672" xr:uid="{00000000-0005-0000-0000-000018260000}"/>
    <cellStyle name="Input 7 3 4" xfId="16768" xr:uid="{00000000-0005-0000-0000-000019260000}"/>
    <cellStyle name="Input 7 3 4 2" xfId="16769" xr:uid="{00000000-0005-0000-0000-00001A260000}"/>
    <cellStyle name="Input 7 3 4 2 2" xfId="3043" xr:uid="{00000000-0005-0000-0000-00001B260000}"/>
    <cellStyle name="Input 7 3 4 2 2 2" xfId="12854" xr:uid="{00000000-0005-0000-0000-00001C260000}"/>
    <cellStyle name="Input 7 3 4 2 2 3" xfId="16458" xr:uid="{00000000-0005-0000-0000-00001D260000}"/>
    <cellStyle name="Input 7 3 4 2 2 4" xfId="16770" xr:uid="{00000000-0005-0000-0000-00001E260000}"/>
    <cellStyle name="Input 7 3 4 2 3" xfId="3052" xr:uid="{00000000-0005-0000-0000-00001F260000}"/>
    <cellStyle name="Input 7 3 4 2 4" xfId="10254" xr:uid="{00000000-0005-0000-0000-000020260000}"/>
    <cellStyle name="Input 7 3 4 2 5" xfId="11570" xr:uid="{00000000-0005-0000-0000-000021260000}"/>
    <cellStyle name="Input 7 3 4 3" xfId="16772" xr:uid="{00000000-0005-0000-0000-000022260000}"/>
    <cellStyle name="Input 7 3 4 3 2" xfId="9043" xr:uid="{00000000-0005-0000-0000-000023260000}"/>
    <cellStyle name="Input 7 3 4 3 3" xfId="10259" xr:uid="{00000000-0005-0000-0000-000024260000}"/>
    <cellStyle name="Input 7 3 4 3 4" xfId="16773" xr:uid="{00000000-0005-0000-0000-000025260000}"/>
    <cellStyle name="Input 7 3 4 4" xfId="16775" xr:uid="{00000000-0005-0000-0000-000026260000}"/>
    <cellStyle name="Input 7 3 4 5" xfId="16777" xr:uid="{00000000-0005-0000-0000-000027260000}"/>
    <cellStyle name="Input 7 3 4 6" xfId="16778" xr:uid="{00000000-0005-0000-0000-000028260000}"/>
    <cellStyle name="Input 7 3 5" xfId="16779" xr:uid="{00000000-0005-0000-0000-000029260000}"/>
    <cellStyle name="Input 7 3 5 2" xfId="15977" xr:uid="{00000000-0005-0000-0000-00002A260000}"/>
    <cellStyle name="Input 7 3 5 2 2" xfId="6243" xr:uid="{00000000-0005-0000-0000-00002B260000}"/>
    <cellStyle name="Input 7 3 5 2 3" xfId="6248" xr:uid="{00000000-0005-0000-0000-00002C260000}"/>
    <cellStyle name="Input 7 3 5 2 4" xfId="15979" xr:uid="{00000000-0005-0000-0000-00002D260000}"/>
    <cellStyle name="Input 7 3 5 3" xfId="15983" xr:uid="{00000000-0005-0000-0000-00002E260000}"/>
    <cellStyle name="Input 7 3 5 4" xfId="15985" xr:uid="{00000000-0005-0000-0000-00002F260000}"/>
    <cellStyle name="Input 7 3 5 5" xfId="15987" xr:uid="{00000000-0005-0000-0000-000030260000}"/>
    <cellStyle name="Input 7 3 6" xfId="16780" xr:uid="{00000000-0005-0000-0000-000031260000}"/>
    <cellStyle name="Input 7 3 6 2" xfId="16005" xr:uid="{00000000-0005-0000-0000-000032260000}"/>
    <cellStyle name="Input 7 3 6 3" xfId="16009" xr:uid="{00000000-0005-0000-0000-000033260000}"/>
    <cellStyle name="Input 7 3 6 4" xfId="16013" xr:uid="{00000000-0005-0000-0000-000034260000}"/>
    <cellStyle name="Input 7 3 7" xfId="16781" xr:uid="{00000000-0005-0000-0000-000035260000}"/>
    <cellStyle name="Input 7 3 8" xfId="16782" xr:uid="{00000000-0005-0000-0000-000036260000}"/>
    <cellStyle name="Input 7 3 9" xfId="16783" xr:uid="{00000000-0005-0000-0000-000037260000}"/>
    <cellStyle name="Input 7 4" xfId="16784" xr:uid="{00000000-0005-0000-0000-000038260000}"/>
    <cellStyle name="Input 7 4 2" xfId="16785" xr:uid="{00000000-0005-0000-0000-000039260000}"/>
    <cellStyle name="Input 7 4 2 2" xfId="16786" xr:uid="{00000000-0005-0000-0000-00003A260000}"/>
    <cellStyle name="Input 7 4 2 2 2" xfId="16788" xr:uid="{00000000-0005-0000-0000-00003B260000}"/>
    <cellStyle name="Input 7 4 2 2 2 2" xfId="16790" xr:uid="{00000000-0005-0000-0000-00003C260000}"/>
    <cellStyle name="Input 7 4 2 2 2 2 2" xfId="1168" xr:uid="{00000000-0005-0000-0000-00003D260000}"/>
    <cellStyle name="Input 7 4 2 2 2 2 2 2" xfId="16792" xr:uid="{00000000-0005-0000-0000-00003E260000}"/>
    <cellStyle name="Input 7 4 2 2 2 2 2 3" xfId="16793" xr:uid="{00000000-0005-0000-0000-00003F260000}"/>
    <cellStyle name="Input 7 4 2 2 2 2 2 4" xfId="16794" xr:uid="{00000000-0005-0000-0000-000040260000}"/>
    <cellStyle name="Input 7 4 2 2 2 2 3" xfId="1173" xr:uid="{00000000-0005-0000-0000-000041260000}"/>
    <cellStyle name="Input 7 4 2 2 2 2 4" xfId="2746" xr:uid="{00000000-0005-0000-0000-000042260000}"/>
    <cellStyle name="Input 7 4 2 2 2 2 5" xfId="16795" xr:uid="{00000000-0005-0000-0000-000043260000}"/>
    <cellStyle name="Input 7 4 2 2 2 3" xfId="16797" xr:uid="{00000000-0005-0000-0000-000044260000}"/>
    <cellStyle name="Input 7 4 2 2 2 3 2" xfId="1299" xr:uid="{00000000-0005-0000-0000-000045260000}"/>
    <cellStyle name="Input 7 4 2 2 2 3 3" xfId="1320" xr:uid="{00000000-0005-0000-0000-000046260000}"/>
    <cellStyle name="Input 7 4 2 2 2 3 4" xfId="16798" xr:uid="{00000000-0005-0000-0000-000047260000}"/>
    <cellStyle name="Input 7 4 2 2 2 4" xfId="16217" xr:uid="{00000000-0005-0000-0000-000048260000}"/>
    <cellStyle name="Input 7 4 2 2 2 5" xfId="12078" xr:uid="{00000000-0005-0000-0000-000049260000}"/>
    <cellStyle name="Input 7 4 2 2 2 6" xfId="12170" xr:uid="{00000000-0005-0000-0000-00004A260000}"/>
    <cellStyle name="Input 7 4 2 2 3" xfId="16800" xr:uid="{00000000-0005-0000-0000-00004B260000}"/>
    <cellStyle name="Input 7 4 2 2 3 2" xfId="16803" xr:uid="{00000000-0005-0000-0000-00004C260000}"/>
    <cellStyle name="Input 7 4 2 2 3 2 2" xfId="3167" xr:uid="{00000000-0005-0000-0000-00004D260000}"/>
    <cellStyle name="Input 7 4 2 2 3 2 3" xfId="3172" xr:uid="{00000000-0005-0000-0000-00004E260000}"/>
    <cellStyle name="Input 7 4 2 2 3 2 4" xfId="849" xr:uid="{00000000-0005-0000-0000-00004F260000}"/>
    <cellStyle name="Input 7 4 2 2 3 3" xfId="16807" xr:uid="{00000000-0005-0000-0000-000050260000}"/>
    <cellStyle name="Input 7 4 2 2 3 4" xfId="16238" xr:uid="{00000000-0005-0000-0000-000051260000}"/>
    <cellStyle name="Input 7 4 2 2 3 5" xfId="12298" xr:uid="{00000000-0005-0000-0000-000052260000}"/>
    <cellStyle name="Input 7 4 2 2 4" xfId="16809" xr:uid="{00000000-0005-0000-0000-000053260000}"/>
    <cellStyle name="Input 7 4 2 2 4 2" xfId="11468" xr:uid="{00000000-0005-0000-0000-000054260000}"/>
    <cellStyle name="Input 7 4 2 2 4 3" xfId="12329" xr:uid="{00000000-0005-0000-0000-000055260000}"/>
    <cellStyle name="Input 7 4 2 2 4 4" xfId="16252" xr:uid="{00000000-0005-0000-0000-000056260000}"/>
    <cellStyle name="Input 7 4 2 2 5" xfId="16811" xr:uid="{00000000-0005-0000-0000-000057260000}"/>
    <cellStyle name="Input 7 4 2 2 6" xfId="10059" xr:uid="{00000000-0005-0000-0000-000058260000}"/>
    <cellStyle name="Input 7 4 2 2 7" xfId="10062" xr:uid="{00000000-0005-0000-0000-000059260000}"/>
    <cellStyle name="Input 7 4 2 3" xfId="16812" xr:uid="{00000000-0005-0000-0000-00005A260000}"/>
    <cellStyle name="Input 7 4 2 3 2" xfId="16814" xr:uid="{00000000-0005-0000-0000-00005B260000}"/>
    <cellStyle name="Input 7 4 2 3 2 2" xfId="15101" xr:uid="{00000000-0005-0000-0000-00005C260000}"/>
    <cellStyle name="Input 7 4 2 3 2 2 2" xfId="2450" xr:uid="{00000000-0005-0000-0000-00005D260000}"/>
    <cellStyle name="Input 7 4 2 3 2 2 3" xfId="4075" xr:uid="{00000000-0005-0000-0000-00005E260000}"/>
    <cellStyle name="Input 7 4 2 3 2 2 4" xfId="16815" xr:uid="{00000000-0005-0000-0000-00005F260000}"/>
    <cellStyle name="Input 7 4 2 3 2 3" xfId="15726" xr:uid="{00000000-0005-0000-0000-000060260000}"/>
    <cellStyle name="Input 7 4 2 3 2 4" xfId="16611" xr:uid="{00000000-0005-0000-0000-000061260000}"/>
    <cellStyle name="Input 7 4 2 3 2 5" xfId="12445" xr:uid="{00000000-0005-0000-0000-000062260000}"/>
    <cellStyle name="Input 7 4 2 3 3" xfId="16816" xr:uid="{00000000-0005-0000-0000-000063260000}"/>
    <cellStyle name="Input 7 4 2 3 3 2" xfId="16820" xr:uid="{00000000-0005-0000-0000-000064260000}"/>
    <cellStyle name="Input 7 4 2 3 3 3" xfId="16823" xr:uid="{00000000-0005-0000-0000-000065260000}"/>
    <cellStyle name="Input 7 4 2 3 3 4" xfId="16634" xr:uid="{00000000-0005-0000-0000-000066260000}"/>
    <cellStyle name="Input 7 4 2 3 4" xfId="16824" xr:uid="{00000000-0005-0000-0000-000067260000}"/>
    <cellStyle name="Input 7 4 2 3 5" xfId="16825" xr:uid="{00000000-0005-0000-0000-000068260000}"/>
    <cellStyle name="Input 7 4 2 3 6" xfId="16826" xr:uid="{00000000-0005-0000-0000-000069260000}"/>
    <cellStyle name="Input 7 4 2 4" xfId="16827" xr:uid="{00000000-0005-0000-0000-00006A260000}"/>
    <cellStyle name="Input 7 4 2 4 2" xfId="16828" xr:uid="{00000000-0005-0000-0000-00006B260000}"/>
    <cellStyle name="Input 7 4 2 4 2 2" xfId="16830" xr:uid="{00000000-0005-0000-0000-00006C260000}"/>
    <cellStyle name="Input 7 4 2 4 2 3" xfId="16831" xr:uid="{00000000-0005-0000-0000-00006D260000}"/>
    <cellStyle name="Input 7 4 2 4 2 4" xfId="1981" xr:uid="{00000000-0005-0000-0000-00006E260000}"/>
    <cellStyle name="Input 7 4 2 4 3" xfId="16832" xr:uid="{00000000-0005-0000-0000-00006F260000}"/>
    <cellStyle name="Input 7 4 2 4 4" xfId="16833" xr:uid="{00000000-0005-0000-0000-000070260000}"/>
    <cellStyle name="Input 7 4 2 4 5" xfId="16834" xr:uid="{00000000-0005-0000-0000-000071260000}"/>
    <cellStyle name="Input 7 4 2 5" xfId="16835" xr:uid="{00000000-0005-0000-0000-000072260000}"/>
    <cellStyle name="Input 7 4 2 5 2" xfId="16836" xr:uid="{00000000-0005-0000-0000-000073260000}"/>
    <cellStyle name="Input 7 4 2 5 3" xfId="16837" xr:uid="{00000000-0005-0000-0000-000074260000}"/>
    <cellStyle name="Input 7 4 2 5 4" xfId="16839" xr:uid="{00000000-0005-0000-0000-000075260000}"/>
    <cellStyle name="Input 7 4 2 6" xfId="16840" xr:uid="{00000000-0005-0000-0000-000076260000}"/>
    <cellStyle name="Input 7 4 2 7" xfId="16841" xr:uid="{00000000-0005-0000-0000-000077260000}"/>
    <cellStyle name="Input 7 4 2 8" xfId="16842" xr:uid="{00000000-0005-0000-0000-000078260000}"/>
    <cellStyle name="Input 7 4 3" xfId="16843" xr:uid="{00000000-0005-0000-0000-000079260000}"/>
    <cellStyle name="Input 7 4 3 2" xfId="16844" xr:uid="{00000000-0005-0000-0000-00007A260000}"/>
    <cellStyle name="Input 7 4 3 2 2" xfId="16845" xr:uid="{00000000-0005-0000-0000-00007B260000}"/>
    <cellStyle name="Input 7 4 3 2 2 2" xfId="8929" xr:uid="{00000000-0005-0000-0000-00007C260000}"/>
    <cellStyle name="Input 7 4 3 2 2 2 2" xfId="964" xr:uid="{00000000-0005-0000-0000-00007D260000}"/>
    <cellStyle name="Input 7 4 3 2 2 2 3" xfId="993" xr:uid="{00000000-0005-0000-0000-00007E260000}"/>
    <cellStyle name="Input 7 4 3 2 2 2 4" xfId="1007" xr:uid="{00000000-0005-0000-0000-00007F260000}"/>
    <cellStyle name="Input 7 4 3 2 2 3" xfId="8944" xr:uid="{00000000-0005-0000-0000-000080260000}"/>
    <cellStyle name="Input 7 4 3 2 2 4" xfId="8969" xr:uid="{00000000-0005-0000-0000-000081260000}"/>
    <cellStyle name="Input 7 4 3 2 2 5" xfId="8974" xr:uid="{00000000-0005-0000-0000-000082260000}"/>
    <cellStyle name="Input 7 4 3 2 3" xfId="16846" xr:uid="{00000000-0005-0000-0000-000083260000}"/>
    <cellStyle name="Input 7 4 3 2 3 2" xfId="9169" xr:uid="{00000000-0005-0000-0000-000084260000}"/>
    <cellStyle name="Input 7 4 3 2 3 3" xfId="9174" xr:uid="{00000000-0005-0000-0000-000085260000}"/>
    <cellStyle name="Input 7 4 3 2 3 4" xfId="3749" xr:uid="{00000000-0005-0000-0000-000086260000}"/>
    <cellStyle name="Input 7 4 3 2 4" xfId="16847" xr:uid="{00000000-0005-0000-0000-000087260000}"/>
    <cellStyle name="Input 7 4 3 2 5" xfId="16848" xr:uid="{00000000-0005-0000-0000-000088260000}"/>
    <cellStyle name="Input 7 4 3 2 6" xfId="16849" xr:uid="{00000000-0005-0000-0000-000089260000}"/>
    <cellStyle name="Input 7 4 3 3" xfId="16851" xr:uid="{00000000-0005-0000-0000-00008A260000}"/>
    <cellStyle name="Input 7 4 3 3 2" xfId="16852" xr:uid="{00000000-0005-0000-0000-00008B260000}"/>
    <cellStyle name="Input 7 4 3 3 2 2" xfId="3353" xr:uid="{00000000-0005-0000-0000-00008C260000}"/>
    <cellStyle name="Input 7 4 3 3 2 3" xfId="3357" xr:uid="{00000000-0005-0000-0000-00008D260000}"/>
    <cellStyle name="Input 7 4 3 3 2 4" xfId="3362" xr:uid="{00000000-0005-0000-0000-00008E260000}"/>
    <cellStyle name="Input 7 4 3 3 3" xfId="16853" xr:uid="{00000000-0005-0000-0000-00008F260000}"/>
    <cellStyle name="Input 7 4 3 3 4" xfId="16854" xr:uid="{00000000-0005-0000-0000-000090260000}"/>
    <cellStyle name="Input 7 4 3 3 5" xfId="16855" xr:uid="{00000000-0005-0000-0000-000091260000}"/>
    <cellStyle name="Input 7 4 3 4" xfId="8252" xr:uid="{00000000-0005-0000-0000-000092260000}"/>
    <cellStyle name="Input 7 4 3 4 2" xfId="8367" xr:uid="{00000000-0005-0000-0000-000093260000}"/>
    <cellStyle name="Input 7 4 3 4 3" xfId="8471" xr:uid="{00000000-0005-0000-0000-000094260000}"/>
    <cellStyle name="Input 7 4 3 4 4" xfId="8518" xr:uid="{00000000-0005-0000-0000-000095260000}"/>
    <cellStyle name="Input 7 4 3 5" xfId="8257" xr:uid="{00000000-0005-0000-0000-000096260000}"/>
    <cellStyle name="Input 7 4 3 6" xfId="8661" xr:uid="{00000000-0005-0000-0000-000097260000}"/>
    <cellStyle name="Input 7 4 3 7" xfId="8681" xr:uid="{00000000-0005-0000-0000-000098260000}"/>
    <cellStyle name="Input 7 4 4" xfId="16856" xr:uid="{00000000-0005-0000-0000-000099260000}"/>
    <cellStyle name="Input 7 4 4 2" xfId="16857" xr:uid="{00000000-0005-0000-0000-00009A260000}"/>
    <cellStyle name="Input 7 4 4 2 2" xfId="9135" xr:uid="{00000000-0005-0000-0000-00009B260000}"/>
    <cellStyle name="Input 7 4 4 2 2 2" xfId="15959" xr:uid="{00000000-0005-0000-0000-00009C260000}"/>
    <cellStyle name="Input 7 4 4 2 2 3" xfId="16515" xr:uid="{00000000-0005-0000-0000-00009D260000}"/>
    <cellStyle name="Input 7 4 4 2 2 4" xfId="16858" xr:uid="{00000000-0005-0000-0000-00009E260000}"/>
    <cellStyle name="Input 7 4 4 2 3" xfId="10272" xr:uid="{00000000-0005-0000-0000-00009F260000}"/>
    <cellStyle name="Input 7 4 4 2 4" xfId="16859" xr:uid="{00000000-0005-0000-0000-0000A0260000}"/>
    <cellStyle name="Input 7 4 4 2 5" xfId="16860" xr:uid="{00000000-0005-0000-0000-0000A1260000}"/>
    <cellStyle name="Input 7 4 4 3" xfId="16862" xr:uid="{00000000-0005-0000-0000-0000A2260000}"/>
    <cellStyle name="Input 7 4 4 3 2" xfId="16863" xr:uid="{00000000-0005-0000-0000-0000A3260000}"/>
    <cellStyle name="Input 7 4 4 3 3" xfId="16864" xr:uid="{00000000-0005-0000-0000-0000A4260000}"/>
    <cellStyle name="Input 7 4 4 3 4" xfId="16865" xr:uid="{00000000-0005-0000-0000-0000A5260000}"/>
    <cellStyle name="Input 7 4 4 4" xfId="7398" xr:uid="{00000000-0005-0000-0000-0000A6260000}"/>
    <cellStyle name="Input 7 4 4 5" xfId="7282" xr:uid="{00000000-0005-0000-0000-0000A7260000}"/>
    <cellStyle name="Input 7 4 4 6" xfId="7287" xr:uid="{00000000-0005-0000-0000-0000A8260000}"/>
    <cellStyle name="Input 7 4 5" xfId="16867" xr:uid="{00000000-0005-0000-0000-0000A9260000}"/>
    <cellStyle name="Input 7 4 5 2" xfId="16041" xr:uid="{00000000-0005-0000-0000-0000AA260000}"/>
    <cellStyle name="Input 7 4 5 2 2" xfId="15243" xr:uid="{00000000-0005-0000-0000-0000AB260000}"/>
    <cellStyle name="Input 7 4 5 2 3" xfId="16868" xr:uid="{00000000-0005-0000-0000-0000AC260000}"/>
    <cellStyle name="Input 7 4 5 2 4" xfId="16869" xr:uid="{00000000-0005-0000-0000-0000AD260000}"/>
    <cellStyle name="Input 7 4 5 3" xfId="16043" xr:uid="{00000000-0005-0000-0000-0000AE260000}"/>
    <cellStyle name="Input 7 4 5 4" xfId="8834" xr:uid="{00000000-0005-0000-0000-0000AF260000}"/>
    <cellStyle name="Input 7 4 5 5" xfId="8862" xr:uid="{00000000-0005-0000-0000-0000B0260000}"/>
    <cellStyle name="Input 7 4 6" xfId="16871" xr:uid="{00000000-0005-0000-0000-0000B1260000}"/>
    <cellStyle name="Input 7 4 6 2" xfId="16057" xr:uid="{00000000-0005-0000-0000-0000B2260000}"/>
    <cellStyle name="Input 7 4 6 3" xfId="16062" xr:uid="{00000000-0005-0000-0000-0000B3260000}"/>
    <cellStyle name="Input 7 4 6 4" xfId="8892" xr:uid="{00000000-0005-0000-0000-0000B4260000}"/>
    <cellStyle name="Input 7 4 7" xfId="16873" xr:uid="{00000000-0005-0000-0000-0000B5260000}"/>
    <cellStyle name="Input 7 4 8" xfId="16875" xr:uid="{00000000-0005-0000-0000-0000B6260000}"/>
    <cellStyle name="Input 7 4 9" xfId="16877" xr:uid="{00000000-0005-0000-0000-0000B7260000}"/>
    <cellStyle name="Input 7 5" xfId="16878" xr:uid="{00000000-0005-0000-0000-0000B8260000}"/>
    <cellStyle name="Input 7 5 2" xfId="16879" xr:uid="{00000000-0005-0000-0000-0000B9260000}"/>
    <cellStyle name="Input 7 5 2 2" xfId="16880" xr:uid="{00000000-0005-0000-0000-0000BA260000}"/>
    <cellStyle name="Input 7 5 2 2 2" xfId="16882" xr:uid="{00000000-0005-0000-0000-0000BB260000}"/>
    <cellStyle name="Input 7 5 2 2 2 2" xfId="13980" xr:uid="{00000000-0005-0000-0000-0000BC260000}"/>
    <cellStyle name="Input 7 5 2 2 2 2 2" xfId="16884" xr:uid="{00000000-0005-0000-0000-0000BD260000}"/>
    <cellStyle name="Input 7 5 2 2 2 2 3" xfId="16885" xr:uid="{00000000-0005-0000-0000-0000BE260000}"/>
    <cellStyle name="Input 7 5 2 2 2 2 4" xfId="16886" xr:uid="{00000000-0005-0000-0000-0000BF260000}"/>
    <cellStyle name="Input 7 5 2 2 2 3" xfId="13984" xr:uid="{00000000-0005-0000-0000-0000C0260000}"/>
    <cellStyle name="Input 7 5 2 2 2 4" xfId="13988" xr:uid="{00000000-0005-0000-0000-0000C1260000}"/>
    <cellStyle name="Input 7 5 2 2 2 5" xfId="1510" xr:uid="{00000000-0005-0000-0000-0000C2260000}"/>
    <cellStyle name="Input 7 5 2 2 3" xfId="16888" xr:uid="{00000000-0005-0000-0000-0000C3260000}"/>
    <cellStyle name="Input 7 5 2 2 3 2" xfId="16893" xr:uid="{00000000-0005-0000-0000-0000C4260000}"/>
    <cellStyle name="Input 7 5 2 2 3 3" xfId="16898" xr:uid="{00000000-0005-0000-0000-0000C5260000}"/>
    <cellStyle name="Input 7 5 2 2 3 4" xfId="16902" xr:uid="{00000000-0005-0000-0000-0000C6260000}"/>
    <cellStyle name="Input 7 5 2 2 4" xfId="1946" xr:uid="{00000000-0005-0000-0000-0000C7260000}"/>
    <cellStyle name="Input 7 5 2 2 5" xfId="9912" xr:uid="{00000000-0005-0000-0000-0000C8260000}"/>
    <cellStyle name="Input 7 5 2 2 6" xfId="7245" xr:uid="{00000000-0005-0000-0000-0000C9260000}"/>
    <cellStyle name="Input 7 5 2 3" xfId="16903" xr:uid="{00000000-0005-0000-0000-0000CA260000}"/>
    <cellStyle name="Input 7 5 2 3 2" xfId="416" xr:uid="{00000000-0005-0000-0000-0000CB260000}"/>
    <cellStyle name="Input 7 5 2 3 2 2" xfId="2252" xr:uid="{00000000-0005-0000-0000-0000CC260000}"/>
    <cellStyle name="Input 7 5 2 3 2 3" xfId="2075" xr:uid="{00000000-0005-0000-0000-0000CD260000}"/>
    <cellStyle name="Input 7 5 2 3 2 4" xfId="16905" xr:uid="{00000000-0005-0000-0000-0000CE260000}"/>
    <cellStyle name="Input 7 5 2 3 3" xfId="447" xr:uid="{00000000-0005-0000-0000-0000CF260000}"/>
    <cellStyle name="Input 7 5 2 3 4" xfId="276" xr:uid="{00000000-0005-0000-0000-0000D0260000}"/>
    <cellStyle name="Input 7 5 2 3 5" xfId="90" xr:uid="{00000000-0005-0000-0000-0000D1260000}"/>
    <cellStyle name="Input 7 5 2 4" xfId="16906" xr:uid="{00000000-0005-0000-0000-0000D2260000}"/>
    <cellStyle name="Input 7 5 2 4 2" xfId="16907" xr:uid="{00000000-0005-0000-0000-0000D3260000}"/>
    <cellStyle name="Input 7 5 2 4 3" xfId="16909" xr:uid="{00000000-0005-0000-0000-0000D4260000}"/>
    <cellStyle name="Input 7 5 2 4 4" xfId="16911" xr:uid="{00000000-0005-0000-0000-0000D5260000}"/>
    <cellStyle name="Input 7 5 2 5" xfId="16912" xr:uid="{00000000-0005-0000-0000-0000D6260000}"/>
    <cellStyle name="Input 7 5 2 6" xfId="16913" xr:uid="{00000000-0005-0000-0000-0000D7260000}"/>
    <cellStyle name="Input 7 5 2 7" xfId="16914" xr:uid="{00000000-0005-0000-0000-0000D8260000}"/>
    <cellStyle name="Input 7 5 3" xfId="16915" xr:uid="{00000000-0005-0000-0000-0000D9260000}"/>
    <cellStyle name="Input 7 5 3 2" xfId="16916" xr:uid="{00000000-0005-0000-0000-0000DA260000}"/>
    <cellStyle name="Input 7 5 3 2 2" xfId="16917" xr:uid="{00000000-0005-0000-0000-0000DB260000}"/>
    <cellStyle name="Input 7 5 3 2 2 2" xfId="16550" xr:uid="{00000000-0005-0000-0000-0000DC260000}"/>
    <cellStyle name="Input 7 5 3 2 2 3" xfId="16554" xr:uid="{00000000-0005-0000-0000-0000DD260000}"/>
    <cellStyle name="Input 7 5 3 2 2 4" xfId="16918" xr:uid="{00000000-0005-0000-0000-0000DE260000}"/>
    <cellStyle name="Input 7 5 3 2 3" xfId="16920" xr:uid="{00000000-0005-0000-0000-0000DF260000}"/>
    <cellStyle name="Input 7 5 3 2 4" xfId="9924" xr:uid="{00000000-0005-0000-0000-0000E0260000}"/>
    <cellStyle name="Input 7 5 3 2 5" xfId="9928" xr:uid="{00000000-0005-0000-0000-0000E1260000}"/>
    <cellStyle name="Input 7 5 3 3" xfId="16921" xr:uid="{00000000-0005-0000-0000-0000E2260000}"/>
    <cellStyle name="Input 7 5 3 3 2" xfId="16922" xr:uid="{00000000-0005-0000-0000-0000E3260000}"/>
    <cellStyle name="Input 7 5 3 3 3" xfId="16924" xr:uid="{00000000-0005-0000-0000-0000E4260000}"/>
    <cellStyle name="Input 7 5 3 3 4" xfId="16926" xr:uid="{00000000-0005-0000-0000-0000E5260000}"/>
    <cellStyle name="Input 7 5 3 4" xfId="8982" xr:uid="{00000000-0005-0000-0000-0000E6260000}"/>
    <cellStyle name="Input 7 5 3 5" xfId="9068" xr:uid="{00000000-0005-0000-0000-0000E7260000}"/>
    <cellStyle name="Input 7 5 3 6" xfId="9087" xr:uid="{00000000-0005-0000-0000-0000E8260000}"/>
    <cellStyle name="Input 7 5 4" xfId="16928" xr:uid="{00000000-0005-0000-0000-0000E9260000}"/>
    <cellStyle name="Input 7 5 4 2" xfId="16930" xr:uid="{00000000-0005-0000-0000-0000EA260000}"/>
    <cellStyle name="Input 7 5 4 2 2" xfId="16932" xr:uid="{00000000-0005-0000-0000-0000EB260000}"/>
    <cellStyle name="Input 7 5 4 2 3" xfId="16934" xr:uid="{00000000-0005-0000-0000-0000EC260000}"/>
    <cellStyle name="Input 7 5 4 2 4" xfId="11221" xr:uid="{00000000-0005-0000-0000-0000ED260000}"/>
    <cellStyle name="Input 7 5 4 3" xfId="16937" xr:uid="{00000000-0005-0000-0000-0000EE260000}"/>
    <cellStyle name="Input 7 5 4 4" xfId="1954" xr:uid="{00000000-0005-0000-0000-0000EF260000}"/>
    <cellStyle name="Input 7 5 4 5" xfId="2611" xr:uid="{00000000-0005-0000-0000-0000F0260000}"/>
    <cellStyle name="Input 7 5 5" xfId="16940" xr:uid="{00000000-0005-0000-0000-0000F1260000}"/>
    <cellStyle name="Input 7 5 5 2" xfId="16075" xr:uid="{00000000-0005-0000-0000-0000F2260000}"/>
    <cellStyle name="Input 7 5 5 3" xfId="16081" xr:uid="{00000000-0005-0000-0000-0000F3260000}"/>
    <cellStyle name="Input 7 5 5 4" xfId="288" xr:uid="{00000000-0005-0000-0000-0000F4260000}"/>
    <cellStyle name="Input 7 5 6" xfId="16945" xr:uid="{00000000-0005-0000-0000-0000F5260000}"/>
    <cellStyle name="Input 7 5 7" xfId="16950" xr:uid="{00000000-0005-0000-0000-0000F6260000}"/>
    <cellStyle name="Input 7 5 8" xfId="16955" xr:uid="{00000000-0005-0000-0000-0000F7260000}"/>
    <cellStyle name="Input 7 6" xfId="517" xr:uid="{00000000-0005-0000-0000-0000F8260000}"/>
    <cellStyle name="Input 7 6 2" xfId="1980" xr:uid="{00000000-0005-0000-0000-0000F9260000}"/>
    <cellStyle name="Input 7 6 2 2" xfId="1987" xr:uid="{00000000-0005-0000-0000-0000FA260000}"/>
    <cellStyle name="Input 7 6 2 2 2" xfId="1993" xr:uid="{00000000-0005-0000-0000-0000FB260000}"/>
    <cellStyle name="Input 7 6 2 2 2 2" xfId="1292" xr:uid="{00000000-0005-0000-0000-0000FC260000}"/>
    <cellStyle name="Input 7 6 2 2 2 3" xfId="9624" xr:uid="{00000000-0005-0000-0000-0000FD260000}"/>
    <cellStyle name="Input 7 6 2 2 2 4" xfId="9630" xr:uid="{00000000-0005-0000-0000-0000FE260000}"/>
    <cellStyle name="Input 7 6 2 2 3" xfId="1998" xr:uid="{00000000-0005-0000-0000-0000FF260000}"/>
    <cellStyle name="Input 7 6 2 2 4" xfId="2014" xr:uid="{00000000-0005-0000-0000-000000270000}"/>
    <cellStyle name="Input 7 6 2 2 5" xfId="9634" xr:uid="{00000000-0005-0000-0000-000001270000}"/>
    <cellStyle name="Input 7 6 2 3" xfId="2025" xr:uid="{00000000-0005-0000-0000-000002270000}"/>
    <cellStyle name="Input 7 6 2 3 2" xfId="2034" xr:uid="{00000000-0005-0000-0000-000003270000}"/>
    <cellStyle name="Input 7 6 2 3 3" xfId="9641" xr:uid="{00000000-0005-0000-0000-000004270000}"/>
    <cellStyle name="Input 7 6 2 3 4" xfId="9646" xr:uid="{00000000-0005-0000-0000-000005270000}"/>
    <cellStyle name="Input 7 6 2 4" xfId="2043" xr:uid="{00000000-0005-0000-0000-000006270000}"/>
    <cellStyle name="Input 7 6 2 5" xfId="2067" xr:uid="{00000000-0005-0000-0000-000007270000}"/>
    <cellStyle name="Input 7 6 2 6" xfId="2081" xr:uid="{00000000-0005-0000-0000-000008270000}"/>
    <cellStyle name="Input 7 6 3" xfId="2105" xr:uid="{00000000-0005-0000-0000-000009270000}"/>
    <cellStyle name="Input 7 6 3 2" xfId="9649" xr:uid="{00000000-0005-0000-0000-00000A270000}"/>
    <cellStyle name="Input 7 6 3 2 2" xfId="9656" xr:uid="{00000000-0005-0000-0000-00000B270000}"/>
    <cellStyle name="Input 7 6 3 2 3" xfId="9662" xr:uid="{00000000-0005-0000-0000-00000C270000}"/>
    <cellStyle name="Input 7 6 3 2 4" xfId="9668" xr:uid="{00000000-0005-0000-0000-00000D270000}"/>
    <cellStyle name="Input 7 6 3 3" xfId="9674" xr:uid="{00000000-0005-0000-0000-00000E270000}"/>
    <cellStyle name="Input 7 6 3 4" xfId="9189" xr:uid="{00000000-0005-0000-0000-00000F270000}"/>
    <cellStyle name="Input 7 6 3 5" xfId="9253" xr:uid="{00000000-0005-0000-0000-000010270000}"/>
    <cellStyle name="Input 7 6 4" xfId="2112" xr:uid="{00000000-0005-0000-0000-000011270000}"/>
    <cellStyle name="Input 7 6 4 2" xfId="9682" xr:uid="{00000000-0005-0000-0000-000012270000}"/>
    <cellStyle name="Input 7 6 4 3" xfId="2762" xr:uid="{00000000-0005-0000-0000-000013270000}"/>
    <cellStyle name="Input 7 6 4 4" xfId="2777" xr:uid="{00000000-0005-0000-0000-000014270000}"/>
    <cellStyle name="Input 7 6 5" xfId="3177" xr:uid="{00000000-0005-0000-0000-000015270000}"/>
    <cellStyle name="Input 7 6 6" xfId="9696" xr:uid="{00000000-0005-0000-0000-000016270000}"/>
    <cellStyle name="Input 7 6 7" xfId="9705" xr:uid="{00000000-0005-0000-0000-000017270000}"/>
    <cellStyle name="Input 7 7" xfId="576" xr:uid="{00000000-0005-0000-0000-000018270000}"/>
    <cellStyle name="Input 7 7 2" xfId="2121" xr:uid="{00000000-0005-0000-0000-000019270000}"/>
    <cellStyle name="Input 7 7 2 2" xfId="2130" xr:uid="{00000000-0005-0000-0000-00001A270000}"/>
    <cellStyle name="Input 7 7 2 2 2" xfId="2144" xr:uid="{00000000-0005-0000-0000-00001B270000}"/>
    <cellStyle name="Input 7 7 2 2 3" xfId="1190" xr:uid="{00000000-0005-0000-0000-00001C270000}"/>
    <cellStyle name="Input 7 7 2 2 4" xfId="1302" xr:uid="{00000000-0005-0000-0000-00001D270000}"/>
    <cellStyle name="Input 7 7 2 3" xfId="2157" xr:uid="{00000000-0005-0000-0000-00001E270000}"/>
    <cellStyle name="Input 7 7 2 4" xfId="1141" xr:uid="{00000000-0005-0000-0000-00001F270000}"/>
    <cellStyle name="Input 7 7 2 5" xfId="2178" xr:uid="{00000000-0005-0000-0000-000020270000}"/>
    <cellStyle name="Input 7 7 3" xfId="2240" xr:uid="{00000000-0005-0000-0000-000021270000}"/>
    <cellStyle name="Input 7 7 3 2" xfId="394" xr:uid="{00000000-0005-0000-0000-000022270000}"/>
    <cellStyle name="Input 7 7 3 3" xfId="423" xr:uid="{00000000-0005-0000-0000-000023270000}"/>
    <cellStyle name="Input 7 7 3 4" xfId="457" xr:uid="{00000000-0005-0000-0000-000024270000}"/>
    <cellStyle name="Input 7 7 4" xfId="1928" xr:uid="{00000000-0005-0000-0000-000025270000}"/>
    <cellStyle name="Input 7 7 5" xfId="9709" xr:uid="{00000000-0005-0000-0000-000026270000}"/>
    <cellStyle name="Input 7 7 6" xfId="9722" xr:uid="{00000000-0005-0000-0000-000027270000}"/>
    <cellStyle name="Input 7 8" xfId="3189" xr:uid="{00000000-0005-0000-0000-000028270000}"/>
    <cellStyle name="Input 7 8 2" xfId="4885" xr:uid="{00000000-0005-0000-0000-000029270000}"/>
    <cellStyle name="Input 7 8 2 2" xfId="9262" xr:uid="{00000000-0005-0000-0000-00002A270000}"/>
    <cellStyle name="Input 7 8 2 3" xfId="9267" xr:uid="{00000000-0005-0000-0000-00002B270000}"/>
    <cellStyle name="Input 7 8 2 4" xfId="9725" xr:uid="{00000000-0005-0000-0000-00002C270000}"/>
    <cellStyle name="Input 7 8 3" xfId="6344" xr:uid="{00000000-0005-0000-0000-00002D270000}"/>
    <cellStyle name="Input 7 8 4" xfId="408" xr:uid="{00000000-0005-0000-0000-00002E270000}"/>
    <cellStyle name="Input 7 8 5" xfId="9731" xr:uid="{00000000-0005-0000-0000-00002F270000}"/>
    <cellStyle name="Input 7 9" xfId="740" xr:uid="{00000000-0005-0000-0000-000030270000}"/>
    <cellStyle name="Input 7 9 2" xfId="9738" xr:uid="{00000000-0005-0000-0000-000031270000}"/>
    <cellStyle name="Input 7 9 3" xfId="9741" xr:uid="{00000000-0005-0000-0000-000032270000}"/>
    <cellStyle name="Input 7 9 4" xfId="9746" xr:uid="{00000000-0005-0000-0000-000033270000}"/>
    <cellStyle name="Input 8" xfId="16958" xr:uid="{00000000-0005-0000-0000-000034270000}"/>
    <cellStyle name="Input 8 10" xfId="2250" xr:uid="{00000000-0005-0000-0000-000035270000}"/>
    <cellStyle name="Input 8 11" xfId="2073" xr:uid="{00000000-0005-0000-0000-000036270000}"/>
    <cellStyle name="Input 8 12" xfId="16904" xr:uid="{00000000-0005-0000-0000-000037270000}"/>
    <cellStyle name="Input 8 2" xfId="16959" xr:uid="{00000000-0005-0000-0000-000038270000}"/>
    <cellStyle name="Input 8 2 2" xfId="5513" xr:uid="{00000000-0005-0000-0000-000039270000}"/>
    <cellStyle name="Input 8 2 2 2" xfId="5523" xr:uid="{00000000-0005-0000-0000-00003A270000}"/>
    <cellStyle name="Input 8 2 2 2 2" xfId="4198" xr:uid="{00000000-0005-0000-0000-00003B270000}"/>
    <cellStyle name="Input 8 2 2 2 2 2" xfId="16961" xr:uid="{00000000-0005-0000-0000-00003C270000}"/>
    <cellStyle name="Input 8 2 2 2 2 2 2" xfId="16963" xr:uid="{00000000-0005-0000-0000-00003D270000}"/>
    <cellStyle name="Input 8 2 2 2 2 2 2 2" xfId="16964" xr:uid="{00000000-0005-0000-0000-00003E270000}"/>
    <cellStyle name="Input 8 2 2 2 2 2 2 3" xfId="16965" xr:uid="{00000000-0005-0000-0000-00003F270000}"/>
    <cellStyle name="Input 8 2 2 2 2 2 2 4" xfId="16966" xr:uid="{00000000-0005-0000-0000-000040270000}"/>
    <cellStyle name="Input 8 2 2 2 2 2 3" xfId="16967" xr:uid="{00000000-0005-0000-0000-000041270000}"/>
    <cellStyle name="Input 8 2 2 2 2 2 4" xfId="16969" xr:uid="{00000000-0005-0000-0000-000042270000}"/>
    <cellStyle name="Input 8 2 2 2 2 2 5" xfId="16971" xr:uid="{00000000-0005-0000-0000-000043270000}"/>
    <cellStyle name="Input 8 2 2 2 2 3" xfId="16973" xr:uid="{00000000-0005-0000-0000-000044270000}"/>
    <cellStyle name="Input 8 2 2 2 2 3 2" xfId="16974" xr:uid="{00000000-0005-0000-0000-000045270000}"/>
    <cellStyle name="Input 8 2 2 2 2 3 3" xfId="16975" xr:uid="{00000000-0005-0000-0000-000046270000}"/>
    <cellStyle name="Input 8 2 2 2 2 3 4" xfId="16976" xr:uid="{00000000-0005-0000-0000-000047270000}"/>
    <cellStyle name="Input 8 2 2 2 2 4" xfId="16979" xr:uid="{00000000-0005-0000-0000-000048270000}"/>
    <cellStyle name="Input 8 2 2 2 2 5" xfId="16981" xr:uid="{00000000-0005-0000-0000-000049270000}"/>
    <cellStyle name="Input 8 2 2 2 2 6" xfId="16983" xr:uid="{00000000-0005-0000-0000-00004A270000}"/>
    <cellStyle name="Input 8 2 2 2 3" xfId="5531" xr:uid="{00000000-0005-0000-0000-00004B270000}"/>
    <cellStyle name="Input 8 2 2 2 3 2" xfId="16984" xr:uid="{00000000-0005-0000-0000-00004C270000}"/>
    <cellStyle name="Input 8 2 2 2 3 2 2" xfId="16990" xr:uid="{00000000-0005-0000-0000-00004D270000}"/>
    <cellStyle name="Input 8 2 2 2 3 2 3" xfId="16995" xr:uid="{00000000-0005-0000-0000-00004E270000}"/>
    <cellStyle name="Input 8 2 2 2 3 2 4" xfId="16999" xr:uid="{00000000-0005-0000-0000-00004F270000}"/>
    <cellStyle name="Input 8 2 2 2 3 3" xfId="17003" xr:uid="{00000000-0005-0000-0000-000050270000}"/>
    <cellStyle name="Input 8 2 2 2 3 4" xfId="17006" xr:uid="{00000000-0005-0000-0000-000051270000}"/>
    <cellStyle name="Input 8 2 2 2 3 5" xfId="17008" xr:uid="{00000000-0005-0000-0000-000052270000}"/>
    <cellStyle name="Input 8 2 2 2 4" xfId="5537" xr:uid="{00000000-0005-0000-0000-000053270000}"/>
    <cellStyle name="Input 8 2 2 2 4 2" xfId="17011" xr:uid="{00000000-0005-0000-0000-000054270000}"/>
    <cellStyle name="Input 8 2 2 2 4 3" xfId="17014" xr:uid="{00000000-0005-0000-0000-000055270000}"/>
    <cellStyle name="Input 8 2 2 2 4 4" xfId="17016" xr:uid="{00000000-0005-0000-0000-000056270000}"/>
    <cellStyle name="Input 8 2 2 2 5" xfId="17018" xr:uid="{00000000-0005-0000-0000-000057270000}"/>
    <cellStyle name="Input 8 2 2 2 6" xfId="17019" xr:uid="{00000000-0005-0000-0000-000058270000}"/>
    <cellStyle name="Input 8 2 2 2 7" xfId="17020" xr:uid="{00000000-0005-0000-0000-000059270000}"/>
    <cellStyle name="Input 8 2 2 3" xfId="5543" xr:uid="{00000000-0005-0000-0000-00005A270000}"/>
    <cellStyle name="Input 8 2 2 3 2" xfId="17024" xr:uid="{00000000-0005-0000-0000-00005B270000}"/>
    <cellStyle name="Input 8 2 2 3 2 2" xfId="10525" xr:uid="{00000000-0005-0000-0000-00005C270000}"/>
    <cellStyle name="Input 8 2 2 3 2 2 2" xfId="17026" xr:uid="{00000000-0005-0000-0000-00005D270000}"/>
    <cellStyle name="Input 8 2 2 3 2 2 3" xfId="17027" xr:uid="{00000000-0005-0000-0000-00005E270000}"/>
    <cellStyle name="Input 8 2 2 3 2 2 4" xfId="711" xr:uid="{00000000-0005-0000-0000-00005F270000}"/>
    <cellStyle name="Input 8 2 2 3 2 3" xfId="10527" xr:uid="{00000000-0005-0000-0000-000060270000}"/>
    <cellStyle name="Input 8 2 2 3 2 4" xfId="17029" xr:uid="{00000000-0005-0000-0000-000061270000}"/>
    <cellStyle name="Input 8 2 2 3 2 5" xfId="17031" xr:uid="{00000000-0005-0000-0000-000062270000}"/>
    <cellStyle name="Input 8 2 2 3 3" xfId="17033" xr:uid="{00000000-0005-0000-0000-000063270000}"/>
    <cellStyle name="Input 8 2 2 3 3 2" xfId="17035" xr:uid="{00000000-0005-0000-0000-000064270000}"/>
    <cellStyle name="Input 8 2 2 3 3 3" xfId="17039" xr:uid="{00000000-0005-0000-0000-000065270000}"/>
    <cellStyle name="Input 8 2 2 3 3 4" xfId="17043" xr:uid="{00000000-0005-0000-0000-000066270000}"/>
    <cellStyle name="Input 8 2 2 3 4" xfId="17045" xr:uid="{00000000-0005-0000-0000-000067270000}"/>
    <cellStyle name="Input 8 2 2 3 5" xfId="17046" xr:uid="{00000000-0005-0000-0000-000068270000}"/>
    <cellStyle name="Input 8 2 2 3 6" xfId="17047" xr:uid="{00000000-0005-0000-0000-000069270000}"/>
    <cellStyle name="Input 8 2 2 4" xfId="5551" xr:uid="{00000000-0005-0000-0000-00006A270000}"/>
    <cellStyle name="Input 8 2 2 4 2" xfId="7378" xr:uid="{00000000-0005-0000-0000-00006B270000}"/>
    <cellStyle name="Input 8 2 2 4 2 2" xfId="7193" xr:uid="{00000000-0005-0000-0000-00006C270000}"/>
    <cellStyle name="Input 8 2 2 4 2 3" xfId="17050" xr:uid="{00000000-0005-0000-0000-00006D270000}"/>
    <cellStyle name="Input 8 2 2 4 2 4" xfId="17052" xr:uid="{00000000-0005-0000-0000-00006E270000}"/>
    <cellStyle name="Input 8 2 2 4 3" xfId="7380" xr:uid="{00000000-0005-0000-0000-00006F270000}"/>
    <cellStyle name="Input 8 2 2 4 4" xfId="5150" xr:uid="{00000000-0005-0000-0000-000070270000}"/>
    <cellStyle name="Input 8 2 2 4 5" xfId="17053" xr:uid="{00000000-0005-0000-0000-000071270000}"/>
    <cellStyle name="Input 8 2 2 5" xfId="5559" xr:uid="{00000000-0005-0000-0000-000072270000}"/>
    <cellStyle name="Input 8 2 2 5 2" xfId="17055" xr:uid="{00000000-0005-0000-0000-000073270000}"/>
    <cellStyle name="Input 8 2 2 5 3" xfId="17056" xr:uid="{00000000-0005-0000-0000-000074270000}"/>
    <cellStyle name="Input 8 2 2 5 4" xfId="17058" xr:uid="{00000000-0005-0000-0000-000075270000}"/>
    <cellStyle name="Input 8 2 2 6" xfId="7386" xr:uid="{00000000-0005-0000-0000-000076270000}"/>
    <cellStyle name="Input 8 2 2 7" xfId="1244" xr:uid="{00000000-0005-0000-0000-000077270000}"/>
    <cellStyle name="Input 8 2 2 8" xfId="8870" xr:uid="{00000000-0005-0000-0000-000078270000}"/>
    <cellStyle name="Input 8 2 3" xfId="5567" xr:uid="{00000000-0005-0000-0000-000079270000}"/>
    <cellStyle name="Input 8 2 3 2" xfId="5580" xr:uid="{00000000-0005-0000-0000-00007A270000}"/>
    <cellStyle name="Input 8 2 3 2 2" xfId="17060" xr:uid="{00000000-0005-0000-0000-00007B270000}"/>
    <cellStyle name="Input 8 2 3 2 2 2" xfId="4716" xr:uid="{00000000-0005-0000-0000-00007C270000}"/>
    <cellStyle name="Input 8 2 3 2 2 2 2" xfId="4718" xr:uid="{00000000-0005-0000-0000-00007D270000}"/>
    <cellStyle name="Input 8 2 3 2 2 2 3" xfId="795" xr:uid="{00000000-0005-0000-0000-00007E270000}"/>
    <cellStyle name="Input 8 2 3 2 2 2 4" xfId="807" xr:uid="{00000000-0005-0000-0000-00007F270000}"/>
    <cellStyle name="Input 8 2 3 2 2 3" xfId="1896" xr:uid="{00000000-0005-0000-0000-000080270000}"/>
    <cellStyle name="Input 8 2 3 2 2 4" xfId="4742" xr:uid="{00000000-0005-0000-0000-000081270000}"/>
    <cellStyle name="Input 8 2 3 2 2 5" xfId="4746" xr:uid="{00000000-0005-0000-0000-000082270000}"/>
    <cellStyle name="Input 8 2 3 2 3" xfId="17062" xr:uid="{00000000-0005-0000-0000-000083270000}"/>
    <cellStyle name="Input 8 2 3 2 3 2" xfId="4775" xr:uid="{00000000-0005-0000-0000-000084270000}"/>
    <cellStyle name="Input 8 2 3 2 3 3" xfId="295" xr:uid="{00000000-0005-0000-0000-000085270000}"/>
    <cellStyle name="Input 8 2 3 2 3 4" xfId="115" xr:uid="{00000000-0005-0000-0000-000086270000}"/>
    <cellStyle name="Input 8 2 3 2 4" xfId="17063" xr:uid="{00000000-0005-0000-0000-000087270000}"/>
    <cellStyle name="Input 8 2 3 2 5" xfId="17064" xr:uid="{00000000-0005-0000-0000-000088270000}"/>
    <cellStyle name="Input 8 2 3 2 6" xfId="17065" xr:uid="{00000000-0005-0000-0000-000089270000}"/>
    <cellStyle name="Input 8 2 3 3" xfId="5594" xr:uid="{00000000-0005-0000-0000-00008A270000}"/>
    <cellStyle name="Input 8 2 3 3 2" xfId="17067" xr:uid="{00000000-0005-0000-0000-00008B270000}"/>
    <cellStyle name="Input 8 2 3 3 2 2" xfId="4911" xr:uid="{00000000-0005-0000-0000-00008C270000}"/>
    <cellStyle name="Input 8 2 3 3 2 3" xfId="4919" xr:uid="{00000000-0005-0000-0000-00008D270000}"/>
    <cellStyle name="Input 8 2 3 3 2 4" xfId="4927" xr:uid="{00000000-0005-0000-0000-00008E270000}"/>
    <cellStyle name="Input 8 2 3 3 3" xfId="17069" xr:uid="{00000000-0005-0000-0000-00008F270000}"/>
    <cellStyle name="Input 8 2 3 3 4" xfId="17071" xr:uid="{00000000-0005-0000-0000-000090270000}"/>
    <cellStyle name="Input 8 2 3 3 5" xfId="17072" xr:uid="{00000000-0005-0000-0000-000091270000}"/>
    <cellStyle name="Input 8 2 3 4" xfId="5609" xr:uid="{00000000-0005-0000-0000-000092270000}"/>
    <cellStyle name="Input 8 2 3 4 2" xfId="17073" xr:uid="{00000000-0005-0000-0000-000093270000}"/>
    <cellStyle name="Input 8 2 3 4 3" xfId="17074" xr:uid="{00000000-0005-0000-0000-000094270000}"/>
    <cellStyle name="Input 8 2 3 4 4" xfId="17075" xr:uid="{00000000-0005-0000-0000-000095270000}"/>
    <cellStyle name="Input 8 2 3 5" xfId="6548" xr:uid="{00000000-0005-0000-0000-000096270000}"/>
    <cellStyle name="Input 8 2 3 6" xfId="6561" xr:uid="{00000000-0005-0000-0000-000097270000}"/>
    <cellStyle name="Input 8 2 3 7" xfId="17077" xr:uid="{00000000-0005-0000-0000-000098270000}"/>
    <cellStyle name="Input 8 2 4" xfId="5617" xr:uid="{00000000-0005-0000-0000-000099270000}"/>
    <cellStyle name="Input 8 2 4 2" xfId="17078" xr:uid="{00000000-0005-0000-0000-00009A270000}"/>
    <cellStyle name="Input 8 2 4 2 2" xfId="10304" xr:uid="{00000000-0005-0000-0000-00009B270000}"/>
    <cellStyle name="Input 8 2 4 2 2 2" xfId="5864" xr:uid="{00000000-0005-0000-0000-00009C270000}"/>
    <cellStyle name="Input 8 2 4 2 2 3" xfId="5924" xr:uid="{00000000-0005-0000-0000-00009D270000}"/>
    <cellStyle name="Input 8 2 4 2 2 4" xfId="1048" xr:uid="{00000000-0005-0000-0000-00009E270000}"/>
    <cellStyle name="Input 8 2 4 2 3" xfId="10204" xr:uid="{00000000-0005-0000-0000-00009F270000}"/>
    <cellStyle name="Input 8 2 4 2 4" xfId="10211" xr:uid="{00000000-0005-0000-0000-0000A0270000}"/>
    <cellStyle name="Input 8 2 4 2 5" xfId="10218" xr:uid="{00000000-0005-0000-0000-0000A1270000}"/>
    <cellStyle name="Input 8 2 4 3" xfId="17080" xr:uid="{00000000-0005-0000-0000-0000A2270000}"/>
    <cellStyle name="Input 8 2 4 3 2" xfId="10337" xr:uid="{00000000-0005-0000-0000-0000A3270000}"/>
    <cellStyle name="Input 8 2 4 3 3" xfId="8135" xr:uid="{00000000-0005-0000-0000-0000A4270000}"/>
    <cellStyle name="Input 8 2 4 3 4" xfId="8157" xr:uid="{00000000-0005-0000-0000-0000A5270000}"/>
    <cellStyle name="Input 8 2 4 4" xfId="17082" xr:uid="{00000000-0005-0000-0000-0000A6270000}"/>
    <cellStyle name="Input 8 2 4 5" xfId="17084" xr:uid="{00000000-0005-0000-0000-0000A7270000}"/>
    <cellStyle name="Input 8 2 4 6" xfId="17085" xr:uid="{00000000-0005-0000-0000-0000A8270000}"/>
    <cellStyle name="Input 8 2 5" xfId="5624" xr:uid="{00000000-0005-0000-0000-0000A9270000}"/>
    <cellStyle name="Input 8 2 5 2" xfId="8950" xr:uid="{00000000-0005-0000-0000-0000AA270000}"/>
    <cellStyle name="Input 8 2 5 2 2" xfId="7572" xr:uid="{00000000-0005-0000-0000-0000AB270000}"/>
    <cellStyle name="Input 8 2 5 2 3" xfId="10358" xr:uid="{00000000-0005-0000-0000-0000AC270000}"/>
    <cellStyle name="Input 8 2 5 2 4" xfId="10363" xr:uid="{00000000-0005-0000-0000-0000AD270000}"/>
    <cellStyle name="Input 8 2 5 3" xfId="8954" xr:uid="{00000000-0005-0000-0000-0000AE270000}"/>
    <cellStyle name="Input 8 2 5 4" xfId="8960" xr:uid="{00000000-0005-0000-0000-0000AF270000}"/>
    <cellStyle name="Input 8 2 5 5" xfId="17086" xr:uid="{00000000-0005-0000-0000-0000B0270000}"/>
    <cellStyle name="Input 8 2 6" xfId="5633" xr:uid="{00000000-0005-0000-0000-0000B1270000}"/>
    <cellStyle name="Input 8 2 6 2" xfId="17087" xr:uid="{00000000-0005-0000-0000-0000B2270000}"/>
    <cellStyle name="Input 8 2 6 3" xfId="17088" xr:uid="{00000000-0005-0000-0000-0000B3270000}"/>
    <cellStyle name="Input 8 2 6 4" xfId="17089" xr:uid="{00000000-0005-0000-0000-0000B4270000}"/>
    <cellStyle name="Input 8 2 7" xfId="8964" xr:uid="{00000000-0005-0000-0000-0000B5270000}"/>
    <cellStyle name="Input 8 2 8" xfId="8968" xr:uid="{00000000-0005-0000-0000-0000B6270000}"/>
    <cellStyle name="Input 8 2 9" xfId="9204" xr:uid="{00000000-0005-0000-0000-0000B7270000}"/>
    <cellStyle name="Input 8 3" xfId="17090" xr:uid="{00000000-0005-0000-0000-0000B8270000}"/>
    <cellStyle name="Input 8 3 2" xfId="5679" xr:uid="{00000000-0005-0000-0000-0000B9270000}"/>
    <cellStyle name="Input 8 3 2 2" xfId="3891" xr:uid="{00000000-0005-0000-0000-0000BA270000}"/>
    <cellStyle name="Input 8 3 2 2 2" xfId="17093" xr:uid="{00000000-0005-0000-0000-0000BB270000}"/>
    <cellStyle name="Input 8 3 2 2 2 2" xfId="17095" xr:uid="{00000000-0005-0000-0000-0000BC270000}"/>
    <cellStyle name="Input 8 3 2 2 2 2 2" xfId="17096" xr:uid="{00000000-0005-0000-0000-0000BD270000}"/>
    <cellStyle name="Input 8 3 2 2 2 2 2 2" xfId="17097" xr:uid="{00000000-0005-0000-0000-0000BE270000}"/>
    <cellStyle name="Input 8 3 2 2 2 2 2 3" xfId="17098" xr:uid="{00000000-0005-0000-0000-0000BF270000}"/>
    <cellStyle name="Input 8 3 2 2 2 2 2 4" xfId="17099" xr:uid="{00000000-0005-0000-0000-0000C0270000}"/>
    <cellStyle name="Input 8 3 2 2 2 2 3" xfId="17100" xr:uid="{00000000-0005-0000-0000-0000C1270000}"/>
    <cellStyle name="Input 8 3 2 2 2 2 4" xfId="17101" xr:uid="{00000000-0005-0000-0000-0000C2270000}"/>
    <cellStyle name="Input 8 3 2 2 2 2 5" xfId="17103" xr:uid="{00000000-0005-0000-0000-0000C3270000}"/>
    <cellStyle name="Input 8 3 2 2 2 3" xfId="17105" xr:uid="{00000000-0005-0000-0000-0000C4270000}"/>
    <cellStyle name="Input 8 3 2 2 2 3 2" xfId="17106" xr:uid="{00000000-0005-0000-0000-0000C5270000}"/>
    <cellStyle name="Input 8 3 2 2 2 3 3" xfId="17107" xr:uid="{00000000-0005-0000-0000-0000C6270000}"/>
    <cellStyle name="Input 8 3 2 2 2 3 4" xfId="11644" xr:uid="{00000000-0005-0000-0000-0000C7270000}"/>
    <cellStyle name="Input 8 3 2 2 2 4" xfId="17108" xr:uid="{00000000-0005-0000-0000-0000C8270000}"/>
    <cellStyle name="Input 8 3 2 2 2 5" xfId="86" xr:uid="{00000000-0005-0000-0000-0000C9270000}"/>
    <cellStyle name="Input 8 3 2 2 2 6" xfId="521" xr:uid="{00000000-0005-0000-0000-0000CA270000}"/>
    <cellStyle name="Input 8 3 2 2 3" xfId="17111" xr:uid="{00000000-0005-0000-0000-0000CB270000}"/>
    <cellStyle name="Input 8 3 2 2 3 2" xfId="17114" xr:uid="{00000000-0005-0000-0000-0000CC270000}"/>
    <cellStyle name="Input 8 3 2 2 3 2 2" xfId="17116" xr:uid="{00000000-0005-0000-0000-0000CD270000}"/>
    <cellStyle name="Input 8 3 2 2 3 2 3" xfId="17120" xr:uid="{00000000-0005-0000-0000-0000CE270000}"/>
    <cellStyle name="Input 8 3 2 2 3 2 4" xfId="17122" xr:uid="{00000000-0005-0000-0000-0000CF270000}"/>
    <cellStyle name="Input 8 3 2 2 3 3" xfId="17124" xr:uid="{00000000-0005-0000-0000-0000D0270000}"/>
    <cellStyle name="Input 8 3 2 2 3 4" xfId="17126" xr:uid="{00000000-0005-0000-0000-0000D1270000}"/>
    <cellStyle name="Input 8 3 2 2 3 5" xfId="15209" xr:uid="{00000000-0005-0000-0000-0000D2270000}"/>
    <cellStyle name="Input 8 3 2 2 4" xfId="17129" xr:uid="{00000000-0005-0000-0000-0000D3270000}"/>
    <cellStyle name="Input 8 3 2 2 4 2" xfId="11953" xr:uid="{00000000-0005-0000-0000-0000D4270000}"/>
    <cellStyle name="Input 8 3 2 2 4 3" xfId="17131" xr:uid="{00000000-0005-0000-0000-0000D5270000}"/>
    <cellStyle name="Input 8 3 2 2 4 4" xfId="17133" xr:uid="{00000000-0005-0000-0000-0000D6270000}"/>
    <cellStyle name="Input 8 3 2 2 5" xfId="17135" xr:uid="{00000000-0005-0000-0000-0000D7270000}"/>
    <cellStyle name="Input 8 3 2 2 6" xfId="17137" xr:uid="{00000000-0005-0000-0000-0000D8270000}"/>
    <cellStyle name="Input 8 3 2 2 7" xfId="17138" xr:uid="{00000000-0005-0000-0000-0000D9270000}"/>
    <cellStyle name="Input 8 3 2 3" xfId="3917" xr:uid="{00000000-0005-0000-0000-0000DA270000}"/>
    <cellStyle name="Input 8 3 2 3 2" xfId="17141" xr:uid="{00000000-0005-0000-0000-0000DB270000}"/>
    <cellStyle name="Input 8 3 2 3 2 2" xfId="11823" xr:uid="{00000000-0005-0000-0000-0000DC270000}"/>
    <cellStyle name="Input 8 3 2 3 2 2 2" xfId="16968" xr:uid="{00000000-0005-0000-0000-0000DD270000}"/>
    <cellStyle name="Input 8 3 2 3 2 2 3" xfId="16970" xr:uid="{00000000-0005-0000-0000-0000DE270000}"/>
    <cellStyle name="Input 8 3 2 3 2 2 4" xfId="17143" xr:uid="{00000000-0005-0000-0000-0000DF270000}"/>
    <cellStyle name="Input 8 3 2 3 2 3" xfId="11825" xr:uid="{00000000-0005-0000-0000-0000E0270000}"/>
    <cellStyle name="Input 8 3 2 3 2 4" xfId="17144" xr:uid="{00000000-0005-0000-0000-0000E1270000}"/>
    <cellStyle name="Input 8 3 2 3 2 5" xfId="15292" xr:uid="{00000000-0005-0000-0000-0000E2270000}"/>
    <cellStyle name="Input 8 3 2 3 3" xfId="8979" xr:uid="{00000000-0005-0000-0000-0000E3270000}"/>
    <cellStyle name="Input 8 3 2 3 3 2" xfId="8984" xr:uid="{00000000-0005-0000-0000-0000E4270000}"/>
    <cellStyle name="Input 8 3 2 3 3 3" xfId="9018" xr:uid="{00000000-0005-0000-0000-0000E5270000}"/>
    <cellStyle name="Input 8 3 2 3 3 4" xfId="17146" xr:uid="{00000000-0005-0000-0000-0000E6270000}"/>
    <cellStyle name="Input 8 3 2 3 4" xfId="9065" xr:uid="{00000000-0005-0000-0000-0000E7270000}"/>
    <cellStyle name="Input 8 3 2 3 5" xfId="9084" xr:uid="{00000000-0005-0000-0000-0000E8270000}"/>
    <cellStyle name="Input 8 3 2 3 6" xfId="17148" xr:uid="{00000000-0005-0000-0000-0000E9270000}"/>
    <cellStyle name="Input 8 3 2 4" xfId="2477" xr:uid="{00000000-0005-0000-0000-0000EA270000}"/>
    <cellStyle name="Input 8 3 2 4 2" xfId="17150" xr:uid="{00000000-0005-0000-0000-0000EB270000}"/>
    <cellStyle name="Input 8 3 2 4 2 2" xfId="643" xr:uid="{00000000-0005-0000-0000-0000EC270000}"/>
    <cellStyle name="Input 8 3 2 4 2 3" xfId="655" xr:uid="{00000000-0005-0000-0000-0000ED270000}"/>
    <cellStyle name="Input 8 3 2 4 2 4" xfId="619" xr:uid="{00000000-0005-0000-0000-0000EE270000}"/>
    <cellStyle name="Input 8 3 2 4 3" xfId="17151" xr:uid="{00000000-0005-0000-0000-0000EF270000}"/>
    <cellStyle name="Input 8 3 2 4 4" xfId="17152" xr:uid="{00000000-0005-0000-0000-0000F0270000}"/>
    <cellStyle name="Input 8 3 2 4 5" xfId="17153" xr:uid="{00000000-0005-0000-0000-0000F1270000}"/>
    <cellStyle name="Input 8 3 2 5" xfId="190" xr:uid="{00000000-0005-0000-0000-0000F2270000}"/>
    <cellStyle name="Input 8 3 2 5 2" xfId="17154" xr:uid="{00000000-0005-0000-0000-0000F3270000}"/>
    <cellStyle name="Input 8 3 2 5 3" xfId="17155" xr:uid="{00000000-0005-0000-0000-0000F4270000}"/>
    <cellStyle name="Input 8 3 2 5 4" xfId="17157" xr:uid="{00000000-0005-0000-0000-0000F5270000}"/>
    <cellStyle name="Input 8 3 2 6" xfId="2686" xr:uid="{00000000-0005-0000-0000-0000F6270000}"/>
    <cellStyle name="Input 8 3 2 7" xfId="17159" xr:uid="{00000000-0005-0000-0000-0000F7270000}"/>
    <cellStyle name="Input 8 3 2 8" xfId="17161" xr:uid="{00000000-0005-0000-0000-0000F8270000}"/>
    <cellStyle name="Input 8 3 3" xfId="5689" xr:uid="{00000000-0005-0000-0000-0000F9270000}"/>
    <cellStyle name="Input 8 3 3 2" xfId="17163" xr:uid="{00000000-0005-0000-0000-0000FA270000}"/>
    <cellStyle name="Input 8 3 3 2 2" xfId="17164" xr:uid="{00000000-0005-0000-0000-0000FB270000}"/>
    <cellStyle name="Input 8 3 3 2 2 2" xfId="2030" xr:uid="{00000000-0005-0000-0000-0000FC270000}"/>
    <cellStyle name="Input 8 3 3 2 2 2 2" xfId="705" xr:uid="{00000000-0005-0000-0000-0000FD270000}"/>
    <cellStyle name="Input 8 3 3 2 2 2 3" xfId="607" xr:uid="{00000000-0005-0000-0000-0000FE270000}"/>
    <cellStyle name="Input 8 3 3 2 2 2 4" xfId="16613" xr:uid="{00000000-0005-0000-0000-0000FF270000}"/>
    <cellStyle name="Input 8 3 3 2 2 3" xfId="9637" xr:uid="{00000000-0005-0000-0000-000000280000}"/>
    <cellStyle name="Input 8 3 3 2 2 4" xfId="9642" xr:uid="{00000000-0005-0000-0000-000001280000}"/>
    <cellStyle name="Input 8 3 3 2 2 5" xfId="15416" xr:uid="{00000000-0005-0000-0000-000002280000}"/>
    <cellStyle name="Input 8 3 3 2 3" xfId="17166" xr:uid="{00000000-0005-0000-0000-000003280000}"/>
    <cellStyle name="Input 8 3 3 2 3 2" xfId="16691" xr:uid="{00000000-0005-0000-0000-000004280000}"/>
    <cellStyle name="Input 8 3 3 2 3 3" xfId="15438" xr:uid="{00000000-0005-0000-0000-000005280000}"/>
    <cellStyle name="Input 8 3 3 2 3 4" xfId="15457" xr:uid="{00000000-0005-0000-0000-000006280000}"/>
    <cellStyle name="Input 8 3 3 2 4" xfId="2064" xr:uid="{00000000-0005-0000-0000-000007280000}"/>
    <cellStyle name="Input 8 3 3 2 5" xfId="2078" xr:uid="{00000000-0005-0000-0000-000008280000}"/>
    <cellStyle name="Input 8 3 3 2 6" xfId="15759" xr:uid="{00000000-0005-0000-0000-000009280000}"/>
    <cellStyle name="Input 8 3 3 3" xfId="17169" xr:uid="{00000000-0005-0000-0000-00000A280000}"/>
    <cellStyle name="Input 8 3 3 3 2" xfId="17171" xr:uid="{00000000-0005-0000-0000-00000B280000}"/>
    <cellStyle name="Input 8 3 3 3 2 2" xfId="16712" xr:uid="{00000000-0005-0000-0000-00000C280000}"/>
    <cellStyle name="Input 8 3 3 3 2 3" xfId="15533" xr:uid="{00000000-0005-0000-0000-00000D280000}"/>
    <cellStyle name="Input 8 3 3 3 2 4" xfId="15569" xr:uid="{00000000-0005-0000-0000-00000E280000}"/>
    <cellStyle name="Input 8 3 3 3 3" xfId="17172" xr:uid="{00000000-0005-0000-0000-00000F280000}"/>
    <cellStyle name="Input 8 3 3 3 4" xfId="17173" xr:uid="{00000000-0005-0000-0000-000010280000}"/>
    <cellStyle name="Input 8 3 3 3 5" xfId="17174" xr:uid="{00000000-0005-0000-0000-000011280000}"/>
    <cellStyle name="Input 8 3 3 4" xfId="17177" xr:uid="{00000000-0005-0000-0000-000012280000}"/>
    <cellStyle name="Input 8 3 3 4 2" xfId="17178" xr:uid="{00000000-0005-0000-0000-000013280000}"/>
    <cellStyle name="Input 8 3 3 4 3" xfId="17179" xr:uid="{00000000-0005-0000-0000-000014280000}"/>
    <cellStyle name="Input 8 3 3 4 4" xfId="17180" xr:uid="{00000000-0005-0000-0000-000015280000}"/>
    <cellStyle name="Input 8 3 3 5" xfId="17182" xr:uid="{00000000-0005-0000-0000-000016280000}"/>
    <cellStyle name="Input 8 3 3 6" xfId="17183" xr:uid="{00000000-0005-0000-0000-000017280000}"/>
    <cellStyle name="Input 8 3 3 7" xfId="17184" xr:uid="{00000000-0005-0000-0000-000018280000}"/>
    <cellStyle name="Input 8 3 4" xfId="5694" xr:uid="{00000000-0005-0000-0000-000019280000}"/>
    <cellStyle name="Input 8 3 4 2" xfId="17186" xr:uid="{00000000-0005-0000-0000-00001A280000}"/>
    <cellStyle name="Input 8 3 4 2 2" xfId="2154" xr:uid="{00000000-0005-0000-0000-00001B280000}"/>
    <cellStyle name="Input 8 3 4 2 2 2" xfId="16422" xr:uid="{00000000-0005-0000-0000-00001C280000}"/>
    <cellStyle name="Input 8 3 4 2 2 3" xfId="15755" xr:uid="{00000000-0005-0000-0000-00001D280000}"/>
    <cellStyle name="Input 8 3 4 2 2 4" xfId="15778" xr:uid="{00000000-0005-0000-0000-00001E280000}"/>
    <cellStyle name="Input 8 3 4 2 3" xfId="1138" xr:uid="{00000000-0005-0000-0000-00001F280000}"/>
    <cellStyle name="Input 8 3 4 2 4" xfId="2174" xr:uid="{00000000-0005-0000-0000-000020280000}"/>
    <cellStyle name="Input 8 3 4 2 5" xfId="11721" xr:uid="{00000000-0005-0000-0000-000021280000}"/>
    <cellStyle name="Input 8 3 4 3" xfId="17188" xr:uid="{00000000-0005-0000-0000-000022280000}"/>
    <cellStyle name="Input 8 3 4 3 2" xfId="428" xr:uid="{00000000-0005-0000-0000-000023280000}"/>
    <cellStyle name="Input 8 3 4 3 3" xfId="453" xr:uid="{00000000-0005-0000-0000-000024280000}"/>
    <cellStyle name="Input 8 3 4 3 4" xfId="17189" xr:uid="{00000000-0005-0000-0000-000025280000}"/>
    <cellStyle name="Input 8 3 4 4" xfId="17190" xr:uid="{00000000-0005-0000-0000-000026280000}"/>
    <cellStyle name="Input 8 3 4 5" xfId="17192" xr:uid="{00000000-0005-0000-0000-000027280000}"/>
    <cellStyle name="Input 8 3 4 6" xfId="17194" xr:uid="{00000000-0005-0000-0000-000028280000}"/>
    <cellStyle name="Input 8 3 5" xfId="5701" xr:uid="{00000000-0005-0000-0000-000029280000}"/>
    <cellStyle name="Input 8 3 5 2" xfId="16127" xr:uid="{00000000-0005-0000-0000-00002A280000}"/>
    <cellStyle name="Input 8 3 5 2 2" xfId="9264" xr:uid="{00000000-0005-0000-0000-00002B280000}"/>
    <cellStyle name="Input 8 3 5 2 3" xfId="9726" xr:uid="{00000000-0005-0000-0000-00002C280000}"/>
    <cellStyle name="Input 8 3 5 2 4" xfId="17195" xr:uid="{00000000-0005-0000-0000-00002D280000}"/>
    <cellStyle name="Input 8 3 5 3" xfId="16130" xr:uid="{00000000-0005-0000-0000-00002E280000}"/>
    <cellStyle name="Input 8 3 5 4" xfId="16133" xr:uid="{00000000-0005-0000-0000-00002F280000}"/>
    <cellStyle name="Input 8 3 5 5" xfId="17197" xr:uid="{00000000-0005-0000-0000-000030280000}"/>
    <cellStyle name="Input 8 3 6" xfId="42" xr:uid="{00000000-0005-0000-0000-000031280000}"/>
    <cellStyle name="Input 8 3 6 2" xfId="16148" xr:uid="{00000000-0005-0000-0000-000032280000}"/>
    <cellStyle name="Input 8 3 6 3" xfId="16154" xr:uid="{00000000-0005-0000-0000-000033280000}"/>
    <cellStyle name="Input 8 3 6 4" xfId="17202" xr:uid="{00000000-0005-0000-0000-000034280000}"/>
    <cellStyle name="Input 8 3 7" xfId="78" xr:uid="{00000000-0005-0000-0000-000035280000}"/>
    <cellStyle name="Input 8 3 8" xfId="17203" xr:uid="{00000000-0005-0000-0000-000036280000}"/>
    <cellStyle name="Input 8 3 9" xfId="2146" xr:uid="{00000000-0005-0000-0000-000037280000}"/>
    <cellStyle name="Input 8 4" xfId="17204" xr:uid="{00000000-0005-0000-0000-000038280000}"/>
    <cellStyle name="Input 8 4 2" xfId="5734" xr:uid="{00000000-0005-0000-0000-000039280000}"/>
    <cellStyle name="Input 8 4 2 2" xfId="17206" xr:uid="{00000000-0005-0000-0000-00003A280000}"/>
    <cellStyle name="Input 8 4 2 2 2" xfId="17207" xr:uid="{00000000-0005-0000-0000-00003B280000}"/>
    <cellStyle name="Input 8 4 2 2 2 2" xfId="17209" xr:uid="{00000000-0005-0000-0000-00003C280000}"/>
    <cellStyle name="Input 8 4 2 2 2 2 2" xfId="17210" xr:uid="{00000000-0005-0000-0000-00003D280000}"/>
    <cellStyle name="Input 8 4 2 2 2 2 3" xfId="17211" xr:uid="{00000000-0005-0000-0000-00003E280000}"/>
    <cellStyle name="Input 8 4 2 2 2 2 4" xfId="17212" xr:uid="{00000000-0005-0000-0000-00003F280000}"/>
    <cellStyle name="Input 8 4 2 2 2 3" xfId="11384" xr:uid="{00000000-0005-0000-0000-000040280000}"/>
    <cellStyle name="Input 8 4 2 2 2 4" xfId="11444" xr:uid="{00000000-0005-0000-0000-000041280000}"/>
    <cellStyle name="Input 8 4 2 2 2 5" xfId="11494" xr:uid="{00000000-0005-0000-0000-000042280000}"/>
    <cellStyle name="Input 8 4 2 2 3" xfId="17213" xr:uid="{00000000-0005-0000-0000-000043280000}"/>
    <cellStyle name="Input 8 4 2 2 3 2" xfId="17216" xr:uid="{00000000-0005-0000-0000-000044280000}"/>
    <cellStyle name="Input 8 4 2 2 3 3" xfId="11527" xr:uid="{00000000-0005-0000-0000-000045280000}"/>
    <cellStyle name="Input 8 4 2 2 3 4" xfId="11536" xr:uid="{00000000-0005-0000-0000-000046280000}"/>
    <cellStyle name="Input 8 4 2 2 4" xfId="17218" xr:uid="{00000000-0005-0000-0000-000047280000}"/>
    <cellStyle name="Input 8 4 2 2 5" xfId="17220" xr:uid="{00000000-0005-0000-0000-000048280000}"/>
    <cellStyle name="Input 8 4 2 2 6" xfId="17222" xr:uid="{00000000-0005-0000-0000-000049280000}"/>
    <cellStyle name="Input 8 4 2 3" xfId="17224" xr:uid="{00000000-0005-0000-0000-00004A280000}"/>
    <cellStyle name="Input 8 4 2 3 2" xfId="17225" xr:uid="{00000000-0005-0000-0000-00004B280000}"/>
    <cellStyle name="Input 8 4 2 3 2 2" xfId="15705" xr:uid="{00000000-0005-0000-0000-00004C280000}"/>
    <cellStyle name="Input 8 4 2 3 2 3" xfId="11642" xr:uid="{00000000-0005-0000-0000-00004D280000}"/>
    <cellStyle name="Input 8 4 2 3 2 4" xfId="11665" xr:uid="{00000000-0005-0000-0000-00004E280000}"/>
    <cellStyle name="Input 8 4 2 3 3" xfId="17227" xr:uid="{00000000-0005-0000-0000-00004F280000}"/>
    <cellStyle name="Input 8 4 2 3 4" xfId="17228" xr:uid="{00000000-0005-0000-0000-000050280000}"/>
    <cellStyle name="Input 8 4 2 3 5" xfId="17230" xr:uid="{00000000-0005-0000-0000-000051280000}"/>
    <cellStyle name="Input 8 4 2 4" xfId="14303" xr:uid="{00000000-0005-0000-0000-000052280000}"/>
    <cellStyle name="Input 8 4 2 4 2" xfId="17231" xr:uid="{00000000-0005-0000-0000-000053280000}"/>
    <cellStyle name="Input 8 4 2 4 3" xfId="17232" xr:uid="{00000000-0005-0000-0000-000054280000}"/>
    <cellStyle name="Input 8 4 2 4 4" xfId="17233" xr:uid="{00000000-0005-0000-0000-000055280000}"/>
    <cellStyle name="Input 8 4 2 5" xfId="14305" xr:uid="{00000000-0005-0000-0000-000056280000}"/>
    <cellStyle name="Input 8 4 2 6" xfId="14307" xr:uid="{00000000-0005-0000-0000-000057280000}"/>
    <cellStyle name="Input 8 4 2 7" xfId="17234" xr:uid="{00000000-0005-0000-0000-000058280000}"/>
    <cellStyle name="Input 8 4 3" xfId="5741" xr:uid="{00000000-0005-0000-0000-000059280000}"/>
    <cellStyle name="Input 8 4 3 2" xfId="17236" xr:uid="{00000000-0005-0000-0000-00005A280000}"/>
    <cellStyle name="Input 8 4 3 2 2" xfId="16212" xr:uid="{00000000-0005-0000-0000-00005B280000}"/>
    <cellStyle name="Input 8 4 3 2 2 2" xfId="16215" xr:uid="{00000000-0005-0000-0000-00005C280000}"/>
    <cellStyle name="Input 8 4 3 2 2 3" xfId="12075" xr:uid="{00000000-0005-0000-0000-00005D280000}"/>
    <cellStyle name="Input 8 4 3 2 2 4" xfId="12166" xr:uid="{00000000-0005-0000-0000-00005E280000}"/>
    <cellStyle name="Input 8 4 3 2 3" xfId="16234" xr:uid="{00000000-0005-0000-0000-00005F280000}"/>
    <cellStyle name="Input 8 4 3 2 4" xfId="16246" xr:uid="{00000000-0005-0000-0000-000060280000}"/>
    <cellStyle name="Input 8 4 3 2 5" xfId="16259" xr:uid="{00000000-0005-0000-0000-000061280000}"/>
    <cellStyle name="Input 8 4 3 3" xfId="17238" xr:uid="{00000000-0005-0000-0000-000062280000}"/>
    <cellStyle name="Input 8 4 3 3 2" xfId="16610" xr:uid="{00000000-0005-0000-0000-000063280000}"/>
    <cellStyle name="Input 8 4 3 3 3" xfId="16630" xr:uid="{00000000-0005-0000-0000-000064280000}"/>
    <cellStyle name="Input 8 4 3 3 4" xfId="16644" xr:uid="{00000000-0005-0000-0000-000065280000}"/>
    <cellStyle name="Input 8 4 3 4" xfId="1646" xr:uid="{00000000-0005-0000-0000-000066280000}"/>
    <cellStyle name="Input 8 4 3 5" xfId="3195" xr:uid="{00000000-0005-0000-0000-000067280000}"/>
    <cellStyle name="Input 8 4 3 6" xfId="2303" xr:uid="{00000000-0005-0000-0000-000068280000}"/>
    <cellStyle name="Input 8 4 4" xfId="5746" xr:uid="{00000000-0005-0000-0000-000069280000}"/>
    <cellStyle name="Input 8 4 4 2" xfId="17240" xr:uid="{00000000-0005-0000-0000-00006A280000}"/>
    <cellStyle name="Input 8 4 4 2 2" xfId="9361" xr:uid="{00000000-0005-0000-0000-00006B280000}"/>
    <cellStyle name="Input 8 4 4 2 3" xfId="1268" xr:uid="{00000000-0005-0000-0000-00006C280000}"/>
    <cellStyle name="Input 8 4 4 2 4" xfId="17242" xr:uid="{00000000-0005-0000-0000-00006D280000}"/>
    <cellStyle name="Input 8 4 4 3" xfId="17244" xr:uid="{00000000-0005-0000-0000-00006E280000}"/>
    <cellStyle name="Input 8 4 4 4" xfId="3280" xr:uid="{00000000-0005-0000-0000-00006F280000}"/>
    <cellStyle name="Input 8 4 4 5" xfId="307" xr:uid="{00000000-0005-0000-0000-000070280000}"/>
    <cellStyle name="Input 8 4 5" xfId="12742" xr:uid="{00000000-0005-0000-0000-000071280000}"/>
    <cellStyle name="Input 8 4 5 2" xfId="12746" xr:uid="{00000000-0005-0000-0000-000072280000}"/>
    <cellStyle name="Input 8 4 5 3" xfId="12751" xr:uid="{00000000-0005-0000-0000-000073280000}"/>
    <cellStyle name="Input 8 4 5 4" xfId="3327" xr:uid="{00000000-0005-0000-0000-000074280000}"/>
    <cellStyle name="Input 8 4 6" xfId="12760" xr:uid="{00000000-0005-0000-0000-000075280000}"/>
    <cellStyle name="Input 8 4 7" xfId="12767" xr:uid="{00000000-0005-0000-0000-000076280000}"/>
    <cellStyle name="Input 8 4 8" xfId="12774" xr:uid="{00000000-0005-0000-0000-000077280000}"/>
    <cellStyle name="Input 8 5" xfId="17245" xr:uid="{00000000-0005-0000-0000-000078280000}"/>
    <cellStyle name="Input 8 5 2" xfId="815" xr:uid="{00000000-0005-0000-0000-000079280000}"/>
    <cellStyle name="Input 8 5 2 2" xfId="17248" xr:uid="{00000000-0005-0000-0000-00007A280000}"/>
    <cellStyle name="Input 8 5 2 2 2" xfId="17249" xr:uid="{00000000-0005-0000-0000-00007B280000}"/>
    <cellStyle name="Input 8 5 2 2 2 2" xfId="15410" xr:uid="{00000000-0005-0000-0000-00007C280000}"/>
    <cellStyle name="Input 8 5 2 2 2 3" xfId="17251" xr:uid="{00000000-0005-0000-0000-00007D280000}"/>
    <cellStyle name="Input 8 5 2 2 2 4" xfId="17252" xr:uid="{00000000-0005-0000-0000-00007E280000}"/>
    <cellStyle name="Input 8 5 2 2 3" xfId="17253" xr:uid="{00000000-0005-0000-0000-00007F280000}"/>
    <cellStyle name="Input 8 5 2 2 4" xfId="3938" xr:uid="{00000000-0005-0000-0000-000080280000}"/>
    <cellStyle name="Input 8 5 2 2 5" xfId="3969" xr:uid="{00000000-0005-0000-0000-000081280000}"/>
    <cellStyle name="Input 8 5 2 3" xfId="17259" xr:uid="{00000000-0005-0000-0000-000082280000}"/>
    <cellStyle name="Input 8 5 2 3 2" xfId="17260" xr:uid="{00000000-0005-0000-0000-000083280000}"/>
    <cellStyle name="Input 8 5 2 3 3" xfId="11383" xr:uid="{00000000-0005-0000-0000-000084280000}"/>
    <cellStyle name="Input 8 5 2 3 4" xfId="11442" xr:uid="{00000000-0005-0000-0000-000085280000}"/>
    <cellStyle name="Input 8 5 2 4" xfId="17262" xr:uid="{00000000-0005-0000-0000-000086280000}"/>
    <cellStyle name="Input 8 5 2 5" xfId="17264" xr:uid="{00000000-0005-0000-0000-000087280000}"/>
    <cellStyle name="Input 8 5 2 6" xfId="17265" xr:uid="{00000000-0005-0000-0000-000088280000}"/>
    <cellStyle name="Input 8 5 3" xfId="827" xr:uid="{00000000-0005-0000-0000-000089280000}"/>
    <cellStyle name="Input 8 5 3 2" xfId="17267" xr:uid="{00000000-0005-0000-0000-00008A280000}"/>
    <cellStyle name="Input 8 5 3 2 2" xfId="17268" xr:uid="{00000000-0005-0000-0000-00008B280000}"/>
    <cellStyle name="Input 8 5 3 2 3" xfId="17269" xr:uid="{00000000-0005-0000-0000-00008C280000}"/>
    <cellStyle name="Input 8 5 3 2 4" xfId="17270" xr:uid="{00000000-0005-0000-0000-00008D280000}"/>
    <cellStyle name="Input 8 5 3 3" xfId="17272" xr:uid="{00000000-0005-0000-0000-00008E280000}"/>
    <cellStyle name="Input 8 5 3 4" xfId="3502" xr:uid="{00000000-0005-0000-0000-00008F280000}"/>
    <cellStyle name="Input 8 5 3 5" xfId="3553" xr:uid="{00000000-0005-0000-0000-000090280000}"/>
    <cellStyle name="Input 8 5 4" xfId="17275" xr:uid="{00000000-0005-0000-0000-000091280000}"/>
    <cellStyle name="Input 8 5 4 2" xfId="17279" xr:uid="{00000000-0005-0000-0000-000092280000}"/>
    <cellStyle name="Input 8 5 4 3" xfId="17284" xr:uid="{00000000-0005-0000-0000-000093280000}"/>
    <cellStyle name="Input 8 5 4 4" xfId="2010" xr:uid="{00000000-0005-0000-0000-000094280000}"/>
    <cellStyle name="Input 8 5 5" xfId="12780" xr:uid="{00000000-0005-0000-0000-000095280000}"/>
    <cellStyle name="Input 8 5 6" xfId="12789" xr:uid="{00000000-0005-0000-0000-000096280000}"/>
    <cellStyle name="Input 8 5 7" xfId="12797" xr:uid="{00000000-0005-0000-0000-000097280000}"/>
    <cellStyle name="Input 8 6" xfId="3203" xr:uid="{00000000-0005-0000-0000-000098280000}"/>
    <cellStyle name="Input 8 6 2" xfId="3216" xr:uid="{00000000-0005-0000-0000-000099280000}"/>
    <cellStyle name="Input 8 6 2 2" xfId="2770" xr:uid="{00000000-0005-0000-0000-00009A280000}"/>
    <cellStyle name="Input 8 6 2 2 2" xfId="9754" xr:uid="{00000000-0005-0000-0000-00009B280000}"/>
    <cellStyle name="Input 8 6 2 2 3" xfId="4236" xr:uid="{00000000-0005-0000-0000-00009C280000}"/>
    <cellStyle name="Input 8 6 2 2 4" xfId="1666" xr:uid="{00000000-0005-0000-0000-00009D280000}"/>
    <cellStyle name="Input 8 6 2 3" xfId="9756" xr:uid="{00000000-0005-0000-0000-00009E280000}"/>
    <cellStyle name="Input 8 6 2 4" xfId="3628" xr:uid="{00000000-0005-0000-0000-00009F280000}"/>
    <cellStyle name="Input 8 6 2 5" xfId="3644" xr:uid="{00000000-0005-0000-0000-0000A0280000}"/>
    <cellStyle name="Input 8 6 3" xfId="3219" xr:uid="{00000000-0005-0000-0000-0000A1280000}"/>
    <cellStyle name="Input 8 6 3 2" xfId="9760" xr:uid="{00000000-0005-0000-0000-0000A2280000}"/>
    <cellStyle name="Input 8 6 3 3" xfId="9770" xr:uid="{00000000-0005-0000-0000-0000A3280000}"/>
    <cellStyle name="Input 8 6 3 4" xfId="3677" xr:uid="{00000000-0005-0000-0000-0000A4280000}"/>
    <cellStyle name="Input 8 6 4" xfId="3226" xr:uid="{00000000-0005-0000-0000-0000A5280000}"/>
    <cellStyle name="Input 8 6 5" xfId="9780" xr:uid="{00000000-0005-0000-0000-0000A6280000}"/>
    <cellStyle name="Input 8 6 6" xfId="9795" xr:uid="{00000000-0005-0000-0000-0000A7280000}"/>
    <cellStyle name="Input 8 7" xfId="3239" xr:uid="{00000000-0005-0000-0000-0000A8280000}"/>
    <cellStyle name="Input 8 7 2" xfId="9799" xr:uid="{00000000-0005-0000-0000-0000A9280000}"/>
    <cellStyle name="Input 8 7 2 2" xfId="7800" xr:uid="{00000000-0005-0000-0000-0000AA280000}"/>
    <cellStyle name="Input 8 7 2 3" xfId="9364" xr:uid="{00000000-0005-0000-0000-0000AB280000}"/>
    <cellStyle name="Input 8 7 2 4" xfId="1266" xr:uid="{00000000-0005-0000-0000-0000AC280000}"/>
    <cellStyle name="Input 8 7 3" xfId="9804" xr:uid="{00000000-0005-0000-0000-0000AD280000}"/>
    <cellStyle name="Input 8 7 4" xfId="9817" xr:uid="{00000000-0005-0000-0000-0000AE280000}"/>
    <cellStyle name="Input 8 7 5" xfId="9827" xr:uid="{00000000-0005-0000-0000-0000AF280000}"/>
    <cellStyle name="Input 8 8" xfId="3242" xr:uid="{00000000-0005-0000-0000-0000B0280000}"/>
    <cellStyle name="Input 8 8 2" xfId="9831" xr:uid="{00000000-0005-0000-0000-0000B1280000}"/>
    <cellStyle name="Input 8 8 3" xfId="9836" xr:uid="{00000000-0005-0000-0000-0000B2280000}"/>
    <cellStyle name="Input 8 8 4" xfId="9841" xr:uid="{00000000-0005-0000-0000-0000B3280000}"/>
    <cellStyle name="Input 8 9" xfId="627" xr:uid="{00000000-0005-0000-0000-0000B4280000}"/>
    <cellStyle name="Input 9" xfId="17287" xr:uid="{00000000-0005-0000-0000-0000B5280000}"/>
    <cellStyle name="Input 9 2" xfId="7103" xr:uid="{00000000-0005-0000-0000-0000B6280000}"/>
    <cellStyle name="Input 9 2 2" xfId="6033" xr:uid="{00000000-0005-0000-0000-0000B7280000}"/>
    <cellStyle name="Input 9 2 2 2" xfId="2868" xr:uid="{00000000-0005-0000-0000-0000B8280000}"/>
    <cellStyle name="Input 9 2 2 2 2" xfId="4730" xr:uid="{00000000-0005-0000-0000-0000B9280000}"/>
    <cellStyle name="Input 9 2 2 2 2 2" xfId="5447" xr:uid="{00000000-0005-0000-0000-0000BA280000}"/>
    <cellStyle name="Input 9 2 2 2 2 2 2" xfId="17288" xr:uid="{00000000-0005-0000-0000-0000BB280000}"/>
    <cellStyle name="Input 9 2 2 2 2 2 3" xfId="17289" xr:uid="{00000000-0005-0000-0000-0000BC280000}"/>
    <cellStyle name="Input 9 2 2 2 2 2 4" xfId="17290" xr:uid="{00000000-0005-0000-0000-0000BD280000}"/>
    <cellStyle name="Input 9 2 2 2 2 3" xfId="14198" xr:uid="{00000000-0005-0000-0000-0000BE280000}"/>
    <cellStyle name="Input 9 2 2 2 2 4" xfId="17291" xr:uid="{00000000-0005-0000-0000-0000BF280000}"/>
    <cellStyle name="Input 9 2 2 2 2 5" xfId="17292" xr:uid="{00000000-0005-0000-0000-0000C0280000}"/>
    <cellStyle name="Input 9 2 2 2 3" xfId="6043" xr:uid="{00000000-0005-0000-0000-0000C1280000}"/>
    <cellStyle name="Input 9 2 2 2 3 2" xfId="15068" xr:uid="{00000000-0005-0000-0000-0000C2280000}"/>
    <cellStyle name="Input 9 2 2 2 3 3" xfId="15071" xr:uid="{00000000-0005-0000-0000-0000C3280000}"/>
    <cellStyle name="Input 9 2 2 2 3 4" xfId="17293" xr:uid="{00000000-0005-0000-0000-0000C4280000}"/>
    <cellStyle name="Input 9 2 2 2 4" xfId="6052" xr:uid="{00000000-0005-0000-0000-0000C5280000}"/>
    <cellStyle name="Input 9 2 2 2 5" xfId="17294" xr:uid="{00000000-0005-0000-0000-0000C6280000}"/>
    <cellStyle name="Input 9 2 2 2 6" xfId="17295" xr:uid="{00000000-0005-0000-0000-0000C7280000}"/>
    <cellStyle name="Input 9 2 2 3" xfId="2881" xr:uid="{00000000-0005-0000-0000-0000C8280000}"/>
    <cellStyle name="Input 9 2 2 3 2" xfId="17299" xr:uid="{00000000-0005-0000-0000-0000C9280000}"/>
    <cellStyle name="Input 9 2 2 3 2 2" xfId="10494" xr:uid="{00000000-0005-0000-0000-0000CA280000}"/>
    <cellStyle name="Input 9 2 2 3 2 3" xfId="17301" xr:uid="{00000000-0005-0000-0000-0000CB280000}"/>
    <cellStyle name="Input 9 2 2 3 2 4" xfId="13885" xr:uid="{00000000-0005-0000-0000-0000CC280000}"/>
    <cellStyle name="Input 9 2 2 3 3" xfId="17303" xr:uid="{00000000-0005-0000-0000-0000CD280000}"/>
    <cellStyle name="Input 9 2 2 3 4" xfId="17304" xr:uid="{00000000-0005-0000-0000-0000CE280000}"/>
    <cellStyle name="Input 9 2 2 3 5" xfId="17305" xr:uid="{00000000-0005-0000-0000-0000CF280000}"/>
    <cellStyle name="Input 9 2 2 4" xfId="6062" xr:uid="{00000000-0005-0000-0000-0000D0280000}"/>
    <cellStyle name="Input 9 2 2 4 2" xfId="17306" xr:uid="{00000000-0005-0000-0000-0000D1280000}"/>
    <cellStyle name="Input 9 2 2 4 3" xfId="17307" xr:uid="{00000000-0005-0000-0000-0000D2280000}"/>
    <cellStyle name="Input 9 2 2 4 4" xfId="17308" xr:uid="{00000000-0005-0000-0000-0000D3280000}"/>
    <cellStyle name="Input 9 2 2 5" xfId="6073" xr:uid="{00000000-0005-0000-0000-0000D4280000}"/>
    <cellStyle name="Input 9 2 2 6" xfId="7503" xr:uid="{00000000-0005-0000-0000-0000D5280000}"/>
    <cellStyle name="Input 9 2 2 7" xfId="17311" xr:uid="{00000000-0005-0000-0000-0000D6280000}"/>
    <cellStyle name="Input 9 2 3" xfId="6086" xr:uid="{00000000-0005-0000-0000-0000D7280000}"/>
    <cellStyle name="Input 9 2 3 2" xfId="2907" xr:uid="{00000000-0005-0000-0000-0000D8280000}"/>
    <cellStyle name="Input 9 2 3 2 2" xfId="17313" xr:uid="{00000000-0005-0000-0000-0000D9280000}"/>
    <cellStyle name="Input 9 2 3 2 2 2" xfId="16977" xr:uid="{00000000-0005-0000-0000-0000DA280000}"/>
    <cellStyle name="Input 9 2 3 2 2 3" xfId="16980" xr:uid="{00000000-0005-0000-0000-0000DB280000}"/>
    <cellStyle name="Input 9 2 3 2 2 4" xfId="16982" xr:uid="{00000000-0005-0000-0000-0000DC280000}"/>
    <cellStyle name="Input 9 2 3 2 3" xfId="17315" xr:uid="{00000000-0005-0000-0000-0000DD280000}"/>
    <cellStyle name="Input 9 2 3 2 4" xfId="17316" xr:uid="{00000000-0005-0000-0000-0000DE280000}"/>
    <cellStyle name="Input 9 2 3 2 5" xfId="17317" xr:uid="{00000000-0005-0000-0000-0000DF280000}"/>
    <cellStyle name="Input 9 2 3 3" xfId="6097" xr:uid="{00000000-0005-0000-0000-0000E0280000}"/>
    <cellStyle name="Input 9 2 3 3 2" xfId="17318" xr:uid="{00000000-0005-0000-0000-0000E1280000}"/>
    <cellStyle name="Input 9 2 3 3 3" xfId="17319" xr:uid="{00000000-0005-0000-0000-0000E2280000}"/>
    <cellStyle name="Input 9 2 3 3 4" xfId="17320" xr:uid="{00000000-0005-0000-0000-0000E3280000}"/>
    <cellStyle name="Input 9 2 3 4" xfId="6112" xr:uid="{00000000-0005-0000-0000-0000E4280000}"/>
    <cellStyle name="Input 9 2 3 5" xfId="17322" xr:uid="{00000000-0005-0000-0000-0000E5280000}"/>
    <cellStyle name="Input 9 2 3 6" xfId="17323" xr:uid="{00000000-0005-0000-0000-0000E6280000}"/>
    <cellStyle name="Input 9 2 4" xfId="6124" xr:uid="{00000000-0005-0000-0000-0000E7280000}"/>
    <cellStyle name="Input 9 2 4 2" xfId="17324" xr:uid="{00000000-0005-0000-0000-0000E8280000}"/>
    <cellStyle name="Input 9 2 4 2 2" xfId="1247" xr:uid="{00000000-0005-0000-0000-0000E9280000}"/>
    <cellStyle name="Input 9 2 4 2 3" xfId="10457" xr:uid="{00000000-0005-0000-0000-0000EA280000}"/>
    <cellStyle name="Input 9 2 4 2 4" xfId="10460" xr:uid="{00000000-0005-0000-0000-0000EB280000}"/>
    <cellStyle name="Input 9 2 4 3" xfId="17325" xr:uid="{00000000-0005-0000-0000-0000EC280000}"/>
    <cellStyle name="Input 9 2 4 4" xfId="17326" xr:uid="{00000000-0005-0000-0000-0000ED280000}"/>
    <cellStyle name="Input 9 2 4 5" xfId="17327" xr:uid="{00000000-0005-0000-0000-0000EE280000}"/>
    <cellStyle name="Input 9 2 5" xfId="6133" xr:uid="{00000000-0005-0000-0000-0000EF280000}"/>
    <cellStyle name="Input 9 2 5 2" xfId="17328" xr:uid="{00000000-0005-0000-0000-0000F0280000}"/>
    <cellStyle name="Input 9 2 5 3" xfId="17329" xr:uid="{00000000-0005-0000-0000-0000F1280000}"/>
    <cellStyle name="Input 9 2 5 4" xfId="17330" xr:uid="{00000000-0005-0000-0000-0000F2280000}"/>
    <cellStyle name="Input 9 2 6" xfId="1105" xr:uid="{00000000-0005-0000-0000-0000F3280000}"/>
    <cellStyle name="Input 9 2 7" xfId="17331" xr:uid="{00000000-0005-0000-0000-0000F4280000}"/>
    <cellStyle name="Input 9 2 8" xfId="17332" xr:uid="{00000000-0005-0000-0000-0000F5280000}"/>
    <cellStyle name="Input 9 3" xfId="7109" xr:uid="{00000000-0005-0000-0000-0000F6280000}"/>
    <cellStyle name="Input 9 3 2" xfId="1575" xr:uid="{00000000-0005-0000-0000-0000F7280000}"/>
    <cellStyle name="Input 9 3 2 2" xfId="720" xr:uid="{00000000-0005-0000-0000-0000F8280000}"/>
    <cellStyle name="Input 9 3 2 2 2" xfId="17334" xr:uid="{00000000-0005-0000-0000-0000F9280000}"/>
    <cellStyle name="Input 9 3 2 2 2 2" xfId="17336" xr:uid="{00000000-0005-0000-0000-0000FA280000}"/>
    <cellStyle name="Input 9 3 2 2 2 3" xfId="14438" xr:uid="{00000000-0005-0000-0000-0000FB280000}"/>
    <cellStyle name="Input 9 3 2 2 2 4" xfId="14442" xr:uid="{00000000-0005-0000-0000-0000FC280000}"/>
    <cellStyle name="Input 9 3 2 2 3" xfId="17338" xr:uid="{00000000-0005-0000-0000-0000FD280000}"/>
    <cellStyle name="Input 9 3 2 2 4" xfId="17339" xr:uid="{00000000-0005-0000-0000-0000FE280000}"/>
    <cellStyle name="Input 9 3 2 2 5" xfId="17340" xr:uid="{00000000-0005-0000-0000-0000FF280000}"/>
    <cellStyle name="Input 9 3 2 3" xfId="759" xr:uid="{00000000-0005-0000-0000-000000290000}"/>
    <cellStyle name="Input 9 3 2 3 2" xfId="17341" xr:uid="{00000000-0005-0000-0000-000001290000}"/>
    <cellStyle name="Input 9 3 2 3 3" xfId="17342" xr:uid="{00000000-0005-0000-0000-000002290000}"/>
    <cellStyle name="Input 9 3 2 3 4" xfId="17343" xr:uid="{00000000-0005-0000-0000-000003290000}"/>
    <cellStyle name="Input 9 3 2 4" xfId="2389" xr:uid="{00000000-0005-0000-0000-000004290000}"/>
    <cellStyle name="Input 9 3 2 5" xfId="17344" xr:uid="{00000000-0005-0000-0000-000005290000}"/>
    <cellStyle name="Input 9 3 2 6" xfId="17345" xr:uid="{00000000-0005-0000-0000-000006290000}"/>
    <cellStyle name="Input 9 3 3" xfId="1594" xr:uid="{00000000-0005-0000-0000-000007290000}"/>
    <cellStyle name="Input 9 3 3 2" xfId="17347" xr:uid="{00000000-0005-0000-0000-000008290000}"/>
    <cellStyle name="Input 9 3 3 2 2" xfId="17349" xr:uid="{00000000-0005-0000-0000-000009290000}"/>
    <cellStyle name="Input 9 3 3 2 3" xfId="17352" xr:uid="{00000000-0005-0000-0000-00000A290000}"/>
    <cellStyle name="Input 9 3 3 2 4" xfId="17354" xr:uid="{00000000-0005-0000-0000-00000B290000}"/>
    <cellStyle name="Input 9 3 3 3" xfId="17356" xr:uid="{00000000-0005-0000-0000-00000C290000}"/>
    <cellStyle name="Input 9 3 3 4" xfId="17357" xr:uid="{00000000-0005-0000-0000-00000D290000}"/>
    <cellStyle name="Input 9 3 3 5" xfId="17358" xr:uid="{00000000-0005-0000-0000-00000E290000}"/>
    <cellStyle name="Input 9 3 4" xfId="1618" xr:uid="{00000000-0005-0000-0000-00000F290000}"/>
    <cellStyle name="Input 9 3 4 2" xfId="17359" xr:uid="{00000000-0005-0000-0000-000010290000}"/>
    <cellStyle name="Input 9 3 4 3" xfId="17360" xr:uid="{00000000-0005-0000-0000-000011290000}"/>
    <cellStyle name="Input 9 3 4 4" xfId="17361" xr:uid="{00000000-0005-0000-0000-000012290000}"/>
    <cellStyle name="Input 9 3 5" xfId="1629" xr:uid="{00000000-0005-0000-0000-000013290000}"/>
    <cellStyle name="Input 9 3 6" xfId="1117" xr:uid="{00000000-0005-0000-0000-000014290000}"/>
    <cellStyle name="Input 9 3 7" xfId="17362" xr:uid="{00000000-0005-0000-0000-000015290000}"/>
    <cellStyle name="Input 9 4" xfId="17363" xr:uid="{00000000-0005-0000-0000-000016290000}"/>
    <cellStyle name="Input 9 4 2" xfId="6162" xr:uid="{00000000-0005-0000-0000-000017290000}"/>
    <cellStyle name="Input 9 4 2 2" xfId="17365" xr:uid="{00000000-0005-0000-0000-000018290000}"/>
    <cellStyle name="Input 9 4 2 2 2" xfId="17366" xr:uid="{00000000-0005-0000-0000-000019290000}"/>
    <cellStyle name="Input 9 4 2 2 3" xfId="17368" xr:uid="{00000000-0005-0000-0000-00001A290000}"/>
    <cellStyle name="Input 9 4 2 2 4" xfId="17370" xr:uid="{00000000-0005-0000-0000-00001B290000}"/>
    <cellStyle name="Input 9 4 2 3" xfId="17372" xr:uid="{00000000-0005-0000-0000-00001C290000}"/>
    <cellStyle name="Input 9 4 2 4" xfId="17373" xr:uid="{00000000-0005-0000-0000-00001D290000}"/>
    <cellStyle name="Input 9 4 2 5" xfId="17374" xr:uid="{00000000-0005-0000-0000-00001E290000}"/>
    <cellStyle name="Input 9 4 3" xfId="6176" xr:uid="{00000000-0005-0000-0000-00001F290000}"/>
    <cellStyle name="Input 9 4 3 2" xfId="17375" xr:uid="{00000000-0005-0000-0000-000020290000}"/>
    <cellStyle name="Input 9 4 3 3" xfId="17376" xr:uid="{00000000-0005-0000-0000-000021290000}"/>
    <cellStyle name="Input 9 4 3 4" xfId="10576" xr:uid="{00000000-0005-0000-0000-000022290000}"/>
    <cellStyle name="Input 9 4 4" xfId="6184" xr:uid="{00000000-0005-0000-0000-000023290000}"/>
    <cellStyle name="Input 9 4 5" xfId="12811" xr:uid="{00000000-0005-0000-0000-000024290000}"/>
    <cellStyle name="Input 9 4 6" xfId="1126" xr:uid="{00000000-0005-0000-0000-000025290000}"/>
    <cellStyle name="Input 9 5" xfId="17377" xr:uid="{00000000-0005-0000-0000-000026290000}"/>
    <cellStyle name="Input 9 5 2" xfId="6206" xr:uid="{00000000-0005-0000-0000-000027290000}"/>
    <cellStyle name="Input 9 5 2 2" xfId="17378" xr:uid="{00000000-0005-0000-0000-000028290000}"/>
    <cellStyle name="Input 9 5 2 3" xfId="17379" xr:uid="{00000000-0005-0000-0000-000029290000}"/>
    <cellStyle name="Input 9 5 2 4" xfId="17380" xr:uid="{00000000-0005-0000-0000-00002A290000}"/>
    <cellStyle name="Input 9 5 3" xfId="6211" xr:uid="{00000000-0005-0000-0000-00002B290000}"/>
    <cellStyle name="Input 9 5 4" xfId="17383" xr:uid="{00000000-0005-0000-0000-00002C290000}"/>
    <cellStyle name="Input 9 5 5" xfId="16437" xr:uid="{00000000-0005-0000-0000-00002D290000}"/>
    <cellStyle name="Input 9 6" xfId="3250" xr:uid="{00000000-0005-0000-0000-00002E290000}"/>
    <cellStyle name="Input 9 6 2" xfId="7655" xr:uid="{00000000-0005-0000-0000-00002F290000}"/>
    <cellStyle name="Input 9 6 3" xfId="9115" xr:uid="{00000000-0005-0000-0000-000030290000}"/>
    <cellStyle name="Input 9 6 4" xfId="9121" xr:uid="{00000000-0005-0000-0000-000031290000}"/>
    <cellStyle name="Input 9 7" xfId="3253" xr:uid="{00000000-0005-0000-0000-000032290000}"/>
    <cellStyle name="Input 9 8" xfId="681" xr:uid="{00000000-0005-0000-0000-000033290000}"/>
    <cellStyle name="Input 9 9" xfId="9865" xr:uid="{00000000-0005-0000-0000-000034290000}"/>
    <cellStyle name="Linked Cell 2" xfId="17387" xr:uid="{00000000-0005-0000-0000-000035290000}"/>
    <cellStyle name="Linked Cell 3" xfId="17392" xr:uid="{00000000-0005-0000-0000-000036290000}"/>
    <cellStyle name="Neutral 2" xfId="17395" xr:uid="{00000000-0005-0000-0000-000037290000}"/>
    <cellStyle name="Neutral 3" xfId="17398" xr:uid="{00000000-0005-0000-0000-000038290000}"/>
    <cellStyle name="Normal" xfId="0" builtinId="0"/>
    <cellStyle name="Normal 10" xfId="17399" xr:uid="{00000000-0005-0000-0000-00003A290000}"/>
    <cellStyle name="Normal 10 2" xfId="4660" xr:uid="{00000000-0005-0000-0000-00003B290000}"/>
    <cellStyle name="Normal 10 3" xfId="4673" xr:uid="{00000000-0005-0000-0000-00003C290000}"/>
    <cellStyle name="Normal 10 4" xfId="4691" xr:uid="{00000000-0005-0000-0000-00003D290000}"/>
    <cellStyle name="Normal 10 5" xfId="4697" xr:uid="{00000000-0005-0000-0000-00003E290000}"/>
    <cellStyle name="Normal 10 6" xfId="4701" xr:uid="{00000000-0005-0000-0000-00003F290000}"/>
    <cellStyle name="Normal 10 7" xfId="13409" xr:uid="{00000000-0005-0000-0000-000040290000}"/>
    <cellStyle name="Normal 11" xfId="16622" xr:uid="{00000000-0005-0000-0000-000041290000}"/>
    <cellStyle name="Normal 11 2" xfId="17401" xr:uid="{00000000-0005-0000-0000-000042290000}"/>
    <cellStyle name="Normal 12" xfId="16625" xr:uid="{00000000-0005-0000-0000-000043290000}"/>
    <cellStyle name="Normal 12 2" xfId="17403" xr:uid="{00000000-0005-0000-0000-000044290000}"/>
    <cellStyle name="Normal 12 3" xfId="323" xr:uid="{00000000-0005-0000-0000-000045290000}"/>
    <cellStyle name="Normal 12 4" xfId="3209" xr:uid="{00000000-0005-0000-0000-000046290000}"/>
    <cellStyle name="Normal 12 5" xfId="13424" xr:uid="{00000000-0005-0000-0000-000047290000}"/>
    <cellStyle name="Normal 12 6" xfId="17405" xr:uid="{00000000-0005-0000-0000-000048290000}"/>
    <cellStyle name="Normal 13" xfId="16628" xr:uid="{00000000-0005-0000-0000-000049290000}"/>
    <cellStyle name="Normal 2" xfId="16146" xr:uid="{00000000-0005-0000-0000-00004A290000}"/>
    <cellStyle name="Normal 2 2" xfId="17411" xr:uid="{00000000-0005-0000-0000-00004B290000}"/>
    <cellStyle name="Normal 2 3" xfId="17413" xr:uid="{00000000-0005-0000-0000-00004C290000}"/>
    <cellStyle name="Normal 3" xfId="16151" xr:uid="{00000000-0005-0000-0000-00004D290000}"/>
    <cellStyle name="Normal 3 2" xfId="17414" xr:uid="{00000000-0005-0000-0000-00004E290000}"/>
    <cellStyle name="Normal 3 2 2" xfId="17416" xr:uid="{00000000-0005-0000-0000-00004F290000}"/>
    <cellStyle name="Normal 3 2 3" xfId="16168" xr:uid="{00000000-0005-0000-0000-000050290000}"/>
    <cellStyle name="Normal 3 3" xfId="17417" xr:uid="{00000000-0005-0000-0000-000051290000}"/>
    <cellStyle name="Normal 3 3 2" xfId="17419" xr:uid="{00000000-0005-0000-0000-000052290000}"/>
    <cellStyle name="Normal 3 4" xfId="17420" xr:uid="{00000000-0005-0000-0000-000053290000}"/>
    <cellStyle name="Normal 3 4 2" xfId="17422" xr:uid="{00000000-0005-0000-0000-000054290000}"/>
    <cellStyle name="Normal 3 5" xfId="17423" xr:uid="{00000000-0005-0000-0000-000055290000}"/>
    <cellStyle name="Normal 3 5 2" xfId="17424" xr:uid="{00000000-0005-0000-0000-000056290000}"/>
    <cellStyle name="Normal 3 6" xfId="17425" xr:uid="{00000000-0005-0000-0000-000057290000}"/>
    <cellStyle name="Normal 3 6 2" xfId="17426" xr:uid="{00000000-0005-0000-0000-000058290000}"/>
    <cellStyle name="Normal 3 7" xfId="17427" xr:uid="{00000000-0005-0000-0000-000059290000}"/>
    <cellStyle name="Normal 3 7 2" xfId="17428" xr:uid="{00000000-0005-0000-0000-00005A290000}"/>
    <cellStyle name="Normal 3 8" xfId="17429" xr:uid="{00000000-0005-0000-0000-00005B290000}"/>
    <cellStyle name="Normal 3 8 2" xfId="17430" xr:uid="{00000000-0005-0000-0000-00005C290000}"/>
    <cellStyle name="Normal 3 9" xfId="8569" xr:uid="{00000000-0005-0000-0000-00005D290000}"/>
    <cellStyle name="Normal 4" xfId="17199" xr:uid="{00000000-0005-0000-0000-00005E290000}"/>
    <cellStyle name="Normal 4 2" xfId="17431" xr:uid="{00000000-0005-0000-0000-00005F290000}"/>
    <cellStyle name="Normal 4 3" xfId="17432" xr:uid="{00000000-0005-0000-0000-000060290000}"/>
    <cellStyle name="Normal 5" xfId="17434" xr:uid="{00000000-0005-0000-0000-000061290000}"/>
    <cellStyle name="Normal 5 2" xfId="17435" xr:uid="{00000000-0005-0000-0000-000062290000}"/>
    <cellStyle name="Normal 6" xfId="17436" xr:uid="{00000000-0005-0000-0000-000063290000}"/>
    <cellStyle name="Normal 6 2" xfId="17437" xr:uid="{00000000-0005-0000-0000-000064290000}"/>
    <cellStyle name="Normal 6 3" xfId="17438" xr:uid="{00000000-0005-0000-0000-000065290000}"/>
    <cellStyle name="Normal 6 4" xfId="17439" xr:uid="{00000000-0005-0000-0000-000066290000}"/>
    <cellStyle name="Normal 6 5" xfId="17440" xr:uid="{00000000-0005-0000-0000-000067290000}"/>
    <cellStyle name="Normal 6 6" xfId="17441" xr:uid="{00000000-0005-0000-0000-000068290000}"/>
    <cellStyle name="Normal 6 7" xfId="17442" xr:uid="{00000000-0005-0000-0000-000069290000}"/>
    <cellStyle name="Normal 7" xfId="17443" xr:uid="{00000000-0005-0000-0000-00006A290000}"/>
    <cellStyle name="Normal 7 2" xfId="68" xr:uid="{00000000-0005-0000-0000-00006B290000}"/>
    <cellStyle name="Normal 7 3" xfId="17444" xr:uid="{00000000-0005-0000-0000-00006C290000}"/>
    <cellStyle name="Normal 7 4" xfId="17445" xr:uid="{00000000-0005-0000-0000-00006D290000}"/>
    <cellStyle name="Normal 7 5" xfId="1178" xr:uid="{00000000-0005-0000-0000-00006E290000}"/>
    <cellStyle name="Normal 7 6" xfId="1313" xr:uid="{00000000-0005-0000-0000-00006F290000}"/>
    <cellStyle name="Normal 7 7" xfId="3430" xr:uid="{00000000-0005-0000-0000-000070290000}"/>
    <cellStyle name="Normal 8" xfId="17446" xr:uid="{00000000-0005-0000-0000-000071290000}"/>
    <cellStyle name="Normal 8 2" xfId="17447" xr:uid="{00000000-0005-0000-0000-000072290000}"/>
    <cellStyle name="Normal 8 3" xfId="17448" xr:uid="{00000000-0005-0000-0000-000073290000}"/>
    <cellStyle name="Normal 8 4" xfId="17449" xr:uid="{00000000-0005-0000-0000-000074290000}"/>
    <cellStyle name="Normal 8 5" xfId="3448" xr:uid="{00000000-0005-0000-0000-000075290000}"/>
    <cellStyle name="Normal 8 6" xfId="386" xr:uid="{00000000-0005-0000-0000-000076290000}"/>
    <cellStyle name="Normal 8 7" xfId="3458" xr:uid="{00000000-0005-0000-0000-000077290000}"/>
    <cellStyle name="Normal 9" xfId="17451" xr:uid="{00000000-0005-0000-0000-000078290000}"/>
    <cellStyle name="Normal 9 2" xfId="17452" xr:uid="{00000000-0005-0000-0000-000079290000}"/>
    <cellStyle name="Normal 9 3" xfId="17453" xr:uid="{00000000-0005-0000-0000-00007A290000}"/>
    <cellStyle name="Normal 9 4" xfId="17455" xr:uid="{00000000-0005-0000-0000-00007B290000}"/>
    <cellStyle name="Normal 9 5" xfId="2098" xr:uid="{00000000-0005-0000-0000-00007C290000}"/>
    <cellStyle name="Normal 9 6" xfId="3468" xr:uid="{00000000-0005-0000-0000-00007D290000}"/>
    <cellStyle name="Normal_)" xfId="16817" xr:uid="{00000000-0005-0000-0000-00007E290000}"/>
    <cellStyle name="Normal_) 2" xfId="200" xr:uid="{00000000-0005-0000-0000-00007F290000}"/>
    <cellStyle name="Normal_)_1.4WinrF" xfId="17458" xr:uid="{00000000-0005-0000-0000-000080290000}"/>
    <cellStyle name="Normal_)_1.4WinrF_General Calc's" xfId="17459" xr:uid="{00000000-0005-0000-0000-000081290000}"/>
    <cellStyle name="Normal_)_New1.4Winr" xfId="17463" xr:uid="{00000000-0005-0000-0000-000082290000}"/>
    <cellStyle name="Normal_)_New1.4Winr_General Calc's" xfId="17466" xr:uid="{00000000-0005-0000-0000-000083290000}"/>
    <cellStyle name="Normal_Beer Kit Calc's " xfId="17467" xr:uid="{00000000-0005-0000-0000-000084290000}"/>
    <cellStyle name="Normal_General Calc's" xfId="17350" xr:uid="{00000000-0005-0000-0000-000085290000}"/>
    <cellStyle name="Normal_General Calc's_1" xfId="7991" xr:uid="{00000000-0005-0000-0000-000086290000}"/>
    <cellStyle name="Normal_Peter's B &amp; W Ca" xfId="16065" xr:uid="{00000000-0005-0000-0000-000087290000}"/>
    <cellStyle name="Normal_Peter's B &amp; W Ca 2" xfId="16067" xr:uid="{00000000-0005-0000-0000-000088290000}"/>
    <cellStyle name="Normal_Peter's B &amp; W Ca_1112MASTERbeer" xfId="17468" xr:uid="{00000000-0005-0000-0000-000089290000}"/>
    <cellStyle name="Normal_Peter's B &amp; W Ca_Extract" xfId="17470" xr:uid="{00000000-0005-0000-0000-00008A290000}"/>
    <cellStyle name="Normal_Peter's B &amp; W Ca_General Calc's" xfId="17471" xr:uid="{00000000-0005-0000-0000-00008B290000}"/>
    <cellStyle name="Normal_Peter's B &amp; W Ca_Primer" xfId="17473" xr:uid="{00000000-0005-0000-0000-00008C290000}"/>
    <cellStyle name="Normal_Peter's B &amp; W Calc  1.05" xfId="17474" xr:uid="{00000000-0005-0000-0000-00008D290000}"/>
    <cellStyle name="Normal_Pete's YoBrew Ca" xfId="6465" xr:uid="{00000000-0005-0000-0000-00008E290000}"/>
    <cellStyle name="Normal_Pete's YoBrew Ca 2" xfId="17475" xr:uid="{00000000-0005-0000-0000-00008F290000}"/>
    <cellStyle name="Normal_Pete's YoBrew Ca 3" xfId="17478" xr:uid="{00000000-0005-0000-0000-000090290000}"/>
    <cellStyle name="Normal_Pete's YoBrew Ca_Beer Kit Calc's" xfId="17481" xr:uid="{00000000-0005-0000-0000-000091290000}"/>
    <cellStyle name="Normal_Pete's YoBrew Calcs v1.12" xfId="15827" xr:uid="{00000000-0005-0000-0000-000092290000}"/>
    <cellStyle name="Normal_Pete's YoBrew Calcs v1.5-WIP" xfId="17482" xr:uid="{00000000-0005-0000-0000-000093290000}"/>
    <cellStyle name="Normal_Petes_YoBrew_Cal" xfId="17486" xr:uid="{00000000-0005-0000-0000-000094290000}"/>
    <cellStyle name="Normal_Primer 2" xfId="17487" xr:uid="{00000000-0005-0000-0000-000095290000}"/>
    <cellStyle name="Normal_yeast average ef" xfId="17488" xr:uid="{00000000-0005-0000-0000-000096290000}"/>
    <cellStyle name="Normal_YOBREW Beer Prim" xfId="8678" xr:uid="{00000000-0005-0000-0000-000097290000}"/>
    <cellStyle name="Note 10" xfId="17492" xr:uid="{00000000-0005-0000-0000-000098290000}"/>
    <cellStyle name="Note 10 2" xfId="17497" xr:uid="{00000000-0005-0000-0000-000099290000}"/>
    <cellStyle name="Note 10 2 2" xfId="17499" xr:uid="{00000000-0005-0000-0000-00009A290000}"/>
    <cellStyle name="Note 10 2 2 2" xfId="14918" xr:uid="{00000000-0005-0000-0000-00009B290000}"/>
    <cellStyle name="Note 10 2 2 2 2" xfId="17500" xr:uid="{00000000-0005-0000-0000-00009C290000}"/>
    <cellStyle name="Note 10 2 2 2 2 2" xfId="17502" xr:uid="{00000000-0005-0000-0000-00009D290000}"/>
    <cellStyle name="Note 10 2 2 2 2 2 2" xfId="16756" xr:uid="{00000000-0005-0000-0000-00009E290000}"/>
    <cellStyle name="Note 10 2 2 2 2 2 3" xfId="16759" xr:uid="{00000000-0005-0000-0000-00009F290000}"/>
    <cellStyle name="Note 10 2 2 2 2 2 4" xfId="16762" xr:uid="{00000000-0005-0000-0000-0000A0290000}"/>
    <cellStyle name="Note 10 2 2 2 2 3" xfId="17503" xr:uid="{00000000-0005-0000-0000-0000A1290000}"/>
    <cellStyle name="Note 10 2 2 2 2 4" xfId="11448" xr:uid="{00000000-0005-0000-0000-0000A2290000}"/>
    <cellStyle name="Note 10 2 2 2 2 5" xfId="11451" xr:uid="{00000000-0005-0000-0000-0000A3290000}"/>
    <cellStyle name="Note 10 2 2 2 3" xfId="17504" xr:uid="{00000000-0005-0000-0000-0000A4290000}"/>
    <cellStyle name="Note 10 2 2 2 3 2" xfId="11575" xr:uid="{00000000-0005-0000-0000-0000A5290000}"/>
    <cellStyle name="Note 10 2 2 2 3 3" xfId="11471" xr:uid="{00000000-0005-0000-0000-0000A6290000}"/>
    <cellStyle name="Note 10 2 2 2 3 4" xfId="11477" xr:uid="{00000000-0005-0000-0000-0000A7290000}"/>
    <cellStyle name="Note 10 2 2 2 4" xfId="17506" xr:uid="{00000000-0005-0000-0000-0000A8290000}"/>
    <cellStyle name="Note 10 2 2 2 5" xfId="17508" xr:uid="{00000000-0005-0000-0000-0000A9290000}"/>
    <cellStyle name="Note 10 2 2 2 6" xfId="17512" xr:uid="{00000000-0005-0000-0000-0000AA290000}"/>
    <cellStyle name="Note 10 2 2 3" xfId="836" xr:uid="{00000000-0005-0000-0000-0000AB290000}"/>
    <cellStyle name="Note 10 2 2 3 2" xfId="843" xr:uid="{00000000-0005-0000-0000-0000AC290000}"/>
    <cellStyle name="Note 10 2 2 3 2 2" xfId="17513" xr:uid="{00000000-0005-0000-0000-0000AD290000}"/>
    <cellStyle name="Note 10 2 2 3 2 3" xfId="17514" xr:uid="{00000000-0005-0000-0000-0000AE290000}"/>
    <cellStyle name="Note 10 2 2 3 2 4" xfId="17515" xr:uid="{00000000-0005-0000-0000-0000AF290000}"/>
    <cellStyle name="Note 10 2 2 3 3" xfId="2672" xr:uid="{00000000-0005-0000-0000-0000B0290000}"/>
    <cellStyle name="Note 10 2 2 3 4" xfId="2676" xr:uid="{00000000-0005-0000-0000-0000B1290000}"/>
    <cellStyle name="Note 10 2 2 3 5" xfId="44" xr:uid="{00000000-0005-0000-0000-0000B2290000}"/>
    <cellStyle name="Note 10 2 2 4" xfId="853" xr:uid="{00000000-0005-0000-0000-0000B3290000}"/>
    <cellStyle name="Note 10 2 2 4 2" xfId="17516" xr:uid="{00000000-0005-0000-0000-0000B4290000}"/>
    <cellStyle name="Note 10 2 2 4 3" xfId="17517" xr:uid="{00000000-0005-0000-0000-0000B5290000}"/>
    <cellStyle name="Note 10 2 2 4 4" xfId="17518" xr:uid="{00000000-0005-0000-0000-0000B6290000}"/>
    <cellStyle name="Note 10 2 2 5" xfId="872" xr:uid="{00000000-0005-0000-0000-0000B7290000}"/>
    <cellStyle name="Note 10 2 2 6" xfId="897" xr:uid="{00000000-0005-0000-0000-0000B8290000}"/>
    <cellStyle name="Note 10 2 2 7" xfId="17520" xr:uid="{00000000-0005-0000-0000-0000B9290000}"/>
    <cellStyle name="Note 10 2 3" xfId="17521" xr:uid="{00000000-0005-0000-0000-0000BA290000}"/>
    <cellStyle name="Note 10 2 3 2" xfId="17523" xr:uid="{00000000-0005-0000-0000-0000BB290000}"/>
    <cellStyle name="Note 10 2 3 2 2" xfId="9176" xr:uid="{00000000-0005-0000-0000-0000BC290000}"/>
    <cellStyle name="Note 10 2 3 2 2 2" xfId="9181" xr:uid="{00000000-0005-0000-0000-0000BD290000}"/>
    <cellStyle name="Note 10 2 3 2 2 3" xfId="9351" xr:uid="{00000000-0005-0000-0000-0000BE290000}"/>
    <cellStyle name="Note 10 2 3 2 2 4" xfId="9378" xr:uid="{00000000-0005-0000-0000-0000BF290000}"/>
    <cellStyle name="Note 10 2 3 2 3" xfId="9433" xr:uid="{00000000-0005-0000-0000-0000C0290000}"/>
    <cellStyle name="Note 10 2 3 2 4" xfId="9520" xr:uid="{00000000-0005-0000-0000-0000C1290000}"/>
    <cellStyle name="Note 10 2 3 2 5" xfId="9574" xr:uid="{00000000-0005-0000-0000-0000C2290000}"/>
    <cellStyle name="Note 10 2 3 3" xfId="372" xr:uid="{00000000-0005-0000-0000-0000C3290000}"/>
    <cellStyle name="Note 10 2 3 3 2" xfId="6584" xr:uid="{00000000-0005-0000-0000-0000C4290000}"/>
    <cellStyle name="Note 10 2 3 3 3" xfId="7696" xr:uid="{00000000-0005-0000-0000-0000C5290000}"/>
    <cellStyle name="Note 10 2 3 3 4" xfId="9146" xr:uid="{00000000-0005-0000-0000-0000C6290000}"/>
    <cellStyle name="Note 10 2 3 4" xfId="2266" xr:uid="{00000000-0005-0000-0000-0000C7290000}"/>
    <cellStyle name="Note 10 2 3 5" xfId="2683" xr:uid="{00000000-0005-0000-0000-0000C8290000}"/>
    <cellStyle name="Note 10 2 3 6" xfId="17525" xr:uid="{00000000-0005-0000-0000-0000C9290000}"/>
    <cellStyle name="Note 10 2 4" xfId="17526" xr:uid="{00000000-0005-0000-0000-0000CA290000}"/>
    <cellStyle name="Note 10 2 4 2" xfId="17527" xr:uid="{00000000-0005-0000-0000-0000CB290000}"/>
    <cellStyle name="Note 10 2 4 2 2" xfId="14019" xr:uid="{00000000-0005-0000-0000-0000CC290000}"/>
    <cellStyle name="Note 10 2 4 2 3" xfId="14021" xr:uid="{00000000-0005-0000-0000-0000CD290000}"/>
    <cellStyle name="Note 10 2 4 2 4" xfId="14023" xr:uid="{00000000-0005-0000-0000-0000CE290000}"/>
    <cellStyle name="Note 10 2 4 3" xfId="5870" xr:uid="{00000000-0005-0000-0000-0000CF290000}"/>
    <cellStyle name="Note 10 2 4 4" xfId="5879" xr:uid="{00000000-0005-0000-0000-0000D0290000}"/>
    <cellStyle name="Note 10 2 4 5" xfId="5886" xr:uid="{00000000-0005-0000-0000-0000D1290000}"/>
    <cellStyle name="Note 10 2 5" xfId="17528" xr:uid="{00000000-0005-0000-0000-0000D2290000}"/>
    <cellStyle name="Note 10 2 5 2" xfId="17530" xr:uid="{00000000-0005-0000-0000-0000D3290000}"/>
    <cellStyle name="Note 10 2 5 3" xfId="2284" xr:uid="{00000000-0005-0000-0000-0000D4290000}"/>
    <cellStyle name="Note 10 2 5 4" xfId="2293" xr:uid="{00000000-0005-0000-0000-0000D5290000}"/>
    <cellStyle name="Note 10 2 6" xfId="17533" xr:uid="{00000000-0005-0000-0000-0000D6290000}"/>
    <cellStyle name="Note 10 2 7" xfId="17536" xr:uid="{00000000-0005-0000-0000-0000D7290000}"/>
    <cellStyle name="Note 10 2 8" xfId="17539" xr:uid="{00000000-0005-0000-0000-0000D8290000}"/>
    <cellStyle name="Note 10 3" xfId="17542" xr:uid="{00000000-0005-0000-0000-0000D9290000}"/>
    <cellStyle name="Note 10 3 2" xfId="17543" xr:uid="{00000000-0005-0000-0000-0000DA290000}"/>
    <cellStyle name="Note 10 3 2 2" xfId="17546" xr:uid="{00000000-0005-0000-0000-0000DB290000}"/>
    <cellStyle name="Note 10 3 2 2 2" xfId="17547" xr:uid="{00000000-0005-0000-0000-0000DC290000}"/>
    <cellStyle name="Note 10 3 2 2 2 2" xfId="16255" xr:uid="{00000000-0005-0000-0000-0000DD290000}"/>
    <cellStyle name="Note 10 3 2 2 2 3" xfId="16257" xr:uid="{00000000-0005-0000-0000-0000DE290000}"/>
    <cellStyle name="Note 10 3 2 2 2 4" xfId="17548" xr:uid="{00000000-0005-0000-0000-0000DF290000}"/>
    <cellStyle name="Note 10 3 2 2 3" xfId="17549" xr:uid="{00000000-0005-0000-0000-0000E0290000}"/>
    <cellStyle name="Note 10 3 2 2 4" xfId="17551" xr:uid="{00000000-0005-0000-0000-0000E1290000}"/>
    <cellStyle name="Note 10 3 2 2 5" xfId="17554" xr:uid="{00000000-0005-0000-0000-0000E2290000}"/>
    <cellStyle name="Note 10 3 2 3" xfId="996" xr:uid="{00000000-0005-0000-0000-0000E3290000}"/>
    <cellStyle name="Note 10 3 2 3 2" xfId="17556" xr:uid="{00000000-0005-0000-0000-0000E4290000}"/>
    <cellStyle name="Note 10 3 2 3 3" xfId="17557" xr:uid="{00000000-0005-0000-0000-0000E5290000}"/>
    <cellStyle name="Note 10 3 2 3 4" xfId="17559" xr:uid="{00000000-0005-0000-0000-0000E6290000}"/>
    <cellStyle name="Note 10 3 2 4" xfId="1009" xr:uid="{00000000-0005-0000-0000-0000E7290000}"/>
    <cellStyle name="Note 10 3 2 5" xfId="203" xr:uid="{00000000-0005-0000-0000-0000E8290000}"/>
    <cellStyle name="Note 10 3 2 6" xfId="17562" xr:uid="{00000000-0005-0000-0000-0000E9290000}"/>
    <cellStyle name="Note 10 3 3" xfId="17564" xr:uid="{00000000-0005-0000-0000-0000EA290000}"/>
    <cellStyle name="Note 10 3 3 2" xfId="17565" xr:uid="{00000000-0005-0000-0000-0000EB290000}"/>
    <cellStyle name="Note 10 3 3 2 2" xfId="8948" xr:uid="{00000000-0005-0000-0000-0000EC290000}"/>
    <cellStyle name="Note 10 3 3 2 3" xfId="8952" xr:uid="{00000000-0005-0000-0000-0000ED290000}"/>
    <cellStyle name="Note 10 3 3 2 4" xfId="8957" xr:uid="{00000000-0005-0000-0000-0000EE290000}"/>
    <cellStyle name="Note 10 3 3 3" xfId="17566" xr:uid="{00000000-0005-0000-0000-0000EF290000}"/>
    <cellStyle name="Note 10 3 3 4" xfId="17567" xr:uid="{00000000-0005-0000-0000-0000F0290000}"/>
    <cellStyle name="Note 10 3 3 5" xfId="17568" xr:uid="{00000000-0005-0000-0000-0000F1290000}"/>
    <cellStyle name="Note 10 3 4" xfId="17570" xr:uid="{00000000-0005-0000-0000-0000F2290000}"/>
    <cellStyle name="Note 10 3 4 2" xfId="17571" xr:uid="{00000000-0005-0000-0000-0000F3290000}"/>
    <cellStyle name="Note 10 3 4 3" xfId="40" xr:uid="{00000000-0005-0000-0000-0000F4290000}"/>
    <cellStyle name="Note 10 3 4 4" xfId="76" xr:uid="{00000000-0005-0000-0000-0000F5290000}"/>
    <cellStyle name="Note 10 3 5" xfId="17573" xr:uid="{00000000-0005-0000-0000-0000F6290000}"/>
    <cellStyle name="Note 10 3 6" xfId="17574" xr:uid="{00000000-0005-0000-0000-0000F7290000}"/>
    <cellStyle name="Note 10 3 7" xfId="17575" xr:uid="{00000000-0005-0000-0000-0000F8290000}"/>
    <cellStyle name="Note 10 4" xfId="17578" xr:uid="{00000000-0005-0000-0000-0000F9290000}"/>
    <cellStyle name="Note 10 4 2" xfId="9162" xr:uid="{00000000-0005-0000-0000-0000FA290000}"/>
    <cellStyle name="Note 10 4 2 2" xfId="17579" xr:uid="{00000000-0005-0000-0000-0000FB290000}"/>
    <cellStyle name="Note 10 4 2 2 2" xfId="17580" xr:uid="{00000000-0005-0000-0000-0000FC290000}"/>
    <cellStyle name="Note 10 4 2 2 3" xfId="17581" xr:uid="{00000000-0005-0000-0000-0000FD290000}"/>
    <cellStyle name="Note 10 4 2 2 4" xfId="17584" xr:uid="{00000000-0005-0000-0000-0000FE290000}"/>
    <cellStyle name="Note 10 4 2 3" xfId="17586" xr:uid="{00000000-0005-0000-0000-0000FF290000}"/>
    <cellStyle name="Note 10 4 2 4" xfId="17587" xr:uid="{00000000-0005-0000-0000-0000002A0000}"/>
    <cellStyle name="Note 10 4 2 5" xfId="17588" xr:uid="{00000000-0005-0000-0000-0000012A0000}"/>
    <cellStyle name="Note 10 4 3" xfId="17589" xr:uid="{00000000-0005-0000-0000-0000022A0000}"/>
    <cellStyle name="Note 10 4 3 2" xfId="17590" xr:uid="{00000000-0005-0000-0000-0000032A0000}"/>
    <cellStyle name="Note 10 4 3 3" xfId="17591" xr:uid="{00000000-0005-0000-0000-0000042A0000}"/>
    <cellStyle name="Note 10 4 3 4" xfId="17592" xr:uid="{00000000-0005-0000-0000-0000052A0000}"/>
    <cellStyle name="Note 10 4 4" xfId="17593" xr:uid="{00000000-0005-0000-0000-0000062A0000}"/>
    <cellStyle name="Note 10 4 5" xfId="17594" xr:uid="{00000000-0005-0000-0000-0000072A0000}"/>
    <cellStyle name="Note 10 4 6" xfId="17595" xr:uid="{00000000-0005-0000-0000-0000082A0000}"/>
    <cellStyle name="Note 10 5" xfId="17596" xr:uid="{00000000-0005-0000-0000-0000092A0000}"/>
    <cellStyle name="Note 10 5 2" xfId="17597" xr:uid="{00000000-0005-0000-0000-00000A2A0000}"/>
    <cellStyle name="Note 10 5 2 2" xfId="17598" xr:uid="{00000000-0005-0000-0000-00000B2A0000}"/>
    <cellStyle name="Note 10 5 2 3" xfId="17599" xr:uid="{00000000-0005-0000-0000-00000C2A0000}"/>
    <cellStyle name="Note 10 5 2 4" xfId="17601" xr:uid="{00000000-0005-0000-0000-00000D2A0000}"/>
    <cellStyle name="Note 10 5 3" xfId="17602" xr:uid="{00000000-0005-0000-0000-00000E2A0000}"/>
    <cellStyle name="Note 10 5 4" xfId="17603" xr:uid="{00000000-0005-0000-0000-00000F2A0000}"/>
    <cellStyle name="Note 10 5 5" xfId="17605" xr:uid="{00000000-0005-0000-0000-0000102A0000}"/>
    <cellStyle name="Note 10 6" xfId="14551" xr:uid="{00000000-0005-0000-0000-0000112A0000}"/>
    <cellStyle name="Note 10 6 2" xfId="9505" xr:uid="{00000000-0005-0000-0000-0000122A0000}"/>
    <cellStyle name="Note 10 6 3" xfId="9510" xr:uid="{00000000-0005-0000-0000-0000132A0000}"/>
    <cellStyle name="Note 10 6 4" xfId="9515" xr:uid="{00000000-0005-0000-0000-0000142A0000}"/>
    <cellStyle name="Note 10 7" xfId="7080" xr:uid="{00000000-0005-0000-0000-0000152A0000}"/>
    <cellStyle name="Note 10 8" xfId="860" xr:uid="{00000000-0005-0000-0000-0000162A0000}"/>
    <cellStyle name="Note 10 9" xfId="875" xr:uid="{00000000-0005-0000-0000-0000172A0000}"/>
    <cellStyle name="Note 11" xfId="11797" xr:uid="{00000000-0005-0000-0000-0000182A0000}"/>
    <cellStyle name="Note 2" xfId="17607" xr:uid="{00000000-0005-0000-0000-0000192A0000}"/>
    <cellStyle name="Note 2 10" xfId="17610" xr:uid="{00000000-0005-0000-0000-00001A2A0000}"/>
    <cellStyle name="Note 2 10 2" xfId="17611" xr:uid="{00000000-0005-0000-0000-00001B2A0000}"/>
    <cellStyle name="Note 2 10 2 2" xfId="1438" xr:uid="{00000000-0005-0000-0000-00001C2A0000}"/>
    <cellStyle name="Note 2 10 2 2 2" xfId="17612" xr:uid="{00000000-0005-0000-0000-00001D2A0000}"/>
    <cellStyle name="Note 2 10 2 2 2 2" xfId="17614" xr:uid="{00000000-0005-0000-0000-00001E2A0000}"/>
    <cellStyle name="Note 2 10 2 2 2 2 2" xfId="12701" xr:uid="{00000000-0005-0000-0000-00001F2A0000}"/>
    <cellStyle name="Note 2 10 2 2 2 2 2 2" xfId="17615" xr:uid="{00000000-0005-0000-0000-0000202A0000}"/>
    <cellStyle name="Note 2 10 2 2 2 2 2 3" xfId="3869" xr:uid="{00000000-0005-0000-0000-0000212A0000}"/>
    <cellStyle name="Note 2 10 2 2 2 2 2 4" xfId="3885" xr:uid="{00000000-0005-0000-0000-0000222A0000}"/>
    <cellStyle name="Note 2 10 2 2 2 2 3" xfId="17616" xr:uid="{00000000-0005-0000-0000-0000232A0000}"/>
    <cellStyle name="Note 2 10 2 2 2 2 4" xfId="17617" xr:uid="{00000000-0005-0000-0000-0000242A0000}"/>
    <cellStyle name="Note 2 10 2 2 2 2 5" xfId="17618" xr:uid="{00000000-0005-0000-0000-0000252A0000}"/>
    <cellStyle name="Note 2 10 2 2 2 3" xfId="17619" xr:uid="{00000000-0005-0000-0000-0000262A0000}"/>
    <cellStyle name="Note 2 10 2 2 2 3 2" xfId="17620" xr:uid="{00000000-0005-0000-0000-0000272A0000}"/>
    <cellStyle name="Note 2 10 2 2 2 3 3" xfId="17621" xr:uid="{00000000-0005-0000-0000-0000282A0000}"/>
    <cellStyle name="Note 2 10 2 2 2 3 4" xfId="17623" xr:uid="{00000000-0005-0000-0000-0000292A0000}"/>
    <cellStyle name="Note 2 10 2 2 2 4" xfId="17625" xr:uid="{00000000-0005-0000-0000-00002A2A0000}"/>
    <cellStyle name="Note 2 10 2 2 2 5" xfId="17627" xr:uid="{00000000-0005-0000-0000-00002B2A0000}"/>
    <cellStyle name="Note 2 10 2 2 2 6" xfId="17629" xr:uid="{00000000-0005-0000-0000-00002C2A0000}"/>
    <cellStyle name="Note 2 10 2 2 3" xfId="17630" xr:uid="{00000000-0005-0000-0000-00002D2A0000}"/>
    <cellStyle name="Note 2 10 2 2 3 2" xfId="17631" xr:uid="{00000000-0005-0000-0000-00002E2A0000}"/>
    <cellStyle name="Note 2 10 2 2 3 2 2" xfId="16442" xr:uid="{00000000-0005-0000-0000-00002F2A0000}"/>
    <cellStyle name="Note 2 10 2 2 3 2 3" xfId="17633" xr:uid="{00000000-0005-0000-0000-0000302A0000}"/>
    <cellStyle name="Note 2 10 2 2 3 2 4" xfId="17635" xr:uid="{00000000-0005-0000-0000-0000312A0000}"/>
    <cellStyle name="Note 2 10 2 2 3 3" xfId="17636" xr:uid="{00000000-0005-0000-0000-0000322A0000}"/>
    <cellStyle name="Note 2 10 2 2 3 4" xfId="17638" xr:uid="{00000000-0005-0000-0000-0000332A0000}"/>
    <cellStyle name="Note 2 10 2 2 3 5" xfId="17640" xr:uid="{00000000-0005-0000-0000-0000342A0000}"/>
    <cellStyle name="Note 2 10 2 2 4" xfId="17642" xr:uid="{00000000-0005-0000-0000-0000352A0000}"/>
    <cellStyle name="Note 2 10 2 2 4 2" xfId="17643" xr:uid="{00000000-0005-0000-0000-0000362A0000}"/>
    <cellStyle name="Note 2 10 2 2 4 3" xfId="17644" xr:uid="{00000000-0005-0000-0000-0000372A0000}"/>
    <cellStyle name="Note 2 10 2 2 4 4" xfId="17646" xr:uid="{00000000-0005-0000-0000-0000382A0000}"/>
    <cellStyle name="Note 2 10 2 2 5" xfId="17649" xr:uid="{00000000-0005-0000-0000-0000392A0000}"/>
    <cellStyle name="Note 2 10 2 2 6" xfId="12419" xr:uid="{00000000-0005-0000-0000-00003A2A0000}"/>
    <cellStyle name="Note 2 10 2 2 7" xfId="12424" xr:uid="{00000000-0005-0000-0000-00003B2A0000}"/>
    <cellStyle name="Note 2 10 2 3" xfId="3735" xr:uid="{00000000-0005-0000-0000-00003C2A0000}"/>
    <cellStyle name="Note 2 10 2 3 2" xfId="17650" xr:uid="{00000000-0005-0000-0000-00003D2A0000}"/>
    <cellStyle name="Note 2 10 2 3 2 2" xfId="17651" xr:uid="{00000000-0005-0000-0000-00003E2A0000}"/>
    <cellStyle name="Note 2 10 2 3 2 2 2" xfId="17652" xr:uid="{00000000-0005-0000-0000-00003F2A0000}"/>
    <cellStyle name="Note 2 10 2 3 2 2 3" xfId="17653" xr:uid="{00000000-0005-0000-0000-0000402A0000}"/>
    <cellStyle name="Note 2 10 2 3 2 2 4" xfId="17654" xr:uid="{00000000-0005-0000-0000-0000412A0000}"/>
    <cellStyle name="Note 2 10 2 3 2 3" xfId="17655" xr:uid="{00000000-0005-0000-0000-0000422A0000}"/>
    <cellStyle name="Note 2 10 2 3 2 4" xfId="17656" xr:uid="{00000000-0005-0000-0000-0000432A0000}"/>
    <cellStyle name="Note 2 10 2 3 2 5" xfId="17657" xr:uid="{00000000-0005-0000-0000-0000442A0000}"/>
    <cellStyle name="Note 2 10 2 3 3" xfId="17658" xr:uid="{00000000-0005-0000-0000-0000452A0000}"/>
    <cellStyle name="Note 2 10 2 3 3 2" xfId="17659" xr:uid="{00000000-0005-0000-0000-0000462A0000}"/>
    <cellStyle name="Note 2 10 2 3 3 3" xfId="17660" xr:uid="{00000000-0005-0000-0000-0000472A0000}"/>
    <cellStyle name="Note 2 10 2 3 3 4" xfId="17661" xr:uid="{00000000-0005-0000-0000-0000482A0000}"/>
    <cellStyle name="Note 2 10 2 3 4" xfId="17664" xr:uid="{00000000-0005-0000-0000-0000492A0000}"/>
    <cellStyle name="Note 2 10 2 3 5" xfId="17668" xr:uid="{00000000-0005-0000-0000-00004A2A0000}"/>
    <cellStyle name="Note 2 10 2 3 6" xfId="17673" xr:uid="{00000000-0005-0000-0000-00004B2A0000}"/>
    <cellStyle name="Note 2 10 2 4" xfId="3741" xr:uid="{00000000-0005-0000-0000-00004C2A0000}"/>
    <cellStyle name="Note 2 10 2 4 2" xfId="17674" xr:uid="{00000000-0005-0000-0000-00004D2A0000}"/>
    <cellStyle name="Note 2 10 2 4 2 2" xfId="17675" xr:uid="{00000000-0005-0000-0000-00004E2A0000}"/>
    <cellStyle name="Note 2 10 2 4 2 3" xfId="17676" xr:uid="{00000000-0005-0000-0000-00004F2A0000}"/>
    <cellStyle name="Note 2 10 2 4 2 4" xfId="17677" xr:uid="{00000000-0005-0000-0000-0000502A0000}"/>
    <cellStyle name="Note 2 10 2 4 3" xfId="17678" xr:uid="{00000000-0005-0000-0000-0000512A0000}"/>
    <cellStyle name="Note 2 10 2 4 4" xfId="17679" xr:uid="{00000000-0005-0000-0000-0000522A0000}"/>
    <cellStyle name="Note 2 10 2 4 5" xfId="17491" xr:uid="{00000000-0005-0000-0000-0000532A0000}"/>
    <cellStyle name="Note 2 10 2 5" xfId="14105" xr:uid="{00000000-0005-0000-0000-0000542A0000}"/>
    <cellStyle name="Note 2 10 2 5 2" xfId="17680" xr:uid="{00000000-0005-0000-0000-0000552A0000}"/>
    <cellStyle name="Note 2 10 2 5 3" xfId="17681" xr:uid="{00000000-0005-0000-0000-0000562A0000}"/>
    <cellStyle name="Note 2 10 2 5 4" xfId="17682" xr:uid="{00000000-0005-0000-0000-0000572A0000}"/>
    <cellStyle name="Note 2 10 2 6" xfId="14107" xr:uid="{00000000-0005-0000-0000-0000582A0000}"/>
    <cellStyle name="Note 2 10 2 7" xfId="14112" xr:uid="{00000000-0005-0000-0000-0000592A0000}"/>
    <cellStyle name="Note 2 10 2 8" xfId="15027" xr:uid="{00000000-0005-0000-0000-00005A2A0000}"/>
    <cellStyle name="Note 2 10 3" xfId="17683" xr:uid="{00000000-0005-0000-0000-00005B2A0000}"/>
    <cellStyle name="Note 2 10 3 2" xfId="1470" xr:uid="{00000000-0005-0000-0000-00005C2A0000}"/>
    <cellStyle name="Note 2 10 3 2 2" xfId="17684" xr:uid="{00000000-0005-0000-0000-00005D2A0000}"/>
    <cellStyle name="Note 2 10 3 2 2 2" xfId="17686" xr:uid="{00000000-0005-0000-0000-00005E2A0000}"/>
    <cellStyle name="Note 2 10 3 2 2 2 2" xfId="17687" xr:uid="{00000000-0005-0000-0000-00005F2A0000}"/>
    <cellStyle name="Note 2 10 3 2 2 2 3" xfId="17688" xr:uid="{00000000-0005-0000-0000-0000602A0000}"/>
    <cellStyle name="Note 2 10 3 2 2 2 4" xfId="17689" xr:uid="{00000000-0005-0000-0000-0000612A0000}"/>
    <cellStyle name="Note 2 10 3 2 2 3" xfId="15232" xr:uid="{00000000-0005-0000-0000-0000622A0000}"/>
    <cellStyle name="Note 2 10 3 2 2 4" xfId="15234" xr:uid="{00000000-0005-0000-0000-0000632A0000}"/>
    <cellStyle name="Note 2 10 3 2 2 5" xfId="15236" xr:uid="{00000000-0005-0000-0000-0000642A0000}"/>
    <cellStyle name="Note 2 10 3 2 3" xfId="17690" xr:uid="{00000000-0005-0000-0000-0000652A0000}"/>
    <cellStyle name="Note 2 10 3 2 3 2" xfId="17691" xr:uid="{00000000-0005-0000-0000-0000662A0000}"/>
    <cellStyle name="Note 2 10 3 2 3 3" xfId="17692" xr:uid="{00000000-0005-0000-0000-0000672A0000}"/>
    <cellStyle name="Note 2 10 3 2 3 4" xfId="17693" xr:uid="{00000000-0005-0000-0000-0000682A0000}"/>
    <cellStyle name="Note 2 10 3 2 4" xfId="17695" xr:uid="{00000000-0005-0000-0000-0000692A0000}"/>
    <cellStyle name="Note 2 10 3 2 5" xfId="17698" xr:uid="{00000000-0005-0000-0000-00006A2A0000}"/>
    <cellStyle name="Note 2 10 3 2 6" xfId="17701" xr:uid="{00000000-0005-0000-0000-00006B2A0000}"/>
    <cellStyle name="Note 2 10 3 3" xfId="3813" xr:uid="{00000000-0005-0000-0000-00006C2A0000}"/>
    <cellStyle name="Note 2 10 3 3 2" xfId="17703" xr:uid="{00000000-0005-0000-0000-00006D2A0000}"/>
    <cellStyle name="Note 2 10 3 3 2 2" xfId="8674" xr:uid="{00000000-0005-0000-0000-00006E2A0000}"/>
    <cellStyle name="Note 2 10 3 3 2 3" xfId="8730" xr:uid="{00000000-0005-0000-0000-00006F2A0000}"/>
    <cellStyle name="Note 2 10 3 3 2 4" xfId="8735" xr:uid="{00000000-0005-0000-0000-0000702A0000}"/>
    <cellStyle name="Note 2 10 3 3 3" xfId="17705" xr:uid="{00000000-0005-0000-0000-0000712A0000}"/>
    <cellStyle name="Note 2 10 3 3 4" xfId="17706" xr:uid="{00000000-0005-0000-0000-0000722A0000}"/>
    <cellStyle name="Note 2 10 3 3 5" xfId="17712" xr:uid="{00000000-0005-0000-0000-0000732A0000}"/>
    <cellStyle name="Note 2 10 3 4" xfId="13302" xr:uid="{00000000-0005-0000-0000-0000742A0000}"/>
    <cellStyle name="Note 2 10 3 4 2" xfId="13032" xr:uid="{00000000-0005-0000-0000-0000752A0000}"/>
    <cellStyle name="Note 2 10 3 4 3" xfId="13036" xr:uid="{00000000-0005-0000-0000-0000762A0000}"/>
    <cellStyle name="Note 2 10 3 4 4" xfId="13306" xr:uid="{00000000-0005-0000-0000-0000772A0000}"/>
    <cellStyle name="Note 2 10 3 5" xfId="13308" xr:uid="{00000000-0005-0000-0000-0000782A0000}"/>
    <cellStyle name="Note 2 10 3 6" xfId="13312" xr:uid="{00000000-0005-0000-0000-0000792A0000}"/>
    <cellStyle name="Note 2 10 3 7" xfId="13318" xr:uid="{00000000-0005-0000-0000-00007A2A0000}"/>
    <cellStyle name="Note 2 10 4" xfId="17714" xr:uid="{00000000-0005-0000-0000-00007B2A0000}"/>
    <cellStyle name="Note 2 10 4 2" xfId="3033" xr:uid="{00000000-0005-0000-0000-00007C2A0000}"/>
    <cellStyle name="Note 2 10 4 2 2" xfId="17717" xr:uid="{00000000-0005-0000-0000-00007D2A0000}"/>
    <cellStyle name="Note 2 10 4 2 2 2" xfId="1651" xr:uid="{00000000-0005-0000-0000-00007E2A0000}"/>
    <cellStyle name="Note 2 10 4 2 2 3" xfId="15143" xr:uid="{00000000-0005-0000-0000-00007F2A0000}"/>
    <cellStyle name="Note 2 10 4 2 2 4" xfId="17719" xr:uid="{00000000-0005-0000-0000-0000802A0000}"/>
    <cellStyle name="Note 2 10 4 2 3" xfId="17721" xr:uid="{00000000-0005-0000-0000-0000812A0000}"/>
    <cellStyle name="Note 2 10 4 2 4" xfId="17724" xr:uid="{00000000-0005-0000-0000-0000822A0000}"/>
    <cellStyle name="Note 2 10 4 2 5" xfId="17726" xr:uid="{00000000-0005-0000-0000-0000832A0000}"/>
    <cellStyle name="Note 2 10 4 3" xfId="17728" xr:uid="{00000000-0005-0000-0000-0000842A0000}"/>
    <cellStyle name="Note 2 10 4 3 2" xfId="17729" xr:uid="{00000000-0005-0000-0000-0000852A0000}"/>
    <cellStyle name="Note 2 10 4 3 3" xfId="17738" xr:uid="{00000000-0005-0000-0000-0000862A0000}"/>
    <cellStyle name="Note 2 10 4 3 4" xfId="17740" xr:uid="{00000000-0005-0000-0000-0000872A0000}"/>
    <cellStyle name="Note 2 10 4 4" xfId="13325" xr:uid="{00000000-0005-0000-0000-0000882A0000}"/>
    <cellStyle name="Note 2 10 4 5" xfId="13328" xr:uid="{00000000-0005-0000-0000-0000892A0000}"/>
    <cellStyle name="Note 2 10 4 6" xfId="13332" xr:uid="{00000000-0005-0000-0000-00008A2A0000}"/>
    <cellStyle name="Note 2 10 5" xfId="17741" xr:uid="{00000000-0005-0000-0000-00008B2A0000}"/>
    <cellStyle name="Note 2 10 5 2" xfId="17743" xr:uid="{00000000-0005-0000-0000-00008C2A0000}"/>
    <cellStyle name="Note 2 10 5 2 2" xfId="17745" xr:uid="{00000000-0005-0000-0000-00008D2A0000}"/>
    <cellStyle name="Note 2 10 5 2 3" xfId="17748" xr:uid="{00000000-0005-0000-0000-00008E2A0000}"/>
    <cellStyle name="Note 2 10 5 2 4" xfId="9752" xr:uid="{00000000-0005-0000-0000-00008F2A0000}"/>
    <cellStyle name="Note 2 10 5 3" xfId="17750" xr:uid="{00000000-0005-0000-0000-0000902A0000}"/>
    <cellStyle name="Note 2 10 5 4" xfId="14277" xr:uid="{00000000-0005-0000-0000-0000912A0000}"/>
    <cellStyle name="Note 2 10 5 5" xfId="14281" xr:uid="{00000000-0005-0000-0000-0000922A0000}"/>
    <cellStyle name="Note 2 10 6" xfId="17753" xr:uid="{00000000-0005-0000-0000-0000932A0000}"/>
    <cellStyle name="Note 2 10 6 2" xfId="17754" xr:uid="{00000000-0005-0000-0000-0000942A0000}"/>
    <cellStyle name="Note 2 10 6 3" xfId="17756" xr:uid="{00000000-0005-0000-0000-0000952A0000}"/>
    <cellStyle name="Note 2 10 6 4" xfId="17758" xr:uid="{00000000-0005-0000-0000-0000962A0000}"/>
    <cellStyle name="Note 2 10 7" xfId="17762" xr:uid="{00000000-0005-0000-0000-0000972A0000}"/>
    <cellStyle name="Note 2 10 8" xfId="12641" xr:uid="{00000000-0005-0000-0000-0000982A0000}"/>
    <cellStyle name="Note 2 10 9" xfId="12656" xr:uid="{00000000-0005-0000-0000-0000992A0000}"/>
    <cellStyle name="Note 2 11" xfId="6037" xr:uid="{00000000-0005-0000-0000-00009A2A0000}"/>
    <cellStyle name="Note 2 11 2" xfId="15089" xr:uid="{00000000-0005-0000-0000-00009B2A0000}"/>
    <cellStyle name="Note 2 11 2 2" xfId="4175" xr:uid="{00000000-0005-0000-0000-00009C2A0000}"/>
    <cellStyle name="Note 2 11 2 2 2" xfId="17763" xr:uid="{00000000-0005-0000-0000-00009D2A0000}"/>
    <cellStyle name="Note 2 11 2 2 2 2" xfId="17764" xr:uid="{00000000-0005-0000-0000-00009E2A0000}"/>
    <cellStyle name="Note 2 11 2 2 2 2 2" xfId="1144" xr:uid="{00000000-0005-0000-0000-00009F2A0000}"/>
    <cellStyle name="Note 2 11 2 2 2 2 3" xfId="2180" xr:uid="{00000000-0005-0000-0000-0000A02A0000}"/>
    <cellStyle name="Note 2 11 2 2 2 2 4" xfId="2202" xr:uid="{00000000-0005-0000-0000-0000A12A0000}"/>
    <cellStyle name="Note 2 11 2 2 2 3" xfId="17765" xr:uid="{00000000-0005-0000-0000-0000A22A0000}"/>
    <cellStyle name="Note 2 11 2 2 2 4" xfId="17766" xr:uid="{00000000-0005-0000-0000-0000A32A0000}"/>
    <cellStyle name="Note 2 11 2 2 2 5" xfId="17768" xr:uid="{00000000-0005-0000-0000-0000A42A0000}"/>
    <cellStyle name="Note 2 11 2 2 3" xfId="17769" xr:uid="{00000000-0005-0000-0000-0000A52A0000}"/>
    <cellStyle name="Note 2 11 2 2 3 2" xfId="17770" xr:uid="{00000000-0005-0000-0000-0000A62A0000}"/>
    <cellStyle name="Note 2 11 2 2 3 3" xfId="17771" xr:uid="{00000000-0005-0000-0000-0000A72A0000}"/>
    <cellStyle name="Note 2 11 2 2 3 4" xfId="17772" xr:uid="{00000000-0005-0000-0000-0000A82A0000}"/>
    <cellStyle name="Note 2 11 2 2 4" xfId="15502" xr:uid="{00000000-0005-0000-0000-0000A92A0000}"/>
    <cellStyle name="Note 2 11 2 2 5" xfId="15507" xr:uid="{00000000-0005-0000-0000-0000AA2A0000}"/>
    <cellStyle name="Note 2 11 2 2 6" xfId="15512" xr:uid="{00000000-0005-0000-0000-0000AB2A0000}"/>
    <cellStyle name="Note 2 11 2 3" xfId="17774" xr:uid="{00000000-0005-0000-0000-0000AC2A0000}"/>
    <cellStyle name="Note 2 11 2 3 2" xfId="17776" xr:uid="{00000000-0005-0000-0000-0000AD2A0000}"/>
    <cellStyle name="Note 2 11 2 3 2 2" xfId="17778" xr:uid="{00000000-0005-0000-0000-0000AE2A0000}"/>
    <cellStyle name="Note 2 11 2 3 2 3" xfId="17780" xr:uid="{00000000-0005-0000-0000-0000AF2A0000}"/>
    <cellStyle name="Note 2 11 2 3 2 4" xfId="17782" xr:uid="{00000000-0005-0000-0000-0000B02A0000}"/>
    <cellStyle name="Note 2 11 2 3 3" xfId="17476" xr:uid="{00000000-0005-0000-0000-0000B12A0000}"/>
    <cellStyle name="Note 2 11 2 3 4" xfId="17479" xr:uid="{00000000-0005-0000-0000-0000B22A0000}"/>
    <cellStyle name="Note 2 11 2 3 5" xfId="17784" xr:uid="{00000000-0005-0000-0000-0000B32A0000}"/>
    <cellStyle name="Note 2 11 2 4" xfId="17788" xr:uid="{00000000-0005-0000-0000-0000B42A0000}"/>
    <cellStyle name="Note 2 11 2 4 2" xfId="17790" xr:uid="{00000000-0005-0000-0000-0000B52A0000}"/>
    <cellStyle name="Note 2 11 2 4 3" xfId="17792" xr:uid="{00000000-0005-0000-0000-0000B62A0000}"/>
    <cellStyle name="Note 2 11 2 4 4" xfId="17794" xr:uid="{00000000-0005-0000-0000-0000B72A0000}"/>
    <cellStyle name="Note 2 11 2 5" xfId="17799" xr:uid="{00000000-0005-0000-0000-0000B82A0000}"/>
    <cellStyle name="Note 2 11 2 6" xfId="17804" xr:uid="{00000000-0005-0000-0000-0000B92A0000}"/>
    <cellStyle name="Note 2 11 2 7" xfId="17810" xr:uid="{00000000-0005-0000-0000-0000BA2A0000}"/>
    <cellStyle name="Note 2 11 3" xfId="17813" xr:uid="{00000000-0005-0000-0000-0000BB2A0000}"/>
    <cellStyle name="Note 2 11 3 2" xfId="603" xr:uid="{00000000-0005-0000-0000-0000BC2A0000}"/>
    <cellStyle name="Note 2 11 3 2 2" xfId="2975" xr:uid="{00000000-0005-0000-0000-0000BD2A0000}"/>
    <cellStyle name="Note 2 11 3 2 2 2" xfId="17815" xr:uid="{00000000-0005-0000-0000-0000BE2A0000}"/>
    <cellStyle name="Note 2 11 3 2 2 3" xfId="17817" xr:uid="{00000000-0005-0000-0000-0000BF2A0000}"/>
    <cellStyle name="Note 2 11 3 2 2 4" xfId="17819" xr:uid="{00000000-0005-0000-0000-0000C02A0000}"/>
    <cellStyle name="Note 2 11 3 2 3" xfId="1856" xr:uid="{00000000-0005-0000-0000-0000C12A0000}"/>
    <cellStyle name="Note 2 11 3 2 4" xfId="6260" xr:uid="{00000000-0005-0000-0000-0000C22A0000}"/>
    <cellStyle name="Note 2 11 3 2 5" xfId="17822" xr:uid="{00000000-0005-0000-0000-0000C32A0000}"/>
    <cellStyle name="Note 2 11 3 3" xfId="17827" xr:uid="{00000000-0005-0000-0000-0000C42A0000}"/>
    <cellStyle name="Note 2 11 3 3 2" xfId="6272" xr:uid="{00000000-0005-0000-0000-0000C52A0000}"/>
    <cellStyle name="Note 2 11 3 3 3" xfId="1882" xr:uid="{00000000-0005-0000-0000-0000C62A0000}"/>
    <cellStyle name="Note 2 11 3 3 4" xfId="17829" xr:uid="{00000000-0005-0000-0000-0000C72A0000}"/>
    <cellStyle name="Note 2 11 3 4" xfId="13347" xr:uid="{00000000-0005-0000-0000-0000C82A0000}"/>
    <cellStyle name="Note 2 11 3 5" xfId="13351" xr:uid="{00000000-0005-0000-0000-0000C92A0000}"/>
    <cellStyle name="Note 2 11 3 6" xfId="13356" xr:uid="{00000000-0005-0000-0000-0000CA2A0000}"/>
    <cellStyle name="Note 2 11 4" xfId="17834" xr:uid="{00000000-0005-0000-0000-0000CB2A0000}"/>
    <cellStyle name="Note 2 11 4 2" xfId="17836" xr:uid="{00000000-0005-0000-0000-0000CC2A0000}"/>
    <cellStyle name="Note 2 11 4 2 2" xfId="2552" xr:uid="{00000000-0005-0000-0000-0000CD2A0000}"/>
    <cellStyle name="Note 2 11 4 2 3" xfId="6298" xr:uid="{00000000-0005-0000-0000-0000CE2A0000}"/>
    <cellStyle name="Note 2 11 4 2 4" xfId="17837" xr:uid="{00000000-0005-0000-0000-0000CF2A0000}"/>
    <cellStyle name="Note 2 11 4 3" xfId="17839" xr:uid="{00000000-0005-0000-0000-0000D02A0000}"/>
    <cellStyle name="Note 2 11 4 4" xfId="17844" xr:uid="{00000000-0005-0000-0000-0000D12A0000}"/>
    <cellStyle name="Note 2 11 4 5" xfId="17848" xr:uid="{00000000-0005-0000-0000-0000D22A0000}"/>
    <cellStyle name="Note 2 11 5" xfId="17494" xr:uid="{00000000-0005-0000-0000-0000D32A0000}"/>
    <cellStyle name="Note 2 11 5 2" xfId="17496" xr:uid="{00000000-0005-0000-0000-0000D42A0000}"/>
    <cellStyle name="Note 2 11 5 3" xfId="17541" xr:uid="{00000000-0005-0000-0000-0000D52A0000}"/>
    <cellStyle name="Note 2 11 5 4" xfId="17577" xr:uid="{00000000-0005-0000-0000-0000D62A0000}"/>
    <cellStyle name="Note 2 11 6" xfId="11799" xr:uid="{00000000-0005-0000-0000-0000D72A0000}"/>
    <cellStyle name="Note 2 11 7" xfId="10774" xr:uid="{00000000-0005-0000-0000-0000D82A0000}"/>
    <cellStyle name="Note 2 11 8" xfId="10794" xr:uid="{00000000-0005-0000-0000-0000D92A0000}"/>
    <cellStyle name="Note 2 12" xfId="6044" xr:uid="{00000000-0005-0000-0000-0000DA2A0000}"/>
    <cellStyle name="Note 2 12 2" xfId="14854" xr:uid="{00000000-0005-0000-0000-0000DB2A0000}"/>
    <cellStyle name="Note 2 12 2 2" xfId="4435" xr:uid="{00000000-0005-0000-0000-0000DC2A0000}"/>
    <cellStyle name="Note 2 12 2 2 2" xfId="14858" xr:uid="{00000000-0005-0000-0000-0000DD2A0000}"/>
    <cellStyle name="Note 2 12 2 2 2 2" xfId="17852" xr:uid="{00000000-0005-0000-0000-0000DE2A0000}"/>
    <cellStyle name="Note 2 12 2 2 2 3" xfId="17853" xr:uid="{00000000-0005-0000-0000-0000DF2A0000}"/>
    <cellStyle name="Note 2 12 2 2 2 4" xfId="17854" xr:uid="{00000000-0005-0000-0000-0000E02A0000}"/>
    <cellStyle name="Note 2 12 2 2 3" xfId="14860" xr:uid="{00000000-0005-0000-0000-0000E12A0000}"/>
    <cellStyle name="Note 2 12 2 2 4" xfId="14864" xr:uid="{00000000-0005-0000-0000-0000E22A0000}"/>
    <cellStyle name="Note 2 12 2 2 5" xfId="15624" xr:uid="{00000000-0005-0000-0000-0000E32A0000}"/>
    <cellStyle name="Note 2 12 2 3" xfId="14869" xr:uid="{00000000-0005-0000-0000-0000E42A0000}"/>
    <cellStyle name="Note 2 12 2 3 2" xfId="13576" xr:uid="{00000000-0005-0000-0000-0000E52A0000}"/>
    <cellStyle name="Note 2 12 2 3 3" xfId="13585" xr:uid="{00000000-0005-0000-0000-0000E62A0000}"/>
    <cellStyle name="Note 2 12 2 3 4" xfId="13595" xr:uid="{00000000-0005-0000-0000-0000E72A0000}"/>
    <cellStyle name="Note 2 12 2 4" xfId="14877" xr:uid="{00000000-0005-0000-0000-0000E82A0000}"/>
    <cellStyle name="Note 2 12 2 5" xfId="14881" xr:uid="{00000000-0005-0000-0000-0000E92A0000}"/>
    <cellStyle name="Note 2 12 2 6" xfId="17855" xr:uid="{00000000-0005-0000-0000-0000EA2A0000}"/>
    <cellStyle name="Note 2 12 3" xfId="14886" xr:uid="{00000000-0005-0000-0000-0000EB2A0000}"/>
    <cellStyle name="Note 2 12 3 2" xfId="14892" xr:uid="{00000000-0005-0000-0000-0000EC2A0000}"/>
    <cellStyle name="Note 2 12 3 2 2" xfId="6349" xr:uid="{00000000-0005-0000-0000-0000ED2A0000}"/>
    <cellStyle name="Note 2 12 3 2 3" xfId="414" xr:uid="{00000000-0005-0000-0000-0000EE2A0000}"/>
    <cellStyle name="Note 2 12 3 2 4" xfId="17857" xr:uid="{00000000-0005-0000-0000-0000EF2A0000}"/>
    <cellStyle name="Note 2 12 3 3" xfId="14897" xr:uid="{00000000-0005-0000-0000-0000F02A0000}"/>
    <cellStyle name="Note 2 12 3 4" xfId="14903" xr:uid="{00000000-0005-0000-0000-0000F12A0000}"/>
    <cellStyle name="Note 2 12 3 5" xfId="17858" xr:uid="{00000000-0005-0000-0000-0000F22A0000}"/>
    <cellStyle name="Note 2 12 4" xfId="14910" xr:uid="{00000000-0005-0000-0000-0000F32A0000}"/>
    <cellStyle name="Note 2 12 4 2" xfId="17864" xr:uid="{00000000-0005-0000-0000-0000F42A0000}"/>
    <cellStyle name="Note 2 12 4 3" xfId="17866" xr:uid="{00000000-0005-0000-0000-0000F52A0000}"/>
    <cellStyle name="Note 2 12 4 4" xfId="17867" xr:uid="{00000000-0005-0000-0000-0000F62A0000}"/>
    <cellStyle name="Note 2 12 5" xfId="252" xr:uid="{00000000-0005-0000-0000-0000F72A0000}"/>
    <cellStyle name="Note 2 12 6" xfId="2499" xr:uid="{00000000-0005-0000-0000-0000F82A0000}"/>
    <cellStyle name="Note 2 12 7" xfId="2516" xr:uid="{00000000-0005-0000-0000-0000F92A0000}"/>
    <cellStyle name="Note 2 13" xfId="15716" xr:uid="{00000000-0005-0000-0000-0000FA2A0000}"/>
    <cellStyle name="Note 2 13 2" xfId="15022" xr:uid="{00000000-0005-0000-0000-0000FB2A0000}"/>
    <cellStyle name="Note 2 13 2 2" xfId="7954" xr:uid="{00000000-0005-0000-0000-0000FC2A0000}"/>
    <cellStyle name="Note 2 13 2 2 2" xfId="14109" xr:uid="{00000000-0005-0000-0000-0000FD2A0000}"/>
    <cellStyle name="Note 2 13 2 2 3" xfId="15025" xr:uid="{00000000-0005-0000-0000-0000FE2A0000}"/>
    <cellStyle name="Note 2 13 2 2 4" xfId="15029" xr:uid="{00000000-0005-0000-0000-0000FF2A0000}"/>
    <cellStyle name="Note 2 13 2 3" xfId="7960" xr:uid="{00000000-0005-0000-0000-0000002B0000}"/>
    <cellStyle name="Note 2 13 2 4" xfId="7965" xr:uid="{00000000-0005-0000-0000-0000012B0000}"/>
    <cellStyle name="Note 2 13 2 5" xfId="8737" xr:uid="{00000000-0005-0000-0000-0000022B0000}"/>
    <cellStyle name="Note 2 13 3" xfId="15033" xr:uid="{00000000-0005-0000-0000-0000032B0000}"/>
    <cellStyle name="Note 2 13 3 2" xfId="7980" xr:uid="{00000000-0005-0000-0000-0000042B0000}"/>
    <cellStyle name="Note 2 13 3 3" xfId="7986" xr:uid="{00000000-0005-0000-0000-0000052B0000}"/>
    <cellStyle name="Note 2 13 3 4" xfId="15039" xr:uid="{00000000-0005-0000-0000-0000062B0000}"/>
    <cellStyle name="Note 2 13 4" xfId="15043" xr:uid="{00000000-0005-0000-0000-0000072B0000}"/>
    <cellStyle name="Note 2 13 5" xfId="2535" xr:uid="{00000000-0005-0000-0000-0000082B0000}"/>
    <cellStyle name="Note 2 13 6" xfId="2547" xr:uid="{00000000-0005-0000-0000-0000092B0000}"/>
    <cellStyle name="Note 2 14" xfId="17869" xr:uid="{00000000-0005-0000-0000-00000A2B0000}"/>
    <cellStyle name="Note 2 14 2" xfId="15091" xr:uid="{00000000-0005-0000-0000-00000B2B0000}"/>
    <cellStyle name="Note 2 14 2 2" xfId="5467" xr:uid="{00000000-0005-0000-0000-00000C2B0000}"/>
    <cellStyle name="Note 2 14 2 3" xfId="5477" xr:uid="{00000000-0005-0000-0000-00000D2B0000}"/>
    <cellStyle name="Note 2 14 2 4" xfId="7215" xr:uid="{00000000-0005-0000-0000-00000E2B0000}"/>
    <cellStyle name="Note 2 14 3" xfId="14335" xr:uid="{00000000-0005-0000-0000-00000F2B0000}"/>
    <cellStyle name="Note 2 14 4" xfId="14339" xr:uid="{00000000-0005-0000-0000-0000102B0000}"/>
    <cellStyle name="Note 2 14 5" xfId="14343" xr:uid="{00000000-0005-0000-0000-0000112B0000}"/>
    <cellStyle name="Note 2 15" xfId="6895" xr:uid="{00000000-0005-0000-0000-0000122B0000}"/>
    <cellStyle name="Note 2 15 2" xfId="12949" xr:uid="{00000000-0005-0000-0000-0000132B0000}"/>
    <cellStyle name="Note 2 15 3" xfId="12952" xr:uid="{00000000-0005-0000-0000-0000142B0000}"/>
    <cellStyle name="Note 2 15 4" xfId="14581" xr:uid="{00000000-0005-0000-0000-0000152B0000}"/>
    <cellStyle name="Note 2 16" xfId="6191" xr:uid="{00000000-0005-0000-0000-0000162B0000}"/>
    <cellStyle name="Note 2 17" xfId="6204" xr:uid="{00000000-0005-0000-0000-0000172B0000}"/>
    <cellStyle name="Note 2 18" xfId="17878" xr:uid="{00000000-0005-0000-0000-0000182B0000}"/>
    <cellStyle name="Note 2 19" xfId="17883" xr:uid="{00000000-0005-0000-0000-0000192B0000}"/>
    <cellStyle name="Note 2 2" xfId="12159" xr:uid="{00000000-0005-0000-0000-00001A2B0000}"/>
    <cellStyle name="Note 2 2 10" xfId="7218" xr:uid="{00000000-0005-0000-0000-00001B2B0000}"/>
    <cellStyle name="Note 2 2 11" xfId="7242" xr:uid="{00000000-0005-0000-0000-00001C2B0000}"/>
    <cellStyle name="Note 2 2 12" xfId="7262" xr:uid="{00000000-0005-0000-0000-00001D2B0000}"/>
    <cellStyle name="Note 2 2 13" xfId="7270" xr:uid="{00000000-0005-0000-0000-00001E2B0000}"/>
    <cellStyle name="Note 2 2 2" xfId="13121" xr:uid="{00000000-0005-0000-0000-00001F2B0000}"/>
    <cellStyle name="Note 2 2 2 10" xfId="17884" xr:uid="{00000000-0005-0000-0000-0000202B0000}"/>
    <cellStyle name="Note 2 2 2 11" xfId="5390" xr:uid="{00000000-0005-0000-0000-0000212B0000}"/>
    <cellStyle name="Note 2 2 2 12" xfId="5403" xr:uid="{00000000-0005-0000-0000-0000222B0000}"/>
    <cellStyle name="Note 2 2 2 2" xfId="14209" xr:uid="{00000000-0005-0000-0000-0000232B0000}"/>
    <cellStyle name="Note 2 2 2 2 2" xfId="14016" xr:uid="{00000000-0005-0000-0000-0000242B0000}"/>
    <cellStyle name="Note 2 2 2 2 2 2" xfId="17886" xr:uid="{00000000-0005-0000-0000-0000252B0000}"/>
    <cellStyle name="Note 2 2 2 2 2 2 2" xfId="17888" xr:uid="{00000000-0005-0000-0000-0000262B0000}"/>
    <cellStyle name="Note 2 2 2 2 2 2 2 2" xfId="17892" xr:uid="{00000000-0005-0000-0000-0000272B0000}"/>
    <cellStyle name="Note 2 2 2 2 2 2 2 2 2" xfId="12277" xr:uid="{00000000-0005-0000-0000-0000282B0000}"/>
    <cellStyle name="Note 2 2 2 2 2 2 2 2 2 2" xfId="17900" xr:uid="{00000000-0005-0000-0000-0000292B0000}"/>
    <cellStyle name="Note 2 2 2 2 2 2 2 2 2 3" xfId="17905" xr:uid="{00000000-0005-0000-0000-00002A2B0000}"/>
    <cellStyle name="Note 2 2 2 2 2 2 2 2 2 4" xfId="17911" xr:uid="{00000000-0005-0000-0000-00002B2B0000}"/>
    <cellStyle name="Note 2 2 2 2 2 2 2 2 3" xfId="6533" xr:uid="{00000000-0005-0000-0000-00002C2B0000}"/>
    <cellStyle name="Note 2 2 2 2 2 2 2 2 4" xfId="6143" xr:uid="{00000000-0005-0000-0000-00002D2B0000}"/>
    <cellStyle name="Note 2 2 2 2 2 2 2 2 5" xfId="6148" xr:uid="{00000000-0005-0000-0000-00002E2B0000}"/>
    <cellStyle name="Note 2 2 2 2 2 2 2 3" xfId="17915" xr:uid="{00000000-0005-0000-0000-00002F2B0000}"/>
    <cellStyle name="Note 2 2 2 2 2 2 2 3 2" xfId="17872" xr:uid="{00000000-0005-0000-0000-0000302B0000}"/>
    <cellStyle name="Note 2 2 2 2 2 2 2 3 3" xfId="6898" xr:uid="{00000000-0005-0000-0000-0000312B0000}"/>
    <cellStyle name="Note 2 2 2 2 2 2 2 3 4" xfId="6194" xr:uid="{00000000-0005-0000-0000-0000322B0000}"/>
    <cellStyle name="Note 2 2 2 2 2 2 2 4" xfId="17921" xr:uid="{00000000-0005-0000-0000-0000332B0000}"/>
    <cellStyle name="Note 2 2 2 2 2 2 2 5" xfId="17923" xr:uid="{00000000-0005-0000-0000-0000342B0000}"/>
    <cellStyle name="Note 2 2 2 2 2 2 2 6" xfId="17931" xr:uid="{00000000-0005-0000-0000-0000352B0000}"/>
    <cellStyle name="Note 2 2 2 2 2 2 3" xfId="17934" xr:uid="{00000000-0005-0000-0000-0000362B0000}"/>
    <cellStyle name="Note 2 2 2 2 2 2 3 2" xfId="17938" xr:uid="{00000000-0005-0000-0000-0000372B0000}"/>
    <cellStyle name="Note 2 2 2 2 2 2 3 2 2" xfId="17943" xr:uid="{00000000-0005-0000-0000-0000382B0000}"/>
    <cellStyle name="Note 2 2 2 2 2 2 3 2 3" xfId="4293" xr:uid="{00000000-0005-0000-0000-0000392B0000}"/>
    <cellStyle name="Note 2 2 2 2 2 2 3 2 4" xfId="4309" xr:uid="{00000000-0005-0000-0000-00003A2B0000}"/>
    <cellStyle name="Note 2 2 2 2 2 2 3 3" xfId="17948" xr:uid="{00000000-0005-0000-0000-00003B2B0000}"/>
    <cellStyle name="Note 2 2 2 2 2 2 3 4" xfId="17950" xr:uid="{00000000-0005-0000-0000-00003C2B0000}"/>
    <cellStyle name="Note 2 2 2 2 2 2 3 5" xfId="17955" xr:uid="{00000000-0005-0000-0000-00003D2B0000}"/>
    <cellStyle name="Note 2 2 2 2 2 2 4" xfId="17959" xr:uid="{00000000-0005-0000-0000-00003E2B0000}"/>
    <cellStyle name="Note 2 2 2 2 2 2 4 2" xfId="17961" xr:uid="{00000000-0005-0000-0000-00003F2B0000}"/>
    <cellStyle name="Note 2 2 2 2 2 2 4 3" xfId="17967" xr:uid="{00000000-0005-0000-0000-0000402B0000}"/>
    <cellStyle name="Note 2 2 2 2 2 2 4 4" xfId="17977" xr:uid="{00000000-0005-0000-0000-0000412B0000}"/>
    <cellStyle name="Note 2 2 2 2 2 2 5" xfId="17983" xr:uid="{00000000-0005-0000-0000-0000422B0000}"/>
    <cellStyle name="Note 2 2 2 2 2 2 6" xfId="17986" xr:uid="{00000000-0005-0000-0000-0000432B0000}"/>
    <cellStyle name="Note 2 2 2 2 2 2 7" xfId="17994" xr:uid="{00000000-0005-0000-0000-0000442B0000}"/>
    <cellStyle name="Note 2 2 2 2 2 3" xfId="18002" xr:uid="{00000000-0005-0000-0000-0000452B0000}"/>
    <cellStyle name="Note 2 2 2 2 2 3 2" xfId="18004" xr:uid="{00000000-0005-0000-0000-0000462B0000}"/>
    <cellStyle name="Note 2 2 2 2 2 3 2 2" xfId="6565" xr:uid="{00000000-0005-0000-0000-0000472B0000}"/>
    <cellStyle name="Note 2 2 2 2 2 3 2 2 2" xfId="16344" xr:uid="{00000000-0005-0000-0000-0000482B0000}"/>
    <cellStyle name="Note 2 2 2 2 2 3 2 2 3" xfId="8077" xr:uid="{00000000-0005-0000-0000-0000492B0000}"/>
    <cellStyle name="Note 2 2 2 2 2 3 2 2 4" xfId="5579" xr:uid="{00000000-0005-0000-0000-00004A2B0000}"/>
    <cellStyle name="Note 2 2 2 2 2 3 2 3" xfId="8358" xr:uid="{00000000-0005-0000-0000-00004B2B0000}"/>
    <cellStyle name="Note 2 2 2 2 2 3 2 4" xfId="8360" xr:uid="{00000000-0005-0000-0000-00004C2B0000}"/>
    <cellStyle name="Note 2 2 2 2 2 3 2 5" xfId="18006" xr:uid="{00000000-0005-0000-0000-00004D2B0000}"/>
    <cellStyle name="Note 2 2 2 2 2 3 3" xfId="18009" xr:uid="{00000000-0005-0000-0000-00004E2B0000}"/>
    <cellStyle name="Note 2 2 2 2 2 3 3 2" xfId="18010" xr:uid="{00000000-0005-0000-0000-00004F2B0000}"/>
    <cellStyle name="Note 2 2 2 2 2 3 3 3" xfId="18013" xr:uid="{00000000-0005-0000-0000-0000502B0000}"/>
    <cellStyle name="Note 2 2 2 2 2 3 3 4" xfId="18017" xr:uid="{00000000-0005-0000-0000-0000512B0000}"/>
    <cellStyle name="Note 2 2 2 2 2 3 4" xfId="18021" xr:uid="{00000000-0005-0000-0000-0000522B0000}"/>
    <cellStyle name="Note 2 2 2 2 2 3 5" xfId="18027" xr:uid="{00000000-0005-0000-0000-0000532B0000}"/>
    <cellStyle name="Note 2 2 2 2 2 3 6" xfId="18030" xr:uid="{00000000-0005-0000-0000-0000542B0000}"/>
    <cellStyle name="Note 2 2 2 2 2 4" xfId="18038" xr:uid="{00000000-0005-0000-0000-0000552B0000}"/>
    <cellStyle name="Note 2 2 2 2 2 4 2" xfId="18042" xr:uid="{00000000-0005-0000-0000-0000562B0000}"/>
    <cellStyle name="Note 2 2 2 2 2 4 2 2" xfId="18046" xr:uid="{00000000-0005-0000-0000-0000572B0000}"/>
    <cellStyle name="Note 2 2 2 2 2 4 2 3" xfId="18052" xr:uid="{00000000-0005-0000-0000-0000582B0000}"/>
    <cellStyle name="Note 2 2 2 2 2 4 2 4" xfId="18058" xr:uid="{00000000-0005-0000-0000-0000592B0000}"/>
    <cellStyle name="Note 2 2 2 2 2 4 3" xfId="18062" xr:uid="{00000000-0005-0000-0000-00005A2B0000}"/>
    <cellStyle name="Note 2 2 2 2 2 4 4" xfId="18067" xr:uid="{00000000-0005-0000-0000-00005B2B0000}"/>
    <cellStyle name="Note 2 2 2 2 2 4 5" xfId="18073" xr:uid="{00000000-0005-0000-0000-00005C2B0000}"/>
    <cellStyle name="Note 2 2 2 2 2 5" xfId="18077" xr:uid="{00000000-0005-0000-0000-00005D2B0000}"/>
    <cellStyle name="Note 2 2 2 2 2 5 2" xfId="18081" xr:uid="{00000000-0005-0000-0000-00005E2B0000}"/>
    <cellStyle name="Note 2 2 2 2 2 5 3" xfId="18085" xr:uid="{00000000-0005-0000-0000-00005F2B0000}"/>
    <cellStyle name="Note 2 2 2 2 2 5 4" xfId="16994" xr:uid="{00000000-0005-0000-0000-0000602B0000}"/>
    <cellStyle name="Note 2 2 2 2 2 6" xfId="7816" xr:uid="{00000000-0005-0000-0000-0000612B0000}"/>
    <cellStyle name="Note 2 2 2 2 2 7" xfId="7823" xr:uid="{00000000-0005-0000-0000-0000622B0000}"/>
    <cellStyle name="Note 2 2 2 2 2 8" xfId="7826" xr:uid="{00000000-0005-0000-0000-0000632B0000}"/>
    <cellStyle name="Note 2 2 2 2 3" xfId="13906" xr:uid="{00000000-0005-0000-0000-0000642B0000}"/>
    <cellStyle name="Note 2 2 2 2 3 2" xfId="13909" xr:uid="{00000000-0005-0000-0000-0000652B0000}"/>
    <cellStyle name="Note 2 2 2 2 3 2 2" xfId="18087" xr:uid="{00000000-0005-0000-0000-0000662B0000}"/>
    <cellStyle name="Note 2 2 2 2 3 2 2 2" xfId="7472" xr:uid="{00000000-0005-0000-0000-0000672B0000}"/>
    <cellStyle name="Note 2 2 2 2 3 2 2 2 2" xfId="11146" xr:uid="{00000000-0005-0000-0000-0000682B0000}"/>
    <cellStyle name="Note 2 2 2 2 3 2 2 2 3" xfId="11151" xr:uid="{00000000-0005-0000-0000-0000692B0000}"/>
    <cellStyle name="Note 2 2 2 2 3 2 2 2 4" xfId="18088" xr:uid="{00000000-0005-0000-0000-00006A2B0000}"/>
    <cellStyle name="Note 2 2 2 2 3 2 2 3" xfId="5044" xr:uid="{00000000-0005-0000-0000-00006B2B0000}"/>
    <cellStyle name="Note 2 2 2 2 3 2 2 4" xfId="5049" xr:uid="{00000000-0005-0000-0000-00006C2B0000}"/>
    <cellStyle name="Note 2 2 2 2 3 2 2 5" xfId="5054" xr:uid="{00000000-0005-0000-0000-00006D2B0000}"/>
    <cellStyle name="Note 2 2 2 2 3 2 3" xfId="18092" xr:uid="{00000000-0005-0000-0000-00006E2B0000}"/>
    <cellStyle name="Note 2 2 2 2 3 2 3 2" xfId="1160" xr:uid="{00000000-0005-0000-0000-00006F2B0000}"/>
    <cellStyle name="Note 2 2 2 2 3 2 3 3" xfId="4102" xr:uid="{00000000-0005-0000-0000-0000702B0000}"/>
    <cellStyle name="Note 2 2 2 2 3 2 3 4" xfId="4115" xr:uid="{00000000-0005-0000-0000-0000712B0000}"/>
    <cellStyle name="Note 2 2 2 2 3 2 4" xfId="18096" xr:uid="{00000000-0005-0000-0000-0000722B0000}"/>
    <cellStyle name="Note 2 2 2 2 3 2 5" xfId="18102" xr:uid="{00000000-0005-0000-0000-0000732B0000}"/>
    <cellStyle name="Note 2 2 2 2 3 2 6" xfId="18105" xr:uid="{00000000-0005-0000-0000-0000742B0000}"/>
    <cellStyle name="Note 2 2 2 2 3 3" xfId="13912" xr:uid="{00000000-0005-0000-0000-0000752B0000}"/>
    <cellStyle name="Note 2 2 2 2 3 3 2" xfId="18111" xr:uid="{00000000-0005-0000-0000-0000762B0000}"/>
    <cellStyle name="Note 2 2 2 2 3 3 2 2" xfId="18113" xr:uid="{00000000-0005-0000-0000-0000772B0000}"/>
    <cellStyle name="Note 2 2 2 2 3 3 2 3" xfId="1441" xr:uid="{00000000-0005-0000-0000-0000782B0000}"/>
    <cellStyle name="Note 2 2 2 2 3 3 2 4" xfId="5089" xr:uid="{00000000-0005-0000-0000-0000792B0000}"/>
    <cellStyle name="Note 2 2 2 2 3 3 3" xfId="1996" xr:uid="{00000000-0005-0000-0000-00007A2B0000}"/>
    <cellStyle name="Note 2 2 2 2 3 3 4" xfId="2004" xr:uid="{00000000-0005-0000-0000-00007B2B0000}"/>
    <cellStyle name="Note 2 2 2 2 3 3 5" xfId="2017" xr:uid="{00000000-0005-0000-0000-00007C2B0000}"/>
    <cellStyle name="Note 2 2 2 2 3 4" xfId="13916" xr:uid="{00000000-0005-0000-0000-00007D2B0000}"/>
    <cellStyle name="Note 2 2 2 2 3 4 2" xfId="18115" xr:uid="{00000000-0005-0000-0000-00007E2B0000}"/>
    <cellStyle name="Note 2 2 2 2 3 4 3" xfId="2035" xr:uid="{00000000-0005-0000-0000-00007F2B0000}"/>
    <cellStyle name="Note 2 2 2 2 3 4 4" xfId="18119" xr:uid="{00000000-0005-0000-0000-0000802B0000}"/>
    <cellStyle name="Note 2 2 2 2 3 5" xfId="18122" xr:uid="{00000000-0005-0000-0000-0000812B0000}"/>
    <cellStyle name="Note 2 2 2 2 3 6" xfId="14963" xr:uid="{00000000-0005-0000-0000-0000822B0000}"/>
    <cellStyle name="Note 2 2 2 2 3 7" xfId="14965" xr:uid="{00000000-0005-0000-0000-0000832B0000}"/>
    <cellStyle name="Note 2 2 2 2 4" xfId="13918" xr:uid="{00000000-0005-0000-0000-0000842B0000}"/>
    <cellStyle name="Note 2 2 2 2 4 2" xfId="18124" xr:uid="{00000000-0005-0000-0000-0000852B0000}"/>
    <cellStyle name="Note 2 2 2 2 4 2 2" xfId="17552" xr:uid="{00000000-0005-0000-0000-0000862B0000}"/>
    <cellStyle name="Note 2 2 2 2 4 2 2 2" xfId="12387" xr:uid="{00000000-0005-0000-0000-0000872B0000}"/>
    <cellStyle name="Note 2 2 2 2 4 2 2 3" xfId="7001" xr:uid="{00000000-0005-0000-0000-0000882B0000}"/>
    <cellStyle name="Note 2 2 2 2 4 2 2 4" xfId="6441" xr:uid="{00000000-0005-0000-0000-0000892B0000}"/>
    <cellStyle name="Note 2 2 2 2 4 2 3" xfId="17555" xr:uid="{00000000-0005-0000-0000-00008A2B0000}"/>
    <cellStyle name="Note 2 2 2 2 4 2 4" xfId="17964" xr:uid="{00000000-0005-0000-0000-00008B2B0000}"/>
    <cellStyle name="Note 2 2 2 2 4 2 5" xfId="17970" xr:uid="{00000000-0005-0000-0000-00008C2B0000}"/>
    <cellStyle name="Note 2 2 2 2 4 3" xfId="18126" xr:uid="{00000000-0005-0000-0000-00008D2B0000}"/>
    <cellStyle name="Note 2 2 2 2 4 3 2" xfId="17560" xr:uid="{00000000-0005-0000-0000-00008E2B0000}"/>
    <cellStyle name="Note 2 2 2 2 4 3 3" xfId="18128" xr:uid="{00000000-0005-0000-0000-00008F2B0000}"/>
    <cellStyle name="Note 2 2 2 2 4 3 4" xfId="18132" xr:uid="{00000000-0005-0000-0000-0000902B0000}"/>
    <cellStyle name="Note 2 2 2 2 4 4" xfId="18136" xr:uid="{00000000-0005-0000-0000-0000912B0000}"/>
    <cellStyle name="Note 2 2 2 2 4 5" xfId="18139" xr:uid="{00000000-0005-0000-0000-0000922B0000}"/>
    <cellStyle name="Note 2 2 2 2 4 6" xfId="15663" xr:uid="{00000000-0005-0000-0000-0000932B0000}"/>
    <cellStyle name="Note 2 2 2 2 5" xfId="13920" xr:uid="{00000000-0005-0000-0000-0000942B0000}"/>
    <cellStyle name="Note 2 2 2 2 5 2" xfId="18141" xr:uid="{00000000-0005-0000-0000-0000952B0000}"/>
    <cellStyle name="Note 2 2 2 2 5 2 2" xfId="8958" xr:uid="{00000000-0005-0000-0000-0000962B0000}"/>
    <cellStyle name="Note 2 2 2 2 5 2 3" xfId="18143" xr:uid="{00000000-0005-0000-0000-0000972B0000}"/>
    <cellStyle name="Note 2 2 2 2 5 2 4" xfId="18146" xr:uid="{00000000-0005-0000-0000-0000982B0000}"/>
    <cellStyle name="Note 2 2 2 2 5 3" xfId="18149" xr:uid="{00000000-0005-0000-0000-0000992B0000}"/>
    <cellStyle name="Note 2 2 2 2 5 4" xfId="18152" xr:uid="{00000000-0005-0000-0000-00009A2B0000}"/>
    <cellStyle name="Note 2 2 2 2 5 5" xfId="18155" xr:uid="{00000000-0005-0000-0000-00009B2B0000}"/>
    <cellStyle name="Note 2 2 2 2 6" xfId="13922" xr:uid="{00000000-0005-0000-0000-00009C2B0000}"/>
    <cellStyle name="Note 2 2 2 2 6 2" xfId="18157" xr:uid="{00000000-0005-0000-0000-00009D2B0000}"/>
    <cellStyle name="Note 2 2 2 2 6 3" xfId="18159" xr:uid="{00000000-0005-0000-0000-00009E2B0000}"/>
    <cellStyle name="Note 2 2 2 2 6 4" xfId="11803" xr:uid="{00000000-0005-0000-0000-00009F2B0000}"/>
    <cellStyle name="Note 2 2 2 2 7" xfId="1383" xr:uid="{00000000-0005-0000-0000-0000A02B0000}"/>
    <cellStyle name="Note 2 2 2 2 8" xfId="5438" xr:uid="{00000000-0005-0000-0000-0000A12B0000}"/>
    <cellStyle name="Note 2 2 2 2 9" xfId="5448" xr:uid="{00000000-0005-0000-0000-0000A22B0000}"/>
    <cellStyle name="Note 2 2 2 3" xfId="14215" xr:uid="{00000000-0005-0000-0000-0000A32B0000}"/>
    <cellStyle name="Note 2 2 2 3 2" xfId="18160" xr:uid="{00000000-0005-0000-0000-0000A42B0000}"/>
    <cellStyle name="Note 2 2 2 3 2 2" xfId="18163" xr:uid="{00000000-0005-0000-0000-0000A52B0000}"/>
    <cellStyle name="Note 2 2 2 3 2 2 2" xfId="18167" xr:uid="{00000000-0005-0000-0000-0000A62B0000}"/>
    <cellStyle name="Note 2 2 2 3 2 2 2 2" xfId="18172" xr:uid="{00000000-0005-0000-0000-0000A72B0000}"/>
    <cellStyle name="Note 2 2 2 3 2 2 2 2 2" xfId="4390" xr:uid="{00000000-0005-0000-0000-0000A82B0000}"/>
    <cellStyle name="Note 2 2 2 3 2 2 2 2 2 2" xfId="18175" xr:uid="{00000000-0005-0000-0000-0000A92B0000}"/>
    <cellStyle name="Note 2 2 2 3 2 2 2 2 2 3" xfId="18178" xr:uid="{00000000-0005-0000-0000-0000AA2B0000}"/>
    <cellStyle name="Note 2 2 2 3 2 2 2 2 2 4" xfId="18184" xr:uid="{00000000-0005-0000-0000-0000AB2B0000}"/>
    <cellStyle name="Note 2 2 2 3 2 2 2 2 3" xfId="4414" xr:uid="{00000000-0005-0000-0000-0000AC2B0000}"/>
    <cellStyle name="Note 2 2 2 3 2 2 2 2 4" xfId="4436" xr:uid="{00000000-0005-0000-0000-0000AD2B0000}"/>
    <cellStyle name="Note 2 2 2 3 2 2 2 2 5" xfId="14870" xr:uid="{00000000-0005-0000-0000-0000AE2B0000}"/>
    <cellStyle name="Note 2 2 2 3 2 2 2 3" xfId="18188" xr:uid="{00000000-0005-0000-0000-0000AF2B0000}"/>
    <cellStyle name="Note 2 2 2 3 2 2 2 3 2" xfId="4455" xr:uid="{00000000-0005-0000-0000-0000B02B0000}"/>
    <cellStyle name="Note 2 2 2 3 2 2 2 3 3" xfId="4470" xr:uid="{00000000-0005-0000-0000-0000B12B0000}"/>
    <cellStyle name="Note 2 2 2 3 2 2 2 3 4" xfId="14893" xr:uid="{00000000-0005-0000-0000-0000B22B0000}"/>
    <cellStyle name="Note 2 2 2 3 2 2 2 4" xfId="18191" xr:uid="{00000000-0005-0000-0000-0000B32B0000}"/>
    <cellStyle name="Note 2 2 2 3 2 2 2 5" xfId="18194" xr:uid="{00000000-0005-0000-0000-0000B42B0000}"/>
    <cellStyle name="Note 2 2 2 3 2 2 2 6" xfId="18198" xr:uid="{00000000-0005-0000-0000-0000B52B0000}"/>
    <cellStyle name="Note 2 2 2 3 2 2 3" xfId="9155" xr:uid="{00000000-0005-0000-0000-0000B62B0000}"/>
    <cellStyle name="Note 2 2 2 3 2 2 3 2" xfId="18202" xr:uid="{00000000-0005-0000-0000-0000B72B0000}"/>
    <cellStyle name="Note 2 2 2 3 2 2 3 2 2" xfId="4042" xr:uid="{00000000-0005-0000-0000-0000B82B0000}"/>
    <cellStyle name="Note 2 2 2 3 2 2 3 2 3" xfId="4060" xr:uid="{00000000-0005-0000-0000-0000B92B0000}"/>
    <cellStyle name="Note 2 2 2 3 2 2 3 2 4" xfId="7955" xr:uid="{00000000-0005-0000-0000-0000BA2B0000}"/>
    <cellStyle name="Note 2 2 2 3 2 2 3 3" xfId="18206" xr:uid="{00000000-0005-0000-0000-0000BB2B0000}"/>
    <cellStyle name="Note 2 2 2 3 2 2 3 4" xfId="18210" xr:uid="{00000000-0005-0000-0000-0000BC2B0000}"/>
    <cellStyle name="Note 2 2 2 3 2 2 3 5" xfId="18213" xr:uid="{00000000-0005-0000-0000-0000BD2B0000}"/>
    <cellStyle name="Note 2 2 2 3 2 2 4" xfId="11991" xr:uid="{00000000-0005-0000-0000-0000BE2B0000}"/>
    <cellStyle name="Note 2 2 2 3 2 2 4 2" xfId="18218" xr:uid="{00000000-0005-0000-0000-0000BF2B0000}"/>
    <cellStyle name="Note 2 2 2 3 2 2 4 3" xfId="18222" xr:uid="{00000000-0005-0000-0000-0000C02B0000}"/>
    <cellStyle name="Note 2 2 2 3 2 2 4 4" xfId="18228" xr:uid="{00000000-0005-0000-0000-0000C12B0000}"/>
    <cellStyle name="Note 2 2 2 3 2 2 5" xfId="4366" xr:uid="{00000000-0005-0000-0000-0000C22B0000}"/>
    <cellStyle name="Note 2 2 2 3 2 2 6" xfId="4395" xr:uid="{00000000-0005-0000-0000-0000C32B0000}"/>
    <cellStyle name="Note 2 2 2 3 2 2 7" xfId="4419" xr:uid="{00000000-0005-0000-0000-0000C42B0000}"/>
    <cellStyle name="Note 2 2 2 3 2 3" xfId="18231" xr:uid="{00000000-0005-0000-0000-0000C52B0000}"/>
    <cellStyle name="Note 2 2 2 3 2 3 2" xfId="18235" xr:uid="{00000000-0005-0000-0000-0000C62B0000}"/>
    <cellStyle name="Note 2 2 2 3 2 3 2 2" xfId="18238" xr:uid="{00000000-0005-0000-0000-0000C72B0000}"/>
    <cellStyle name="Note 2 2 2 3 2 3 2 2 2" xfId="6140" xr:uid="{00000000-0005-0000-0000-0000C82B0000}"/>
    <cellStyle name="Note 2 2 2 3 2 3 2 2 3" xfId="6156" xr:uid="{00000000-0005-0000-0000-0000C92B0000}"/>
    <cellStyle name="Note 2 2 2 3 2 3 2 2 4" xfId="6170" xr:uid="{00000000-0005-0000-0000-0000CA2B0000}"/>
    <cellStyle name="Note 2 2 2 3 2 3 2 3" xfId="18241" xr:uid="{00000000-0005-0000-0000-0000CB2B0000}"/>
    <cellStyle name="Note 2 2 2 3 2 3 2 4" xfId="18244" xr:uid="{00000000-0005-0000-0000-0000CC2B0000}"/>
    <cellStyle name="Note 2 2 2 3 2 3 2 5" xfId="18247" xr:uid="{00000000-0005-0000-0000-0000CD2B0000}"/>
    <cellStyle name="Note 2 2 2 3 2 3 3" xfId="18252" xr:uid="{00000000-0005-0000-0000-0000CE2B0000}"/>
    <cellStyle name="Note 2 2 2 3 2 3 3 2" xfId="18255" xr:uid="{00000000-0005-0000-0000-0000CF2B0000}"/>
    <cellStyle name="Note 2 2 2 3 2 3 3 3" xfId="18258" xr:uid="{00000000-0005-0000-0000-0000D02B0000}"/>
    <cellStyle name="Note 2 2 2 3 2 3 3 4" xfId="18261" xr:uid="{00000000-0005-0000-0000-0000D12B0000}"/>
    <cellStyle name="Note 2 2 2 3 2 3 4" xfId="18266" xr:uid="{00000000-0005-0000-0000-0000D22B0000}"/>
    <cellStyle name="Note 2 2 2 3 2 3 5" xfId="59" xr:uid="{00000000-0005-0000-0000-0000D32B0000}"/>
    <cellStyle name="Note 2 2 2 3 2 3 6" xfId="4459" xr:uid="{00000000-0005-0000-0000-0000D42B0000}"/>
    <cellStyle name="Note 2 2 2 3 2 4" xfId="18270" xr:uid="{00000000-0005-0000-0000-0000D52B0000}"/>
    <cellStyle name="Note 2 2 2 3 2 4 2" xfId="18275" xr:uid="{00000000-0005-0000-0000-0000D62B0000}"/>
    <cellStyle name="Note 2 2 2 3 2 4 2 2" xfId="18279" xr:uid="{00000000-0005-0000-0000-0000D72B0000}"/>
    <cellStyle name="Note 2 2 2 3 2 4 2 3" xfId="18283" xr:uid="{00000000-0005-0000-0000-0000D82B0000}"/>
    <cellStyle name="Note 2 2 2 3 2 4 2 4" xfId="18287" xr:uid="{00000000-0005-0000-0000-0000D92B0000}"/>
    <cellStyle name="Note 2 2 2 3 2 4 3" xfId="18292" xr:uid="{00000000-0005-0000-0000-0000DA2B0000}"/>
    <cellStyle name="Note 2 2 2 3 2 4 4" xfId="18298" xr:uid="{00000000-0005-0000-0000-0000DB2B0000}"/>
    <cellStyle name="Note 2 2 2 3 2 4 5" xfId="18303" xr:uid="{00000000-0005-0000-0000-0000DC2B0000}"/>
    <cellStyle name="Note 2 2 2 3 2 5" xfId="18307" xr:uid="{00000000-0005-0000-0000-0000DD2B0000}"/>
    <cellStyle name="Note 2 2 2 3 2 5 2" xfId="18312" xr:uid="{00000000-0005-0000-0000-0000DE2B0000}"/>
    <cellStyle name="Note 2 2 2 3 2 5 3" xfId="18317" xr:uid="{00000000-0005-0000-0000-0000DF2B0000}"/>
    <cellStyle name="Note 2 2 2 3 2 5 4" xfId="18321" xr:uid="{00000000-0005-0000-0000-0000E02B0000}"/>
    <cellStyle name="Note 2 2 2 3 2 6" xfId="14979" xr:uid="{00000000-0005-0000-0000-0000E12B0000}"/>
    <cellStyle name="Note 2 2 2 3 2 7" xfId="14981" xr:uid="{00000000-0005-0000-0000-0000E22B0000}"/>
    <cellStyle name="Note 2 2 2 3 2 8" xfId="14986" xr:uid="{00000000-0005-0000-0000-0000E32B0000}"/>
    <cellStyle name="Note 2 2 2 3 3" xfId="13925" xr:uid="{00000000-0005-0000-0000-0000E42B0000}"/>
    <cellStyle name="Note 2 2 2 3 3 2" xfId="18324" xr:uid="{00000000-0005-0000-0000-0000E52B0000}"/>
    <cellStyle name="Note 2 2 2 3 3 2 2" xfId="18328" xr:uid="{00000000-0005-0000-0000-0000E62B0000}"/>
    <cellStyle name="Note 2 2 2 3 3 2 2 2" xfId="18334" xr:uid="{00000000-0005-0000-0000-0000E72B0000}"/>
    <cellStyle name="Note 2 2 2 3 3 2 2 2 2" xfId="18339" xr:uid="{00000000-0005-0000-0000-0000E82B0000}"/>
    <cellStyle name="Note 2 2 2 3 3 2 2 2 3" xfId="18344" xr:uid="{00000000-0005-0000-0000-0000E92B0000}"/>
    <cellStyle name="Note 2 2 2 3 3 2 2 2 4" xfId="882" xr:uid="{00000000-0005-0000-0000-0000EA2B0000}"/>
    <cellStyle name="Note 2 2 2 3 3 2 2 3" xfId="18350" xr:uid="{00000000-0005-0000-0000-0000EB2B0000}"/>
    <cellStyle name="Note 2 2 2 3 3 2 2 4" xfId="18354" xr:uid="{00000000-0005-0000-0000-0000EC2B0000}"/>
    <cellStyle name="Note 2 2 2 3 3 2 2 5" xfId="18356" xr:uid="{00000000-0005-0000-0000-0000ED2B0000}"/>
    <cellStyle name="Note 2 2 2 3 3 2 3" xfId="18362" xr:uid="{00000000-0005-0000-0000-0000EE2B0000}"/>
    <cellStyle name="Note 2 2 2 3 3 2 3 2" xfId="10898" xr:uid="{00000000-0005-0000-0000-0000EF2B0000}"/>
    <cellStyle name="Note 2 2 2 3 3 2 3 3" xfId="18364" xr:uid="{00000000-0005-0000-0000-0000F02B0000}"/>
    <cellStyle name="Note 2 2 2 3 3 2 3 4" xfId="18366" xr:uid="{00000000-0005-0000-0000-0000F12B0000}"/>
    <cellStyle name="Note 2 2 2 3 3 2 4" xfId="18372" xr:uid="{00000000-0005-0000-0000-0000F22B0000}"/>
    <cellStyle name="Note 2 2 2 3 3 2 5" xfId="4024" xr:uid="{00000000-0005-0000-0000-0000F32B0000}"/>
    <cellStyle name="Note 2 2 2 3 3 2 6" xfId="4037" xr:uid="{00000000-0005-0000-0000-0000F42B0000}"/>
    <cellStyle name="Note 2 2 2 3 3 3" xfId="18375" xr:uid="{00000000-0005-0000-0000-0000F52B0000}"/>
    <cellStyle name="Note 2 2 2 3 3 3 2" xfId="18378" xr:uid="{00000000-0005-0000-0000-0000F62B0000}"/>
    <cellStyle name="Note 2 2 2 3 3 3 2 2" xfId="18381" xr:uid="{00000000-0005-0000-0000-0000F72B0000}"/>
    <cellStyle name="Note 2 2 2 3 3 3 2 3" xfId="18383" xr:uid="{00000000-0005-0000-0000-0000F82B0000}"/>
    <cellStyle name="Note 2 2 2 3 3 3 2 4" xfId="18385" xr:uid="{00000000-0005-0000-0000-0000F92B0000}"/>
    <cellStyle name="Note 2 2 2 3 3 3 3" xfId="2151" xr:uid="{00000000-0005-0000-0000-0000FA2B0000}"/>
    <cellStyle name="Note 2 2 2 3 3 3 4" xfId="1196" xr:uid="{00000000-0005-0000-0000-0000FB2B0000}"/>
    <cellStyle name="Note 2 2 2 3 3 3 5" xfId="1307" xr:uid="{00000000-0005-0000-0000-0000FC2B0000}"/>
    <cellStyle name="Note 2 2 2 3 3 4" xfId="18389" xr:uid="{00000000-0005-0000-0000-0000FD2B0000}"/>
    <cellStyle name="Note 2 2 2 3 3 4 2" xfId="18391" xr:uid="{00000000-0005-0000-0000-0000FE2B0000}"/>
    <cellStyle name="Note 2 2 2 3 3 4 3" xfId="2167" xr:uid="{00000000-0005-0000-0000-0000FF2B0000}"/>
    <cellStyle name="Note 2 2 2 3 3 4 4" xfId="18393" xr:uid="{00000000-0005-0000-0000-0000002C0000}"/>
    <cellStyle name="Note 2 2 2 3 3 5" xfId="18397" xr:uid="{00000000-0005-0000-0000-0000012C0000}"/>
    <cellStyle name="Note 2 2 2 3 3 6" xfId="18402" xr:uid="{00000000-0005-0000-0000-0000022C0000}"/>
    <cellStyle name="Note 2 2 2 3 3 7" xfId="18404" xr:uid="{00000000-0005-0000-0000-0000032C0000}"/>
    <cellStyle name="Note 2 2 2 3 4" xfId="13927" xr:uid="{00000000-0005-0000-0000-0000042C0000}"/>
    <cellStyle name="Note 2 2 2 3 4 2" xfId="18406" xr:uid="{00000000-0005-0000-0000-0000052C0000}"/>
    <cellStyle name="Note 2 2 2 3 4 2 2" xfId="17585" xr:uid="{00000000-0005-0000-0000-0000062C0000}"/>
    <cellStyle name="Note 2 2 2 3 4 2 2 2" xfId="18413" xr:uid="{00000000-0005-0000-0000-0000072C0000}"/>
    <cellStyle name="Note 2 2 2 3 4 2 2 3" xfId="18418" xr:uid="{00000000-0005-0000-0000-0000082C0000}"/>
    <cellStyle name="Note 2 2 2 3 4 2 2 4" xfId="18423" xr:uid="{00000000-0005-0000-0000-0000092C0000}"/>
    <cellStyle name="Note 2 2 2 3 4 2 3" xfId="18426" xr:uid="{00000000-0005-0000-0000-00000A2C0000}"/>
    <cellStyle name="Note 2 2 2 3 4 2 4" xfId="18430" xr:uid="{00000000-0005-0000-0000-00000B2C0000}"/>
    <cellStyle name="Note 2 2 2 3 4 2 5" xfId="18435" xr:uid="{00000000-0005-0000-0000-00000C2C0000}"/>
    <cellStyle name="Note 2 2 2 3 4 3" xfId="18438" xr:uid="{00000000-0005-0000-0000-00000D2C0000}"/>
    <cellStyle name="Note 2 2 2 3 4 3 2" xfId="18443" xr:uid="{00000000-0005-0000-0000-00000E2C0000}"/>
    <cellStyle name="Note 2 2 2 3 4 3 3" xfId="2309" xr:uid="{00000000-0005-0000-0000-00000F2C0000}"/>
    <cellStyle name="Note 2 2 2 3 4 3 4" xfId="2322" xr:uid="{00000000-0005-0000-0000-0000102C0000}"/>
    <cellStyle name="Note 2 2 2 3 4 4" xfId="18448" xr:uid="{00000000-0005-0000-0000-0000112C0000}"/>
    <cellStyle name="Note 2 2 2 3 4 5" xfId="18453" xr:uid="{00000000-0005-0000-0000-0000122C0000}"/>
    <cellStyle name="Note 2 2 2 3 4 6" xfId="18458" xr:uid="{00000000-0005-0000-0000-0000132C0000}"/>
    <cellStyle name="Note 2 2 2 3 5" xfId="13931" xr:uid="{00000000-0005-0000-0000-0000142C0000}"/>
    <cellStyle name="Note 2 2 2 3 5 2" xfId="18462" xr:uid="{00000000-0005-0000-0000-0000152C0000}"/>
    <cellStyle name="Note 2 2 2 3 5 2 2" xfId="18465" xr:uid="{00000000-0005-0000-0000-0000162C0000}"/>
    <cellStyle name="Note 2 2 2 3 5 2 3" xfId="18468" xr:uid="{00000000-0005-0000-0000-0000172C0000}"/>
    <cellStyle name="Note 2 2 2 3 5 2 4" xfId="18471" xr:uid="{00000000-0005-0000-0000-0000182C0000}"/>
    <cellStyle name="Note 2 2 2 3 5 3" xfId="18476" xr:uid="{00000000-0005-0000-0000-0000192C0000}"/>
    <cellStyle name="Note 2 2 2 3 5 4" xfId="18481" xr:uid="{00000000-0005-0000-0000-00001A2C0000}"/>
    <cellStyle name="Note 2 2 2 3 5 5" xfId="18485" xr:uid="{00000000-0005-0000-0000-00001B2C0000}"/>
    <cellStyle name="Note 2 2 2 3 6" xfId="18489" xr:uid="{00000000-0005-0000-0000-00001C2C0000}"/>
    <cellStyle name="Note 2 2 2 3 6 2" xfId="18494" xr:uid="{00000000-0005-0000-0000-00001D2C0000}"/>
    <cellStyle name="Note 2 2 2 3 6 3" xfId="18499" xr:uid="{00000000-0005-0000-0000-00001E2C0000}"/>
    <cellStyle name="Note 2 2 2 3 6 4" xfId="10786" xr:uid="{00000000-0005-0000-0000-00001F2C0000}"/>
    <cellStyle name="Note 2 2 2 3 7" xfId="18503" xr:uid="{00000000-0005-0000-0000-0000202C0000}"/>
    <cellStyle name="Note 2 2 2 3 8" xfId="15065" xr:uid="{00000000-0005-0000-0000-0000212C0000}"/>
    <cellStyle name="Note 2 2 2 3 9" xfId="15069" xr:uid="{00000000-0005-0000-0000-0000222C0000}"/>
    <cellStyle name="Note 2 2 2 4" xfId="14217" xr:uid="{00000000-0005-0000-0000-0000232C0000}"/>
    <cellStyle name="Note 2 2 2 4 2" xfId="18504" xr:uid="{00000000-0005-0000-0000-0000242C0000}"/>
    <cellStyle name="Note 2 2 2 4 2 2" xfId="18507" xr:uid="{00000000-0005-0000-0000-0000252C0000}"/>
    <cellStyle name="Note 2 2 2 4 2 2 2" xfId="9398" xr:uid="{00000000-0005-0000-0000-0000262C0000}"/>
    <cellStyle name="Note 2 2 2 4 2 2 2 2" xfId="15086" xr:uid="{00000000-0005-0000-0000-0000272C0000}"/>
    <cellStyle name="Note 2 2 2 4 2 2 2 2 2" xfId="18513" xr:uid="{00000000-0005-0000-0000-0000282C0000}"/>
    <cellStyle name="Note 2 2 2 4 2 2 2 2 3" xfId="18520" xr:uid="{00000000-0005-0000-0000-0000292C0000}"/>
    <cellStyle name="Note 2 2 2 4 2 2 2 2 4" xfId="18522" xr:uid="{00000000-0005-0000-0000-00002A2C0000}"/>
    <cellStyle name="Note 2 2 2 4 2 2 2 3" xfId="18527" xr:uid="{00000000-0005-0000-0000-00002B2C0000}"/>
    <cellStyle name="Note 2 2 2 4 2 2 2 4" xfId="18530" xr:uid="{00000000-0005-0000-0000-00002C2C0000}"/>
    <cellStyle name="Note 2 2 2 4 2 2 2 5" xfId="18533" xr:uid="{00000000-0005-0000-0000-00002D2C0000}"/>
    <cellStyle name="Note 2 2 2 4 2 2 3" xfId="9408" xr:uid="{00000000-0005-0000-0000-00002E2C0000}"/>
    <cellStyle name="Note 2 2 2 4 2 2 3 2" xfId="18540" xr:uid="{00000000-0005-0000-0000-00002F2C0000}"/>
    <cellStyle name="Note 2 2 2 4 2 2 3 3" xfId="18543" xr:uid="{00000000-0005-0000-0000-0000302C0000}"/>
    <cellStyle name="Note 2 2 2 4 2 2 3 4" xfId="18549" xr:uid="{00000000-0005-0000-0000-0000312C0000}"/>
    <cellStyle name="Note 2 2 2 4 2 2 4" xfId="12278" xr:uid="{00000000-0005-0000-0000-0000322C0000}"/>
    <cellStyle name="Note 2 2 2 4 2 2 5" xfId="6534" xr:uid="{00000000-0005-0000-0000-0000332C0000}"/>
    <cellStyle name="Note 2 2 2 4 2 2 6" xfId="6144" xr:uid="{00000000-0005-0000-0000-0000342C0000}"/>
    <cellStyle name="Note 2 2 2 4 2 3" xfId="18554" xr:uid="{00000000-0005-0000-0000-0000352C0000}"/>
    <cellStyle name="Note 2 2 2 4 2 3 2" xfId="6048" xr:uid="{00000000-0005-0000-0000-0000362C0000}"/>
    <cellStyle name="Note 2 2 2 4 2 3 2 2" xfId="14856" xr:uid="{00000000-0005-0000-0000-0000372C0000}"/>
    <cellStyle name="Note 2 2 2 4 2 3 2 3" xfId="14883" xr:uid="{00000000-0005-0000-0000-0000382C0000}"/>
    <cellStyle name="Note 2 2 2 4 2 3 2 4" xfId="14907" xr:uid="{00000000-0005-0000-0000-0000392C0000}"/>
    <cellStyle name="Note 2 2 2 4 2 3 3" xfId="15720" xr:uid="{00000000-0005-0000-0000-00003A2C0000}"/>
    <cellStyle name="Note 2 2 2 4 2 3 4" xfId="17873" xr:uid="{00000000-0005-0000-0000-00003B2C0000}"/>
    <cellStyle name="Note 2 2 2 4 2 3 5" xfId="6899" xr:uid="{00000000-0005-0000-0000-00003C2C0000}"/>
    <cellStyle name="Note 2 2 2 4 2 4" xfId="18557" xr:uid="{00000000-0005-0000-0000-00003D2C0000}"/>
    <cellStyle name="Note 2 2 2 4 2 4 2" xfId="18561" xr:uid="{00000000-0005-0000-0000-00003E2C0000}"/>
    <cellStyle name="Note 2 2 2 4 2 4 3" xfId="18565" xr:uid="{00000000-0005-0000-0000-00003F2C0000}"/>
    <cellStyle name="Note 2 2 2 4 2 4 4" xfId="18569" xr:uid="{00000000-0005-0000-0000-0000402C0000}"/>
    <cellStyle name="Note 2 2 2 4 2 5" xfId="18572" xr:uid="{00000000-0005-0000-0000-0000412C0000}"/>
    <cellStyle name="Note 2 2 2 4 2 6" xfId="18576" xr:uid="{00000000-0005-0000-0000-0000422C0000}"/>
    <cellStyle name="Note 2 2 2 4 2 7" xfId="18578" xr:uid="{00000000-0005-0000-0000-0000432C0000}"/>
    <cellStyle name="Note 2 2 2 4 3" xfId="18579" xr:uid="{00000000-0005-0000-0000-0000442C0000}"/>
    <cellStyle name="Note 2 2 2 4 3 2" xfId="18581" xr:uid="{00000000-0005-0000-0000-0000452C0000}"/>
    <cellStyle name="Note 2 2 2 4 3 2 2" xfId="9013" xr:uid="{00000000-0005-0000-0000-0000462C0000}"/>
    <cellStyle name="Note 2 2 2 4 3 2 2 2" xfId="18584" xr:uid="{00000000-0005-0000-0000-0000472C0000}"/>
    <cellStyle name="Note 2 2 2 4 3 2 2 3" xfId="18586" xr:uid="{00000000-0005-0000-0000-0000482C0000}"/>
    <cellStyle name="Note 2 2 2 4 3 2 2 4" xfId="18589" xr:uid="{00000000-0005-0000-0000-0000492C0000}"/>
    <cellStyle name="Note 2 2 2 4 3 2 3" xfId="15735" xr:uid="{00000000-0005-0000-0000-00004A2C0000}"/>
    <cellStyle name="Note 2 2 2 4 3 2 4" xfId="17944" xr:uid="{00000000-0005-0000-0000-00004B2C0000}"/>
    <cellStyle name="Note 2 2 2 4 3 2 5" xfId="4294" xr:uid="{00000000-0005-0000-0000-00004C2C0000}"/>
    <cellStyle name="Note 2 2 2 4 3 3" xfId="18591" xr:uid="{00000000-0005-0000-0000-00004D2C0000}"/>
    <cellStyle name="Note 2 2 2 4 3 3 2" xfId="18594" xr:uid="{00000000-0005-0000-0000-00004E2C0000}"/>
    <cellStyle name="Note 2 2 2 4 3 3 3" xfId="18598" xr:uid="{00000000-0005-0000-0000-00004F2C0000}"/>
    <cellStyle name="Note 2 2 2 4 3 3 4" xfId="18601" xr:uid="{00000000-0005-0000-0000-0000502C0000}"/>
    <cellStyle name="Note 2 2 2 4 3 4" xfId="18604" xr:uid="{00000000-0005-0000-0000-0000512C0000}"/>
    <cellStyle name="Note 2 2 2 4 3 5" xfId="18607" xr:uid="{00000000-0005-0000-0000-0000522C0000}"/>
    <cellStyle name="Note 2 2 2 4 3 6" xfId="18610" xr:uid="{00000000-0005-0000-0000-0000532C0000}"/>
    <cellStyle name="Note 2 2 2 4 4" xfId="14640" xr:uid="{00000000-0005-0000-0000-0000542C0000}"/>
    <cellStyle name="Note 2 2 2 4 4 2" xfId="7541" xr:uid="{00000000-0005-0000-0000-0000552C0000}"/>
    <cellStyle name="Note 2 2 2 4 4 2 2" xfId="18614" xr:uid="{00000000-0005-0000-0000-0000562C0000}"/>
    <cellStyle name="Note 2 2 2 4 4 2 3" xfId="18619" xr:uid="{00000000-0005-0000-0000-0000572C0000}"/>
    <cellStyle name="Note 2 2 2 4 4 2 4" xfId="18624" xr:uid="{00000000-0005-0000-0000-0000582C0000}"/>
    <cellStyle name="Note 2 2 2 4 4 3" xfId="18629" xr:uid="{00000000-0005-0000-0000-0000592C0000}"/>
    <cellStyle name="Note 2 2 2 4 4 4" xfId="18633" xr:uid="{00000000-0005-0000-0000-00005A2C0000}"/>
    <cellStyle name="Note 2 2 2 4 4 5" xfId="18637" xr:uid="{00000000-0005-0000-0000-00005B2C0000}"/>
    <cellStyle name="Note 2 2 2 4 5" xfId="14644" xr:uid="{00000000-0005-0000-0000-00005C2C0000}"/>
    <cellStyle name="Note 2 2 2 4 5 2" xfId="18640" xr:uid="{00000000-0005-0000-0000-00005D2C0000}"/>
    <cellStyle name="Note 2 2 2 4 5 3" xfId="18643" xr:uid="{00000000-0005-0000-0000-00005E2C0000}"/>
    <cellStyle name="Note 2 2 2 4 5 4" xfId="18647" xr:uid="{00000000-0005-0000-0000-00005F2C0000}"/>
    <cellStyle name="Note 2 2 2 4 6" xfId="14648" xr:uid="{00000000-0005-0000-0000-0000602C0000}"/>
    <cellStyle name="Note 2 2 2 4 7" xfId="18650" xr:uid="{00000000-0005-0000-0000-0000612C0000}"/>
    <cellStyle name="Note 2 2 2 4 8" xfId="18652" xr:uid="{00000000-0005-0000-0000-0000622C0000}"/>
    <cellStyle name="Note 2 2 2 5" xfId="18653" xr:uid="{00000000-0005-0000-0000-0000632C0000}"/>
    <cellStyle name="Note 2 2 2 5 2" xfId="18655" xr:uid="{00000000-0005-0000-0000-0000642C0000}"/>
    <cellStyle name="Note 2 2 2 5 2 2" xfId="18657" xr:uid="{00000000-0005-0000-0000-0000652C0000}"/>
    <cellStyle name="Note 2 2 2 5 2 2 2" xfId="9490" xr:uid="{00000000-0005-0000-0000-0000662C0000}"/>
    <cellStyle name="Note 2 2 2 5 2 2 2 2" xfId="18660" xr:uid="{00000000-0005-0000-0000-0000672C0000}"/>
    <cellStyle name="Note 2 2 2 5 2 2 2 3" xfId="12958" xr:uid="{00000000-0005-0000-0000-0000682C0000}"/>
    <cellStyle name="Note 2 2 2 5 2 2 2 4" xfId="12962" xr:uid="{00000000-0005-0000-0000-0000692C0000}"/>
    <cellStyle name="Note 2 2 2 5 2 2 3" xfId="15433" xr:uid="{00000000-0005-0000-0000-00006A2C0000}"/>
    <cellStyle name="Note 2 2 2 5 2 2 4" xfId="16345" xr:uid="{00000000-0005-0000-0000-00006B2C0000}"/>
    <cellStyle name="Note 2 2 2 5 2 2 5" xfId="8078" xr:uid="{00000000-0005-0000-0000-00006C2C0000}"/>
    <cellStyle name="Note 2 2 2 5 2 3" xfId="7087" xr:uid="{00000000-0005-0000-0000-00006D2C0000}"/>
    <cellStyle name="Note 2 2 2 5 2 3 2" xfId="18662" xr:uid="{00000000-0005-0000-0000-00006E2C0000}"/>
    <cellStyle name="Note 2 2 2 5 2 3 3" xfId="18664" xr:uid="{00000000-0005-0000-0000-00006F2C0000}"/>
    <cellStyle name="Note 2 2 2 5 2 3 4" xfId="18666" xr:uid="{00000000-0005-0000-0000-0000702C0000}"/>
    <cellStyle name="Note 2 2 2 5 2 4" xfId="7091" xr:uid="{00000000-0005-0000-0000-0000712C0000}"/>
    <cellStyle name="Note 2 2 2 5 2 5" xfId="6631" xr:uid="{00000000-0005-0000-0000-0000722C0000}"/>
    <cellStyle name="Note 2 2 2 5 2 6" xfId="18669" xr:uid="{00000000-0005-0000-0000-0000732C0000}"/>
    <cellStyle name="Note 2 2 2 5 3" xfId="18671" xr:uid="{00000000-0005-0000-0000-0000742C0000}"/>
    <cellStyle name="Note 2 2 2 5 3 2" xfId="18673" xr:uid="{00000000-0005-0000-0000-0000752C0000}"/>
    <cellStyle name="Note 2 2 2 5 3 2 2" xfId="18675" xr:uid="{00000000-0005-0000-0000-0000762C0000}"/>
    <cellStyle name="Note 2 2 2 5 3 2 3" xfId="18677" xr:uid="{00000000-0005-0000-0000-0000772C0000}"/>
    <cellStyle name="Note 2 2 2 5 3 2 4" xfId="18679" xr:uid="{00000000-0005-0000-0000-0000782C0000}"/>
    <cellStyle name="Note 2 2 2 5 3 3" xfId="18681" xr:uid="{00000000-0005-0000-0000-0000792C0000}"/>
    <cellStyle name="Note 2 2 2 5 3 4" xfId="18683" xr:uid="{00000000-0005-0000-0000-00007A2C0000}"/>
    <cellStyle name="Note 2 2 2 5 3 5" xfId="18685" xr:uid="{00000000-0005-0000-0000-00007B2C0000}"/>
    <cellStyle name="Note 2 2 2 5 4" xfId="18686" xr:uid="{00000000-0005-0000-0000-00007C2C0000}"/>
    <cellStyle name="Note 2 2 2 5 4 2" xfId="18690" xr:uid="{00000000-0005-0000-0000-00007D2C0000}"/>
    <cellStyle name="Note 2 2 2 5 4 3" xfId="18694" xr:uid="{00000000-0005-0000-0000-00007E2C0000}"/>
    <cellStyle name="Note 2 2 2 5 4 4" xfId="18700" xr:uid="{00000000-0005-0000-0000-00007F2C0000}"/>
    <cellStyle name="Note 2 2 2 5 5" xfId="18702" xr:uid="{00000000-0005-0000-0000-0000802C0000}"/>
    <cellStyle name="Note 2 2 2 5 6" xfId="18707" xr:uid="{00000000-0005-0000-0000-0000812C0000}"/>
    <cellStyle name="Note 2 2 2 5 7" xfId="18713" xr:uid="{00000000-0005-0000-0000-0000822C0000}"/>
    <cellStyle name="Note 2 2 2 6" xfId="18715" xr:uid="{00000000-0005-0000-0000-0000832C0000}"/>
    <cellStyle name="Note 2 2 2 6 2" xfId="18716" xr:uid="{00000000-0005-0000-0000-0000842C0000}"/>
    <cellStyle name="Note 2 2 2 6 2 2" xfId="18718" xr:uid="{00000000-0005-0000-0000-0000852C0000}"/>
    <cellStyle name="Note 2 2 2 6 2 2 2" xfId="7306" xr:uid="{00000000-0005-0000-0000-0000862C0000}"/>
    <cellStyle name="Note 2 2 2 6 2 2 3" xfId="7313" xr:uid="{00000000-0005-0000-0000-0000872C0000}"/>
    <cellStyle name="Note 2 2 2 6 2 2 4" xfId="11017" xr:uid="{00000000-0005-0000-0000-0000882C0000}"/>
    <cellStyle name="Note 2 2 2 6 2 3" xfId="18720" xr:uid="{00000000-0005-0000-0000-0000892C0000}"/>
    <cellStyle name="Note 2 2 2 6 2 4" xfId="18722" xr:uid="{00000000-0005-0000-0000-00008A2C0000}"/>
    <cellStyle name="Note 2 2 2 6 2 5" xfId="18724" xr:uid="{00000000-0005-0000-0000-00008B2C0000}"/>
    <cellStyle name="Note 2 2 2 6 3" xfId="18725" xr:uid="{00000000-0005-0000-0000-00008C2C0000}"/>
    <cellStyle name="Note 2 2 2 6 3 2" xfId="18727" xr:uid="{00000000-0005-0000-0000-00008D2C0000}"/>
    <cellStyle name="Note 2 2 2 6 3 3" xfId="18729" xr:uid="{00000000-0005-0000-0000-00008E2C0000}"/>
    <cellStyle name="Note 2 2 2 6 3 4" xfId="18731" xr:uid="{00000000-0005-0000-0000-00008F2C0000}"/>
    <cellStyle name="Note 2 2 2 6 4" xfId="18732" xr:uid="{00000000-0005-0000-0000-0000902C0000}"/>
    <cellStyle name="Note 2 2 2 6 5" xfId="18734" xr:uid="{00000000-0005-0000-0000-0000912C0000}"/>
    <cellStyle name="Note 2 2 2 6 6" xfId="18739" xr:uid="{00000000-0005-0000-0000-0000922C0000}"/>
    <cellStyle name="Note 2 2 2 7" xfId="18741" xr:uid="{00000000-0005-0000-0000-0000932C0000}"/>
    <cellStyle name="Note 2 2 2 7 2" xfId="4837" xr:uid="{00000000-0005-0000-0000-0000942C0000}"/>
    <cellStyle name="Note 2 2 2 7 2 2" xfId="18744" xr:uid="{00000000-0005-0000-0000-0000952C0000}"/>
    <cellStyle name="Note 2 2 2 7 2 3" xfId="8712" xr:uid="{00000000-0005-0000-0000-0000962C0000}"/>
    <cellStyle name="Note 2 2 2 7 2 4" xfId="8717" xr:uid="{00000000-0005-0000-0000-0000972C0000}"/>
    <cellStyle name="Note 2 2 2 7 3" xfId="6944" xr:uid="{00000000-0005-0000-0000-0000982C0000}"/>
    <cellStyle name="Note 2 2 2 7 4" xfId="18746" xr:uid="{00000000-0005-0000-0000-0000992C0000}"/>
    <cellStyle name="Note 2 2 2 7 5" xfId="18749" xr:uid="{00000000-0005-0000-0000-00009A2C0000}"/>
    <cellStyle name="Note 2 2 2 8" xfId="18751" xr:uid="{00000000-0005-0000-0000-00009B2C0000}"/>
    <cellStyle name="Note 2 2 2 8 2" xfId="18753" xr:uid="{00000000-0005-0000-0000-00009C2C0000}"/>
    <cellStyle name="Note 2 2 2 8 3" xfId="18755" xr:uid="{00000000-0005-0000-0000-00009D2C0000}"/>
    <cellStyle name="Note 2 2 2 8 4" xfId="18757" xr:uid="{00000000-0005-0000-0000-00009E2C0000}"/>
    <cellStyle name="Note 2 2 2 9" xfId="18760" xr:uid="{00000000-0005-0000-0000-00009F2C0000}"/>
    <cellStyle name="Note 2 2 3" xfId="13124" xr:uid="{00000000-0005-0000-0000-0000A02C0000}"/>
    <cellStyle name="Note 2 2 3 2" xfId="10491" xr:uid="{00000000-0005-0000-0000-0000A12C0000}"/>
    <cellStyle name="Note 2 2 3 2 2" xfId="18762" xr:uid="{00000000-0005-0000-0000-0000A22C0000}"/>
    <cellStyle name="Note 2 2 3 2 2 2" xfId="18763" xr:uid="{00000000-0005-0000-0000-0000A32C0000}"/>
    <cellStyle name="Note 2 2 3 2 2 2 2" xfId="2914" xr:uid="{00000000-0005-0000-0000-0000A42C0000}"/>
    <cellStyle name="Note 2 2 3 2 2 2 2 2" xfId="18766" xr:uid="{00000000-0005-0000-0000-0000A52C0000}"/>
    <cellStyle name="Note 2 2 3 2 2 2 2 2 2" xfId="18768" xr:uid="{00000000-0005-0000-0000-0000A62C0000}"/>
    <cellStyle name="Note 2 2 3 2 2 2 2 2 3" xfId="18771" xr:uid="{00000000-0005-0000-0000-0000A72C0000}"/>
    <cellStyle name="Note 2 2 3 2 2 2 2 2 4" xfId="18772" xr:uid="{00000000-0005-0000-0000-0000A82C0000}"/>
    <cellStyle name="Note 2 2 3 2 2 2 2 3" xfId="18775" xr:uid="{00000000-0005-0000-0000-0000A92C0000}"/>
    <cellStyle name="Note 2 2 3 2 2 2 2 4" xfId="18777" xr:uid="{00000000-0005-0000-0000-0000AA2C0000}"/>
    <cellStyle name="Note 2 2 3 2 2 2 2 5" xfId="18781" xr:uid="{00000000-0005-0000-0000-0000AB2C0000}"/>
    <cellStyle name="Note 2 2 3 2 2 2 3" xfId="10081" xr:uid="{00000000-0005-0000-0000-0000AC2C0000}"/>
    <cellStyle name="Note 2 2 3 2 2 2 3 2" xfId="18786" xr:uid="{00000000-0005-0000-0000-0000AD2C0000}"/>
    <cellStyle name="Note 2 2 3 2 2 2 3 3" xfId="18788" xr:uid="{00000000-0005-0000-0000-0000AE2C0000}"/>
    <cellStyle name="Note 2 2 3 2 2 2 3 4" xfId="18789" xr:uid="{00000000-0005-0000-0000-0000AF2C0000}"/>
    <cellStyle name="Note 2 2 3 2 2 2 4" xfId="10083" xr:uid="{00000000-0005-0000-0000-0000B02C0000}"/>
    <cellStyle name="Note 2 2 3 2 2 2 5" xfId="10093" xr:uid="{00000000-0005-0000-0000-0000B12C0000}"/>
    <cellStyle name="Note 2 2 3 2 2 2 6" xfId="11965" xr:uid="{00000000-0005-0000-0000-0000B22C0000}"/>
    <cellStyle name="Note 2 2 3 2 2 3" xfId="18791" xr:uid="{00000000-0005-0000-0000-0000B32C0000}"/>
    <cellStyle name="Note 2 2 3 2 2 3 2" xfId="10122" xr:uid="{00000000-0005-0000-0000-0000B42C0000}"/>
    <cellStyle name="Note 2 2 3 2 2 3 2 2" xfId="18793" xr:uid="{00000000-0005-0000-0000-0000B52C0000}"/>
    <cellStyle name="Note 2 2 3 2 2 3 2 3" xfId="18794" xr:uid="{00000000-0005-0000-0000-0000B62C0000}"/>
    <cellStyle name="Note 2 2 3 2 2 3 2 4" xfId="18795" xr:uid="{00000000-0005-0000-0000-0000B72C0000}"/>
    <cellStyle name="Note 2 2 3 2 2 3 3" xfId="162" xr:uid="{00000000-0005-0000-0000-0000B82C0000}"/>
    <cellStyle name="Note 2 2 3 2 2 3 4" xfId="3836" xr:uid="{00000000-0005-0000-0000-0000B92C0000}"/>
    <cellStyle name="Note 2 2 3 2 2 3 5" xfId="1488" xr:uid="{00000000-0005-0000-0000-0000BA2C0000}"/>
    <cellStyle name="Note 2 2 3 2 2 4" xfId="18797" xr:uid="{00000000-0005-0000-0000-0000BB2C0000}"/>
    <cellStyle name="Note 2 2 3 2 2 4 2" xfId="18798" xr:uid="{00000000-0005-0000-0000-0000BC2C0000}"/>
    <cellStyle name="Note 2 2 3 2 2 4 3" xfId="18799" xr:uid="{00000000-0005-0000-0000-0000BD2C0000}"/>
    <cellStyle name="Note 2 2 3 2 2 4 4" xfId="4752" xr:uid="{00000000-0005-0000-0000-0000BE2C0000}"/>
    <cellStyle name="Note 2 2 3 2 2 5" xfId="18800" xr:uid="{00000000-0005-0000-0000-0000BF2C0000}"/>
    <cellStyle name="Note 2 2 3 2 2 6" xfId="7632" xr:uid="{00000000-0005-0000-0000-0000C02C0000}"/>
    <cellStyle name="Note 2 2 3 2 2 7" xfId="15006" xr:uid="{00000000-0005-0000-0000-0000C12C0000}"/>
    <cellStyle name="Note 2 2 3 2 3" xfId="13951" xr:uid="{00000000-0005-0000-0000-0000C22C0000}"/>
    <cellStyle name="Note 2 2 3 2 3 2" xfId="18801" xr:uid="{00000000-0005-0000-0000-0000C32C0000}"/>
    <cellStyle name="Note 2 2 3 2 3 2 2" xfId="10151" xr:uid="{00000000-0005-0000-0000-0000C42C0000}"/>
    <cellStyle name="Note 2 2 3 2 3 2 2 2" xfId="17918" xr:uid="{00000000-0005-0000-0000-0000C52C0000}"/>
    <cellStyle name="Note 2 2 3 2 3 2 2 3" xfId="17926" xr:uid="{00000000-0005-0000-0000-0000C62C0000}"/>
    <cellStyle name="Note 2 2 3 2 3 2 2 4" xfId="17929" xr:uid="{00000000-0005-0000-0000-0000C72C0000}"/>
    <cellStyle name="Note 2 2 3 2 3 2 3" xfId="10154" xr:uid="{00000000-0005-0000-0000-0000C82C0000}"/>
    <cellStyle name="Note 2 2 3 2 3 2 4" xfId="18802" xr:uid="{00000000-0005-0000-0000-0000C92C0000}"/>
    <cellStyle name="Note 2 2 3 2 3 2 5" xfId="18806" xr:uid="{00000000-0005-0000-0000-0000CA2C0000}"/>
    <cellStyle name="Note 2 2 3 2 3 3" xfId="18810" xr:uid="{00000000-0005-0000-0000-0000CB2C0000}"/>
    <cellStyle name="Note 2 2 3 2 3 3 2" xfId="18811" xr:uid="{00000000-0005-0000-0000-0000CC2C0000}"/>
    <cellStyle name="Note 2 2 3 2 3 3 3" xfId="18812" xr:uid="{00000000-0005-0000-0000-0000CD2C0000}"/>
    <cellStyle name="Note 2 2 3 2 3 3 4" xfId="4240" xr:uid="{00000000-0005-0000-0000-0000CE2C0000}"/>
    <cellStyle name="Note 2 2 3 2 3 4" xfId="18813" xr:uid="{00000000-0005-0000-0000-0000CF2C0000}"/>
    <cellStyle name="Note 2 2 3 2 3 5" xfId="18814" xr:uid="{00000000-0005-0000-0000-0000D02C0000}"/>
    <cellStyle name="Note 2 2 3 2 3 6" xfId="18816" xr:uid="{00000000-0005-0000-0000-0000D12C0000}"/>
    <cellStyle name="Note 2 2 3 2 4" xfId="13953" xr:uid="{00000000-0005-0000-0000-0000D22C0000}"/>
    <cellStyle name="Note 2 2 3 2 4 2" xfId="18817" xr:uid="{00000000-0005-0000-0000-0000D32C0000}"/>
    <cellStyle name="Note 2 2 3 2 4 2 2" xfId="18818" xr:uid="{00000000-0005-0000-0000-0000D42C0000}"/>
    <cellStyle name="Note 2 2 3 2 4 2 3" xfId="18819" xr:uid="{00000000-0005-0000-0000-0000D52C0000}"/>
    <cellStyle name="Note 2 2 3 2 4 2 4" xfId="18214" xr:uid="{00000000-0005-0000-0000-0000D62C0000}"/>
    <cellStyle name="Note 2 2 3 2 4 3" xfId="18820" xr:uid="{00000000-0005-0000-0000-0000D72C0000}"/>
    <cellStyle name="Note 2 2 3 2 4 4" xfId="18821" xr:uid="{00000000-0005-0000-0000-0000D82C0000}"/>
    <cellStyle name="Note 2 2 3 2 4 5" xfId="18822" xr:uid="{00000000-0005-0000-0000-0000D92C0000}"/>
    <cellStyle name="Note 2 2 3 2 5" xfId="13956" xr:uid="{00000000-0005-0000-0000-0000DA2C0000}"/>
    <cellStyle name="Note 2 2 3 2 5 2" xfId="18823" xr:uid="{00000000-0005-0000-0000-0000DB2C0000}"/>
    <cellStyle name="Note 2 2 3 2 5 3" xfId="18824" xr:uid="{00000000-0005-0000-0000-0000DC2C0000}"/>
    <cellStyle name="Note 2 2 3 2 5 4" xfId="18825" xr:uid="{00000000-0005-0000-0000-0000DD2C0000}"/>
    <cellStyle name="Note 2 2 3 2 6" xfId="5873" xr:uid="{00000000-0005-0000-0000-0000DE2C0000}"/>
    <cellStyle name="Note 2 2 3 2 7" xfId="5881" xr:uid="{00000000-0005-0000-0000-0000DF2C0000}"/>
    <cellStyle name="Note 2 2 3 2 8" xfId="10489" xr:uid="{00000000-0005-0000-0000-0000E02C0000}"/>
    <cellStyle name="Note 2 2 3 3" xfId="10493" xr:uid="{00000000-0005-0000-0000-0000E12C0000}"/>
    <cellStyle name="Note 2 2 3 3 2" xfId="18826" xr:uid="{00000000-0005-0000-0000-0000E22C0000}"/>
    <cellStyle name="Note 2 2 3 3 2 2" xfId="10826" xr:uid="{00000000-0005-0000-0000-0000E32C0000}"/>
    <cellStyle name="Note 2 2 3 3 2 2 2" xfId="2513" xr:uid="{00000000-0005-0000-0000-0000E42C0000}"/>
    <cellStyle name="Note 2 2 3 3 2 2 2 2" xfId="10828" xr:uid="{00000000-0005-0000-0000-0000E52C0000}"/>
    <cellStyle name="Note 2 2 3 3 2 2 2 3" xfId="8699" xr:uid="{00000000-0005-0000-0000-0000E62C0000}"/>
    <cellStyle name="Note 2 2 3 3 2 2 2 4" xfId="8759" xr:uid="{00000000-0005-0000-0000-0000E72C0000}"/>
    <cellStyle name="Note 2 2 3 3 2 2 3" xfId="10277" xr:uid="{00000000-0005-0000-0000-0000E82C0000}"/>
    <cellStyle name="Note 2 2 3 3 2 2 4" xfId="10832" xr:uid="{00000000-0005-0000-0000-0000E92C0000}"/>
    <cellStyle name="Note 2 2 3 3 2 2 5" xfId="10841" xr:uid="{00000000-0005-0000-0000-0000EA2C0000}"/>
    <cellStyle name="Note 2 2 3 3 2 3" xfId="10848" xr:uid="{00000000-0005-0000-0000-0000EB2C0000}"/>
    <cellStyle name="Note 2 2 3 3 2 3 2" xfId="6294" xr:uid="{00000000-0005-0000-0000-0000EC2C0000}"/>
    <cellStyle name="Note 2 2 3 3 2 3 3" xfId="10851" xr:uid="{00000000-0005-0000-0000-0000ED2C0000}"/>
    <cellStyle name="Note 2 2 3 3 2 3 4" xfId="4950" xr:uid="{00000000-0005-0000-0000-0000EE2C0000}"/>
    <cellStyle name="Note 2 2 3 3 2 4" xfId="10853" xr:uid="{00000000-0005-0000-0000-0000EF2C0000}"/>
    <cellStyle name="Note 2 2 3 3 2 5" xfId="10855" xr:uid="{00000000-0005-0000-0000-0000F02C0000}"/>
    <cellStyle name="Note 2 2 3 3 2 6" xfId="10858" xr:uid="{00000000-0005-0000-0000-0000F12C0000}"/>
    <cellStyle name="Note 2 2 3 3 3" xfId="18827" xr:uid="{00000000-0005-0000-0000-0000F22C0000}"/>
    <cellStyle name="Note 2 2 3 3 3 2" xfId="10874" xr:uid="{00000000-0005-0000-0000-0000F32C0000}"/>
    <cellStyle name="Note 2 2 3 3 3 2 2" xfId="10283" xr:uid="{00000000-0005-0000-0000-0000F42C0000}"/>
    <cellStyle name="Note 2 2 3 3 3 2 3" xfId="10877" xr:uid="{00000000-0005-0000-0000-0000F52C0000}"/>
    <cellStyle name="Note 2 2 3 3 3 2 4" xfId="10880" xr:uid="{00000000-0005-0000-0000-0000F62C0000}"/>
    <cellStyle name="Note 2 2 3 3 3 3" xfId="10882" xr:uid="{00000000-0005-0000-0000-0000F72C0000}"/>
    <cellStyle name="Note 2 2 3 3 3 4" xfId="10884" xr:uid="{00000000-0005-0000-0000-0000F82C0000}"/>
    <cellStyle name="Note 2 2 3 3 3 5" xfId="10886" xr:uid="{00000000-0005-0000-0000-0000F92C0000}"/>
    <cellStyle name="Note 2 2 3 3 4" xfId="18828" xr:uid="{00000000-0005-0000-0000-0000FA2C0000}"/>
    <cellStyle name="Note 2 2 3 3 4 2" xfId="10904" xr:uid="{00000000-0005-0000-0000-0000FB2C0000}"/>
    <cellStyle name="Note 2 2 3 3 4 3" xfId="10907" xr:uid="{00000000-0005-0000-0000-0000FC2C0000}"/>
    <cellStyle name="Note 2 2 3 3 4 4" xfId="10910" xr:uid="{00000000-0005-0000-0000-0000FD2C0000}"/>
    <cellStyle name="Note 2 2 3 3 5" xfId="18830" xr:uid="{00000000-0005-0000-0000-0000FE2C0000}"/>
    <cellStyle name="Note 2 2 3 3 6" xfId="2297" xr:uid="{00000000-0005-0000-0000-0000FF2C0000}"/>
    <cellStyle name="Note 2 2 3 3 7" xfId="5893" xr:uid="{00000000-0005-0000-0000-0000002D0000}"/>
    <cellStyle name="Note 2 2 3 4" xfId="17300" xr:uid="{00000000-0005-0000-0000-0000012D0000}"/>
    <cellStyle name="Note 2 2 3 4 2" xfId="18831" xr:uid="{00000000-0005-0000-0000-0000022D0000}"/>
    <cellStyle name="Note 2 2 3 4 2 2" xfId="11136" xr:uid="{00000000-0005-0000-0000-0000032D0000}"/>
    <cellStyle name="Note 2 2 3 4 2 2 2" xfId="9814" xr:uid="{00000000-0005-0000-0000-0000042D0000}"/>
    <cellStyle name="Note 2 2 3 4 2 2 3" xfId="9823" xr:uid="{00000000-0005-0000-0000-0000052D0000}"/>
    <cellStyle name="Note 2 2 3 4 2 2 4" xfId="11147" xr:uid="{00000000-0005-0000-0000-0000062D0000}"/>
    <cellStyle name="Note 2 2 3 4 2 3" xfId="11154" xr:uid="{00000000-0005-0000-0000-0000072D0000}"/>
    <cellStyle name="Note 2 2 3 4 2 4" xfId="11158" xr:uid="{00000000-0005-0000-0000-0000082D0000}"/>
    <cellStyle name="Note 2 2 3 4 2 5" xfId="6715" xr:uid="{00000000-0005-0000-0000-0000092D0000}"/>
    <cellStyle name="Note 2 2 3 4 3" xfId="18832" xr:uid="{00000000-0005-0000-0000-00000A2D0000}"/>
    <cellStyle name="Note 2 2 3 4 3 2" xfId="11173" xr:uid="{00000000-0005-0000-0000-00000B2D0000}"/>
    <cellStyle name="Note 2 2 3 4 3 3" xfId="11178" xr:uid="{00000000-0005-0000-0000-00000C2D0000}"/>
    <cellStyle name="Note 2 2 3 4 3 4" xfId="11180" xr:uid="{00000000-0005-0000-0000-00000D2D0000}"/>
    <cellStyle name="Note 2 2 3 4 4" xfId="18833" xr:uid="{00000000-0005-0000-0000-00000E2D0000}"/>
    <cellStyle name="Note 2 2 3 4 5" xfId="18834" xr:uid="{00000000-0005-0000-0000-00000F2D0000}"/>
    <cellStyle name="Note 2 2 3 4 6" xfId="18835" xr:uid="{00000000-0005-0000-0000-0000102D0000}"/>
    <cellStyle name="Note 2 2 3 5" xfId="13883" xr:uid="{00000000-0005-0000-0000-0000112D0000}"/>
    <cellStyle name="Note 2 2 3 5 2" xfId="13886" xr:uid="{00000000-0005-0000-0000-0000122D0000}"/>
    <cellStyle name="Note 2 2 3 5 2 2" xfId="11271" xr:uid="{00000000-0005-0000-0000-0000132D0000}"/>
    <cellStyle name="Note 2 2 3 5 2 3" xfId="11274" xr:uid="{00000000-0005-0000-0000-0000142D0000}"/>
    <cellStyle name="Note 2 2 3 5 2 4" xfId="11276" xr:uid="{00000000-0005-0000-0000-0000152D0000}"/>
    <cellStyle name="Note 2 2 3 5 3" xfId="13888" xr:uid="{00000000-0005-0000-0000-0000162D0000}"/>
    <cellStyle name="Note 2 2 3 5 4" xfId="13890" xr:uid="{00000000-0005-0000-0000-0000172D0000}"/>
    <cellStyle name="Note 2 2 3 5 5" xfId="18836" xr:uid="{00000000-0005-0000-0000-0000182D0000}"/>
    <cellStyle name="Note 2 2 3 6" xfId="13893" xr:uid="{00000000-0005-0000-0000-0000192D0000}"/>
    <cellStyle name="Note 2 2 3 6 2" xfId="18838" xr:uid="{00000000-0005-0000-0000-00001A2D0000}"/>
    <cellStyle name="Note 2 2 3 6 3" xfId="1938" xr:uid="{00000000-0005-0000-0000-00001B2D0000}"/>
    <cellStyle name="Note 2 2 3 6 4" xfId="1940" xr:uid="{00000000-0005-0000-0000-00001C2D0000}"/>
    <cellStyle name="Note 2 2 3 7" xfId="13895" xr:uid="{00000000-0005-0000-0000-00001D2D0000}"/>
    <cellStyle name="Note 2 2 3 8" xfId="13897" xr:uid="{00000000-0005-0000-0000-00001E2D0000}"/>
    <cellStyle name="Note 2 2 3 9" xfId="18840" xr:uid="{00000000-0005-0000-0000-00001F2D0000}"/>
    <cellStyle name="Note 2 2 4" xfId="14221" xr:uid="{00000000-0005-0000-0000-0000202D0000}"/>
    <cellStyle name="Note 2 2 4 2" xfId="7144" xr:uid="{00000000-0005-0000-0000-0000212D0000}"/>
    <cellStyle name="Note 2 2 4 2 2" xfId="5687" xr:uid="{00000000-0005-0000-0000-0000222D0000}"/>
    <cellStyle name="Note 2 2 4 2 2 2" xfId="18841" xr:uid="{00000000-0005-0000-0000-0000232D0000}"/>
    <cellStyle name="Note 2 2 4 2 2 2 2" xfId="18843" xr:uid="{00000000-0005-0000-0000-0000242D0000}"/>
    <cellStyle name="Note 2 2 4 2 2 2 2 2" xfId="9977" xr:uid="{00000000-0005-0000-0000-0000252D0000}"/>
    <cellStyle name="Note 2 2 4 2 2 2 2 2 2" xfId="18845" xr:uid="{00000000-0005-0000-0000-0000262D0000}"/>
    <cellStyle name="Note 2 2 4 2 2 2 2 2 3" xfId="18846" xr:uid="{00000000-0005-0000-0000-0000272D0000}"/>
    <cellStyle name="Note 2 2 4 2 2 2 2 2 4" xfId="18847" xr:uid="{00000000-0005-0000-0000-0000282D0000}"/>
    <cellStyle name="Note 2 2 4 2 2 2 2 3" xfId="18848" xr:uid="{00000000-0005-0000-0000-0000292D0000}"/>
    <cellStyle name="Note 2 2 4 2 2 2 2 4" xfId="18849" xr:uid="{00000000-0005-0000-0000-00002A2D0000}"/>
    <cellStyle name="Note 2 2 4 2 2 2 2 5" xfId="5068" xr:uid="{00000000-0005-0000-0000-00002B2D0000}"/>
    <cellStyle name="Note 2 2 4 2 2 2 3" xfId="18850" xr:uid="{00000000-0005-0000-0000-00002C2D0000}"/>
    <cellStyle name="Note 2 2 4 2 2 2 3 2" xfId="18852" xr:uid="{00000000-0005-0000-0000-00002D2D0000}"/>
    <cellStyle name="Note 2 2 4 2 2 2 3 3" xfId="18853" xr:uid="{00000000-0005-0000-0000-00002E2D0000}"/>
    <cellStyle name="Note 2 2 4 2 2 2 3 4" xfId="18854" xr:uid="{00000000-0005-0000-0000-00002F2D0000}"/>
    <cellStyle name="Note 2 2 4 2 2 2 4" xfId="2053" xr:uid="{00000000-0005-0000-0000-0000302D0000}"/>
    <cellStyle name="Note 2 2 4 2 2 2 5" xfId="11256" xr:uid="{00000000-0005-0000-0000-0000312D0000}"/>
    <cellStyle name="Note 2 2 4 2 2 2 6" xfId="12214" xr:uid="{00000000-0005-0000-0000-0000322D0000}"/>
    <cellStyle name="Note 2 2 4 2 2 3" xfId="18855" xr:uid="{00000000-0005-0000-0000-0000332D0000}"/>
    <cellStyle name="Note 2 2 4 2 2 3 2" xfId="18856" xr:uid="{00000000-0005-0000-0000-0000342D0000}"/>
    <cellStyle name="Note 2 2 4 2 2 3 2 2" xfId="18857" xr:uid="{00000000-0005-0000-0000-0000352D0000}"/>
    <cellStyle name="Note 2 2 4 2 2 3 2 3" xfId="18858" xr:uid="{00000000-0005-0000-0000-0000362D0000}"/>
    <cellStyle name="Note 2 2 4 2 2 3 2 4" xfId="18859" xr:uid="{00000000-0005-0000-0000-0000372D0000}"/>
    <cellStyle name="Note 2 2 4 2 2 3 3" xfId="18860" xr:uid="{00000000-0005-0000-0000-0000382D0000}"/>
    <cellStyle name="Note 2 2 4 2 2 3 4" xfId="6848" xr:uid="{00000000-0005-0000-0000-0000392D0000}"/>
    <cellStyle name="Note 2 2 4 2 2 3 5" xfId="6867" xr:uid="{00000000-0005-0000-0000-00003A2D0000}"/>
    <cellStyle name="Note 2 2 4 2 2 4" xfId="18861" xr:uid="{00000000-0005-0000-0000-00003B2D0000}"/>
    <cellStyle name="Note 2 2 4 2 2 4 2" xfId="18862" xr:uid="{00000000-0005-0000-0000-00003C2D0000}"/>
    <cellStyle name="Note 2 2 4 2 2 4 3" xfId="18863" xr:uid="{00000000-0005-0000-0000-00003D2D0000}"/>
    <cellStyle name="Note 2 2 4 2 2 4 4" xfId="2793" xr:uid="{00000000-0005-0000-0000-00003E2D0000}"/>
    <cellStyle name="Note 2 2 4 2 2 5" xfId="18864" xr:uid="{00000000-0005-0000-0000-00003F2D0000}"/>
    <cellStyle name="Note 2 2 4 2 2 6" xfId="18866" xr:uid="{00000000-0005-0000-0000-0000402D0000}"/>
    <cellStyle name="Note 2 2 4 2 2 7" xfId="18869" xr:uid="{00000000-0005-0000-0000-0000412D0000}"/>
    <cellStyle name="Note 2 2 4 2 3" xfId="18871" xr:uid="{00000000-0005-0000-0000-0000422D0000}"/>
    <cellStyle name="Note 2 2 4 2 3 2" xfId="7154" xr:uid="{00000000-0005-0000-0000-0000432D0000}"/>
    <cellStyle name="Note 2 2 4 2 3 2 2" xfId="11341" xr:uid="{00000000-0005-0000-0000-0000442D0000}"/>
    <cellStyle name="Note 2 2 4 2 3 2 2 2" xfId="18779" xr:uid="{00000000-0005-0000-0000-0000452D0000}"/>
    <cellStyle name="Note 2 2 4 2 3 2 2 3" xfId="18783" xr:uid="{00000000-0005-0000-0000-0000462D0000}"/>
    <cellStyle name="Note 2 2 4 2 3 2 2 4" xfId="18874" xr:uid="{00000000-0005-0000-0000-0000472D0000}"/>
    <cellStyle name="Note 2 2 4 2 3 2 3" xfId="18877" xr:uid="{00000000-0005-0000-0000-0000482D0000}"/>
    <cellStyle name="Note 2 2 4 2 3 2 4" xfId="18879" xr:uid="{00000000-0005-0000-0000-0000492D0000}"/>
    <cellStyle name="Note 2 2 4 2 3 2 5" xfId="18889" xr:uid="{00000000-0005-0000-0000-00004A2D0000}"/>
    <cellStyle name="Note 2 2 4 2 3 3" xfId="7160" xr:uid="{00000000-0005-0000-0000-00004B2D0000}"/>
    <cellStyle name="Note 2 2 4 2 3 3 2" xfId="18893" xr:uid="{00000000-0005-0000-0000-00004C2D0000}"/>
    <cellStyle name="Note 2 2 4 2 3 3 3" xfId="18896" xr:uid="{00000000-0005-0000-0000-00004D2D0000}"/>
    <cellStyle name="Note 2 2 4 2 3 3 4" xfId="484" xr:uid="{00000000-0005-0000-0000-00004E2D0000}"/>
    <cellStyle name="Note 2 2 4 2 3 4" xfId="2922" xr:uid="{00000000-0005-0000-0000-00004F2D0000}"/>
    <cellStyle name="Note 2 2 4 2 3 5" xfId="18897" xr:uid="{00000000-0005-0000-0000-0000502D0000}"/>
    <cellStyle name="Note 2 2 4 2 3 6" xfId="18898" xr:uid="{00000000-0005-0000-0000-0000512D0000}"/>
    <cellStyle name="Note 2 2 4 2 4" xfId="18900" xr:uid="{00000000-0005-0000-0000-0000522D0000}"/>
    <cellStyle name="Note 2 2 4 2 4 2" xfId="8032" xr:uid="{00000000-0005-0000-0000-0000532D0000}"/>
    <cellStyle name="Note 2 2 4 2 4 2 2" xfId="18901" xr:uid="{00000000-0005-0000-0000-0000542D0000}"/>
    <cellStyle name="Note 2 2 4 2 4 2 3" xfId="18902" xr:uid="{00000000-0005-0000-0000-0000552D0000}"/>
    <cellStyle name="Note 2 2 4 2 4 2 4" xfId="17895" xr:uid="{00000000-0005-0000-0000-0000562D0000}"/>
    <cellStyle name="Note 2 2 4 2 4 3" xfId="8686" xr:uid="{00000000-0005-0000-0000-0000572D0000}"/>
    <cellStyle name="Note 2 2 4 2 4 4" xfId="18903" xr:uid="{00000000-0005-0000-0000-0000582D0000}"/>
    <cellStyle name="Note 2 2 4 2 4 5" xfId="18904" xr:uid="{00000000-0005-0000-0000-0000592D0000}"/>
    <cellStyle name="Note 2 2 4 2 5" xfId="18906" xr:uid="{00000000-0005-0000-0000-00005A2D0000}"/>
    <cellStyle name="Note 2 2 4 2 5 2" xfId="8769" xr:uid="{00000000-0005-0000-0000-00005B2D0000}"/>
    <cellStyle name="Note 2 2 4 2 5 3" xfId="18907" xr:uid="{00000000-0005-0000-0000-00005C2D0000}"/>
    <cellStyle name="Note 2 2 4 2 5 4" xfId="18908" xr:uid="{00000000-0005-0000-0000-00005D2D0000}"/>
    <cellStyle name="Note 2 2 4 2 6" xfId="73" xr:uid="{00000000-0005-0000-0000-00005E2D0000}"/>
    <cellStyle name="Note 2 2 4 2 7" xfId="2824" xr:uid="{00000000-0005-0000-0000-00005F2D0000}"/>
    <cellStyle name="Note 2 2 4 2 8" xfId="2142" xr:uid="{00000000-0005-0000-0000-0000602D0000}"/>
    <cellStyle name="Note 2 2 4 3" xfId="18911" xr:uid="{00000000-0005-0000-0000-0000612D0000}"/>
    <cellStyle name="Note 2 2 4 3 2" xfId="18912" xr:uid="{00000000-0005-0000-0000-0000622D0000}"/>
    <cellStyle name="Note 2 2 4 3 2 2" xfId="6969" xr:uid="{00000000-0005-0000-0000-0000632D0000}"/>
    <cellStyle name="Note 2 2 4 3 2 2 2" xfId="11475" xr:uid="{00000000-0005-0000-0000-0000642D0000}"/>
    <cellStyle name="Note 2 2 4 3 2 2 2 2" xfId="10721" xr:uid="{00000000-0005-0000-0000-0000652D0000}"/>
    <cellStyle name="Note 2 2 4 3 2 2 2 3" xfId="10727" xr:uid="{00000000-0005-0000-0000-0000662D0000}"/>
    <cellStyle name="Note 2 2 4 3 2 2 2 4" xfId="18913" xr:uid="{00000000-0005-0000-0000-0000672D0000}"/>
    <cellStyle name="Note 2 2 4 3 2 2 3" xfId="11481" xr:uid="{00000000-0005-0000-0000-0000682D0000}"/>
    <cellStyle name="Note 2 2 4 3 2 2 4" xfId="11484" xr:uid="{00000000-0005-0000-0000-0000692D0000}"/>
    <cellStyle name="Note 2 2 4 3 2 2 5" xfId="18915" xr:uid="{00000000-0005-0000-0000-00006A2D0000}"/>
    <cellStyle name="Note 2 2 4 3 2 3" xfId="6977" xr:uid="{00000000-0005-0000-0000-00006B2D0000}"/>
    <cellStyle name="Note 2 2 4 3 2 3 2" xfId="18919" xr:uid="{00000000-0005-0000-0000-00006C2D0000}"/>
    <cellStyle name="Note 2 2 4 3 2 3 3" xfId="18920" xr:uid="{00000000-0005-0000-0000-00006D2D0000}"/>
    <cellStyle name="Note 2 2 4 3 2 3 4" xfId="3705" xr:uid="{00000000-0005-0000-0000-00006E2D0000}"/>
    <cellStyle name="Note 2 2 4 3 2 4" xfId="1641" xr:uid="{00000000-0005-0000-0000-00006F2D0000}"/>
    <cellStyle name="Note 2 2 4 3 2 5" xfId="11491" xr:uid="{00000000-0005-0000-0000-0000702D0000}"/>
    <cellStyle name="Note 2 2 4 3 2 6" xfId="11650" xr:uid="{00000000-0005-0000-0000-0000712D0000}"/>
    <cellStyle name="Note 2 2 4 3 3" xfId="18921" xr:uid="{00000000-0005-0000-0000-0000722D0000}"/>
    <cellStyle name="Note 2 2 4 3 3 2" xfId="11508" xr:uid="{00000000-0005-0000-0000-0000732D0000}"/>
    <cellStyle name="Note 2 2 4 3 3 2 2" xfId="18922" xr:uid="{00000000-0005-0000-0000-0000742D0000}"/>
    <cellStyle name="Note 2 2 4 3 3 2 3" xfId="18923" xr:uid="{00000000-0005-0000-0000-0000752D0000}"/>
    <cellStyle name="Note 2 2 4 3 3 2 4" xfId="18925" xr:uid="{00000000-0005-0000-0000-0000762D0000}"/>
    <cellStyle name="Note 2 2 4 3 3 3" xfId="11511" xr:uid="{00000000-0005-0000-0000-0000772D0000}"/>
    <cellStyle name="Note 2 2 4 3 3 4" xfId="11513" xr:uid="{00000000-0005-0000-0000-0000782D0000}"/>
    <cellStyle name="Note 2 2 4 3 3 5" xfId="11656" xr:uid="{00000000-0005-0000-0000-0000792D0000}"/>
    <cellStyle name="Note 2 2 4 3 4" xfId="18926" xr:uid="{00000000-0005-0000-0000-00007A2D0000}"/>
    <cellStyle name="Note 2 2 4 3 4 2" xfId="8778" xr:uid="{00000000-0005-0000-0000-00007B2D0000}"/>
    <cellStyle name="Note 2 2 4 3 4 3" xfId="8782" xr:uid="{00000000-0005-0000-0000-00007C2D0000}"/>
    <cellStyle name="Note 2 2 4 3 4 4" xfId="18928" xr:uid="{00000000-0005-0000-0000-00007D2D0000}"/>
    <cellStyle name="Note 2 2 4 3 5" xfId="18929" xr:uid="{00000000-0005-0000-0000-00007E2D0000}"/>
    <cellStyle name="Note 2 2 4 3 6" xfId="18764" xr:uid="{00000000-0005-0000-0000-00007F2D0000}"/>
    <cellStyle name="Note 2 2 4 3 7" xfId="18773" xr:uid="{00000000-0005-0000-0000-0000802D0000}"/>
    <cellStyle name="Note 2 2 4 4" xfId="18933" xr:uid="{00000000-0005-0000-0000-0000812D0000}"/>
    <cellStyle name="Note 2 2 4 4 2" xfId="18935" xr:uid="{00000000-0005-0000-0000-0000822D0000}"/>
    <cellStyle name="Note 2 2 4 4 2 2" xfId="11544" xr:uid="{00000000-0005-0000-0000-0000832D0000}"/>
    <cellStyle name="Note 2 2 4 4 2 2 2" xfId="9467" xr:uid="{00000000-0005-0000-0000-0000842D0000}"/>
    <cellStyle name="Note 2 2 4 4 2 2 3" xfId="9480" xr:uid="{00000000-0005-0000-0000-0000852D0000}"/>
    <cellStyle name="Note 2 2 4 4 2 2 4" xfId="9495" xr:uid="{00000000-0005-0000-0000-0000862D0000}"/>
    <cellStyle name="Note 2 2 4 4 2 3" xfId="11429" xr:uid="{00000000-0005-0000-0000-0000872D0000}"/>
    <cellStyle name="Note 2 2 4 4 2 4" xfId="11434" xr:uid="{00000000-0005-0000-0000-0000882D0000}"/>
    <cellStyle name="Note 2 2 4 4 2 5" xfId="3547" xr:uid="{00000000-0005-0000-0000-0000892D0000}"/>
    <cellStyle name="Note 2 2 4 4 3" xfId="18936" xr:uid="{00000000-0005-0000-0000-00008A2D0000}"/>
    <cellStyle name="Note 2 2 4 4 3 2" xfId="11552" xr:uid="{00000000-0005-0000-0000-00008B2D0000}"/>
    <cellStyle name="Note 2 2 4 4 3 3" xfId="11555" xr:uid="{00000000-0005-0000-0000-00008C2D0000}"/>
    <cellStyle name="Note 2 2 4 4 3 4" xfId="18938" xr:uid="{00000000-0005-0000-0000-00008D2D0000}"/>
    <cellStyle name="Note 2 2 4 4 4" xfId="18939" xr:uid="{00000000-0005-0000-0000-00008E2D0000}"/>
    <cellStyle name="Note 2 2 4 4 5" xfId="18940" xr:uid="{00000000-0005-0000-0000-00008F2D0000}"/>
    <cellStyle name="Note 2 2 4 4 6" xfId="18784" xr:uid="{00000000-0005-0000-0000-0000902D0000}"/>
    <cellStyle name="Note 2 2 4 5" xfId="332" xr:uid="{00000000-0005-0000-0000-0000912D0000}"/>
    <cellStyle name="Note 2 2 4 5 2" xfId="17505" xr:uid="{00000000-0005-0000-0000-0000922D0000}"/>
    <cellStyle name="Note 2 2 4 5 2 2" xfId="11587" xr:uid="{00000000-0005-0000-0000-0000932D0000}"/>
    <cellStyle name="Note 2 2 4 5 2 3" xfId="11589" xr:uid="{00000000-0005-0000-0000-0000942D0000}"/>
    <cellStyle name="Note 2 2 4 5 2 4" xfId="18941" xr:uid="{00000000-0005-0000-0000-0000952D0000}"/>
    <cellStyle name="Note 2 2 4 5 3" xfId="17507" xr:uid="{00000000-0005-0000-0000-0000962D0000}"/>
    <cellStyle name="Note 2 2 4 5 4" xfId="17509" xr:uid="{00000000-0005-0000-0000-0000972D0000}"/>
    <cellStyle name="Note 2 2 4 5 5" xfId="18942" xr:uid="{00000000-0005-0000-0000-0000982D0000}"/>
    <cellStyle name="Note 2 2 4 6" xfId="3125" xr:uid="{00000000-0005-0000-0000-0000992D0000}"/>
    <cellStyle name="Note 2 2 4 6 2" xfId="2675" xr:uid="{00000000-0005-0000-0000-00009A2D0000}"/>
    <cellStyle name="Note 2 2 4 6 3" xfId="43" xr:uid="{00000000-0005-0000-0000-00009B2D0000}"/>
    <cellStyle name="Note 2 2 4 6 4" xfId="18945" xr:uid="{00000000-0005-0000-0000-00009C2D0000}"/>
    <cellStyle name="Note 2 2 4 7" xfId="2483" xr:uid="{00000000-0005-0000-0000-00009D2D0000}"/>
    <cellStyle name="Note 2 2 4 8" xfId="2492" xr:uid="{00000000-0005-0000-0000-00009E2D0000}"/>
    <cellStyle name="Note 2 2 4 9" xfId="18948" xr:uid="{00000000-0005-0000-0000-00009F2D0000}"/>
    <cellStyle name="Note 2 2 5" xfId="14226" xr:uid="{00000000-0005-0000-0000-0000A02D0000}"/>
    <cellStyle name="Note 2 2 5 2" xfId="18950" xr:uid="{00000000-0005-0000-0000-0000A12D0000}"/>
    <cellStyle name="Note 2 2 5 2 2" xfId="18951" xr:uid="{00000000-0005-0000-0000-0000A22D0000}"/>
    <cellStyle name="Note 2 2 5 2 2 2" xfId="18952" xr:uid="{00000000-0005-0000-0000-0000A32D0000}"/>
    <cellStyle name="Note 2 2 5 2 2 2 2" xfId="5017" xr:uid="{00000000-0005-0000-0000-0000A42D0000}"/>
    <cellStyle name="Note 2 2 5 2 2 2 2 2" xfId="18953" xr:uid="{00000000-0005-0000-0000-0000A52D0000}"/>
    <cellStyle name="Note 2 2 5 2 2 2 2 3" xfId="91" xr:uid="{00000000-0005-0000-0000-0000A62D0000}"/>
    <cellStyle name="Note 2 2 5 2 2 2 2 4" xfId="523" xr:uid="{00000000-0005-0000-0000-0000A72D0000}"/>
    <cellStyle name="Note 2 2 5 2 2 2 3" xfId="5026" xr:uid="{00000000-0005-0000-0000-0000A82D0000}"/>
    <cellStyle name="Note 2 2 5 2 2 2 4" xfId="16312" xr:uid="{00000000-0005-0000-0000-0000A92D0000}"/>
    <cellStyle name="Note 2 2 5 2 2 2 5" xfId="16319" xr:uid="{00000000-0005-0000-0000-0000AA2D0000}"/>
    <cellStyle name="Note 2 2 5 2 2 3" xfId="18954" xr:uid="{00000000-0005-0000-0000-0000AB2D0000}"/>
    <cellStyle name="Note 2 2 5 2 2 3 2" xfId="18955" xr:uid="{00000000-0005-0000-0000-0000AC2D0000}"/>
    <cellStyle name="Note 2 2 5 2 2 3 3" xfId="18956" xr:uid="{00000000-0005-0000-0000-0000AD2D0000}"/>
    <cellStyle name="Note 2 2 5 2 2 3 4" xfId="5058" xr:uid="{00000000-0005-0000-0000-0000AE2D0000}"/>
    <cellStyle name="Note 2 2 5 2 2 4" xfId="18957" xr:uid="{00000000-0005-0000-0000-0000AF2D0000}"/>
    <cellStyle name="Note 2 2 5 2 2 5" xfId="18958" xr:uid="{00000000-0005-0000-0000-0000B02D0000}"/>
    <cellStyle name="Note 2 2 5 2 2 6" xfId="18959" xr:uid="{00000000-0005-0000-0000-0000B12D0000}"/>
    <cellStyle name="Note 2 2 5 2 3" xfId="18960" xr:uid="{00000000-0005-0000-0000-0000B22D0000}"/>
    <cellStyle name="Note 2 2 5 2 3 2" xfId="1405" xr:uid="{00000000-0005-0000-0000-0000B32D0000}"/>
    <cellStyle name="Note 2 2 5 2 3 2 2" xfId="17309" xr:uid="{00000000-0005-0000-0000-0000B42D0000}"/>
    <cellStyle name="Note 2 2 5 2 3 2 3" xfId="18961" xr:uid="{00000000-0005-0000-0000-0000B52D0000}"/>
    <cellStyle name="Note 2 2 5 2 3 2 4" xfId="18962" xr:uid="{00000000-0005-0000-0000-0000B62D0000}"/>
    <cellStyle name="Note 2 2 5 2 3 3" xfId="18964" xr:uid="{00000000-0005-0000-0000-0000B72D0000}"/>
    <cellStyle name="Note 2 2 5 2 3 4" xfId="18965" xr:uid="{00000000-0005-0000-0000-0000B82D0000}"/>
    <cellStyle name="Note 2 2 5 2 3 5" xfId="18966" xr:uid="{00000000-0005-0000-0000-0000B92D0000}"/>
    <cellStyle name="Note 2 2 5 2 4" xfId="18967" xr:uid="{00000000-0005-0000-0000-0000BA2D0000}"/>
    <cellStyle name="Note 2 2 5 2 4 2" xfId="18968" xr:uid="{00000000-0005-0000-0000-0000BB2D0000}"/>
    <cellStyle name="Note 2 2 5 2 4 3" xfId="18973" xr:uid="{00000000-0005-0000-0000-0000BC2D0000}"/>
    <cellStyle name="Note 2 2 5 2 4 4" xfId="18978" xr:uid="{00000000-0005-0000-0000-0000BD2D0000}"/>
    <cellStyle name="Note 2 2 5 2 5" xfId="18979" xr:uid="{00000000-0005-0000-0000-0000BE2D0000}"/>
    <cellStyle name="Note 2 2 5 2 6" xfId="18980" xr:uid="{00000000-0005-0000-0000-0000BF2D0000}"/>
    <cellStyle name="Note 2 2 5 2 7" xfId="18981" xr:uid="{00000000-0005-0000-0000-0000C02D0000}"/>
    <cellStyle name="Note 2 2 5 3" xfId="18983" xr:uid="{00000000-0005-0000-0000-0000C12D0000}"/>
    <cellStyle name="Note 2 2 5 3 2" xfId="18984" xr:uid="{00000000-0005-0000-0000-0000C22D0000}"/>
    <cellStyle name="Note 2 2 5 3 2 2" xfId="6950" xr:uid="{00000000-0005-0000-0000-0000C32D0000}"/>
    <cellStyle name="Note 2 2 5 3 2 2 2" xfId="6962" xr:uid="{00000000-0005-0000-0000-0000C42D0000}"/>
    <cellStyle name="Note 2 2 5 3 2 2 3" xfId="6399" xr:uid="{00000000-0005-0000-0000-0000C52D0000}"/>
    <cellStyle name="Note 2 2 5 3 2 2 4" xfId="6410" xr:uid="{00000000-0005-0000-0000-0000C62D0000}"/>
    <cellStyle name="Note 2 2 5 3 2 3" xfId="6990" xr:uid="{00000000-0005-0000-0000-0000C72D0000}"/>
    <cellStyle name="Note 2 2 5 3 2 4" xfId="4369" xr:uid="{00000000-0005-0000-0000-0000C82D0000}"/>
    <cellStyle name="Note 2 2 5 3 2 5" xfId="4400" xr:uid="{00000000-0005-0000-0000-0000C92D0000}"/>
    <cellStyle name="Note 2 2 5 3 3" xfId="18985" xr:uid="{00000000-0005-0000-0000-0000CA2D0000}"/>
    <cellStyle name="Note 2 2 5 3 3 2" xfId="7016" xr:uid="{00000000-0005-0000-0000-0000CB2D0000}"/>
    <cellStyle name="Note 2 2 5 3 3 3" xfId="7027" xr:uid="{00000000-0005-0000-0000-0000CC2D0000}"/>
    <cellStyle name="Note 2 2 5 3 3 4" xfId="61" xr:uid="{00000000-0005-0000-0000-0000CD2D0000}"/>
    <cellStyle name="Note 2 2 5 3 4" xfId="18986" xr:uid="{00000000-0005-0000-0000-0000CE2D0000}"/>
    <cellStyle name="Note 2 2 5 3 5" xfId="18987" xr:uid="{00000000-0005-0000-0000-0000CF2D0000}"/>
    <cellStyle name="Note 2 2 5 3 6" xfId="18792" xr:uid="{00000000-0005-0000-0000-0000D02D0000}"/>
    <cellStyle name="Note 2 2 5 4" xfId="18989" xr:uid="{00000000-0005-0000-0000-0000D12D0000}"/>
    <cellStyle name="Note 2 2 5 4 2" xfId="18990" xr:uid="{00000000-0005-0000-0000-0000D22D0000}"/>
    <cellStyle name="Note 2 2 5 4 2 2" xfId="8235" xr:uid="{00000000-0005-0000-0000-0000D32D0000}"/>
    <cellStyle name="Note 2 2 5 4 2 3" xfId="8276" xr:uid="{00000000-0005-0000-0000-0000D42D0000}"/>
    <cellStyle name="Note 2 2 5 4 2 4" xfId="8289" xr:uid="{00000000-0005-0000-0000-0000D52D0000}"/>
    <cellStyle name="Note 2 2 5 4 3" xfId="18991" xr:uid="{00000000-0005-0000-0000-0000D62D0000}"/>
    <cellStyle name="Note 2 2 5 4 4" xfId="18992" xr:uid="{00000000-0005-0000-0000-0000D72D0000}"/>
    <cellStyle name="Note 2 2 5 4 5" xfId="18993" xr:uid="{00000000-0005-0000-0000-0000D82D0000}"/>
    <cellStyle name="Note 2 2 5 5" xfId="18994" xr:uid="{00000000-0005-0000-0000-0000D92D0000}"/>
    <cellStyle name="Note 2 2 5 5 2" xfId="9518" xr:uid="{00000000-0005-0000-0000-0000DA2D0000}"/>
    <cellStyle name="Note 2 2 5 5 3" xfId="9572" xr:uid="{00000000-0005-0000-0000-0000DB2D0000}"/>
    <cellStyle name="Note 2 2 5 5 4" xfId="18995" xr:uid="{00000000-0005-0000-0000-0000DC2D0000}"/>
    <cellStyle name="Note 2 2 5 6" xfId="18997" xr:uid="{00000000-0005-0000-0000-0000DD2D0000}"/>
    <cellStyle name="Note 2 2 5 7" xfId="18998" xr:uid="{00000000-0005-0000-0000-0000DE2D0000}"/>
    <cellStyle name="Note 2 2 5 8" xfId="18999" xr:uid="{00000000-0005-0000-0000-0000DF2D0000}"/>
    <cellStyle name="Note 2 2 6" xfId="12240" xr:uid="{00000000-0005-0000-0000-0000E02D0000}"/>
    <cellStyle name="Note 2 2 6 2" xfId="7232" xr:uid="{00000000-0005-0000-0000-0000E12D0000}"/>
    <cellStyle name="Note 2 2 6 2 2" xfId="19005" xr:uid="{00000000-0005-0000-0000-0000E22D0000}"/>
    <cellStyle name="Note 2 2 6 2 2 2" xfId="19006" xr:uid="{00000000-0005-0000-0000-0000E32D0000}"/>
    <cellStyle name="Note 2 2 6 2 2 2 2" xfId="19007" xr:uid="{00000000-0005-0000-0000-0000E42D0000}"/>
    <cellStyle name="Note 2 2 6 2 2 2 3" xfId="19008" xr:uid="{00000000-0005-0000-0000-0000E52D0000}"/>
    <cellStyle name="Note 2 2 6 2 2 2 4" xfId="10980" xr:uid="{00000000-0005-0000-0000-0000E62D0000}"/>
    <cellStyle name="Note 2 2 6 2 2 3" xfId="19010" xr:uid="{00000000-0005-0000-0000-0000E72D0000}"/>
    <cellStyle name="Note 2 2 6 2 2 4" xfId="19012" xr:uid="{00000000-0005-0000-0000-0000E82D0000}"/>
    <cellStyle name="Note 2 2 6 2 2 5" xfId="13646" xr:uid="{00000000-0005-0000-0000-0000E92D0000}"/>
    <cellStyle name="Note 2 2 6 2 3" xfId="19017" xr:uid="{00000000-0005-0000-0000-0000EA2D0000}"/>
    <cellStyle name="Note 2 2 6 2 3 2" xfId="15287" xr:uid="{00000000-0005-0000-0000-0000EB2D0000}"/>
    <cellStyle name="Note 2 2 6 2 3 3" xfId="19019" xr:uid="{00000000-0005-0000-0000-0000EC2D0000}"/>
    <cellStyle name="Note 2 2 6 2 3 4" xfId="19021" xr:uid="{00000000-0005-0000-0000-0000ED2D0000}"/>
    <cellStyle name="Note 2 2 6 2 4" xfId="19025" xr:uid="{00000000-0005-0000-0000-0000EE2D0000}"/>
    <cellStyle name="Note 2 2 6 2 5" xfId="19026" xr:uid="{00000000-0005-0000-0000-0000EF2D0000}"/>
    <cellStyle name="Note 2 2 6 2 6" xfId="19027" xr:uid="{00000000-0005-0000-0000-0000F02D0000}"/>
    <cellStyle name="Note 2 2 6 3" xfId="19032" xr:uid="{00000000-0005-0000-0000-0000F12D0000}"/>
    <cellStyle name="Note 2 2 6 3 2" xfId="19034" xr:uid="{00000000-0005-0000-0000-0000F22D0000}"/>
    <cellStyle name="Note 2 2 6 3 2 2" xfId="10616" xr:uid="{00000000-0005-0000-0000-0000F32D0000}"/>
    <cellStyle name="Note 2 2 6 3 2 3" xfId="10625" xr:uid="{00000000-0005-0000-0000-0000F42D0000}"/>
    <cellStyle name="Note 2 2 6 3 2 4" xfId="10633" xr:uid="{00000000-0005-0000-0000-0000F52D0000}"/>
    <cellStyle name="Note 2 2 6 3 3" xfId="19035" xr:uid="{00000000-0005-0000-0000-0000F62D0000}"/>
    <cellStyle name="Note 2 2 6 3 4" xfId="19036" xr:uid="{00000000-0005-0000-0000-0000F72D0000}"/>
    <cellStyle name="Note 2 2 6 3 5" xfId="19037" xr:uid="{00000000-0005-0000-0000-0000F82D0000}"/>
    <cellStyle name="Note 2 2 6 4" xfId="19038" xr:uid="{00000000-0005-0000-0000-0000F92D0000}"/>
    <cellStyle name="Note 2 2 6 4 2" xfId="19044" xr:uid="{00000000-0005-0000-0000-0000FA2D0000}"/>
    <cellStyle name="Note 2 2 6 4 3" xfId="19045" xr:uid="{00000000-0005-0000-0000-0000FB2D0000}"/>
    <cellStyle name="Note 2 2 6 4 4" xfId="19046" xr:uid="{00000000-0005-0000-0000-0000FC2D0000}"/>
    <cellStyle name="Note 2 2 6 5" xfId="19047" xr:uid="{00000000-0005-0000-0000-0000FD2D0000}"/>
    <cellStyle name="Note 2 2 6 6" xfId="19051" xr:uid="{00000000-0005-0000-0000-0000FE2D0000}"/>
    <cellStyle name="Note 2 2 6 7" xfId="17498" xr:uid="{00000000-0005-0000-0000-0000FF2D0000}"/>
    <cellStyle name="Note 2 2 7" xfId="12244" xr:uid="{00000000-0005-0000-0000-0000002E0000}"/>
    <cellStyle name="Note 2 2 7 2" xfId="19053" xr:uid="{00000000-0005-0000-0000-0000012E0000}"/>
    <cellStyle name="Note 2 2 7 2 2" xfId="1874" xr:uid="{00000000-0005-0000-0000-0000022E0000}"/>
    <cellStyle name="Note 2 2 7 2 2 2" xfId="19065" xr:uid="{00000000-0005-0000-0000-0000032E0000}"/>
    <cellStyle name="Note 2 2 7 2 2 3" xfId="19068" xr:uid="{00000000-0005-0000-0000-0000042E0000}"/>
    <cellStyle name="Note 2 2 7 2 2 4" xfId="19070" xr:uid="{00000000-0005-0000-0000-0000052E0000}"/>
    <cellStyle name="Note 2 2 7 2 3" xfId="131" xr:uid="{00000000-0005-0000-0000-0000062E0000}"/>
    <cellStyle name="Note 2 2 7 2 4" xfId="19071" xr:uid="{00000000-0005-0000-0000-0000072E0000}"/>
    <cellStyle name="Note 2 2 7 2 5" xfId="19072" xr:uid="{00000000-0005-0000-0000-0000082E0000}"/>
    <cellStyle name="Note 2 2 7 3" xfId="19073" xr:uid="{00000000-0005-0000-0000-0000092E0000}"/>
    <cellStyle name="Note 2 2 7 3 2" xfId="19082" xr:uid="{00000000-0005-0000-0000-00000A2E0000}"/>
    <cellStyle name="Note 2 2 7 3 3" xfId="19084" xr:uid="{00000000-0005-0000-0000-00000B2E0000}"/>
    <cellStyle name="Note 2 2 7 3 4" xfId="19085" xr:uid="{00000000-0005-0000-0000-00000C2E0000}"/>
    <cellStyle name="Note 2 2 7 4" xfId="19086" xr:uid="{00000000-0005-0000-0000-00000D2E0000}"/>
    <cellStyle name="Note 2 2 7 5" xfId="19093" xr:uid="{00000000-0005-0000-0000-00000E2E0000}"/>
    <cellStyle name="Note 2 2 7 6" xfId="19096" xr:uid="{00000000-0005-0000-0000-00000F2E0000}"/>
    <cellStyle name="Note 2 2 8" xfId="12252" xr:uid="{00000000-0005-0000-0000-0000102E0000}"/>
    <cellStyle name="Note 2 2 8 2" xfId="19098" xr:uid="{00000000-0005-0000-0000-0000112E0000}"/>
    <cellStyle name="Note 2 2 8 2 2" xfId="17112" xr:uid="{00000000-0005-0000-0000-0000122E0000}"/>
    <cellStyle name="Note 2 2 8 2 3" xfId="17130" xr:uid="{00000000-0005-0000-0000-0000132E0000}"/>
    <cellStyle name="Note 2 2 8 2 4" xfId="17136" xr:uid="{00000000-0005-0000-0000-0000142E0000}"/>
    <cellStyle name="Note 2 2 8 3" xfId="7264" xr:uid="{00000000-0005-0000-0000-0000152E0000}"/>
    <cellStyle name="Note 2 2 8 4" xfId="9111" xr:uid="{00000000-0005-0000-0000-0000162E0000}"/>
    <cellStyle name="Note 2 2 8 5" xfId="9141" xr:uid="{00000000-0005-0000-0000-0000172E0000}"/>
    <cellStyle name="Note 2 2 9" xfId="19101" xr:uid="{00000000-0005-0000-0000-0000182E0000}"/>
    <cellStyle name="Note 2 2 9 2" xfId="19105" xr:uid="{00000000-0005-0000-0000-0000192E0000}"/>
    <cellStyle name="Note 2 2 9 3" xfId="9179" xr:uid="{00000000-0005-0000-0000-00001A2E0000}"/>
    <cellStyle name="Note 2 2 9 4" xfId="9349" xr:uid="{00000000-0005-0000-0000-00001B2E0000}"/>
    <cellStyle name="Note 2 3" xfId="11311" xr:uid="{00000000-0005-0000-0000-00001C2E0000}"/>
    <cellStyle name="Note 2 3 10" xfId="7605" xr:uid="{00000000-0005-0000-0000-00001D2E0000}"/>
    <cellStyle name="Note 2 3 11" xfId="7608" xr:uid="{00000000-0005-0000-0000-00001E2E0000}"/>
    <cellStyle name="Note 2 3 12" xfId="19106" xr:uid="{00000000-0005-0000-0000-00001F2E0000}"/>
    <cellStyle name="Note 2 3 13" xfId="19107" xr:uid="{00000000-0005-0000-0000-0000202E0000}"/>
    <cellStyle name="Note 2 3 2" xfId="11315" xr:uid="{00000000-0005-0000-0000-0000212E0000}"/>
    <cellStyle name="Note 2 3 2 10" xfId="14008" xr:uid="{00000000-0005-0000-0000-0000222E0000}"/>
    <cellStyle name="Note 2 3 2 11" xfId="9761" xr:uid="{00000000-0005-0000-0000-0000232E0000}"/>
    <cellStyle name="Note 2 3 2 12" xfId="9771" xr:uid="{00000000-0005-0000-0000-0000242E0000}"/>
    <cellStyle name="Note 2 3 2 2" xfId="19108" xr:uid="{00000000-0005-0000-0000-0000252E0000}"/>
    <cellStyle name="Note 2 3 2 2 2" xfId="19109" xr:uid="{00000000-0005-0000-0000-0000262E0000}"/>
    <cellStyle name="Note 2 3 2 2 2 2" xfId="14649" xr:uid="{00000000-0005-0000-0000-0000272E0000}"/>
    <cellStyle name="Note 2 3 2 2 2 2 2" xfId="18687" xr:uid="{00000000-0005-0000-0000-0000282E0000}"/>
    <cellStyle name="Note 2 3 2 2 2 2 2 2" xfId="18691" xr:uid="{00000000-0005-0000-0000-0000292E0000}"/>
    <cellStyle name="Note 2 3 2 2 2 2 2 2 2" xfId="19112" xr:uid="{00000000-0005-0000-0000-00002A2E0000}"/>
    <cellStyle name="Note 2 3 2 2 2 2 2 2 2 2" xfId="19116" xr:uid="{00000000-0005-0000-0000-00002B2E0000}"/>
    <cellStyle name="Note 2 3 2 2 2 2 2 2 2 3" xfId="9026" xr:uid="{00000000-0005-0000-0000-00002C2E0000}"/>
    <cellStyle name="Note 2 3 2 2 2 2 2 2 2 4" xfId="9032" xr:uid="{00000000-0005-0000-0000-00002D2E0000}"/>
    <cellStyle name="Note 2 3 2 2 2 2 2 2 3" xfId="19119" xr:uid="{00000000-0005-0000-0000-00002E2E0000}"/>
    <cellStyle name="Note 2 3 2 2 2 2 2 2 4" xfId="19123" xr:uid="{00000000-0005-0000-0000-00002F2E0000}"/>
    <cellStyle name="Note 2 3 2 2 2 2 2 2 5" xfId="6967" xr:uid="{00000000-0005-0000-0000-0000302E0000}"/>
    <cellStyle name="Note 2 3 2 2 2 2 2 3" xfId="18695" xr:uid="{00000000-0005-0000-0000-0000312E0000}"/>
    <cellStyle name="Note 2 3 2 2 2 2 2 3 2" xfId="19126" xr:uid="{00000000-0005-0000-0000-0000322E0000}"/>
    <cellStyle name="Note 2 3 2 2 2 2 2 3 3" xfId="19129" xr:uid="{00000000-0005-0000-0000-0000332E0000}"/>
    <cellStyle name="Note 2 3 2 2 2 2 2 3 4" xfId="19132" xr:uid="{00000000-0005-0000-0000-0000342E0000}"/>
    <cellStyle name="Note 2 3 2 2 2 2 2 4" xfId="18701" xr:uid="{00000000-0005-0000-0000-0000352E0000}"/>
    <cellStyle name="Note 2 3 2 2 2 2 2 5" xfId="19137" xr:uid="{00000000-0005-0000-0000-0000362E0000}"/>
    <cellStyle name="Note 2 3 2 2 2 2 2 6" xfId="19142" xr:uid="{00000000-0005-0000-0000-0000372E0000}"/>
    <cellStyle name="Note 2 3 2 2 2 2 3" xfId="18703" xr:uid="{00000000-0005-0000-0000-0000382E0000}"/>
    <cellStyle name="Note 2 3 2 2 2 2 3 2" xfId="19146" xr:uid="{00000000-0005-0000-0000-0000392E0000}"/>
    <cellStyle name="Note 2 3 2 2 2 2 3 2 2" xfId="19149" xr:uid="{00000000-0005-0000-0000-00003A2E0000}"/>
    <cellStyle name="Note 2 3 2 2 2 2 3 2 3" xfId="19152" xr:uid="{00000000-0005-0000-0000-00003B2E0000}"/>
    <cellStyle name="Note 2 3 2 2 2 2 3 2 4" xfId="19155" xr:uid="{00000000-0005-0000-0000-00003C2E0000}"/>
    <cellStyle name="Note 2 3 2 2 2 2 3 3" xfId="19159" xr:uid="{00000000-0005-0000-0000-00003D2E0000}"/>
    <cellStyle name="Note 2 3 2 2 2 2 3 4" xfId="19164" xr:uid="{00000000-0005-0000-0000-00003E2E0000}"/>
    <cellStyle name="Note 2 3 2 2 2 2 3 5" xfId="19168" xr:uid="{00000000-0005-0000-0000-00003F2E0000}"/>
    <cellStyle name="Note 2 3 2 2 2 2 4" xfId="18708" xr:uid="{00000000-0005-0000-0000-0000402E0000}"/>
    <cellStyle name="Note 2 3 2 2 2 2 4 2" xfId="19174" xr:uid="{00000000-0005-0000-0000-0000412E0000}"/>
    <cellStyle name="Note 2 3 2 2 2 2 4 3" xfId="19179" xr:uid="{00000000-0005-0000-0000-0000422E0000}"/>
    <cellStyle name="Note 2 3 2 2 2 2 4 4" xfId="19186" xr:uid="{00000000-0005-0000-0000-0000432E0000}"/>
    <cellStyle name="Note 2 3 2 2 2 2 5" xfId="18714" xr:uid="{00000000-0005-0000-0000-0000442E0000}"/>
    <cellStyle name="Note 2 3 2 2 2 2 6" xfId="19189" xr:uid="{00000000-0005-0000-0000-0000452E0000}"/>
    <cellStyle name="Note 2 3 2 2 2 2 7" xfId="19195" xr:uid="{00000000-0005-0000-0000-0000462E0000}"/>
    <cellStyle name="Note 2 3 2 2 2 3" xfId="14652" xr:uid="{00000000-0005-0000-0000-0000472E0000}"/>
    <cellStyle name="Note 2 3 2 2 2 3 2" xfId="18733" xr:uid="{00000000-0005-0000-0000-0000482E0000}"/>
    <cellStyle name="Note 2 3 2 2 2 3 2 2" xfId="19200" xr:uid="{00000000-0005-0000-0000-0000492E0000}"/>
    <cellStyle name="Note 2 3 2 2 2 3 2 2 2" xfId="13482" xr:uid="{00000000-0005-0000-0000-00004A2E0000}"/>
    <cellStyle name="Note 2 3 2 2 2 3 2 2 3" xfId="366" xr:uid="{00000000-0005-0000-0000-00004B2E0000}"/>
    <cellStyle name="Note 2 3 2 2 2 3 2 2 4" xfId="2261" xr:uid="{00000000-0005-0000-0000-00004C2E0000}"/>
    <cellStyle name="Note 2 3 2 2 2 3 2 3" xfId="19203" xr:uid="{00000000-0005-0000-0000-00004D2E0000}"/>
    <cellStyle name="Note 2 3 2 2 2 3 2 4" xfId="3874" xr:uid="{00000000-0005-0000-0000-00004E2E0000}"/>
    <cellStyle name="Note 2 3 2 2 2 3 2 5" xfId="3899" xr:uid="{00000000-0005-0000-0000-00004F2E0000}"/>
    <cellStyle name="Note 2 3 2 2 2 3 3" xfId="18735" xr:uid="{00000000-0005-0000-0000-0000502E0000}"/>
    <cellStyle name="Note 2 3 2 2 2 3 3 2" xfId="19206" xr:uid="{00000000-0005-0000-0000-0000512E0000}"/>
    <cellStyle name="Note 2 3 2 2 2 3 3 3" xfId="19209" xr:uid="{00000000-0005-0000-0000-0000522E0000}"/>
    <cellStyle name="Note 2 3 2 2 2 3 3 4" xfId="19212" xr:uid="{00000000-0005-0000-0000-0000532E0000}"/>
    <cellStyle name="Note 2 3 2 2 2 3 4" xfId="18740" xr:uid="{00000000-0005-0000-0000-0000542E0000}"/>
    <cellStyle name="Note 2 3 2 2 2 3 5" xfId="19217" xr:uid="{00000000-0005-0000-0000-0000552E0000}"/>
    <cellStyle name="Note 2 3 2 2 2 3 6" xfId="19222" xr:uid="{00000000-0005-0000-0000-0000562E0000}"/>
    <cellStyle name="Note 2 3 2 2 2 4" xfId="14655" xr:uid="{00000000-0005-0000-0000-0000572E0000}"/>
    <cellStyle name="Note 2 3 2 2 2 4 2" xfId="18747" xr:uid="{00000000-0005-0000-0000-0000582E0000}"/>
    <cellStyle name="Note 2 3 2 2 2 4 2 2" xfId="19226" xr:uid="{00000000-0005-0000-0000-0000592E0000}"/>
    <cellStyle name="Note 2 3 2 2 2 4 2 3" xfId="19229" xr:uid="{00000000-0005-0000-0000-00005A2E0000}"/>
    <cellStyle name="Note 2 3 2 2 2 4 2 4" xfId="19232" xr:uid="{00000000-0005-0000-0000-00005B2E0000}"/>
    <cellStyle name="Note 2 3 2 2 2 4 3" xfId="18750" xr:uid="{00000000-0005-0000-0000-00005C2E0000}"/>
    <cellStyle name="Note 2 3 2 2 2 4 4" xfId="19237" xr:uid="{00000000-0005-0000-0000-00005D2E0000}"/>
    <cellStyle name="Note 2 3 2 2 2 4 5" xfId="19241" xr:uid="{00000000-0005-0000-0000-00005E2E0000}"/>
    <cellStyle name="Note 2 3 2 2 2 5" xfId="19243" xr:uid="{00000000-0005-0000-0000-00005F2E0000}"/>
    <cellStyle name="Note 2 3 2 2 2 5 2" xfId="18758" xr:uid="{00000000-0005-0000-0000-0000602E0000}"/>
    <cellStyle name="Note 2 3 2 2 2 5 3" xfId="19244" xr:uid="{00000000-0005-0000-0000-0000612E0000}"/>
    <cellStyle name="Note 2 3 2 2 2 5 4" xfId="17119" xr:uid="{00000000-0005-0000-0000-0000622E0000}"/>
    <cellStyle name="Note 2 3 2 2 2 6" xfId="223" xr:uid="{00000000-0005-0000-0000-0000632E0000}"/>
    <cellStyle name="Note 2 3 2 2 2 7" xfId="243" xr:uid="{00000000-0005-0000-0000-0000642E0000}"/>
    <cellStyle name="Note 2 3 2 2 2 8" xfId="1034" xr:uid="{00000000-0005-0000-0000-0000652E0000}"/>
    <cellStyle name="Note 2 3 2 2 3" xfId="11323" xr:uid="{00000000-0005-0000-0000-0000662E0000}"/>
    <cellStyle name="Note 2 3 2 2 3 2" xfId="14661" xr:uid="{00000000-0005-0000-0000-0000672E0000}"/>
    <cellStyle name="Note 2 3 2 2 3 2 2" xfId="13891" xr:uid="{00000000-0005-0000-0000-0000682E0000}"/>
    <cellStyle name="Note 2 3 2 2 3 2 2 2" xfId="11293" xr:uid="{00000000-0005-0000-0000-0000692E0000}"/>
    <cellStyle name="Note 2 3 2 2 3 2 2 2 2" xfId="19246" xr:uid="{00000000-0005-0000-0000-00006A2E0000}"/>
    <cellStyle name="Note 2 3 2 2 3 2 2 2 3" xfId="19248" xr:uid="{00000000-0005-0000-0000-00006B2E0000}"/>
    <cellStyle name="Note 2 3 2 2 3 2 2 2 4" xfId="19250" xr:uid="{00000000-0005-0000-0000-00006C2E0000}"/>
    <cellStyle name="Note 2 3 2 2 3 2 2 3" xfId="11297" xr:uid="{00000000-0005-0000-0000-00006D2E0000}"/>
    <cellStyle name="Note 2 3 2 2 3 2 2 4" xfId="19252" xr:uid="{00000000-0005-0000-0000-00006E2E0000}"/>
    <cellStyle name="Note 2 3 2 2 3 2 2 5" xfId="19254" xr:uid="{00000000-0005-0000-0000-00006F2E0000}"/>
    <cellStyle name="Note 2 3 2 2 3 2 3" xfId="18837" xr:uid="{00000000-0005-0000-0000-0000702E0000}"/>
    <cellStyle name="Note 2 3 2 2 3 2 3 2" xfId="19256" xr:uid="{00000000-0005-0000-0000-0000712E0000}"/>
    <cellStyle name="Note 2 3 2 2 3 2 3 3" xfId="19258" xr:uid="{00000000-0005-0000-0000-0000722E0000}"/>
    <cellStyle name="Note 2 3 2 2 3 2 3 4" xfId="19260" xr:uid="{00000000-0005-0000-0000-0000732E0000}"/>
    <cellStyle name="Note 2 3 2 2 3 2 4" xfId="11948" xr:uid="{00000000-0005-0000-0000-0000742E0000}"/>
    <cellStyle name="Note 2 3 2 2 3 2 5" xfId="7224" xr:uid="{00000000-0005-0000-0000-0000752E0000}"/>
    <cellStyle name="Note 2 3 2 2 3 2 6" xfId="7230" xr:uid="{00000000-0005-0000-0000-0000762E0000}"/>
    <cellStyle name="Note 2 3 2 2 3 3" xfId="14664" xr:uid="{00000000-0005-0000-0000-0000772E0000}"/>
    <cellStyle name="Note 2 3 2 2 3 3 2" xfId="1941" xr:uid="{00000000-0005-0000-0000-0000782E0000}"/>
    <cellStyle name="Note 2 3 2 2 3 3 2 2" xfId="19262" xr:uid="{00000000-0005-0000-0000-0000792E0000}"/>
    <cellStyle name="Note 2 3 2 2 3 3 2 3" xfId="19264" xr:uid="{00000000-0005-0000-0000-00007A2E0000}"/>
    <cellStyle name="Note 2 3 2 2 3 3 2 4" xfId="19266" xr:uid="{00000000-0005-0000-0000-00007B2E0000}"/>
    <cellStyle name="Note 2 3 2 2 3 3 3" xfId="1949" xr:uid="{00000000-0005-0000-0000-00007C2E0000}"/>
    <cellStyle name="Note 2 3 2 2 3 3 4" xfId="19269" xr:uid="{00000000-0005-0000-0000-00007D2E0000}"/>
    <cellStyle name="Note 2 3 2 2 3 3 5" xfId="19272" xr:uid="{00000000-0005-0000-0000-00007E2E0000}"/>
    <cellStyle name="Note 2 3 2 2 3 4" xfId="14676" xr:uid="{00000000-0005-0000-0000-00007F2E0000}"/>
    <cellStyle name="Note 2 3 2 2 3 4 2" xfId="19274" xr:uid="{00000000-0005-0000-0000-0000802E0000}"/>
    <cellStyle name="Note 2 3 2 2 3 4 3" xfId="19275" xr:uid="{00000000-0005-0000-0000-0000812E0000}"/>
    <cellStyle name="Note 2 3 2 2 3 4 4" xfId="19278" xr:uid="{00000000-0005-0000-0000-0000822E0000}"/>
    <cellStyle name="Note 2 3 2 2 3 5" xfId="19279" xr:uid="{00000000-0005-0000-0000-0000832E0000}"/>
    <cellStyle name="Note 2 3 2 2 3 6" xfId="19280" xr:uid="{00000000-0005-0000-0000-0000842E0000}"/>
    <cellStyle name="Note 2 3 2 2 3 7" xfId="19281" xr:uid="{00000000-0005-0000-0000-0000852E0000}"/>
    <cellStyle name="Note 2 3 2 2 4" xfId="11327" xr:uid="{00000000-0005-0000-0000-0000862E0000}"/>
    <cellStyle name="Note 2 3 2 2 4 2" xfId="19282" xr:uid="{00000000-0005-0000-0000-0000872E0000}"/>
    <cellStyle name="Note 2 3 2 2 4 2 2" xfId="17510" xr:uid="{00000000-0005-0000-0000-0000882E0000}"/>
    <cellStyle name="Note 2 3 2 2 4 2 2 2" xfId="19284" xr:uid="{00000000-0005-0000-0000-0000892E0000}"/>
    <cellStyle name="Note 2 3 2 2 4 2 2 3" xfId="19286" xr:uid="{00000000-0005-0000-0000-00008A2E0000}"/>
    <cellStyle name="Note 2 3 2 2 4 2 2 4" xfId="19288" xr:uid="{00000000-0005-0000-0000-00008B2E0000}"/>
    <cellStyle name="Note 2 3 2 2 4 2 3" xfId="18943" xr:uid="{00000000-0005-0000-0000-00008C2E0000}"/>
    <cellStyle name="Note 2 3 2 2 4 2 4" xfId="19292" xr:uid="{00000000-0005-0000-0000-00008D2E0000}"/>
    <cellStyle name="Note 2 3 2 2 4 2 5" xfId="19296" xr:uid="{00000000-0005-0000-0000-00008E2E0000}"/>
    <cellStyle name="Note 2 3 2 2 4 3" xfId="19299" xr:uid="{00000000-0005-0000-0000-00008F2E0000}"/>
    <cellStyle name="Note 2 3 2 2 4 3 2" xfId="18946" xr:uid="{00000000-0005-0000-0000-0000902E0000}"/>
    <cellStyle name="Note 2 3 2 2 4 3 3" xfId="19301" xr:uid="{00000000-0005-0000-0000-0000912E0000}"/>
    <cellStyle name="Note 2 3 2 2 4 3 4" xfId="19305" xr:uid="{00000000-0005-0000-0000-0000922E0000}"/>
    <cellStyle name="Note 2 3 2 2 4 4" xfId="19307" xr:uid="{00000000-0005-0000-0000-0000932E0000}"/>
    <cellStyle name="Note 2 3 2 2 4 5" xfId="19309" xr:uid="{00000000-0005-0000-0000-0000942E0000}"/>
    <cellStyle name="Note 2 3 2 2 4 6" xfId="19311" xr:uid="{00000000-0005-0000-0000-0000952E0000}"/>
    <cellStyle name="Note 2 3 2 2 5" xfId="14678" xr:uid="{00000000-0005-0000-0000-0000962E0000}"/>
    <cellStyle name="Note 2 3 2 2 5 2" xfId="19312" xr:uid="{00000000-0005-0000-0000-0000972E0000}"/>
    <cellStyle name="Note 2 3 2 2 5 2 2" xfId="18996" xr:uid="{00000000-0005-0000-0000-0000982E0000}"/>
    <cellStyle name="Note 2 3 2 2 5 2 3" xfId="19313" xr:uid="{00000000-0005-0000-0000-0000992E0000}"/>
    <cellStyle name="Note 2 3 2 2 5 2 4" xfId="473" xr:uid="{00000000-0005-0000-0000-00009A2E0000}"/>
    <cellStyle name="Note 2 3 2 2 5 3" xfId="19315" xr:uid="{00000000-0005-0000-0000-00009B2E0000}"/>
    <cellStyle name="Note 2 3 2 2 5 4" xfId="19317" xr:uid="{00000000-0005-0000-0000-00009C2E0000}"/>
    <cellStyle name="Note 2 3 2 2 5 5" xfId="19319" xr:uid="{00000000-0005-0000-0000-00009D2E0000}"/>
    <cellStyle name="Note 2 3 2 2 6" xfId="14680" xr:uid="{00000000-0005-0000-0000-00009E2E0000}"/>
    <cellStyle name="Note 2 3 2 2 6 2" xfId="19320" xr:uid="{00000000-0005-0000-0000-00009F2E0000}"/>
    <cellStyle name="Note 2 3 2 2 6 3" xfId="19322" xr:uid="{00000000-0005-0000-0000-0000A02E0000}"/>
    <cellStyle name="Note 2 3 2 2 6 4" xfId="19324" xr:uid="{00000000-0005-0000-0000-0000A12E0000}"/>
    <cellStyle name="Note 2 3 2 2 7" xfId="16960" xr:uid="{00000000-0005-0000-0000-0000A22E0000}"/>
    <cellStyle name="Note 2 3 2 2 8" xfId="16972" xr:uid="{00000000-0005-0000-0000-0000A32E0000}"/>
    <cellStyle name="Note 2 3 2 2 9" xfId="16978" xr:uid="{00000000-0005-0000-0000-0000A42E0000}"/>
    <cellStyle name="Note 2 3 2 3" xfId="19325" xr:uid="{00000000-0005-0000-0000-0000A52E0000}"/>
    <cellStyle name="Note 2 3 2 3 2" xfId="19326" xr:uid="{00000000-0005-0000-0000-0000A62E0000}"/>
    <cellStyle name="Note 2 3 2 3 2 2" xfId="14689" xr:uid="{00000000-0005-0000-0000-0000A72E0000}"/>
    <cellStyle name="Note 2 3 2 3 2 2 2" xfId="17957" xr:uid="{00000000-0005-0000-0000-0000A82E0000}"/>
    <cellStyle name="Note 2 3 2 3 2 2 2 2" xfId="17965" xr:uid="{00000000-0005-0000-0000-0000A92E0000}"/>
    <cellStyle name="Note 2 3 2 3 2 2 2 2 2" xfId="18621" xr:uid="{00000000-0005-0000-0000-0000AA2E0000}"/>
    <cellStyle name="Note 2 3 2 3 2 2 2 2 2 2" xfId="11788" xr:uid="{00000000-0005-0000-0000-0000AB2E0000}"/>
    <cellStyle name="Note 2 3 2 3 2 2 2 2 2 3" xfId="8544" xr:uid="{00000000-0005-0000-0000-0000AC2E0000}"/>
    <cellStyle name="Note 2 3 2 3 2 2 2 2 2 4" xfId="8549" xr:uid="{00000000-0005-0000-0000-0000AD2E0000}"/>
    <cellStyle name="Note 2 3 2 3 2 2 2 2 3" xfId="19328" xr:uid="{00000000-0005-0000-0000-0000AE2E0000}"/>
    <cellStyle name="Note 2 3 2 3 2 2 2 2 4" xfId="19334" xr:uid="{00000000-0005-0000-0000-0000AF2E0000}"/>
    <cellStyle name="Note 2 3 2 3 2 2 2 2 5" xfId="8248" xr:uid="{00000000-0005-0000-0000-0000B02E0000}"/>
    <cellStyle name="Note 2 3 2 3 2 2 2 3" xfId="17971" xr:uid="{00000000-0005-0000-0000-0000B12E0000}"/>
    <cellStyle name="Note 2 3 2 3 2 2 2 3 2" xfId="19335" xr:uid="{00000000-0005-0000-0000-0000B22E0000}"/>
    <cellStyle name="Note 2 3 2 3 2 2 2 3 3" xfId="19337" xr:uid="{00000000-0005-0000-0000-0000B32E0000}"/>
    <cellStyle name="Note 2 3 2 3 2 2 2 3 4" xfId="19338" xr:uid="{00000000-0005-0000-0000-0000B42E0000}"/>
    <cellStyle name="Note 2 3 2 3 2 2 2 4" xfId="17973" xr:uid="{00000000-0005-0000-0000-0000B52E0000}"/>
    <cellStyle name="Note 2 3 2 3 2 2 2 5" xfId="19339" xr:uid="{00000000-0005-0000-0000-0000B62E0000}"/>
    <cellStyle name="Note 2 3 2 3 2 2 2 6" xfId="19344" xr:uid="{00000000-0005-0000-0000-0000B72E0000}"/>
    <cellStyle name="Note 2 3 2 3 2 2 3" xfId="17980" xr:uid="{00000000-0005-0000-0000-0000B82E0000}"/>
    <cellStyle name="Note 2 3 2 3 2 2 3 2" xfId="18133" xr:uid="{00000000-0005-0000-0000-0000B92E0000}"/>
    <cellStyle name="Note 2 3 2 3 2 2 3 2 2" xfId="19346" xr:uid="{00000000-0005-0000-0000-0000BA2E0000}"/>
    <cellStyle name="Note 2 3 2 3 2 2 3 2 3" xfId="19348" xr:uid="{00000000-0005-0000-0000-0000BB2E0000}"/>
    <cellStyle name="Note 2 3 2 3 2 2 3 2 4" xfId="19349" xr:uid="{00000000-0005-0000-0000-0000BC2E0000}"/>
    <cellStyle name="Note 2 3 2 3 2 2 3 3" xfId="19352" xr:uid="{00000000-0005-0000-0000-0000BD2E0000}"/>
    <cellStyle name="Note 2 3 2 3 2 2 3 4" xfId="19356" xr:uid="{00000000-0005-0000-0000-0000BE2E0000}"/>
    <cellStyle name="Note 2 3 2 3 2 2 3 5" xfId="19357" xr:uid="{00000000-0005-0000-0000-0000BF2E0000}"/>
    <cellStyle name="Note 2 3 2 3 2 2 4" xfId="17991" xr:uid="{00000000-0005-0000-0000-0000C02E0000}"/>
    <cellStyle name="Note 2 3 2 3 2 2 4 2" xfId="19361" xr:uid="{00000000-0005-0000-0000-0000C12E0000}"/>
    <cellStyle name="Note 2 3 2 3 2 2 4 3" xfId="19364" xr:uid="{00000000-0005-0000-0000-0000C22E0000}"/>
    <cellStyle name="Note 2 3 2 3 2 2 4 4" xfId="19369" xr:uid="{00000000-0005-0000-0000-0000C32E0000}"/>
    <cellStyle name="Note 2 3 2 3 2 2 5" xfId="17999" xr:uid="{00000000-0005-0000-0000-0000C42E0000}"/>
    <cellStyle name="Note 2 3 2 3 2 2 6" xfId="18510" xr:uid="{00000000-0005-0000-0000-0000C52E0000}"/>
    <cellStyle name="Note 2 3 2 3 2 2 7" xfId="18518" xr:uid="{00000000-0005-0000-0000-0000C62E0000}"/>
    <cellStyle name="Note 2 3 2 3 2 3" xfId="14690" xr:uid="{00000000-0005-0000-0000-0000C72E0000}"/>
    <cellStyle name="Note 2 3 2 3 2 3 2" xfId="18019" xr:uid="{00000000-0005-0000-0000-0000C82E0000}"/>
    <cellStyle name="Note 2 3 2 3 2 3 2 2" xfId="18147" xr:uid="{00000000-0005-0000-0000-0000C92E0000}"/>
    <cellStyle name="Note 2 3 2 3 2 3 2 2 2" xfId="19120" xr:uid="{00000000-0005-0000-0000-0000CA2E0000}"/>
    <cellStyle name="Note 2 3 2 3 2 3 2 2 3" xfId="6964" xr:uid="{00000000-0005-0000-0000-0000CB2E0000}"/>
    <cellStyle name="Note 2 3 2 3 2 3 2 2 4" xfId="6975" xr:uid="{00000000-0005-0000-0000-0000CC2E0000}"/>
    <cellStyle name="Note 2 3 2 3 2 3 2 3" xfId="19371" xr:uid="{00000000-0005-0000-0000-0000CD2E0000}"/>
    <cellStyle name="Note 2 3 2 3 2 3 2 4" xfId="3786" xr:uid="{00000000-0005-0000-0000-0000CE2E0000}"/>
    <cellStyle name="Note 2 3 2 3 2 3 2 5" xfId="3794" xr:uid="{00000000-0005-0000-0000-0000CF2E0000}"/>
    <cellStyle name="Note 2 3 2 3 2 3 3" xfId="18024" xr:uid="{00000000-0005-0000-0000-0000D02E0000}"/>
    <cellStyle name="Note 2 3 2 3 2 3 3 2" xfId="19373" xr:uid="{00000000-0005-0000-0000-0000D12E0000}"/>
    <cellStyle name="Note 2 3 2 3 2 3 3 3" xfId="19374" xr:uid="{00000000-0005-0000-0000-0000D22E0000}"/>
    <cellStyle name="Note 2 3 2 3 2 3 3 4" xfId="19375" xr:uid="{00000000-0005-0000-0000-0000D32E0000}"/>
    <cellStyle name="Note 2 3 2 3 2 3 4" xfId="18034" xr:uid="{00000000-0005-0000-0000-0000D42E0000}"/>
    <cellStyle name="Note 2 3 2 3 2 3 5" xfId="19380" xr:uid="{00000000-0005-0000-0000-0000D52E0000}"/>
    <cellStyle name="Note 2 3 2 3 2 3 6" xfId="19384" xr:uid="{00000000-0005-0000-0000-0000D62E0000}"/>
    <cellStyle name="Note 2 3 2 3 2 4" xfId="19386" xr:uid="{00000000-0005-0000-0000-0000D72E0000}"/>
    <cellStyle name="Note 2 3 2 3 2 4 2" xfId="18064" xr:uid="{00000000-0005-0000-0000-0000D82E0000}"/>
    <cellStyle name="Note 2 3 2 3 2 4 2 2" xfId="19391" xr:uid="{00000000-0005-0000-0000-0000D92E0000}"/>
    <cellStyle name="Note 2 3 2 3 2 4 2 3" xfId="19392" xr:uid="{00000000-0005-0000-0000-0000DA2E0000}"/>
    <cellStyle name="Note 2 3 2 3 2 4 2 4" xfId="19393" xr:uid="{00000000-0005-0000-0000-0000DB2E0000}"/>
    <cellStyle name="Note 2 3 2 3 2 4 3" xfId="18070" xr:uid="{00000000-0005-0000-0000-0000DC2E0000}"/>
    <cellStyle name="Note 2 3 2 3 2 4 4" xfId="19395" xr:uid="{00000000-0005-0000-0000-0000DD2E0000}"/>
    <cellStyle name="Note 2 3 2 3 2 4 5" xfId="19401" xr:uid="{00000000-0005-0000-0000-0000DE2E0000}"/>
    <cellStyle name="Note 2 3 2 3 2 5" xfId="16985" xr:uid="{00000000-0005-0000-0000-0000DF2E0000}"/>
    <cellStyle name="Note 2 3 2 3 2 5 2" xfId="16991" xr:uid="{00000000-0005-0000-0000-0000E02E0000}"/>
    <cellStyle name="Note 2 3 2 3 2 5 3" xfId="16996" xr:uid="{00000000-0005-0000-0000-0000E12E0000}"/>
    <cellStyle name="Note 2 3 2 3 2 5 4" xfId="17000" xr:uid="{00000000-0005-0000-0000-0000E22E0000}"/>
    <cellStyle name="Note 2 3 2 3 2 6" xfId="17004" xr:uid="{00000000-0005-0000-0000-0000E32E0000}"/>
    <cellStyle name="Note 2 3 2 3 2 7" xfId="17007" xr:uid="{00000000-0005-0000-0000-0000E42E0000}"/>
    <cellStyle name="Note 2 3 2 3 2 8" xfId="17009" xr:uid="{00000000-0005-0000-0000-0000E52E0000}"/>
    <cellStyle name="Note 2 3 2 3 3" xfId="14684" xr:uid="{00000000-0005-0000-0000-0000E62E0000}"/>
    <cellStyle name="Note 2 3 2 3 3 2" xfId="19404" xr:uid="{00000000-0005-0000-0000-0000E72E0000}"/>
    <cellStyle name="Note 2 3 2 3 3 2 2" xfId="18094" xr:uid="{00000000-0005-0000-0000-0000E82E0000}"/>
    <cellStyle name="Note 2 3 2 3 3 2 2 2" xfId="18431" xr:uid="{00000000-0005-0000-0000-0000E92E0000}"/>
    <cellStyle name="Note 2 3 2 3 3 2 2 2 2" xfId="19408" xr:uid="{00000000-0005-0000-0000-0000EA2E0000}"/>
    <cellStyle name="Note 2 3 2 3 3 2 2 2 3" xfId="19411" xr:uid="{00000000-0005-0000-0000-0000EB2E0000}"/>
    <cellStyle name="Note 2 3 2 3 3 2 2 2 4" xfId="19413" xr:uid="{00000000-0005-0000-0000-0000EC2E0000}"/>
    <cellStyle name="Note 2 3 2 3 3 2 2 3" xfId="18436" xr:uid="{00000000-0005-0000-0000-0000ED2E0000}"/>
    <cellStyle name="Note 2 3 2 3 3 2 2 4" xfId="19417" xr:uid="{00000000-0005-0000-0000-0000EE2E0000}"/>
    <cellStyle name="Note 2 3 2 3 3 2 2 5" xfId="19420" xr:uid="{00000000-0005-0000-0000-0000EF2E0000}"/>
    <cellStyle name="Note 2 3 2 3 3 2 3" xfId="18099" xr:uid="{00000000-0005-0000-0000-0000F02E0000}"/>
    <cellStyle name="Note 2 3 2 3 3 2 3 2" xfId="2323" xr:uid="{00000000-0005-0000-0000-0000F12E0000}"/>
    <cellStyle name="Note 2 3 2 3 3 2 3 3" xfId="19423" xr:uid="{00000000-0005-0000-0000-0000F22E0000}"/>
    <cellStyle name="Note 2 3 2 3 3 2 3 4" xfId="19425" xr:uid="{00000000-0005-0000-0000-0000F32E0000}"/>
    <cellStyle name="Note 2 3 2 3 3 2 4" xfId="18109" xr:uid="{00000000-0005-0000-0000-0000F42E0000}"/>
    <cellStyle name="Note 2 3 2 3 3 2 5" xfId="19430" xr:uid="{00000000-0005-0000-0000-0000F52E0000}"/>
    <cellStyle name="Note 2 3 2 3 3 2 6" xfId="19433" xr:uid="{00000000-0005-0000-0000-0000F62E0000}"/>
    <cellStyle name="Note 2 3 2 3 3 3" xfId="19439" xr:uid="{00000000-0005-0000-0000-0000F72E0000}"/>
    <cellStyle name="Note 2 3 2 3 3 3 2" xfId="2001" xr:uid="{00000000-0005-0000-0000-0000F82E0000}"/>
    <cellStyle name="Note 2 3 2 3 3 3 2 2" xfId="18472" xr:uid="{00000000-0005-0000-0000-0000F92E0000}"/>
    <cellStyle name="Note 2 3 2 3 3 3 2 3" xfId="19442" xr:uid="{00000000-0005-0000-0000-0000FA2E0000}"/>
    <cellStyle name="Note 2 3 2 3 3 3 2 4" xfId="19444" xr:uid="{00000000-0005-0000-0000-0000FB2E0000}"/>
    <cellStyle name="Note 2 3 2 3 3 3 3" xfId="2020" xr:uid="{00000000-0005-0000-0000-0000FC2E0000}"/>
    <cellStyle name="Note 2 3 2 3 3 3 4" xfId="19448" xr:uid="{00000000-0005-0000-0000-0000FD2E0000}"/>
    <cellStyle name="Note 2 3 2 3 3 3 5" xfId="19451" xr:uid="{00000000-0005-0000-0000-0000FE2E0000}"/>
    <cellStyle name="Note 2 3 2 3 3 4" xfId="19452" xr:uid="{00000000-0005-0000-0000-0000FF2E0000}"/>
    <cellStyle name="Note 2 3 2 3 3 4 2" xfId="18118" xr:uid="{00000000-0005-0000-0000-0000002F0000}"/>
    <cellStyle name="Note 2 3 2 3 3 4 3" xfId="19456" xr:uid="{00000000-0005-0000-0000-0000012F0000}"/>
    <cellStyle name="Note 2 3 2 3 3 4 4" xfId="19458" xr:uid="{00000000-0005-0000-0000-0000022F0000}"/>
    <cellStyle name="Note 2 3 2 3 3 5" xfId="17012" xr:uid="{00000000-0005-0000-0000-0000032F0000}"/>
    <cellStyle name="Note 2 3 2 3 3 6" xfId="17015" xr:uid="{00000000-0005-0000-0000-0000042F0000}"/>
    <cellStyle name="Note 2 3 2 3 3 7" xfId="17017" xr:uid="{00000000-0005-0000-0000-0000052F0000}"/>
    <cellStyle name="Note 2 3 2 3 4" xfId="14687" xr:uid="{00000000-0005-0000-0000-0000062F0000}"/>
    <cellStyle name="Note 2 3 2 3 4 2" xfId="17960" xr:uid="{00000000-0005-0000-0000-0000072F0000}"/>
    <cellStyle name="Note 2 3 2 3 4 2 2" xfId="17962" xr:uid="{00000000-0005-0000-0000-0000082F0000}"/>
    <cellStyle name="Note 2 3 2 3 4 2 2 2" xfId="18625" xr:uid="{00000000-0005-0000-0000-0000092F0000}"/>
    <cellStyle name="Note 2 3 2 3 4 2 2 3" xfId="19331" xr:uid="{00000000-0005-0000-0000-00000A2F0000}"/>
    <cellStyle name="Note 2 3 2 3 4 2 2 4" xfId="19333" xr:uid="{00000000-0005-0000-0000-00000B2F0000}"/>
    <cellStyle name="Note 2 3 2 3 4 2 3" xfId="17968" xr:uid="{00000000-0005-0000-0000-00000C2F0000}"/>
    <cellStyle name="Note 2 3 2 3 4 2 4" xfId="17978" xr:uid="{00000000-0005-0000-0000-00000D2F0000}"/>
    <cellStyle name="Note 2 3 2 3 4 2 5" xfId="19342" xr:uid="{00000000-0005-0000-0000-00000E2F0000}"/>
    <cellStyle name="Note 2 3 2 3 4 3" xfId="17984" xr:uid="{00000000-0005-0000-0000-00000F2F0000}"/>
    <cellStyle name="Note 2 3 2 3 4 3 2" xfId="18130" xr:uid="{00000000-0005-0000-0000-0000102F0000}"/>
    <cellStyle name="Note 2 3 2 3 4 3 3" xfId="19351" xr:uid="{00000000-0005-0000-0000-0000112F0000}"/>
    <cellStyle name="Note 2 3 2 3 4 3 4" xfId="19355" xr:uid="{00000000-0005-0000-0000-0000122F0000}"/>
    <cellStyle name="Note 2 3 2 3 4 4" xfId="17987" xr:uid="{00000000-0005-0000-0000-0000132F0000}"/>
    <cellStyle name="Note 2 3 2 3 4 5" xfId="17995" xr:uid="{00000000-0005-0000-0000-0000142F0000}"/>
    <cellStyle name="Note 2 3 2 3 4 6" xfId="18514" xr:uid="{00000000-0005-0000-0000-0000152F0000}"/>
    <cellStyle name="Note 2 3 2 3 5" xfId="14693" xr:uid="{00000000-0005-0000-0000-0000162F0000}"/>
    <cellStyle name="Note 2 3 2 3 5 2" xfId="18022" xr:uid="{00000000-0005-0000-0000-0000172F0000}"/>
    <cellStyle name="Note 2 3 2 3 5 2 2" xfId="18144" xr:uid="{00000000-0005-0000-0000-0000182F0000}"/>
    <cellStyle name="Note 2 3 2 3 5 2 3" xfId="19370" xr:uid="{00000000-0005-0000-0000-0000192F0000}"/>
    <cellStyle name="Note 2 3 2 3 5 2 4" xfId="3784" xr:uid="{00000000-0005-0000-0000-00001A2F0000}"/>
    <cellStyle name="Note 2 3 2 3 5 3" xfId="18028" xr:uid="{00000000-0005-0000-0000-00001B2F0000}"/>
    <cellStyle name="Note 2 3 2 3 5 4" xfId="18031" xr:uid="{00000000-0005-0000-0000-00001C2F0000}"/>
    <cellStyle name="Note 2 3 2 3 5 5" xfId="19377" xr:uid="{00000000-0005-0000-0000-00001D2F0000}"/>
    <cellStyle name="Note 2 3 2 3 6" xfId="19389" xr:uid="{00000000-0005-0000-0000-00001E2F0000}"/>
    <cellStyle name="Note 2 3 2 3 6 2" xfId="18068" xr:uid="{00000000-0005-0000-0000-00001F2F0000}"/>
    <cellStyle name="Note 2 3 2 3 6 3" xfId="18074" xr:uid="{00000000-0005-0000-0000-0000202F0000}"/>
    <cellStyle name="Note 2 3 2 3 6 4" xfId="19397" xr:uid="{00000000-0005-0000-0000-0000212F0000}"/>
    <cellStyle name="Note 2 3 2 3 7" xfId="16988" xr:uid="{00000000-0005-0000-0000-0000222F0000}"/>
    <cellStyle name="Note 2 3 2 3 8" xfId="17002" xr:uid="{00000000-0005-0000-0000-0000232F0000}"/>
    <cellStyle name="Note 2 3 2 3 9" xfId="17005" xr:uid="{00000000-0005-0000-0000-0000242F0000}"/>
    <cellStyle name="Note 2 3 2 4" xfId="19459" xr:uid="{00000000-0005-0000-0000-0000252F0000}"/>
    <cellStyle name="Note 2 3 2 4 2" xfId="19460" xr:uid="{00000000-0005-0000-0000-0000262F0000}"/>
    <cellStyle name="Note 2 3 2 4 2 2" xfId="19463" xr:uid="{00000000-0005-0000-0000-0000272F0000}"/>
    <cellStyle name="Note 2 3 2 4 2 2 2" xfId="11986" xr:uid="{00000000-0005-0000-0000-0000282F0000}"/>
    <cellStyle name="Note 2 3 2 4 2 2 2 2" xfId="18215" xr:uid="{00000000-0005-0000-0000-0000292F0000}"/>
    <cellStyle name="Note 2 3 2 4 2 2 2 2 2" xfId="19418" xr:uid="{00000000-0005-0000-0000-00002A2F0000}"/>
    <cellStyle name="Note 2 3 2 4 2 2 2 2 3" xfId="19421" xr:uid="{00000000-0005-0000-0000-00002B2F0000}"/>
    <cellStyle name="Note 2 3 2 4 2 2 2 2 4" xfId="5464" xr:uid="{00000000-0005-0000-0000-00002C2F0000}"/>
    <cellStyle name="Note 2 3 2 4 2 2 2 3" xfId="18219" xr:uid="{00000000-0005-0000-0000-00002D2F0000}"/>
    <cellStyle name="Note 2 3 2 4 2 2 2 4" xfId="18224" xr:uid="{00000000-0005-0000-0000-00002E2F0000}"/>
    <cellStyle name="Note 2 3 2 4 2 2 2 5" xfId="19465" xr:uid="{00000000-0005-0000-0000-00002F2F0000}"/>
    <cellStyle name="Note 2 3 2 4 2 2 3" xfId="4361" xr:uid="{00000000-0005-0000-0000-0000302F0000}"/>
    <cellStyle name="Note 2 3 2 4 2 2 3 2" xfId="4381" xr:uid="{00000000-0005-0000-0000-0000312F0000}"/>
    <cellStyle name="Note 2 3 2 4 2 2 3 3" xfId="1824" xr:uid="{00000000-0005-0000-0000-0000322F0000}"/>
    <cellStyle name="Note 2 3 2 4 2 2 3 4" xfId="975" xr:uid="{00000000-0005-0000-0000-0000332F0000}"/>
    <cellStyle name="Note 2 3 2 4 2 2 4" xfId="4391" xr:uid="{00000000-0005-0000-0000-0000342F0000}"/>
    <cellStyle name="Note 2 3 2 4 2 2 5" xfId="4415" xr:uid="{00000000-0005-0000-0000-0000352F0000}"/>
    <cellStyle name="Note 2 3 2 4 2 2 6" xfId="4437" xr:uid="{00000000-0005-0000-0000-0000362F0000}"/>
    <cellStyle name="Note 2 3 2 4 2 3" xfId="19468" xr:uid="{00000000-0005-0000-0000-0000372F0000}"/>
    <cellStyle name="Note 2 3 2 4 2 3 2" xfId="18263" xr:uid="{00000000-0005-0000-0000-0000382F0000}"/>
    <cellStyle name="Note 2 3 2 4 2 3 2 2" xfId="19469" xr:uid="{00000000-0005-0000-0000-0000392F0000}"/>
    <cellStyle name="Note 2 3 2 4 2 3 2 3" xfId="19470" xr:uid="{00000000-0005-0000-0000-00003A2F0000}"/>
    <cellStyle name="Note 2 3 2 4 2 3 2 4" xfId="19472" xr:uid="{00000000-0005-0000-0000-00003B2F0000}"/>
    <cellStyle name="Note 2 3 2 4 2 3 3" xfId="56" xr:uid="{00000000-0005-0000-0000-00003C2F0000}"/>
    <cellStyle name="Note 2 3 2 4 2 3 4" xfId="4456" xr:uid="{00000000-0005-0000-0000-00003D2F0000}"/>
    <cellStyle name="Note 2 3 2 4 2 3 5" xfId="4471" xr:uid="{00000000-0005-0000-0000-00003E2F0000}"/>
    <cellStyle name="Note 2 3 2 4 2 4" xfId="19474" xr:uid="{00000000-0005-0000-0000-00003F2F0000}"/>
    <cellStyle name="Note 2 3 2 4 2 4 2" xfId="18295" xr:uid="{00000000-0005-0000-0000-0000402F0000}"/>
    <cellStyle name="Note 2 3 2 4 2 4 3" xfId="18300" xr:uid="{00000000-0005-0000-0000-0000412F0000}"/>
    <cellStyle name="Note 2 3 2 4 2 4 4" xfId="19476" xr:uid="{00000000-0005-0000-0000-0000422F0000}"/>
    <cellStyle name="Note 2 3 2 4 2 5" xfId="17036" xr:uid="{00000000-0005-0000-0000-0000432F0000}"/>
    <cellStyle name="Note 2 3 2 4 2 6" xfId="17040" xr:uid="{00000000-0005-0000-0000-0000442F0000}"/>
    <cellStyle name="Note 2 3 2 4 2 7" xfId="17044" xr:uid="{00000000-0005-0000-0000-0000452F0000}"/>
    <cellStyle name="Note 2 3 2 4 3" xfId="19477" xr:uid="{00000000-0005-0000-0000-0000462F0000}"/>
    <cellStyle name="Note 2 3 2 4 3 2" xfId="19480" xr:uid="{00000000-0005-0000-0000-0000472F0000}"/>
    <cellStyle name="Note 2 3 2 4 3 2 2" xfId="18369" xr:uid="{00000000-0005-0000-0000-0000482F0000}"/>
    <cellStyle name="Note 2 3 2 4 3 2 2 2" xfId="19483" xr:uid="{00000000-0005-0000-0000-0000492F0000}"/>
    <cellStyle name="Note 2 3 2 4 3 2 2 3" xfId="19486" xr:uid="{00000000-0005-0000-0000-00004A2F0000}"/>
    <cellStyle name="Note 2 3 2 4 3 2 2 4" xfId="19491" xr:uid="{00000000-0005-0000-0000-00004B2F0000}"/>
    <cellStyle name="Note 2 3 2 4 3 2 3" xfId="4021" xr:uid="{00000000-0005-0000-0000-00004C2F0000}"/>
    <cellStyle name="Note 2 3 2 4 3 2 4" xfId="4043" xr:uid="{00000000-0005-0000-0000-00004D2F0000}"/>
    <cellStyle name="Note 2 3 2 4 3 2 5" xfId="4061" xr:uid="{00000000-0005-0000-0000-00004E2F0000}"/>
    <cellStyle name="Note 2 3 2 4 3 3" xfId="19493" xr:uid="{00000000-0005-0000-0000-00004F2F0000}"/>
    <cellStyle name="Note 2 3 2 4 3 3 2" xfId="1193" xr:uid="{00000000-0005-0000-0000-0000502F0000}"/>
    <cellStyle name="Note 2 3 2 4 3 3 3" xfId="1305" xr:uid="{00000000-0005-0000-0000-0000512F0000}"/>
    <cellStyle name="Note 2 3 2 4 3 3 4" xfId="19495" xr:uid="{00000000-0005-0000-0000-0000522F0000}"/>
    <cellStyle name="Note 2 3 2 4 3 4" xfId="19497" xr:uid="{00000000-0005-0000-0000-0000532F0000}"/>
    <cellStyle name="Note 2 3 2 4 3 5" xfId="19498" xr:uid="{00000000-0005-0000-0000-0000542F0000}"/>
    <cellStyle name="Note 2 3 2 4 3 6" xfId="19500" xr:uid="{00000000-0005-0000-0000-0000552F0000}"/>
    <cellStyle name="Note 2 3 2 4 4" xfId="19402" xr:uid="{00000000-0005-0000-0000-0000562F0000}"/>
    <cellStyle name="Note 2 3 2 4 4 2" xfId="18097" xr:uid="{00000000-0005-0000-0000-0000572F0000}"/>
    <cellStyle name="Note 2 3 2 4 4 2 2" xfId="18427" xr:uid="{00000000-0005-0000-0000-0000582F0000}"/>
    <cellStyle name="Note 2 3 2 4 4 2 3" xfId="18432" xr:uid="{00000000-0005-0000-0000-0000592F0000}"/>
    <cellStyle name="Note 2 3 2 4 4 2 4" xfId="19415" xr:uid="{00000000-0005-0000-0000-00005A2F0000}"/>
    <cellStyle name="Note 2 3 2 4 4 3" xfId="18103" xr:uid="{00000000-0005-0000-0000-00005B2F0000}"/>
    <cellStyle name="Note 2 3 2 4 4 4" xfId="18106" xr:uid="{00000000-0005-0000-0000-00005C2F0000}"/>
    <cellStyle name="Note 2 3 2 4 4 5" xfId="19427" xr:uid="{00000000-0005-0000-0000-00005D2F0000}"/>
    <cellStyle name="Note 2 3 2 4 5" xfId="19437" xr:uid="{00000000-0005-0000-0000-00005E2F0000}"/>
    <cellStyle name="Note 2 3 2 4 5 2" xfId="2003" xr:uid="{00000000-0005-0000-0000-00005F2F0000}"/>
    <cellStyle name="Note 2 3 2 4 5 3" xfId="2018" xr:uid="{00000000-0005-0000-0000-0000602F0000}"/>
    <cellStyle name="Note 2 3 2 4 5 4" xfId="19445" xr:uid="{00000000-0005-0000-0000-0000612F0000}"/>
    <cellStyle name="Note 2 3 2 4 6" xfId="19454" xr:uid="{00000000-0005-0000-0000-0000622F0000}"/>
    <cellStyle name="Note 2 3 2 4 7" xfId="17010" xr:uid="{00000000-0005-0000-0000-0000632F0000}"/>
    <cellStyle name="Note 2 3 2 4 8" xfId="17013" xr:uid="{00000000-0005-0000-0000-0000642F0000}"/>
    <cellStyle name="Note 2 3 2 5" xfId="17885" xr:uid="{00000000-0005-0000-0000-0000652F0000}"/>
    <cellStyle name="Note 2 3 2 5 2" xfId="17887" xr:uid="{00000000-0005-0000-0000-0000662F0000}"/>
    <cellStyle name="Note 2 3 2 5 2 2" xfId="17890" xr:uid="{00000000-0005-0000-0000-0000672F0000}"/>
    <cellStyle name="Note 2 3 2 5 2 2 2" xfId="12271" xr:uid="{00000000-0005-0000-0000-0000682F0000}"/>
    <cellStyle name="Note 2 3 2 5 2 2 2 2" xfId="17896" xr:uid="{00000000-0005-0000-0000-0000692F0000}"/>
    <cellStyle name="Note 2 3 2 5 2 2 2 3" xfId="17902" xr:uid="{00000000-0005-0000-0000-00006A2F0000}"/>
    <cellStyle name="Note 2 3 2 5 2 2 2 4" xfId="17907" xr:uid="{00000000-0005-0000-0000-00006B2F0000}"/>
    <cellStyle name="Note 2 3 2 5 2 2 3" xfId="6529" xr:uid="{00000000-0005-0000-0000-00006C2F0000}"/>
    <cellStyle name="Note 2 3 2 5 2 2 4" xfId="6141" xr:uid="{00000000-0005-0000-0000-00006D2F0000}"/>
    <cellStyle name="Note 2 3 2 5 2 2 5" xfId="6157" xr:uid="{00000000-0005-0000-0000-00006E2F0000}"/>
    <cellStyle name="Note 2 3 2 5 2 3" xfId="17913" xr:uid="{00000000-0005-0000-0000-00006F2F0000}"/>
    <cellStyle name="Note 2 3 2 5 2 3 2" xfId="17870" xr:uid="{00000000-0005-0000-0000-0000702F0000}"/>
    <cellStyle name="Note 2 3 2 5 2 3 3" xfId="6896" xr:uid="{00000000-0005-0000-0000-0000712F0000}"/>
    <cellStyle name="Note 2 3 2 5 2 3 4" xfId="6192" xr:uid="{00000000-0005-0000-0000-0000722F0000}"/>
    <cellStyle name="Note 2 3 2 5 2 4" xfId="17919" xr:uid="{00000000-0005-0000-0000-0000732F0000}"/>
    <cellStyle name="Note 2 3 2 5 2 5" xfId="17927" xr:uid="{00000000-0005-0000-0000-0000742F0000}"/>
    <cellStyle name="Note 2 3 2 5 2 6" xfId="17930" xr:uid="{00000000-0005-0000-0000-0000752F0000}"/>
    <cellStyle name="Note 2 3 2 5 3" xfId="17933" xr:uid="{00000000-0005-0000-0000-0000762F0000}"/>
    <cellStyle name="Note 2 3 2 5 3 2" xfId="17936" xr:uid="{00000000-0005-0000-0000-0000772F0000}"/>
    <cellStyle name="Note 2 3 2 5 3 2 2" xfId="17941" xr:uid="{00000000-0005-0000-0000-0000782F0000}"/>
    <cellStyle name="Note 2 3 2 5 3 2 3" xfId="4291" xr:uid="{00000000-0005-0000-0000-0000792F0000}"/>
    <cellStyle name="Note 2 3 2 5 3 2 4" xfId="4308" xr:uid="{00000000-0005-0000-0000-00007A2F0000}"/>
    <cellStyle name="Note 2 3 2 5 3 3" xfId="17946" xr:uid="{00000000-0005-0000-0000-00007B2F0000}"/>
    <cellStyle name="Note 2 3 2 5 3 4" xfId="17953" xr:uid="{00000000-0005-0000-0000-00007C2F0000}"/>
    <cellStyle name="Note 2 3 2 5 3 5" xfId="17954" xr:uid="{00000000-0005-0000-0000-00007D2F0000}"/>
    <cellStyle name="Note 2 3 2 5 4" xfId="17958" xr:uid="{00000000-0005-0000-0000-00007E2F0000}"/>
    <cellStyle name="Note 2 3 2 5 4 2" xfId="17966" xr:uid="{00000000-0005-0000-0000-00007F2F0000}"/>
    <cellStyle name="Note 2 3 2 5 4 3" xfId="17972" xr:uid="{00000000-0005-0000-0000-0000802F0000}"/>
    <cellStyle name="Note 2 3 2 5 4 4" xfId="17974" xr:uid="{00000000-0005-0000-0000-0000812F0000}"/>
    <cellStyle name="Note 2 3 2 5 5" xfId="17981" xr:uid="{00000000-0005-0000-0000-0000822F0000}"/>
    <cellStyle name="Note 2 3 2 5 6" xfId="17992" xr:uid="{00000000-0005-0000-0000-0000832F0000}"/>
    <cellStyle name="Note 2 3 2 5 7" xfId="18000" xr:uid="{00000000-0005-0000-0000-0000842F0000}"/>
    <cellStyle name="Note 2 3 2 6" xfId="18001" xr:uid="{00000000-0005-0000-0000-0000852F0000}"/>
    <cellStyle name="Note 2 3 2 6 2" xfId="18003" xr:uid="{00000000-0005-0000-0000-0000862F0000}"/>
    <cellStyle name="Note 2 3 2 6 2 2" xfId="6563" xr:uid="{00000000-0005-0000-0000-0000872F0000}"/>
    <cellStyle name="Note 2 3 2 6 2 2 2" xfId="16341" xr:uid="{00000000-0005-0000-0000-0000882F0000}"/>
    <cellStyle name="Note 2 3 2 6 2 2 3" xfId="8072" xr:uid="{00000000-0005-0000-0000-0000892F0000}"/>
    <cellStyle name="Note 2 3 2 6 2 2 4" xfId="5575" xr:uid="{00000000-0005-0000-0000-00008A2F0000}"/>
    <cellStyle name="Note 2 3 2 6 2 3" xfId="8356" xr:uid="{00000000-0005-0000-0000-00008B2F0000}"/>
    <cellStyle name="Note 2 3 2 6 2 4" xfId="8363" xr:uid="{00000000-0005-0000-0000-00008C2F0000}"/>
    <cellStyle name="Note 2 3 2 6 2 5" xfId="18005" xr:uid="{00000000-0005-0000-0000-00008D2F0000}"/>
    <cellStyle name="Note 2 3 2 6 3" xfId="18008" xr:uid="{00000000-0005-0000-0000-00008E2F0000}"/>
    <cellStyle name="Note 2 3 2 6 3 2" xfId="18012" xr:uid="{00000000-0005-0000-0000-00008F2F0000}"/>
    <cellStyle name="Note 2 3 2 6 3 3" xfId="18015" xr:uid="{00000000-0005-0000-0000-0000902F0000}"/>
    <cellStyle name="Note 2 3 2 6 3 4" xfId="18016" xr:uid="{00000000-0005-0000-0000-0000912F0000}"/>
    <cellStyle name="Note 2 3 2 6 4" xfId="18020" xr:uid="{00000000-0005-0000-0000-0000922F0000}"/>
    <cellStyle name="Note 2 3 2 6 5" xfId="18025" xr:uid="{00000000-0005-0000-0000-0000932F0000}"/>
    <cellStyle name="Note 2 3 2 6 6" xfId="18035" xr:uid="{00000000-0005-0000-0000-0000942F0000}"/>
    <cellStyle name="Note 2 3 2 7" xfId="18036" xr:uid="{00000000-0005-0000-0000-0000952F0000}"/>
    <cellStyle name="Note 2 3 2 7 2" xfId="18040" xr:uid="{00000000-0005-0000-0000-0000962F0000}"/>
    <cellStyle name="Note 2 3 2 7 2 2" xfId="18044" xr:uid="{00000000-0005-0000-0000-0000972F0000}"/>
    <cellStyle name="Note 2 3 2 7 2 3" xfId="18050" xr:uid="{00000000-0005-0000-0000-0000982F0000}"/>
    <cellStyle name="Note 2 3 2 7 2 4" xfId="18056" xr:uid="{00000000-0005-0000-0000-0000992F0000}"/>
    <cellStyle name="Note 2 3 2 7 3" xfId="18060" xr:uid="{00000000-0005-0000-0000-00009A2F0000}"/>
    <cellStyle name="Note 2 3 2 7 4" xfId="18065" xr:uid="{00000000-0005-0000-0000-00009B2F0000}"/>
    <cellStyle name="Note 2 3 2 7 5" xfId="18071" xr:uid="{00000000-0005-0000-0000-00009C2F0000}"/>
    <cellStyle name="Note 2 3 2 8" xfId="18075" xr:uid="{00000000-0005-0000-0000-00009D2F0000}"/>
    <cellStyle name="Note 2 3 2 8 2" xfId="18079" xr:uid="{00000000-0005-0000-0000-00009E2F0000}"/>
    <cellStyle name="Note 2 3 2 8 3" xfId="18083" xr:uid="{00000000-0005-0000-0000-00009F2F0000}"/>
    <cellStyle name="Note 2 3 2 8 4" xfId="16992" xr:uid="{00000000-0005-0000-0000-0000A02F0000}"/>
    <cellStyle name="Note 2 3 2 9" xfId="7813" xr:uid="{00000000-0005-0000-0000-0000A12F0000}"/>
    <cellStyle name="Note 2 3 3" xfId="11334" xr:uid="{00000000-0005-0000-0000-0000A22F0000}"/>
    <cellStyle name="Note 2 3 3 2" xfId="2141" xr:uid="{00000000-0005-0000-0000-0000A32F0000}"/>
    <cellStyle name="Note 2 3 3 2 2" xfId="19502" xr:uid="{00000000-0005-0000-0000-0000A42F0000}"/>
    <cellStyle name="Note 2 3 3 2 2 2" xfId="11226" xr:uid="{00000000-0005-0000-0000-0000A52F0000}"/>
    <cellStyle name="Note 2 3 3 2 2 2 2" xfId="3396" xr:uid="{00000000-0005-0000-0000-0000A62F0000}"/>
    <cellStyle name="Note 2 3 3 2 2 2 2 2" xfId="19504" xr:uid="{00000000-0005-0000-0000-0000A72F0000}"/>
    <cellStyle name="Note 2 3 3 2 2 2 2 2 2" xfId="19507" xr:uid="{00000000-0005-0000-0000-0000A82F0000}"/>
    <cellStyle name="Note 2 3 3 2 2 2 2 2 3" xfId="19509" xr:uid="{00000000-0005-0000-0000-0000A92F0000}"/>
    <cellStyle name="Note 2 3 3 2 2 2 2 2 4" xfId="560" xr:uid="{00000000-0005-0000-0000-0000AA2F0000}"/>
    <cellStyle name="Note 2 3 3 2 2 2 2 3" xfId="19511" xr:uid="{00000000-0005-0000-0000-0000AB2F0000}"/>
    <cellStyle name="Note 2 3 3 2 2 2 2 4" xfId="19515" xr:uid="{00000000-0005-0000-0000-0000AC2F0000}"/>
    <cellStyle name="Note 2 3 3 2 2 2 2 5" xfId="19519" xr:uid="{00000000-0005-0000-0000-0000AD2F0000}"/>
    <cellStyle name="Note 2 3 3 2 2 2 3" xfId="19521" xr:uid="{00000000-0005-0000-0000-0000AE2F0000}"/>
    <cellStyle name="Note 2 3 3 2 2 2 3 2" xfId="19525" xr:uid="{00000000-0005-0000-0000-0000AF2F0000}"/>
    <cellStyle name="Note 2 3 3 2 2 2 3 3" xfId="19528" xr:uid="{00000000-0005-0000-0000-0000B02F0000}"/>
    <cellStyle name="Note 2 3 3 2 2 2 3 4" xfId="19531" xr:uid="{00000000-0005-0000-0000-0000B12F0000}"/>
    <cellStyle name="Note 2 3 3 2 2 2 4" xfId="19537" xr:uid="{00000000-0005-0000-0000-0000B22F0000}"/>
    <cellStyle name="Note 2 3 3 2 2 2 5" xfId="19543" xr:uid="{00000000-0005-0000-0000-0000B32F0000}"/>
    <cellStyle name="Note 2 3 3 2 2 2 6" xfId="19547" xr:uid="{00000000-0005-0000-0000-0000B42F0000}"/>
    <cellStyle name="Note 2 3 3 2 2 3" xfId="1563" xr:uid="{00000000-0005-0000-0000-0000B52F0000}"/>
    <cellStyle name="Note 2 3 3 2 2 3 2" xfId="4232" xr:uid="{00000000-0005-0000-0000-0000B62F0000}"/>
    <cellStyle name="Note 2 3 3 2 2 3 2 2" xfId="4253" xr:uid="{00000000-0005-0000-0000-0000B72F0000}"/>
    <cellStyle name="Note 2 3 3 2 2 3 2 3" xfId="1680" xr:uid="{00000000-0005-0000-0000-0000B82F0000}"/>
    <cellStyle name="Note 2 3 3 2 2 3 2 4" xfId="1722" xr:uid="{00000000-0005-0000-0000-0000B92F0000}"/>
    <cellStyle name="Note 2 3 3 2 2 3 3" xfId="4286" xr:uid="{00000000-0005-0000-0000-0000BA2F0000}"/>
    <cellStyle name="Note 2 3 3 2 2 3 4" xfId="4344" xr:uid="{00000000-0005-0000-0000-0000BB2F0000}"/>
    <cellStyle name="Note 2 3 3 2 2 3 5" xfId="4357" xr:uid="{00000000-0005-0000-0000-0000BC2F0000}"/>
    <cellStyle name="Note 2 3 3 2 2 4" xfId="2381" xr:uid="{00000000-0005-0000-0000-0000BD2F0000}"/>
    <cellStyle name="Note 2 3 3 2 2 4 2" xfId="4377" xr:uid="{00000000-0005-0000-0000-0000BE2F0000}"/>
    <cellStyle name="Note 2 3 3 2 2 4 3" xfId="4409" xr:uid="{00000000-0005-0000-0000-0000BF2F0000}"/>
    <cellStyle name="Note 2 3 3 2 2 4 4" xfId="4430" xr:uid="{00000000-0005-0000-0000-0000C02F0000}"/>
    <cellStyle name="Note 2 3 3 2 2 5" xfId="4450" xr:uid="{00000000-0005-0000-0000-0000C12F0000}"/>
    <cellStyle name="Note 2 3 3 2 2 6" xfId="4478" xr:uid="{00000000-0005-0000-0000-0000C22F0000}"/>
    <cellStyle name="Note 2 3 3 2 2 7" xfId="4484" xr:uid="{00000000-0005-0000-0000-0000C32F0000}"/>
    <cellStyle name="Note 2 3 3 2 3" xfId="14717" xr:uid="{00000000-0005-0000-0000-0000C42F0000}"/>
    <cellStyle name="Note 2 3 3 2 3 2" xfId="771" xr:uid="{00000000-0005-0000-0000-0000C52F0000}"/>
    <cellStyle name="Note 2 3 3 2 3 2 2" xfId="19552" xr:uid="{00000000-0005-0000-0000-0000C62F0000}"/>
    <cellStyle name="Note 2 3 3 2 3 2 2 2" xfId="18697" xr:uid="{00000000-0005-0000-0000-0000C72F0000}"/>
    <cellStyle name="Note 2 3 3 2 3 2 2 3" xfId="19134" xr:uid="{00000000-0005-0000-0000-0000C82F0000}"/>
    <cellStyle name="Note 2 3 3 2 3 2 2 4" xfId="19139" xr:uid="{00000000-0005-0000-0000-0000C92F0000}"/>
    <cellStyle name="Note 2 3 3 2 3 2 3" xfId="19555" xr:uid="{00000000-0005-0000-0000-0000CA2F0000}"/>
    <cellStyle name="Note 2 3 3 2 3 2 4" xfId="19560" xr:uid="{00000000-0005-0000-0000-0000CB2F0000}"/>
    <cellStyle name="Note 2 3 3 2 3 2 5" xfId="19565" xr:uid="{00000000-0005-0000-0000-0000CC2F0000}"/>
    <cellStyle name="Note 2 3 3 2 3 3" xfId="2398" xr:uid="{00000000-0005-0000-0000-0000CD2F0000}"/>
    <cellStyle name="Note 2 3 3 2 3 3 2" xfId="3863" xr:uid="{00000000-0005-0000-0000-0000CE2F0000}"/>
    <cellStyle name="Note 2 3 3 2 3 3 3" xfId="3942" xr:uid="{00000000-0005-0000-0000-0000CF2F0000}"/>
    <cellStyle name="Note 2 3 3 2 3 3 4" xfId="3974" xr:uid="{00000000-0005-0000-0000-0000D02F0000}"/>
    <cellStyle name="Note 2 3 3 2 3 4" xfId="2411" xr:uid="{00000000-0005-0000-0000-0000D12F0000}"/>
    <cellStyle name="Note 2 3 3 2 3 5" xfId="2433" xr:uid="{00000000-0005-0000-0000-0000D22F0000}"/>
    <cellStyle name="Note 2 3 3 2 3 6" xfId="2447" xr:uid="{00000000-0005-0000-0000-0000D32F0000}"/>
    <cellStyle name="Note 2 3 3 2 4" xfId="14719" xr:uid="{00000000-0005-0000-0000-0000D42F0000}"/>
    <cellStyle name="Note 2 3 3 2 4 2" xfId="19568" xr:uid="{00000000-0005-0000-0000-0000D52F0000}"/>
    <cellStyle name="Note 2 3 3 2 4 2 2" xfId="19571" xr:uid="{00000000-0005-0000-0000-0000D62F0000}"/>
    <cellStyle name="Note 2 3 3 2 4 2 3" xfId="19573" xr:uid="{00000000-0005-0000-0000-0000D72F0000}"/>
    <cellStyle name="Note 2 3 3 2 4 2 4" xfId="19576" xr:uid="{00000000-0005-0000-0000-0000D82F0000}"/>
    <cellStyle name="Note 2 3 3 2 4 3" xfId="4086" xr:uid="{00000000-0005-0000-0000-0000D92F0000}"/>
    <cellStyle name="Note 2 3 3 2 4 4" xfId="4147" xr:uid="{00000000-0005-0000-0000-0000DA2F0000}"/>
    <cellStyle name="Note 2 3 3 2 4 5" xfId="4165" xr:uid="{00000000-0005-0000-0000-0000DB2F0000}"/>
    <cellStyle name="Note 2 3 3 2 5" xfId="14722" xr:uid="{00000000-0005-0000-0000-0000DC2F0000}"/>
    <cellStyle name="Note 2 3 3 2 5 2" xfId="19579" xr:uid="{00000000-0005-0000-0000-0000DD2F0000}"/>
    <cellStyle name="Note 2 3 3 2 5 3" xfId="1448" xr:uid="{00000000-0005-0000-0000-0000DE2F0000}"/>
    <cellStyle name="Note 2 3 3 2 5 4" xfId="688" xr:uid="{00000000-0005-0000-0000-0000DF2F0000}"/>
    <cellStyle name="Note 2 3 3 2 6" xfId="10520" xr:uid="{00000000-0005-0000-0000-0000E02F0000}"/>
    <cellStyle name="Note 2 3 3 2 7" xfId="10523" xr:uid="{00000000-0005-0000-0000-0000E12F0000}"/>
    <cellStyle name="Note 2 3 3 2 8" xfId="10529" xr:uid="{00000000-0005-0000-0000-0000E22F0000}"/>
    <cellStyle name="Note 2 3 3 3" xfId="1188" xr:uid="{00000000-0005-0000-0000-0000E32F0000}"/>
    <cellStyle name="Note 2 3 3 3 2" xfId="19580" xr:uid="{00000000-0005-0000-0000-0000E42F0000}"/>
    <cellStyle name="Note 2 3 3 3 2 2" xfId="11963" xr:uid="{00000000-0005-0000-0000-0000E52F0000}"/>
    <cellStyle name="Note 2 3 3 3 2 2 2" xfId="10089" xr:uid="{00000000-0005-0000-0000-0000E62F0000}"/>
    <cellStyle name="Note 2 3 3 3 2 2 2 2" xfId="19293" xr:uid="{00000000-0005-0000-0000-0000E72F0000}"/>
    <cellStyle name="Note 2 3 3 3 2 2 2 3" xfId="19297" xr:uid="{00000000-0005-0000-0000-0000E82F0000}"/>
    <cellStyle name="Note 2 3 3 3 2 2 2 4" xfId="19583" xr:uid="{00000000-0005-0000-0000-0000E92F0000}"/>
    <cellStyle name="Note 2 3 3 3 2 2 3" xfId="10098" xr:uid="{00000000-0005-0000-0000-0000EA2F0000}"/>
    <cellStyle name="Note 2 3 3 3 2 2 4" xfId="11971" xr:uid="{00000000-0005-0000-0000-0000EB2F0000}"/>
    <cellStyle name="Note 2 3 3 3 2 2 5" xfId="19591" xr:uid="{00000000-0005-0000-0000-0000EC2F0000}"/>
    <cellStyle name="Note 2 3 3 3 2 3" xfId="3391" xr:uid="{00000000-0005-0000-0000-0000ED2F0000}"/>
    <cellStyle name="Note 2 3 3 3 2 3 2" xfId="3839" xr:uid="{00000000-0005-0000-0000-0000EE2F0000}"/>
    <cellStyle name="Note 2 3 3 3 2 3 3" xfId="1491" xr:uid="{00000000-0005-0000-0000-0000EF2F0000}"/>
    <cellStyle name="Note 2 3 3 3 2 3 4" xfId="1583" xr:uid="{00000000-0005-0000-0000-0000F02F0000}"/>
    <cellStyle name="Note 2 3 3 3 2 4" xfId="3405" xr:uid="{00000000-0005-0000-0000-0000F12F0000}"/>
    <cellStyle name="Note 2 3 3 3 2 5" xfId="4776" xr:uid="{00000000-0005-0000-0000-0000F22F0000}"/>
    <cellStyle name="Note 2 3 3 3 2 6" xfId="296" xr:uid="{00000000-0005-0000-0000-0000F32F0000}"/>
    <cellStyle name="Note 2 3 3 3 3" xfId="19592" xr:uid="{00000000-0005-0000-0000-0000F42F0000}"/>
    <cellStyle name="Note 2 3 3 3 3 2" xfId="909" xr:uid="{00000000-0005-0000-0000-0000F52F0000}"/>
    <cellStyle name="Note 2 3 3 3 3 2 2" xfId="18805" xr:uid="{00000000-0005-0000-0000-0000F62F0000}"/>
    <cellStyle name="Note 2 3 3 3 3 2 3" xfId="18809" xr:uid="{00000000-0005-0000-0000-0000F72F0000}"/>
    <cellStyle name="Note 2 3 3 3 3 2 4" xfId="19598" xr:uid="{00000000-0005-0000-0000-0000F82F0000}"/>
    <cellStyle name="Note 2 3 3 3 3 3" xfId="4226" xr:uid="{00000000-0005-0000-0000-0000F92F0000}"/>
    <cellStyle name="Note 2 3 3 3 3 4" xfId="4280" xr:uid="{00000000-0005-0000-0000-0000FA2F0000}"/>
    <cellStyle name="Note 2 3 3 3 3 5" xfId="4334" xr:uid="{00000000-0005-0000-0000-0000FB2F0000}"/>
    <cellStyle name="Note 2 3 3 3 4" xfId="19461" xr:uid="{00000000-0005-0000-0000-0000FC2F0000}"/>
    <cellStyle name="Note 2 3 3 3 4 2" xfId="11992" xr:uid="{00000000-0005-0000-0000-0000FD2F0000}"/>
    <cellStyle name="Note 2 3 3 3 4 3" xfId="4367" xr:uid="{00000000-0005-0000-0000-0000FE2F0000}"/>
    <cellStyle name="Note 2 3 3 3 4 4" xfId="4396" xr:uid="{00000000-0005-0000-0000-0000FF2F0000}"/>
    <cellStyle name="Note 2 3 3 3 5" xfId="19466" xr:uid="{00000000-0005-0000-0000-000000300000}"/>
    <cellStyle name="Note 2 3 3 3 6" xfId="19473" xr:uid="{00000000-0005-0000-0000-000001300000}"/>
    <cellStyle name="Note 2 3 3 3 7" xfId="17034" xr:uid="{00000000-0005-0000-0000-000002300000}"/>
    <cellStyle name="Note 2 3 3 4" xfId="19599" xr:uid="{00000000-0005-0000-0000-000003300000}"/>
    <cellStyle name="Note 2 3 3 4 2" xfId="19600" xr:uid="{00000000-0005-0000-0000-000004300000}"/>
    <cellStyle name="Note 2 3 3 4 2 2" xfId="12031" xr:uid="{00000000-0005-0000-0000-000005300000}"/>
    <cellStyle name="Note 2 3 3 4 2 2 2" xfId="10837" xr:uid="{00000000-0005-0000-0000-000006300000}"/>
    <cellStyle name="Note 2 3 3 4 2 2 3" xfId="10845" xr:uid="{00000000-0005-0000-0000-000007300000}"/>
    <cellStyle name="Note 2 3 3 4 2 2 4" xfId="18340" xr:uid="{00000000-0005-0000-0000-000008300000}"/>
    <cellStyle name="Note 2 3 3 4 2 3" xfId="4945" xr:uid="{00000000-0005-0000-0000-000009300000}"/>
    <cellStyle name="Note 2 3 3 4 2 4" xfId="4974" xr:uid="{00000000-0005-0000-0000-00000A300000}"/>
    <cellStyle name="Note 2 3 3 4 2 5" xfId="4989" xr:uid="{00000000-0005-0000-0000-00000B300000}"/>
    <cellStyle name="Note 2 3 3 4 3" xfId="19601" xr:uid="{00000000-0005-0000-0000-00000C300000}"/>
    <cellStyle name="Note 2 3 3 4 3 2" xfId="239" xr:uid="{00000000-0005-0000-0000-00000D300000}"/>
    <cellStyle name="Note 2 3 3 4 3 3" xfId="3860" xr:uid="{00000000-0005-0000-0000-00000E300000}"/>
    <cellStyle name="Note 2 3 3 4 3 4" xfId="3937" xr:uid="{00000000-0005-0000-0000-00000F300000}"/>
    <cellStyle name="Note 2 3 3 4 4" xfId="19479" xr:uid="{00000000-0005-0000-0000-000010300000}"/>
    <cellStyle name="Note 2 3 3 4 5" xfId="19492" xr:uid="{00000000-0005-0000-0000-000011300000}"/>
    <cellStyle name="Note 2 3 3 4 6" xfId="19496" xr:uid="{00000000-0005-0000-0000-000012300000}"/>
    <cellStyle name="Note 2 3 3 5" xfId="13907" xr:uid="{00000000-0005-0000-0000-000013300000}"/>
    <cellStyle name="Note 2 3 3 5 2" xfId="18086" xr:uid="{00000000-0005-0000-0000-000014300000}"/>
    <cellStyle name="Note 2 3 3 5 2 2" xfId="7469" xr:uid="{00000000-0005-0000-0000-000015300000}"/>
    <cellStyle name="Note 2 3 3 5 2 3" xfId="5039" xr:uid="{00000000-0005-0000-0000-000016300000}"/>
    <cellStyle name="Note 2 3 3 5 2 4" xfId="5051" xr:uid="{00000000-0005-0000-0000-000017300000}"/>
    <cellStyle name="Note 2 3 3 5 3" xfId="18091" xr:uid="{00000000-0005-0000-0000-000018300000}"/>
    <cellStyle name="Note 2 3 3 5 4" xfId="18095" xr:uid="{00000000-0005-0000-0000-000019300000}"/>
    <cellStyle name="Note 2 3 3 5 5" xfId="18100" xr:uid="{00000000-0005-0000-0000-00001A300000}"/>
    <cellStyle name="Note 2 3 3 6" xfId="13910" xr:uid="{00000000-0005-0000-0000-00001B300000}"/>
    <cellStyle name="Note 2 3 3 6 2" xfId="18110" xr:uid="{00000000-0005-0000-0000-00001C300000}"/>
    <cellStyle name="Note 2 3 3 6 3" xfId="1995" xr:uid="{00000000-0005-0000-0000-00001D300000}"/>
    <cellStyle name="Note 2 3 3 6 4" xfId="2002" xr:uid="{00000000-0005-0000-0000-00001E300000}"/>
    <cellStyle name="Note 2 3 3 7" xfId="13914" xr:uid="{00000000-0005-0000-0000-00001F300000}"/>
    <cellStyle name="Note 2 3 3 8" xfId="18121" xr:uid="{00000000-0005-0000-0000-000020300000}"/>
    <cellStyle name="Note 2 3 3 9" xfId="14961" xr:uid="{00000000-0005-0000-0000-000021300000}"/>
    <cellStyle name="Note 2 3 4" xfId="11340" xr:uid="{00000000-0005-0000-0000-000022300000}"/>
    <cellStyle name="Note 2 3 4 2" xfId="18778" xr:uid="{00000000-0005-0000-0000-000023300000}"/>
    <cellStyle name="Note 2 3 4 2 2" xfId="19602" xr:uid="{00000000-0005-0000-0000-000024300000}"/>
    <cellStyle name="Note 2 3 4 2 2 2" xfId="16196" xr:uid="{00000000-0005-0000-0000-000025300000}"/>
    <cellStyle name="Note 2 3 4 2 2 2 2" xfId="5125" xr:uid="{00000000-0005-0000-0000-000026300000}"/>
    <cellStyle name="Note 2 3 4 2 2 2 2 2" xfId="19603" xr:uid="{00000000-0005-0000-0000-000027300000}"/>
    <cellStyle name="Note 2 3 4 2 2 2 2 2 2" xfId="19605" xr:uid="{00000000-0005-0000-0000-000028300000}"/>
    <cellStyle name="Note 2 3 4 2 2 2 2 2 3" xfId="19607" xr:uid="{00000000-0005-0000-0000-000029300000}"/>
    <cellStyle name="Note 2 3 4 2 2 2 2 2 4" xfId="3639" xr:uid="{00000000-0005-0000-0000-00002A300000}"/>
    <cellStyle name="Note 2 3 4 2 2 2 2 3" xfId="19608" xr:uid="{00000000-0005-0000-0000-00002B300000}"/>
    <cellStyle name="Note 2 3 4 2 2 2 2 4" xfId="19609" xr:uid="{00000000-0005-0000-0000-00002C300000}"/>
    <cellStyle name="Note 2 3 4 2 2 2 2 5" xfId="19610" xr:uid="{00000000-0005-0000-0000-00002D300000}"/>
    <cellStyle name="Note 2 3 4 2 2 2 3" xfId="19612" xr:uid="{00000000-0005-0000-0000-00002E300000}"/>
    <cellStyle name="Note 2 3 4 2 2 2 3 2" xfId="19614" xr:uid="{00000000-0005-0000-0000-00002F300000}"/>
    <cellStyle name="Note 2 3 4 2 2 2 3 3" xfId="19615" xr:uid="{00000000-0005-0000-0000-000030300000}"/>
    <cellStyle name="Note 2 3 4 2 2 2 3 4" xfId="19616" xr:uid="{00000000-0005-0000-0000-000031300000}"/>
    <cellStyle name="Note 2 3 4 2 2 2 4" xfId="19622" xr:uid="{00000000-0005-0000-0000-000032300000}"/>
    <cellStyle name="Note 2 3 4 2 2 2 5" xfId="19628" xr:uid="{00000000-0005-0000-0000-000033300000}"/>
    <cellStyle name="Note 2 3 4 2 2 2 6" xfId="3132" xr:uid="{00000000-0005-0000-0000-000034300000}"/>
    <cellStyle name="Note 2 3 4 2 2 3" xfId="6623" xr:uid="{00000000-0005-0000-0000-000035300000}"/>
    <cellStyle name="Note 2 3 4 2 2 3 2" xfId="6633" xr:uid="{00000000-0005-0000-0000-000036300000}"/>
    <cellStyle name="Note 2 3 4 2 2 3 2 2" xfId="3959" xr:uid="{00000000-0005-0000-0000-000037300000}"/>
    <cellStyle name="Note 2 3 4 2 2 3 2 3" xfId="3978" xr:uid="{00000000-0005-0000-0000-000038300000}"/>
    <cellStyle name="Note 2 3 4 2 2 3 2 4" xfId="4004" xr:uid="{00000000-0005-0000-0000-000039300000}"/>
    <cellStyle name="Note 2 3 4 2 2 3 3" xfId="6639" xr:uid="{00000000-0005-0000-0000-00003A300000}"/>
    <cellStyle name="Note 2 3 4 2 2 3 4" xfId="6650" xr:uid="{00000000-0005-0000-0000-00003B300000}"/>
    <cellStyle name="Note 2 3 4 2 2 3 5" xfId="2992" xr:uid="{00000000-0005-0000-0000-00003C300000}"/>
    <cellStyle name="Note 2 3 4 2 2 4" xfId="5416" xr:uid="{00000000-0005-0000-0000-00003D300000}"/>
    <cellStyle name="Note 2 3 4 2 2 4 2" xfId="5422" xr:uid="{00000000-0005-0000-0000-00003E300000}"/>
    <cellStyle name="Note 2 3 4 2 2 4 3" xfId="5451" xr:uid="{00000000-0005-0000-0000-00003F300000}"/>
    <cellStyle name="Note 2 3 4 2 2 4 4" xfId="5493" xr:uid="{00000000-0005-0000-0000-000040300000}"/>
    <cellStyle name="Note 2 3 4 2 2 5" xfId="5510" xr:uid="{00000000-0005-0000-0000-000041300000}"/>
    <cellStyle name="Note 2 3 4 2 2 6" xfId="5561" xr:uid="{00000000-0005-0000-0000-000042300000}"/>
    <cellStyle name="Note 2 3 4 2 2 7" xfId="5612" xr:uid="{00000000-0005-0000-0000-000043300000}"/>
    <cellStyle name="Note 2 3 4 2 3" xfId="19629" xr:uid="{00000000-0005-0000-0000-000044300000}"/>
    <cellStyle name="Note 2 3 4 2 3 2" xfId="4529" xr:uid="{00000000-0005-0000-0000-000045300000}"/>
    <cellStyle name="Note 2 3 4 2 3 2 2" xfId="7105" xr:uid="{00000000-0005-0000-0000-000046300000}"/>
    <cellStyle name="Note 2 3 4 2 3 2 2 2" xfId="19512" xr:uid="{00000000-0005-0000-0000-000047300000}"/>
    <cellStyle name="Note 2 3 4 2 3 2 2 3" xfId="19516" xr:uid="{00000000-0005-0000-0000-000048300000}"/>
    <cellStyle name="Note 2 3 4 2 3 2 2 4" xfId="19630" xr:uid="{00000000-0005-0000-0000-000049300000}"/>
    <cellStyle name="Note 2 3 4 2 3 2 3" xfId="19632" xr:uid="{00000000-0005-0000-0000-00004A300000}"/>
    <cellStyle name="Note 2 3 4 2 3 2 4" xfId="19635" xr:uid="{00000000-0005-0000-0000-00004B300000}"/>
    <cellStyle name="Note 2 3 4 2 3 2 5" xfId="19640" xr:uid="{00000000-0005-0000-0000-00004C300000}"/>
    <cellStyle name="Note 2 3 4 2 3 3" xfId="4506" xr:uid="{00000000-0005-0000-0000-00004D300000}"/>
    <cellStyle name="Note 2 3 4 2 3 3 2" xfId="6657" xr:uid="{00000000-0005-0000-0000-00004E300000}"/>
    <cellStyle name="Note 2 3 4 2 3 3 3" xfId="6660" xr:uid="{00000000-0005-0000-0000-00004F300000}"/>
    <cellStyle name="Note 2 3 4 2 3 3 4" xfId="6665" xr:uid="{00000000-0005-0000-0000-000050300000}"/>
    <cellStyle name="Note 2 3 4 2 3 4" xfId="5636" xr:uid="{00000000-0005-0000-0000-000051300000}"/>
    <cellStyle name="Note 2 3 4 2 3 5" xfId="5675" xr:uid="{00000000-0005-0000-0000-000052300000}"/>
    <cellStyle name="Note 2 3 4 2 3 6" xfId="5681" xr:uid="{00000000-0005-0000-0000-000053300000}"/>
    <cellStyle name="Note 2 3 4 2 4" xfId="19644" xr:uid="{00000000-0005-0000-0000-000054300000}"/>
    <cellStyle name="Note 2 3 4 2 4 2" xfId="8849" xr:uid="{00000000-0005-0000-0000-000055300000}"/>
    <cellStyle name="Note 2 3 4 2 4 2 2" xfId="19646" xr:uid="{00000000-0005-0000-0000-000056300000}"/>
    <cellStyle name="Note 2 3 4 2 4 2 3" xfId="19647" xr:uid="{00000000-0005-0000-0000-000057300000}"/>
    <cellStyle name="Note 2 3 4 2 4 2 4" xfId="19650" xr:uid="{00000000-0005-0000-0000-000058300000}"/>
    <cellStyle name="Note 2 3 4 2 4 3" xfId="6679" xr:uid="{00000000-0005-0000-0000-000059300000}"/>
    <cellStyle name="Note 2 3 4 2 4 4" xfId="5704" xr:uid="{00000000-0005-0000-0000-00005A300000}"/>
    <cellStyle name="Note 2 3 4 2 4 5" xfId="5729" xr:uid="{00000000-0005-0000-0000-00005B300000}"/>
    <cellStyle name="Note 2 3 4 2 5" xfId="7184" xr:uid="{00000000-0005-0000-0000-00005C300000}"/>
    <cellStyle name="Note 2 3 4 2 5 2" xfId="15683" xr:uid="{00000000-0005-0000-0000-00005D300000}"/>
    <cellStyle name="Note 2 3 4 2 5 3" xfId="6696" xr:uid="{00000000-0005-0000-0000-00005E300000}"/>
    <cellStyle name="Note 2 3 4 2 5 4" xfId="798" xr:uid="{00000000-0005-0000-0000-00005F300000}"/>
    <cellStyle name="Note 2 3 4 2 6" xfId="7190" xr:uid="{00000000-0005-0000-0000-000060300000}"/>
    <cellStyle name="Note 2 3 4 2 7" xfId="7192" xr:uid="{00000000-0005-0000-0000-000061300000}"/>
    <cellStyle name="Note 2 3 4 2 8" xfId="17048" xr:uid="{00000000-0005-0000-0000-000062300000}"/>
    <cellStyle name="Note 2 3 4 3" xfId="18782" xr:uid="{00000000-0005-0000-0000-000063300000}"/>
    <cellStyle name="Note 2 3 4 3 2" xfId="19652" xr:uid="{00000000-0005-0000-0000-000064300000}"/>
    <cellStyle name="Note 2 3 4 3 2 2" xfId="7338" xr:uid="{00000000-0005-0000-0000-000065300000}"/>
    <cellStyle name="Note 2 3 4 3 2 2 2" xfId="2060" xr:uid="{00000000-0005-0000-0000-000066300000}"/>
    <cellStyle name="Note 2 3 4 3 2 2 2 2" xfId="11929" xr:uid="{00000000-0005-0000-0000-000067300000}"/>
    <cellStyle name="Note 2 3 4 3 2 2 2 3" xfId="19656" xr:uid="{00000000-0005-0000-0000-000068300000}"/>
    <cellStyle name="Note 2 3 4 3 2 2 2 4" xfId="19658" xr:uid="{00000000-0005-0000-0000-000069300000}"/>
    <cellStyle name="Note 2 3 4 3 2 2 3" xfId="11262" xr:uid="{00000000-0005-0000-0000-00006A300000}"/>
    <cellStyle name="Note 2 3 4 3 2 2 4" xfId="12222" xr:uid="{00000000-0005-0000-0000-00006B300000}"/>
    <cellStyle name="Note 2 3 4 3 2 2 5" xfId="19668" xr:uid="{00000000-0005-0000-0000-00006C300000}"/>
    <cellStyle name="Note 2 3 4 3 2 3" xfId="6841" xr:uid="{00000000-0005-0000-0000-00006D300000}"/>
    <cellStyle name="Note 2 3 4 3 2 3 2" xfId="6851" xr:uid="{00000000-0005-0000-0000-00006E300000}"/>
    <cellStyle name="Note 2 3 4 3 2 3 3" xfId="6870" xr:uid="{00000000-0005-0000-0000-00006F300000}"/>
    <cellStyle name="Note 2 3 4 3 2 3 4" xfId="6878" xr:uid="{00000000-0005-0000-0000-000070300000}"/>
    <cellStyle name="Note 2 3 4 3 2 4" xfId="5960" xr:uid="{00000000-0005-0000-0000-000071300000}"/>
    <cellStyle name="Note 2 3 4 3 2 5" xfId="6032" xr:uid="{00000000-0005-0000-0000-000072300000}"/>
    <cellStyle name="Note 2 3 4 3 2 6" xfId="6081" xr:uid="{00000000-0005-0000-0000-000073300000}"/>
    <cellStyle name="Note 2 3 4 3 3" xfId="19671" xr:uid="{00000000-0005-0000-0000-000074300000}"/>
    <cellStyle name="Note 2 3 4 3 3 2" xfId="12262" xr:uid="{00000000-0005-0000-0000-000075300000}"/>
    <cellStyle name="Note 2 3 4 3 3 2 2" xfId="18882" xr:uid="{00000000-0005-0000-0000-000076300000}"/>
    <cellStyle name="Note 2 3 4 3 3 2 3" xfId="18885" xr:uid="{00000000-0005-0000-0000-000077300000}"/>
    <cellStyle name="Note 2 3 4 3 3 2 4" xfId="19674" xr:uid="{00000000-0005-0000-0000-000078300000}"/>
    <cellStyle name="Note 2 3 4 3 3 3" xfId="3851" xr:uid="{00000000-0005-0000-0000-000079300000}"/>
    <cellStyle name="Note 2 3 4 3 3 4" xfId="1503" xr:uid="{00000000-0005-0000-0000-00007A300000}"/>
    <cellStyle name="Note 2 3 4 3 3 5" xfId="1573" xr:uid="{00000000-0005-0000-0000-00007B300000}"/>
    <cellStyle name="Note 2 3 4 3 4" xfId="17893" xr:uid="{00000000-0005-0000-0000-00007C300000}"/>
    <cellStyle name="Note 2 3 4 3 4 2" xfId="12279" xr:uid="{00000000-0005-0000-0000-00007D300000}"/>
    <cellStyle name="Note 2 3 4 3 4 3" xfId="6535" xr:uid="{00000000-0005-0000-0000-00007E300000}"/>
    <cellStyle name="Note 2 3 4 3 4 4" xfId="6145" xr:uid="{00000000-0005-0000-0000-00007F300000}"/>
    <cellStyle name="Note 2 3 4 3 5" xfId="17916" xr:uid="{00000000-0005-0000-0000-000080300000}"/>
    <cellStyle name="Note 2 3 4 3 6" xfId="17922" xr:uid="{00000000-0005-0000-0000-000081300000}"/>
    <cellStyle name="Note 2 3 4 3 7" xfId="17924" xr:uid="{00000000-0005-0000-0000-000082300000}"/>
    <cellStyle name="Note 2 3 4 4" xfId="18873" xr:uid="{00000000-0005-0000-0000-000083300000}"/>
    <cellStyle name="Note 2 3 4 4 2" xfId="19679" xr:uid="{00000000-0005-0000-0000-000084300000}"/>
    <cellStyle name="Note 2 3 4 4 2 2" xfId="12334" xr:uid="{00000000-0005-0000-0000-000085300000}"/>
    <cellStyle name="Note 2 3 4 4 2 2 2" xfId="11488" xr:uid="{00000000-0005-0000-0000-000086300000}"/>
    <cellStyle name="Note 2 3 4 4 2 2 3" xfId="18918" xr:uid="{00000000-0005-0000-0000-000087300000}"/>
    <cellStyle name="Note 2 3 4 4 2 2 4" xfId="19685" xr:uid="{00000000-0005-0000-0000-000088300000}"/>
    <cellStyle name="Note 2 3 4 4 2 3" xfId="6941" xr:uid="{00000000-0005-0000-0000-000089300000}"/>
    <cellStyle name="Note 2 3 4 4 2 4" xfId="6338" xr:uid="{00000000-0005-0000-0000-00008A300000}"/>
    <cellStyle name="Note 2 3 4 4 2 5" xfId="6367" xr:uid="{00000000-0005-0000-0000-00008B300000}"/>
    <cellStyle name="Note 2 3 4 4 3" xfId="19688" xr:uid="{00000000-0005-0000-0000-00008C300000}"/>
    <cellStyle name="Note 2 3 4 4 3 2" xfId="12349" xr:uid="{00000000-0005-0000-0000-00008D300000}"/>
    <cellStyle name="Note 2 3 4 4 3 3" xfId="4251" xr:uid="{00000000-0005-0000-0000-00008E300000}"/>
    <cellStyle name="Note 2 3 4 4 3 4" xfId="1676" xr:uid="{00000000-0005-0000-0000-00008F300000}"/>
    <cellStyle name="Note 2 3 4 4 4" xfId="17939" xr:uid="{00000000-0005-0000-0000-000090300000}"/>
    <cellStyle name="Note 2 3 4 4 5" xfId="17949" xr:uid="{00000000-0005-0000-0000-000091300000}"/>
    <cellStyle name="Note 2 3 4 4 6" xfId="17951" xr:uid="{00000000-0005-0000-0000-000092300000}"/>
    <cellStyle name="Note 2 3 4 5" xfId="18123" xr:uid="{00000000-0005-0000-0000-000093300000}"/>
    <cellStyle name="Note 2 3 4 5 2" xfId="17550" xr:uid="{00000000-0005-0000-0000-000094300000}"/>
    <cellStyle name="Note 2 3 4 5 2 2" xfId="12393" xr:uid="{00000000-0005-0000-0000-000095300000}"/>
    <cellStyle name="Note 2 3 4 5 2 3" xfId="7005" xr:uid="{00000000-0005-0000-0000-000096300000}"/>
    <cellStyle name="Note 2 3 4 5 2 4" xfId="6443" xr:uid="{00000000-0005-0000-0000-000097300000}"/>
    <cellStyle name="Note 2 3 4 5 3" xfId="17553" xr:uid="{00000000-0005-0000-0000-000098300000}"/>
    <cellStyle name="Note 2 3 4 5 4" xfId="17963" xr:uid="{00000000-0005-0000-0000-000099300000}"/>
    <cellStyle name="Note 2 3 4 5 5" xfId="17969" xr:uid="{00000000-0005-0000-0000-00009A300000}"/>
    <cellStyle name="Note 2 3 4 6" xfId="18125" xr:uid="{00000000-0005-0000-0000-00009B300000}"/>
    <cellStyle name="Note 2 3 4 6 2" xfId="17558" xr:uid="{00000000-0005-0000-0000-00009C300000}"/>
    <cellStyle name="Note 2 3 4 6 3" xfId="18127" xr:uid="{00000000-0005-0000-0000-00009D300000}"/>
    <cellStyle name="Note 2 3 4 6 4" xfId="18131" xr:uid="{00000000-0005-0000-0000-00009E300000}"/>
    <cellStyle name="Note 2 3 4 7" xfId="18135" xr:uid="{00000000-0005-0000-0000-00009F300000}"/>
    <cellStyle name="Note 2 3 4 8" xfId="18138" xr:uid="{00000000-0005-0000-0000-0000A0300000}"/>
    <cellStyle name="Note 2 3 4 9" xfId="15659" xr:uid="{00000000-0005-0000-0000-0000A1300000}"/>
    <cellStyle name="Note 2 3 5" xfId="18876" xr:uid="{00000000-0005-0000-0000-0000A2300000}"/>
    <cellStyle name="Note 2 3 5 2" xfId="18790" xr:uid="{00000000-0005-0000-0000-0000A3300000}"/>
    <cellStyle name="Note 2 3 5 2 2" xfId="19689" xr:uid="{00000000-0005-0000-0000-0000A4300000}"/>
    <cellStyle name="Note 2 3 5 2 2 2" xfId="16595" xr:uid="{00000000-0005-0000-0000-0000A5300000}"/>
    <cellStyle name="Note 2 3 5 2 2 2 2" xfId="7196" xr:uid="{00000000-0005-0000-0000-0000A6300000}"/>
    <cellStyle name="Note 2 3 5 2 2 2 2 2" xfId="19690" xr:uid="{00000000-0005-0000-0000-0000A7300000}"/>
    <cellStyle name="Note 2 3 5 2 2 2 2 3" xfId="19691" xr:uid="{00000000-0005-0000-0000-0000A8300000}"/>
    <cellStyle name="Note 2 3 5 2 2 2 2 4" xfId="19693" xr:uid="{00000000-0005-0000-0000-0000A9300000}"/>
    <cellStyle name="Note 2 3 5 2 2 2 3" xfId="10149" xr:uid="{00000000-0005-0000-0000-0000AA300000}"/>
    <cellStyle name="Note 2 3 5 2 2 2 4" xfId="19699" xr:uid="{00000000-0005-0000-0000-0000AB300000}"/>
    <cellStyle name="Note 2 3 5 2 2 2 5" xfId="19705" xr:uid="{00000000-0005-0000-0000-0000AC300000}"/>
    <cellStyle name="Note 2 3 5 2 2 3" xfId="7381" xr:uid="{00000000-0005-0000-0000-0000AD300000}"/>
    <cellStyle name="Note 2 3 5 2 2 3 2" xfId="7692" xr:uid="{00000000-0005-0000-0000-0000AE300000}"/>
    <cellStyle name="Note 2 3 5 2 2 3 3" xfId="7704" xr:uid="{00000000-0005-0000-0000-0000AF300000}"/>
    <cellStyle name="Note 2 3 5 2 2 3 4" xfId="7711" xr:uid="{00000000-0005-0000-0000-0000B0300000}"/>
    <cellStyle name="Note 2 3 5 2 2 4" xfId="5151" xr:uid="{00000000-0005-0000-0000-0000B1300000}"/>
    <cellStyle name="Note 2 3 5 2 2 5" xfId="5237" xr:uid="{00000000-0005-0000-0000-0000B2300000}"/>
    <cellStyle name="Note 2 3 5 2 2 6" xfId="5264" xr:uid="{00000000-0005-0000-0000-0000B3300000}"/>
    <cellStyle name="Note 2 3 5 2 3" xfId="19706" xr:uid="{00000000-0005-0000-0000-0000B4300000}"/>
    <cellStyle name="Note 2 3 5 2 3 2" xfId="15907" xr:uid="{00000000-0005-0000-0000-0000B5300000}"/>
    <cellStyle name="Note 2 3 5 2 3 2 2" xfId="19708" xr:uid="{00000000-0005-0000-0000-0000B6300000}"/>
    <cellStyle name="Note 2 3 5 2 3 2 3" xfId="19711" xr:uid="{00000000-0005-0000-0000-0000B7300000}"/>
    <cellStyle name="Note 2 3 5 2 3 2 4" xfId="19713" xr:uid="{00000000-0005-0000-0000-0000B8300000}"/>
    <cellStyle name="Note 2 3 5 2 3 3" xfId="7718" xr:uid="{00000000-0005-0000-0000-0000B9300000}"/>
    <cellStyle name="Note 2 3 5 2 3 4" xfId="5311" xr:uid="{00000000-0005-0000-0000-0000BA300000}"/>
    <cellStyle name="Note 2 3 5 2 3 5" xfId="5353" xr:uid="{00000000-0005-0000-0000-0000BB300000}"/>
    <cellStyle name="Note 2 3 5 2 4" xfId="19714" xr:uid="{00000000-0005-0000-0000-0000BC300000}"/>
    <cellStyle name="Note 2 3 5 2 4 2" xfId="19716" xr:uid="{00000000-0005-0000-0000-0000BD300000}"/>
    <cellStyle name="Note 2 3 5 2 4 3" xfId="7438" xr:uid="{00000000-0005-0000-0000-0000BE300000}"/>
    <cellStyle name="Note 2 3 5 2 4 4" xfId="5389" xr:uid="{00000000-0005-0000-0000-0000BF300000}"/>
    <cellStyle name="Note 2 3 5 2 5" xfId="19717" xr:uid="{00000000-0005-0000-0000-0000C0300000}"/>
    <cellStyle name="Note 2 3 5 2 6" xfId="19718" xr:uid="{00000000-0005-0000-0000-0000C1300000}"/>
    <cellStyle name="Note 2 3 5 2 7" xfId="19719" xr:uid="{00000000-0005-0000-0000-0000C2300000}"/>
    <cellStyle name="Note 2 3 5 3" xfId="19720" xr:uid="{00000000-0005-0000-0000-0000C3300000}"/>
    <cellStyle name="Note 2 3 5 3 2" xfId="19721" xr:uid="{00000000-0005-0000-0000-0000C4300000}"/>
    <cellStyle name="Note 2 3 5 3 2 2" xfId="12512" xr:uid="{00000000-0005-0000-0000-0000C5300000}"/>
    <cellStyle name="Note 2 3 5 3 2 2 2" xfId="16317" xr:uid="{00000000-0005-0000-0000-0000C6300000}"/>
    <cellStyle name="Note 2 3 5 3 2 2 3" xfId="16324" xr:uid="{00000000-0005-0000-0000-0000C7300000}"/>
    <cellStyle name="Note 2 3 5 3 2 2 4" xfId="16330" xr:uid="{00000000-0005-0000-0000-0000C8300000}"/>
    <cellStyle name="Note 2 3 5 3 2 3" xfId="8005" xr:uid="{00000000-0005-0000-0000-0000C9300000}"/>
    <cellStyle name="Note 2 3 5 3 2 4" xfId="5432" xr:uid="{00000000-0005-0000-0000-0000CA300000}"/>
    <cellStyle name="Note 2 3 5 3 2 5" xfId="5460" xr:uid="{00000000-0005-0000-0000-0000CB300000}"/>
    <cellStyle name="Note 2 3 5 3 3" xfId="19723" xr:uid="{00000000-0005-0000-0000-0000CC300000}"/>
    <cellStyle name="Note 2 3 5 3 3 2" xfId="12528" xr:uid="{00000000-0005-0000-0000-0000CD300000}"/>
    <cellStyle name="Note 2 3 5 3 3 3" xfId="8048" xr:uid="{00000000-0005-0000-0000-0000CE300000}"/>
    <cellStyle name="Note 2 3 5 3 3 4" xfId="5522" xr:uid="{00000000-0005-0000-0000-0000CF300000}"/>
    <cellStyle name="Note 2 3 5 3 4" xfId="6566" xr:uid="{00000000-0005-0000-0000-0000D0300000}"/>
    <cellStyle name="Note 2 3 5 3 5" xfId="8359" xr:uid="{00000000-0005-0000-0000-0000D1300000}"/>
    <cellStyle name="Note 2 3 5 3 6" xfId="8361" xr:uid="{00000000-0005-0000-0000-0000D2300000}"/>
    <cellStyle name="Note 2 3 5 4" xfId="19724" xr:uid="{00000000-0005-0000-0000-0000D3300000}"/>
    <cellStyle name="Note 2 3 5 4 2" xfId="19725" xr:uid="{00000000-0005-0000-0000-0000D4300000}"/>
    <cellStyle name="Note 2 3 5 4 2 2" xfId="10352" xr:uid="{00000000-0005-0000-0000-0000D5300000}"/>
    <cellStyle name="Note 2 3 5 4 2 3" xfId="8193" xr:uid="{00000000-0005-0000-0000-0000D6300000}"/>
    <cellStyle name="Note 2 3 5 4 2 4" xfId="5647" xr:uid="{00000000-0005-0000-0000-0000D7300000}"/>
    <cellStyle name="Note 2 3 5 4 3" xfId="19726" xr:uid="{00000000-0005-0000-0000-0000D8300000}"/>
    <cellStyle name="Note 2 3 5 4 4" xfId="18011" xr:uid="{00000000-0005-0000-0000-0000D9300000}"/>
    <cellStyle name="Note 2 3 5 4 5" xfId="18014" xr:uid="{00000000-0005-0000-0000-0000DA300000}"/>
    <cellStyle name="Note 2 3 5 5" xfId="18140" xr:uid="{00000000-0005-0000-0000-0000DB300000}"/>
    <cellStyle name="Note 2 3 5 5 2" xfId="8955" xr:uid="{00000000-0005-0000-0000-0000DC300000}"/>
    <cellStyle name="Note 2 3 5 5 3" xfId="18142" xr:uid="{00000000-0005-0000-0000-0000DD300000}"/>
    <cellStyle name="Note 2 3 5 5 4" xfId="18145" xr:uid="{00000000-0005-0000-0000-0000DE300000}"/>
    <cellStyle name="Note 2 3 5 6" xfId="18148" xr:uid="{00000000-0005-0000-0000-0000DF300000}"/>
    <cellStyle name="Note 2 3 5 7" xfId="18151" xr:uid="{00000000-0005-0000-0000-0000E0300000}"/>
    <cellStyle name="Note 2 3 5 8" xfId="18154" xr:uid="{00000000-0005-0000-0000-0000E1300000}"/>
    <cellStyle name="Note 2 3 6" xfId="18883" xr:uid="{00000000-0005-0000-0000-0000E2300000}"/>
    <cellStyle name="Note 2 3 6 2" xfId="19585" xr:uid="{00000000-0005-0000-0000-0000E3300000}"/>
    <cellStyle name="Note 2 3 6 2 2" xfId="19728" xr:uid="{00000000-0005-0000-0000-0000E4300000}"/>
    <cellStyle name="Note 2 3 6 2 2 2" xfId="16935" xr:uid="{00000000-0005-0000-0000-0000E5300000}"/>
    <cellStyle name="Note 2 3 6 2 2 2 2" xfId="19730" xr:uid="{00000000-0005-0000-0000-0000E6300000}"/>
    <cellStyle name="Note 2 3 6 2 2 2 3" xfId="19732" xr:uid="{00000000-0005-0000-0000-0000E7300000}"/>
    <cellStyle name="Note 2 3 6 2 2 2 4" xfId="19735" xr:uid="{00000000-0005-0000-0000-0000E8300000}"/>
    <cellStyle name="Note 2 3 6 2 2 3" xfId="1951" xr:uid="{00000000-0005-0000-0000-0000E9300000}"/>
    <cellStyle name="Note 2 3 6 2 2 4" xfId="2608" xr:uid="{00000000-0005-0000-0000-0000EA300000}"/>
    <cellStyle name="Note 2 3 6 2 2 5" xfId="2633" xr:uid="{00000000-0005-0000-0000-0000EB300000}"/>
    <cellStyle name="Note 2 3 6 2 3" xfId="19736" xr:uid="{00000000-0005-0000-0000-0000EC300000}"/>
    <cellStyle name="Note 2 3 6 2 3 2" xfId="16078" xr:uid="{00000000-0005-0000-0000-0000ED300000}"/>
    <cellStyle name="Note 2 3 6 2 3 3" xfId="283" xr:uid="{00000000-0005-0000-0000-0000EE300000}"/>
    <cellStyle name="Note 2 3 6 2 3 4" xfId="101" xr:uid="{00000000-0005-0000-0000-0000EF300000}"/>
    <cellStyle name="Note 2 3 6 2 4" xfId="19737" xr:uid="{00000000-0005-0000-0000-0000F0300000}"/>
    <cellStyle name="Note 2 3 6 2 5" xfId="1037" xr:uid="{00000000-0005-0000-0000-0000F1300000}"/>
    <cellStyle name="Note 2 3 6 2 6" xfId="1164" xr:uid="{00000000-0005-0000-0000-0000F2300000}"/>
    <cellStyle name="Note 2 3 6 3" xfId="19741" xr:uid="{00000000-0005-0000-0000-0000F3300000}"/>
    <cellStyle name="Note 2 3 6 3 2" xfId="19743" xr:uid="{00000000-0005-0000-0000-0000F4300000}"/>
    <cellStyle name="Note 2 3 6 3 2 2" xfId="2767" xr:uid="{00000000-0005-0000-0000-0000F5300000}"/>
    <cellStyle name="Note 2 3 6 3 2 3" xfId="2783" xr:uid="{00000000-0005-0000-0000-0000F6300000}"/>
    <cellStyle name="Note 2 3 6 3 2 4" xfId="2802" xr:uid="{00000000-0005-0000-0000-0000F7300000}"/>
    <cellStyle name="Note 2 3 6 3 3" xfId="19744" xr:uid="{00000000-0005-0000-0000-0000F8300000}"/>
    <cellStyle name="Note 2 3 6 3 4" xfId="18047" xr:uid="{00000000-0005-0000-0000-0000F9300000}"/>
    <cellStyle name="Note 2 3 6 3 5" xfId="18053" xr:uid="{00000000-0005-0000-0000-0000FA300000}"/>
    <cellStyle name="Note 2 3 6 4" xfId="19748" xr:uid="{00000000-0005-0000-0000-0000FB300000}"/>
    <cellStyle name="Note 2 3 6 4 2" xfId="13444" xr:uid="{00000000-0005-0000-0000-0000FC300000}"/>
    <cellStyle name="Note 2 3 6 4 3" xfId="13446" xr:uid="{00000000-0005-0000-0000-0000FD300000}"/>
    <cellStyle name="Note 2 3 6 4 4" xfId="19750" xr:uid="{00000000-0005-0000-0000-0000FE300000}"/>
    <cellStyle name="Note 2 3 6 5" xfId="18156" xr:uid="{00000000-0005-0000-0000-0000FF300000}"/>
    <cellStyle name="Note 2 3 6 6" xfId="18158" xr:uid="{00000000-0005-0000-0000-000000310000}"/>
    <cellStyle name="Note 2 3 6 7" xfId="11801" xr:uid="{00000000-0005-0000-0000-000001310000}"/>
    <cellStyle name="Note 2 3 7" xfId="18886" xr:uid="{00000000-0005-0000-0000-000002310000}"/>
    <cellStyle name="Note 2 3 7 2" xfId="19751" xr:uid="{00000000-0005-0000-0000-000003310000}"/>
    <cellStyle name="Note 2 3 7 2 2" xfId="19754" xr:uid="{00000000-0005-0000-0000-000004310000}"/>
    <cellStyle name="Note 2 3 7 2 2 2" xfId="17280" xr:uid="{00000000-0005-0000-0000-000005310000}"/>
    <cellStyle name="Note 2 3 7 2 2 3" xfId="2006" xr:uid="{00000000-0005-0000-0000-000006310000}"/>
    <cellStyle name="Note 2 3 7 2 2 4" xfId="3067" xr:uid="{00000000-0005-0000-0000-000007310000}"/>
    <cellStyle name="Note 2 3 7 2 3" xfId="19756" xr:uid="{00000000-0005-0000-0000-000008310000}"/>
    <cellStyle name="Note 2 3 7 2 4" xfId="19758" xr:uid="{00000000-0005-0000-0000-000009310000}"/>
    <cellStyle name="Note 2 3 7 2 5" xfId="19759" xr:uid="{00000000-0005-0000-0000-00000A310000}"/>
    <cellStyle name="Note 2 3 7 3" xfId="19760" xr:uid="{00000000-0005-0000-0000-00000B310000}"/>
    <cellStyle name="Note 2 3 7 3 2" xfId="19761" xr:uid="{00000000-0005-0000-0000-00000C310000}"/>
    <cellStyle name="Note 2 3 7 3 3" xfId="19763" xr:uid="{00000000-0005-0000-0000-00000D310000}"/>
    <cellStyle name="Note 2 3 7 3 4" xfId="17484" xr:uid="{00000000-0005-0000-0000-00000E310000}"/>
    <cellStyle name="Note 2 3 7 4" xfId="19764" xr:uid="{00000000-0005-0000-0000-00000F310000}"/>
    <cellStyle name="Note 2 3 7 5" xfId="19765" xr:uid="{00000000-0005-0000-0000-000010310000}"/>
    <cellStyle name="Note 2 3 7 6" xfId="19766" xr:uid="{00000000-0005-0000-0000-000011310000}"/>
    <cellStyle name="Note 2 3 8" xfId="19675" xr:uid="{00000000-0005-0000-0000-000012310000}"/>
    <cellStyle name="Note 2 3 8 2" xfId="19768" xr:uid="{00000000-0005-0000-0000-000013310000}"/>
    <cellStyle name="Note 2 3 8 2 2" xfId="17214" xr:uid="{00000000-0005-0000-0000-000014310000}"/>
    <cellStyle name="Note 2 3 8 2 3" xfId="17219" xr:uid="{00000000-0005-0000-0000-000015310000}"/>
    <cellStyle name="Note 2 3 8 2 4" xfId="17221" xr:uid="{00000000-0005-0000-0000-000016310000}"/>
    <cellStyle name="Note 2 3 8 3" xfId="3493" xr:uid="{00000000-0005-0000-0000-000017310000}"/>
    <cellStyle name="Note 2 3 8 4" xfId="3605" xr:uid="{00000000-0005-0000-0000-000018310000}"/>
    <cellStyle name="Note 2 3 8 5" xfId="1414" xr:uid="{00000000-0005-0000-0000-000019310000}"/>
    <cellStyle name="Note 2 3 9" xfId="19771" xr:uid="{00000000-0005-0000-0000-00001A310000}"/>
    <cellStyle name="Note 2 3 9 2" xfId="19775" xr:uid="{00000000-0005-0000-0000-00001B310000}"/>
    <cellStyle name="Note 2 3 9 3" xfId="19776" xr:uid="{00000000-0005-0000-0000-00001C310000}"/>
    <cellStyle name="Note 2 3 9 4" xfId="19777" xr:uid="{00000000-0005-0000-0000-00001D310000}"/>
    <cellStyle name="Note 2 4" xfId="11346" xr:uid="{00000000-0005-0000-0000-00001E310000}"/>
    <cellStyle name="Note 2 4 10" xfId="10846" xr:uid="{00000000-0005-0000-0000-00001F310000}"/>
    <cellStyle name="Note 2 4 11" xfId="18341" xr:uid="{00000000-0005-0000-0000-000020310000}"/>
    <cellStyle name="Note 2 4 12" xfId="18345" xr:uid="{00000000-0005-0000-0000-000021310000}"/>
    <cellStyle name="Note 2 4 13" xfId="883" xr:uid="{00000000-0005-0000-0000-000022310000}"/>
    <cellStyle name="Note 2 4 2" xfId="19779" xr:uid="{00000000-0005-0000-0000-000023310000}"/>
    <cellStyle name="Note 2 4 2 10" xfId="19780" xr:uid="{00000000-0005-0000-0000-000024310000}"/>
    <cellStyle name="Note 2 4 2 11" xfId="13150" xr:uid="{00000000-0005-0000-0000-000025310000}"/>
    <cellStyle name="Note 2 4 2 12" xfId="13154" xr:uid="{00000000-0005-0000-0000-000026310000}"/>
    <cellStyle name="Note 2 4 2 2" xfId="19782" xr:uid="{00000000-0005-0000-0000-000027310000}"/>
    <cellStyle name="Note 2 4 2 2 2" xfId="19783" xr:uid="{00000000-0005-0000-0000-000028310000}"/>
    <cellStyle name="Note 2 4 2 2 2 2" xfId="19784" xr:uid="{00000000-0005-0000-0000-000029310000}"/>
    <cellStyle name="Note 2 4 2 2 2 2 2" xfId="14556" xr:uid="{00000000-0005-0000-0000-00002A310000}"/>
    <cellStyle name="Note 2 4 2 2 2 2 2 2" xfId="19786" xr:uid="{00000000-0005-0000-0000-00002B310000}"/>
    <cellStyle name="Note 2 4 2 2 2 2 2 2 2" xfId="13794" xr:uid="{00000000-0005-0000-0000-00002C310000}"/>
    <cellStyle name="Note 2 4 2 2 2 2 2 2 2 2" xfId="19787" xr:uid="{00000000-0005-0000-0000-00002D310000}"/>
    <cellStyle name="Note 2 4 2 2 2 2 2 2 2 3" xfId="19788" xr:uid="{00000000-0005-0000-0000-00002E310000}"/>
    <cellStyle name="Note 2 4 2 2 2 2 2 2 2 4" xfId="19790" xr:uid="{00000000-0005-0000-0000-00002F310000}"/>
    <cellStyle name="Note 2 4 2 2 2 2 2 2 3" xfId="13005" xr:uid="{00000000-0005-0000-0000-000030310000}"/>
    <cellStyle name="Note 2 4 2 2 2 2 2 2 4" xfId="13012" xr:uid="{00000000-0005-0000-0000-000031310000}"/>
    <cellStyle name="Note 2 4 2 2 2 2 2 2 5" xfId="19794" xr:uid="{00000000-0005-0000-0000-000032310000}"/>
    <cellStyle name="Note 2 4 2 2 2 2 2 3" xfId="19796" xr:uid="{00000000-0005-0000-0000-000033310000}"/>
    <cellStyle name="Note 2 4 2 2 2 2 2 3 2" xfId="13800" xr:uid="{00000000-0005-0000-0000-000034310000}"/>
    <cellStyle name="Note 2 4 2 2 2 2 2 3 3" xfId="13804" xr:uid="{00000000-0005-0000-0000-000035310000}"/>
    <cellStyle name="Note 2 4 2 2 2 2 2 3 4" xfId="14600" xr:uid="{00000000-0005-0000-0000-000036310000}"/>
    <cellStyle name="Note 2 4 2 2 2 2 2 4" xfId="19801" xr:uid="{00000000-0005-0000-0000-000037310000}"/>
    <cellStyle name="Note 2 4 2 2 2 2 2 5" xfId="19806" xr:uid="{00000000-0005-0000-0000-000038310000}"/>
    <cellStyle name="Note 2 4 2 2 2 2 2 6" xfId="19811" xr:uid="{00000000-0005-0000-0000-000039310000}"/>
    <cellStyle name="Note 2 4 2 2 2 2 3" xfId="19812" xr:uid="{00000000-0005-0000-0000-00003A310000}"/>
    <cellStyle name="Note 2 4 2 2 2 2 3 2" xfId="19813" xr:uid="{00000000-0005-0000-0000-00003B310000}"/>
    <cellStyle name="Note 2 4 2 2 2 2 3 2 2" xfId="13871" xr:uid="{00000000-0005-0000-0000-00003C310000}"/>
    <cellStyle name="Note 2 4 2 2 2 2 3 2 3" xfId="13874" xr:uid="{00000000-0005-0000-0000-00003D310000}"/>
    <cellStyle name="Note 2 4 2 2 2 2 3 2 4" xfId="19815" xr:uid="{00000000-0005-0000-0000-00003E310000}"/>
    <cellStyle name="Note 2 4 2 2 2 2 3 3" xfId="19816" xr:uid="{00000000-0005-0000-0000-00003F310000}"/>
    <cellStyle name="Note 2 4 2 2 2 2 3 4" xfId="19818" xr:uid="{00000000-0005-0000-0000-000040310000}"/>
    <cellStyle name="Note 2 4 2 2 2 2 3 5" xfId="19820" xr:uid="{00000000-0005-0000-0000-000041310000}"/>
    <cellStyle name="Note 2 4 2 2 2 2 4" xfId="19825" xr:uid="{00000000-0005-0000-0000-000042310000}"/>
    <cellStyle name="Note 2 4 2 2 2 2 4 2" xfId="19829" xr:uid="{00000000-0005-0000-0000-000043310000}"/>
    <cellStyle name="Note 2 4 2 2 2 2 4 3" xfId="19832" xr:uid="{00000000-0005-0000-0000-000044310000}"/>
    <cellStyle name="Note 2 4 2 2 2 2 4 4" xfId="19837" xr:uid="{00000000-0005-0000-0000-000045310000}"/>
    <cellStyle name="Note 2 4 2 2 2 2 5" xfId="19842" xr:uid="{00000000-0005-0000-0000-000046310000}"/>
    <cellStyle name="Note 2 4 2 2 2 2 6" xfId="19844" xr:uid="{00000000-0005-0000-0000-000047310000}"/>
    <cellStyle name="Note 2 4 2 2 2 2 7" xfId="19850" xr:uid="{00000000-0005-0000-0000-000048310000}"/>
    <cellStyle name="Note 2 4 2 2 2 3" xfId="19855" xr:uid="{00000000-0005-0000-0000-000049310000}"/>
    <cellStyle name="Note 2 4 2 2 2 3 2" xfId="19856" xr:uid="{00000000-0005-0000-0000-00004A310000}"/>
    <cellStyle name="Note 2 4 2 2 2 3 2 2" xfId="17454" xr:uid="{00000000-0005-0000-0000-00004B310000}"/>
    <cellStyle name="Note 2 4 2 2 2 3 2 2 2" xfId="861" xr:uid="{00000000-0005-0000-0000-00004C310000}"/>
    <cellStyle name="Note 2 4 2 2 2 3 2 2 3" xfId="876" xr:uid="{00000000-0005-0000-0000-00004D310000}"/>
    <cellStyle name="Note 2 4 2 2 2 3 2 2 4" xfId="14558" xr:uid="{00000000-0005-0000-0000-00004E310000}"/>
    <cellStyle name="Note 2 4 2 2 2 3 2 3" xfId="17456" xr:uid="{00000000-0005-0000-0000-00004F310000}"/>
    <cellStyle name="Note 2 4 2 2 2 3 2 4" xfId="2099" xr:uid="{00000000-0005-0000-0000-000050310000}"/>
    <cellStyle name="Note 2 4 2 2 2 3 2 5" xfId="3469" xr:uid="{00000000-0005-0000-0000-000051310000}"/>
    <cellStyle name="Note 2 4 2 2 2 3 3" xfId="19857" xr:uid="{00000000-0005-0000-0000-000052310000}"/>
    <cellStyle name="Note 2 4 2 2 2 3 3 2" xfId="19858" xr:uid="{00000000-0005-0000-0000-000053310000}"/>
    <cellStyle name="Note 2 4 2 2 2 3 3 3" xfId="19859" xr:uid="{00000000-0005-0000-0000-000054310000}"/>
    <cellStyle name="Note 2 4 2 2 2 3 3 4" xfId="19860" xr:uid="{00000000-0005-0000-0000-000055310000}"/>
    <cellStyle name="Note 2 4 2 2 2 3 4" xfId="17465" xr:uid="{00000000-0005-0000-0000-000056310000}"/>
    <cellStyle name="Note 2 4 2 2 2 3 5" xfId="19864" xr:uid="{00000000-0005-0000-0000-000057310000}"/>
    <cellStyle name="Note 2 4 2 2 2 3 6" xfId="19865" xr:uid="{00000000-0005-0000-0000-000058310000}"/>
    <cellStyle name="Note 2 4 2 2 2 4" xfId="19871" xr:uid="{00000000-0005-0000-0000-000059310000}"/>
    <cellStyle name="Note 2 4 2 2 2 4 2" xfId="19872" xr:uid="{00000000-0005-0000-0000-00005A310000}"/>
    <cellStyle name="Note 2 4 2 2 2 4 2 2" xfId="2200" xr:uid="{00000000-0005-0000-0000-00005B310000}"/>
    <cellStyle name="Note 2 4 2 2 2 4 2 3" xfId="2232" xr:uid="{00000000-0005-0000-0000-00005C310000}"/>
    <cellStyle name="Note 2 4 2 2 2 4 2 4" xfId="343" xr:uid="{00000000-0005-0000-0000-00005D310000}"/>
    <cellStyle name="Note 2 4 2 2 2 4 3" xfId="19873" xr:uid="{00000000-0005-0000-0000-00005E310000}"/>
    <cellStyle name="Note 2 4 2 2 2 4 4" xfId="19878" xr:uid="{00000000-0005-0000-0000-00005F310000}"/>
    <cellStyle name="Note 2 4 2 2 2 4 5" xfId="19882" xr:uid="{00000000-0005-0000-0000-000060310000}"/>
    <cellStyle name="Note 2 4 2 2 2 5" xfId="19884" xr:uid="{00000000-0005-0000-0000-000061310000}"/>
    <cellStyle name="Note 2 4 2 2 2 5 2" xfId="19885" xr:uid="{00000000-0005-0000-0000-000062310000}"/>
    <cellStyle name="Note 2 4 2 2 2 5 3" xfId="19886" xr:uid="{00000000-0005-0000-0000-000063310000}"/>
    <cellStyle name="Note 2 4 2 2 2 5 4" xfId="19889" xr:uid="{00000000-0005-0000-0000-000064310000}"/>
    <cellStyle name="Note 2 4 2 2 2 6" xfId="19891" xr:uid="{00000000-0005-0000-0000-000065310000}"/>
    <cellStyle name="Note 2 4 2 2 2 7" xfId="19893" xr:uid="{00000000-0005-0000-0000-000066310000}"/>
    <cellStyle name="Note 2 4 2 2 2 8" xfId="12968" xr:uid="{00000000-0005-0000-0000-000067310000}"/>
    <cellStyle name="Note 2 4 2 2 3" xfId="11846" xr:uid="{00000000-0005-0000-0000-000068310000}"/>
    <cellStyle name="Note 2 4 2 2 3 2" xfId="4265" xr:uid="{00000000-0005-0000-0000-000069310000}"/>
    <cellStyle name="Note 2 4 2 2 3 2 2" xfId="11849" xr:uid="{00000000-0005-0000-0000-00006A310000}"/>
    <cellStyle name="Note 2 4 2 2 3 2 2 2" xfId="11854" xr:uid="{00000000-0005-0000-0000-00006B310000}"/>
    <cellStyle name="Note 2 4 2 2 3 2 2 2 2" xfId="19895" xr:uid="{00000000-0005-0000-0000-00006C310000}"/>
    <cellStyle name="Note 2 4 2 2 3 2 2 2 3" xfId="19897" xr:uid="{00000000-0005-0000-0000-00006D310000}"/>
    <cellStyle name="Note 2 4 2 2 3 2 2 2 4" xfId="19899" xr:uid="{00000000-0005-0000-0000-00006E310000}"/>
    <cellStyle name="Note 2 4 2 2 3 2 2 3" xfId="11858" xr:uid="{00000000-0005-0000-0000-00006F310000}"/>
    <cellStyle name="Note 2 4 2 2 3 2 2 4" xfId="11863" xr:uid="{00000000-0005-0000-0000-000070310000}"/>
    <cellStyle name="Note 2 4 2 2 3 2 2 5" xfId="19903" xr:uid="{00000000-0005-0000-0000-000071310000}"/>
    <cellStyle name="Note 2 4 2 2 3 2 3" xfId="11867" xr:uid="{00000000-0005-0000-0000-000072310000}"/>
    <cellStyle name="Note 2 4 2 2 3 2 3 2" xfId="19905" xr:uid="{00000000-0005-0000-0000-000073310000}"/>
    <cellStyle name="Note 2 4 2 2 3 2 3 3" xfId="19907" xr:uid="{00000000-0005-0000-0000-000074310000}"/>
    <cellStyle name="Note 2 4 2 2 3 2 3 4" xfId="19909" xr:uid="{00000000-0005-0000-0000-000075310000}"/>
    <cellStyle name="Note 2 4 2 2 3 2 4" xfId="11880" xr:uid="{00000000-0005-0000-0000-000076310000}"/>
    <cellStyle name="Note 2 4 2 2 3 2 5" xfId="11890" xr:uid="{00000000-0005-0000-0000-000077310000}"/>
    <cellStyle name="Note 2 4 2 2 3 2 6" xfId="12186" xr:uid="{00000000-0005-0000-0000-000078310000}"/>
    <cellStyle name="Note 2 4 2 2 3 3" xfId="9617" xr:uid="{00000000-0005-0000-0000-000079310000}"/>
    <cellStyle name="Note 2 4 2 2 3 3 2" xfId="11891" xr:uid="{00000000-0005-0000-0000-00007A310000}"/>
    <cellStyle name="Note 2 4 2 2 3 3 2 2" xfId="19911" xr:uid="{00000000-0005-0000-0000-00007B310000}"/>
    <cellStyle name="Note 2 4 2 2 3 3 2 3" xfId="19913" xr:uid="{00000000-0005-0000-0000-00007C310000}"/>
    <cellStyle name="Note 2 4 2 2 3 3 2 4" xfId="19915" xr:uid="{00000000-0005-0000-0000-00007D310000}"/>
    <cellStyle name="Note 2 4 2 2 3 3 3" xfId="11894" xr:uid="{00000000-0005-0000-0000-00007E310000}"/>
    <cellStyle name="Note 2 4 2 2 3 3 4" xfId="11901" xr:uid="{00000000-0005-0000-0000-00007F310000}"/>
    <cellStyle name="Note 2 4 2 2 3 3 5" xfId="19919" xr:uid="{00000000-0005-0000-0000-000080310000}"/>
    <cellStyle name="Note 2 4 2 2 3 4" xfId="7766" xr:uid="{00000000-0005-0000-0000-000081310000}"/>
    <cellStyle name="Note 2 4 2 2 3 4 2" xfId="19920" xr:uid="{00000000-0005-0000-0000-000082310000}"/>
    <cellStyle name="Note 2 4 2 2 3 4 3" xfId="19921" xr:uid="{00000000-0005-0000-0000-000083310000}"/>
    <cellStyle name="Note 2 4 2 2 3 4 4" xfId="19926" xr:uid="{00000000-0005-0000-0000-000084310000}"/>
    <cellStyle name="Note 2 4 2 2 3 5" xfId="11903" xr:uid="{00000000-0005-0000-0000-000085310000}"/>
    <cellStyle name="Note 2 4 2 2 3 6" xfId="11909" xr:uid="{00000000-0005-0000-0000-000086310000}"/>
    <cellStyle name="Note 2 4 2 2 3 7" xfId="19927" xr:uid="{00000000-0005-0000-0000-000087310000}"/>
    <cellStyle name="Note 2 4 2 2 4" xfId="11914" xr:uid="{00000000-0005-0000-0000-000088310000}"/>
    <cellStyle name="Note 2 4 2 2 4 2" xfId="1696" xr:uid="{00000000-0005-0000-0000-000089310000}"/>
    <cellStyle name="Note 2 4 2 2 4 2 2" xfId="11918" xr:uid="{00000000-0005-0000-0000-00008A310000}"/>
    <cellStyle name="Note 2 4 2 2 4 2 2 2" xfId="19929" xr:uid="{00000000-0005-0000-0000-00008B310000}"/>
    <cellStyle name="Note 2 4 2 2 4 2 2 3" xfId="19931" xr:uid="{00000000-0005-0000-0000-00008C310000}"/>
    <cellStyle name="Note 2 4 2 2 4 2 2 4" xfId="3998" xr:uid="{00000000-0005-0000-0000-00008D310000}"/>
    <cellStyle name="Note 2 4 2 2 4 2 3" xfId="11922" xr:uid="{00000000-0005-0000-0000-00008E310000}"/>
    <cellStyle name="Note 2 4 2 2 4 2 4" xfId="11930" xr:uid="{00000000-0005-0000-0000-00008F310000}"/>
    <cellStyle name="Note 2 4 2 2 4 2 5" xfId="19657" xr:uid="{00000000-0005-0000-0000-000090310000}"/>
    <cellStyle name="Note 2 4 2 2 4 3" xfId="9991" xr:uid="{00000000-0005-0000-0000-000091310000}"/>
    <cellStyle name="Note 2 4 2 2 4 3 2" xfId="19933" xr:uid="{00000000-0005-0000-0000-000092310000}"/>
    <cellStyle name="Note 2 4 2 2 4 3 3" xfId="19934" xr:uid="{00000000-0005-0000-0000-000093310000}"/>
    <cellStyle name="Note 2 4 2 2 4 3 4" xfId="19939" xr:uid="{00000000-0005-0000-0000-000094310000}"/>
    <cellStyle name="Note 2 4 2 2 4 4" xfId="9998" xr:uid="{00000000-0005-0000-0000-000095310000}"/>
    <cellStyle name="Note 2 4 2 2 4 5" xfId="11933" xr:uid="{00000000-0005-0000-0000-000096310000}"/>
    <cellStyle name="Note 2 4 2 2 4 6" xfId="19940" xr:uid="{00000000-0005-0000-0000-000097310000}"/>
    <cellStyle name="Note 2 4 2 2 5" xfId="4502" xr:uid="{00000000-0005-0000-0000-000098310000}"/>
    <cellStyle name="Note 2 4 2 2 5 2" xfId="4518" xr:uid="{00000000-0005-0000-0000-000099310000}"/>
    <cellStyle name="Note 2 4 2 2 5 2 2" xfId="4527" xr:uid="{00000000-0005-0000-0000-00009A310000}"/>
    <cellStyle name="Note 2 4 2 2 5 2 3" xfId="4540" xr:uid="{00000000-0005-0000-0000-00009B310000}"/>
    <cellStyle name="Note 2 4 2 2 5 2 4" xfId="4563" xr:uid="{00000000-0005-0000-0000-00009C310000}"/>
    <cellStyle name="Note 2 4 2 2 5 3" xfId="4586" xr:uid="{00000000-0005-0000-0000-00009D310000}"/>
    <cellStyle name="Note 2 4 2 2 5 4" xfId="4610" xr:uid="{00000000-0005-0000-0000-00009E310000}"/>
    <cellStyle name="Note 2 4 2 2 5 5" xfId="4618" xr:uid="{00000000-0005-0000-0000-00009F310000}"/>
    <cellStyle name="Note 2 4 2 2 6" xfId="4653" xr:uid="{00000000-0005-0000-0000-0000A0310000}"/>
    <cellStyle name="Note 2 4 2 2 6 2" xfId="4658" xr:uid="{00000000-0005-0000-0000-0000A1310000}"/>
    <cellStyle name="Note 2 4 2 2 6 3" xfId="4678" xr:uid="{00000000-0005-0000-0000-0000A2310000}"/>
    <cellStyle name="Note 2 4 2 2 6 4" xfId="4696" xr:uid="{00000000-0005-0000-0000-0000A3310000}"/>
    <cellStyle name="Note 2 4 2 2 7" xfId="4713" xr:uid="{00000000-0005-0000-0000-0000A4310000}"/>
    <cellStyle name="Note 2 4 2 2 8" xfId="1893" xr:uid="{00000000-0005-0000-0000-0000A5310000}"/>
    <cellStyle name="Note 2 4 2 2 9" xfId="4740" xr:uid="{00000000-0005-0000-0000-0000A6310000}"/>
    <cellStyle name="Note 2 4 2 3" xfId="19941" xr:uid="{00000000-0005-0000-0000-0000A7310000}"/>
    <cellStyle name="Note 2 4 2 3 2" xfId="19942" xr:uid="{00000000-0005-0000-0000-0000A8310000}"/>
    <cellStyle name="Note 2 4 2 3 2 2" xfId="19946" xr:uid="{00000000-0005-0000-0000-0000A9310000}"/>
    <cellStyle name="Note 2 4 2 3 2 2 2" xfId="18705" xr:uid="{00000000-0005-0000-0000-0000AA310000}"/>
    <cellStyle name="Note 2 4 2 3 2 2 2 2" xfId="19169" xr:uid="{00000000-0005-0000-0000-0000AB310000}"/>
    <cellStyle name="Note 2 4 2 3 2 2 2 2 2" xfId="19947" xr:uid="{00000000-0005-0000-0000-0000AC310000}"/>
    <cellStyle name="Note 2 4 2 3 2 2 2 2 2 2" xfId="6599" xr:uid="{00000000-0005-0000-0000-0000AD310000}"/>
    <cellStyle name="Note 2 4 2 3 2 2 2 2 2 3" xfId="7709" xr:uid="{00000000-0005-0000-0000-0000AE310000}"/>
    <cellStyle name="Note 2 4 2 3 2 2 2 2 2 4" xfId="19950" xr:uid="{00000000-0005-0000-0000-0000AF310000}"/>
    <cellStyle name="Note 2 4 2 3 2 2 2 2 3" xfId="19951" xr:uid="{00000000-0005-0000-0000-0000B0310000}"/>
    <cellStyle name="Note 2 4 2 3 2 2 2 2 4" xfId="19953" xr:uid="{00000000-0005-0000-0000-0000B1310000}"/>
    <cellStyle name="Note 2 4 2 3 2 2 2 2 5" xfId="19955" xr:uid="{00000000-0005-0000-0000-0000B2310000}"/>
    <cellStyle name="Note 2 4 2 3 2 2 2 3" xfId="19175" xr:uid="{00000000-0005-0000-0000-0000B3310000}"/>
    <cellStyle name="Note 2 4 2 3 2 2 2 3 2" xfId="14498" xr:uid="{00000000-0005-0000-0000-0000B4310000}"/>
    <cellStyle name="Note 2 4 2 3 2 2 2 3 3" xfId="21" xr:uid="{00000000-0005-0000-0000-0000B5310000}"/>
    <cellStyle name="Note 2 4 2 3 2 2 2 3 4" xfId="180" xr:uid="{00000000-0005-0000-0000-0000B6310000}"/>
    <cellStyle name="Note 2 4 2 3 2 2 2 4" xfId="19181" xr:uid="{00000000-0005-0000-0000-0000B7310000}"/>
    <cellStyle name="Note 2 4 2 3 2 2 2 5" xfId="19957" xr:uid="{00000000-0005-0000-0000-0000B8310000}"/>
    <cellStyle name="Note 2 4 2 3 2 2 2 6" xfId="19959" xr:uid="{00000000-0005-0000-0000-0000B9310000}"/>
    <cellStyle name="Note 2 4 2 3 2 2 3" xfId="18710" xr:uid="{00000000-0005-0000-0000-0000BA310000}"/>
    <cellStyle name="Note 2 4 2 3 2 2 3 2" xfId="19960" xr:uid="{00000000-0005-0000-0000-0000BB310000}"/>
    <cellStyle name="Note 2 4 2 3 2 2 3 2 2" xfId="19962" xr:uid="{00000000-0005-0000-0000-0000BC310000}"/>
    <cellStyle name="Note 2 4 2 3 2 2 3 2 3" xfId="19964" xr:uid="{00000000-0005-0000-0000-0000BD310000}"/>
    <cellStyle name="Note 2 4 2 3 2 2 3 2 4" xfId="19966" xr:uid="{00000000-0005-0000-0000-0000BE310000}"/>
    <cellStyle name="Note 2 4 2 3 2 2 3 3" xfId="19968" xr:uid="{00000000-0005-0000-0000-0000BF310000}"/>
    <cellStyle name="Note 2 4 2 3 2 2 3 4" xfId="19972" xr:uid="{00000000-0005-0000-0000-0000C0310000}"/>
    <cellStyle name="Note 2 4 2 3 2 2 3 5" xfId="19975" xr:uid="{00000000-0005-0000-0000-0000C1310000}"/>
    <cellStyle name="Note 2 4 2 3 2 2 4" xfId="19192" xr:uid="{00000000-0005-0000-0000-0000C2310000}"/>
    <cellStyle name="Note 2 4 2 3 2 2 4 2" xfId="12817" xr:uid="{00000000-0005-0000-0000-0000C3310000}"/>
    <cellStyle name="Note 2 4 2 3 2 2 4 3" xfId="19980" xr:uid="{00000000-0005-0000-0000-0000C4310000}"/>
    <cellStyle name="Note 2 4 2 3 2 2 4 4" xfId="19985" xr:uid="{00000000-0005-0000-0000-0000C5310000}"/>
    <cellStyle name="Note 2 4 2 3 2 2 5" xfId="19197" xr:uid="{00000000-0005-0000-0000-0000C6310000}"/>
    <cellStyle name="Note 2 4 2 3 2 2 6" xfId="19986" xr:uid="{00000000-0005-0000-0000-0000C7310000}"/>
    <cellStyle name="Note 2 4 2 3 2 2 7" xfId="19991" xr:uid="{00000000-0005-0000-0000-0000C8310000}"/>
    <cellStyle name="Note 2 4 2 3 2 3" xfId="19998" xr:uid="{00000000-0005-0000-0000-0000C9310000}"/>
    <cellStyle name="Note 2 4 2 3 2 3 2" xfId="18737" xr:uid="{00000000-0005-0000-0000-0000CA310000}"/>
    <cellStyle name="Note 2 4 2 3 2 3 2 2" xfId="19999" xr:uid="{00000000-0005-0000-0000-0000CB310000}"/>
    <cellStyle name="Note 2 4 2 3 2 3 2 2 2" xfId="13009" xr:uid="{00000000-0005-0000-0000-0000CC310000}"/>
    <cellStyle name="Note 2 4 2 3 2 3 2 2 3" xfId="19792" xr:uid="{00000000-0005-0000-0000-0000CD310000}"/>
    <cellStyle name="Note 2 4 2 3 2 3 2 2 4" xfId="20002" xr:uid="{00000000-0005-0000-0000-0000CE310000}"/>
    <cellStyle name="Note 2 4 2 3 2 3 2 3" xfId="20003" xr:uid="{00000000-0005-0000-0000-0000CF310000}"/>
    <cellStyle name="Note 2 4 2 3 2 3 2 4" xfId="20006" xr:uid="{00000000-0005-0000-0000-0000D0310000}"/>
    <cellStyle name="Note 2 4 2 3 2 3 2 5" xfId="20009" xr:uid="{00000000-0005-0000-0000-0000D1310000}"/>
    <cellStyle name="Note 2 4 2 3 2 3 3" xfId="19214" xr:uid="{00000000-0005-0000-0000-0000D2310000}"/>
    <cellStyle name="Note 2 4 2 3 2 3 3 2" xfId="20010" xr:uid="{00000000-0005-0000-0000-0000D3310000}"/>
    <cellStyle name="Note 2 4 2 3 2 3 3 3" xfId="20013" xr:uid="{00000000-0005-0000-0000-0000D4310000}"/>
    <cellStyle name="Note 2 4 2 3 2 3 3 4" xfId="20016" xr:uid="{00000000-0005-0000-0000-0000D5310000}"/>
    <cellStyle name="Note 2 4 2 3 2 3 4" xfId="19218" xr:uid="{00000000-0005-0000-0000-0000D6310000}"/>
    <cellStyle name="Note 2 4 2 3 2 3 5" xfId="20017" xr:uid="{00000000-0005-0000-0000-0000D7310000}"/>
    <cellStyle name="Note 2 4 2 3 2 3 6" xfId="20022" xr:uid="{00000000-0005-0000-0000-0000D8310000}"/>
    <cellStyle name="Note 2 4 2 3 2 4" xfId="20028" xr:uid="{00000000-0005-0000-0000-0000D9310000}"/>
    <cellStyle name="Note 2 4 2 3 2 4 2" xfId="19234" xr:uid="{00000000-0005-0000-0000-0000DA310000}"/>
    <cellStyle name="Note 2 4 2 3 2 4 2 2" xfId="20029" xr:uid="{00000000-0005-0000-0000-0000DB310000}"/>
    <cellStyle name="Note 2 4 2 3 2 4 2 3" xfId="20031" xr:uid="{00000000-0005-0000-0000-0000DC310000}"/>
    <cellStyle name="Note 2 4 2 3 2 4 2 4" xfId="20033" xr:uid="{00000000-0005-0000-0000-0000DD310000}"/>
    <cellStyle name="Note 2 4 2 3 2 4 3" xfId="19238" xr:uid="{00000000-0005-0000-0000-0000DE310000}"/>
    <cellStyle name="Note 2 4 2 3 2 4 4" xfId="20034" xr:uid="{00000000-0005-0000-0000-0000DF310000}"/>
    <cellStyle name="Note 2 4 2 3 2 4 5" xfId="20039" xr:uid="{00000000-0005-0000-0000-0000E0310000}"/>
    <cellStyle name="Note 2 4 2 3 2 5" xfId="17115" xr:uid="{00000000-0005-0000-0000-0000E1310000}"/>
    <cellStyle name="Note 2 4 2 3 2 5 2" xfId="17117" xr:uid="{00000000-0005-0000-0000-0000E2310000}"/>
    <cellStyle name="Note 2 4 2 3 2 5 3" xfId="17121" xr:uid="{00000000-0005-0000-0000-0000E3310000}"/>
    <cellStyle name="Note 2 4 2 3 2 5 4" xfId="17123" xr:uid="{00000000-0005-0000-0000-0000E4310000}"/>
    <cellStyle name="Note 2 4 2 3 2 6" xfId="17125" xr:uid="{00000000-0005-0000-0000-0000E5310000}"/>
    <cellStyle name="Note 2 4 2 3 2 7" xfId="17127" xr:uid="{00000000-0005-0000-0000-0000E6310000}"/>
    <cellStyle name="Note 2 4 2 3 2 8" xfId="15210" xr:uid="{00000000-0005-0000-0000-0000E7310000}"/>
    <cellStyle name="Note 2 4 2 3 3" xfId="11940" xr:uid="{00000000-0005-0000-0000-0000E8310000}"/>
    <cellStyle name="Note 2 4 2 3 3 2" xfId="10500" xr:uid="{00000000-0005-0000-0000-0000E9310000}"/>
    <cellStyle name="Note 2 4 2 3 3 2 2" xfId="11945" xr:uid="{00000000-0005-0000-0000-0000EA310000}"/>
    <cellStyle name="Note 2 4 2 3 3 2 2 2" xfId="20045" xr:uid="{00000000-0005-0000-0000-0000EB310000}"/>
    <cellStyle name="Note 2 4 2 3 3 2 2 2 2" xfId="20046" xr:uid="{00000000-0005-0000-0000-0000EC310000}"/>
    <cellStyle name="Note 2 4 2 3 3 2 2 2 3" xfId="20047" xr:uid="{00000000-0005-0000-0000-0000ED310000}"/>
    <cellStyle name="Note 2 4 2 3 3 2 2 2 4" xfId="20048" xr:uid="{00000000-0005-0000-0000-0000EE310000}"/>
    <cellStyle name="Note 2 4 2 3 3 2 2 3" xfId="20050" xr:uid="{00000000-0005-0000-0000-0000EF310000}"/>
    <cellStyle name="Note 2 4 2 3 3 2 2 4" xfId="20053" xr:uid="{00000000-0005-0000-0000-0000F0310000}"/>
    <cellStyle name="Note 2 4 2 3 3 2 2 5" xfId="20055" xr:uid="{00000000-0005-0000-0000-0000F1310000}"/>
    <cellStyle name="Note 2 4 2 3 3 2 3" xfId="7220" xr:uid="{00000000-0005-0000-0000-0000F2310000}"/>
    <cellStyle name="Note 2 4 2 3 3 2 3 2" xfId="20057" xr:uid="{00000000-0005-0000-0000-0000F3310000}"/>
    <cellStyle name="Note 2 4 2 3 3 2 3 3" xfId="20060" xr:uid="{00000000-0005-0000-0000-0000F4310000}"/>
    <cellStyle name="Note 2 4 2 3 3 2 3 4" xfId="20062" xr:uid="{00000000-0005-0000-0000-0000F5310000}"/>
    <cellStyle name="Note 2 4 2 3 3 2 4" xfId="7233" xr:uid="{00000000-0005-0000-0000-0000F6310000}"/>
    <cellStyle name="Note 2 4 2 3 3 2 5" xfId="19033" xr:uid="{00000000-0005-0000-0000-0000F7310000}"/>
    <cellStyle name="Note 2 4 2 3 3 2 6" xfId="19039" xr:uid="{00000000-0005-0000-0000-0000F8310000}"/>
    <cellStyle name="Note 2 4 2 3 3 3" xfId="10505" xr:uid="{00000000-0005-0000-0000-0000F9310000}"/>
    <cellStyle name="Note 2 4 2 3 3 3 2" xfId="19267" xr:uid="{00000000-0005-0000-0000-0000FA310000}"/>
    <cellStyle name="Note 2 4 2 3 3 3 2 2" xfId="20065" xr:uid="{00000000-0005-0000-0000-0000FB310000}"/>
    <cellStyle name="Note 2 4 2 3 3 3 2 3" xfId="20067" xr:uid="{00000000-0005-0000-0000-0000FC310000}"/>
    <cellStyle name="Note 2 4 2 3 3 3 2 4" xfId="20068" xr:uid="{00000000-0005-0000-0000-0000FD310000}"/>
    <cellStyle name="Note 2 4 2 3 3 3 3" xfId="19270" xr:uid="{00000000-0005-0000-0000-0000FE310000}"/>
    <cellStyle name="Note 2 4 2 3 3 3 4" xfId="19054" xr:uid="{00000000-0005-0000-0000-0000FF310000}"/>
    <cellStyle name="Note 2 4 2 3 3 3 5" xfId="19074" xr:uid="{00000000-0005-0000-0000-000000320000}"/>
    <cellStyle name="Note 2 4 2 3 3 4" xfId="11949" xr:uid="{00000000-0005-0000-0000-000001320000}"/>
    <cellStyle name="Note 2 4 2 3 3 4 2" xfId="19276" xr:uid="{00000000-0005-0000-0000-000002320000}"/>
    <cellStyle name="Note 2 4 2 3 3 4 3" xfId="20069" xr:uid="{00000000-0005-0000-0000-000003320000}"/>
    <cellStyle name="Note 2 4 2 3 3 4 4" xfId="19099" xr:uid="{00000000-0005-0000-0000-000004320000}"/>
    <cellStyle name="Note 2 4 2 3 3 5" xfId="11954" xr:uid="{00000000-0005-0000-0000-000005320000}"/>
    <cellStyle name="Note 2 4 2 3 3 6" xfId="17132" xr:uid="{00000000-0005-0000-0000-000006320000}"/>
    <cellStyle name="Note 2 4 2 3 3 7" xfId="17134" xr:uid="{00000000-0005-0000-0000-000007320000}"/>
    <cellStyle name="Note 2 4 2 3 4" xfId="11959" xr:uid="{00000000-0005-0000-0000-000008320000}"/>
    <cellStyle name="Note 2 4 2 3 4 2" xfId="10084" xr:uid="{00000000-0005-0000-0000-000009320000}"/>
    <cellStyle name="Note 2 4 2 3 4 2 2" xfId="19290" xr:uid="{00000000-0005-0000-0000-00000A320000}"/>
    <cellStyle name="Note 2 4 2 3 4 2 2 2" xfId="20071" xr:uid="{00000000-0005-0000-0000-00000B320000}"/>
    <cellStyle name="Note 2 4 2 3 4 2 2 3" xfId="20073" xr:uid="{00000000-0005-0000-0000-00000C320000}"/>
    <cellStyle name="Note 2 4 2 3 4 2 2 4" xfId="20074" xr:uid="{00000000-0005-0000-0000-00000D320000}"/>
    <cellStyle name="Note 2 4 2 3 4 2 3" xfId="19294" xr:uid="{00000000-0005-0000-0000-00000E320000}"/>
    <cellStyle name="Note 2 4 2 3 4 2 4" xfId="19586" xr:uid="{00000000-0005-0000-0000-00000F320000}"/>
    <cellStyle name="Note 2 4 2 3 4 2 5" xfId="19742" xr:uid="{00000000-0005-0000-0000-000010320000}"/>
    <cellStyle name="Note 2 4 2 3 4 3" xfId="10094" xr:uid="{00000000-0005-0000-0000-000011320000}"/>
    <cellStyle name="Note 2 4 2 3 4 3 2" xfId="19302" xr:uid="{00000000-0005-0000-0000-000012320000}"/>
    <cellStyle name="Note 2 4 2 3 4 3 3" xfId="20075" xr:uid="{00000000-0005-0000-0000-000013320000}"/>
    <cellStyle name="Note 2 4 2 3 4 3 4" xfId="19752" xr:uid="{00000000-0005-0000-0000-000014320000}"/>
    <cellStyle name="Note 2 4 2 3 4 4" xfId="11966" xr:uid="{00000000-0005-0000-0000-000015320000}"/>
    <cellStyle name="Note 2 4 2 3 4 5" xfId="19587" xr:uid="{00000000-0005-0000-0000-000016320000}"/>
    <cellStyle name="Note 2 4 2 3 4 6" xfId="20076" xr:uid="{00000000-0005-0000-0000-000017320000}"/>
    <cellStyle name="Note 2 4 2 3 5" xfId="3387" xr:uid="{00000000-0005-0000-0000-000018320000}"/>
    <cellStyle name="Note 2 4 2 3 5 2" xfId="3837" xr:uid="{00000000-0005-0000-0000-000019320000}"/>
    <cellStyle name="Note 2 4 2 3 5 2 2" xfId="471" xr:uid="{00000000-0005-0000-0000-00001A320000}"/>
    <cellStyle name="Note 2 4 2 3 5 2 3" xfId="495" xr:uid="{00000000-0005-0000-0000-00001B320000}"/>
    <cellStyle name="Note 2 4 2 3 5 2 4" xfId="544" xr:uid="{00000000-0005-0000-0000-00001C320000}"/>
    <cellStyle name="Note 2 4 2 3 5 3" xfId="1489" xr:uid="{00000000-0005-0000-0000-00001D320000}"/>
    <cellStyle name="Note 2 4 2 3 5 4" xfId="1580" xr:uid="{00000000-0005-0000-0000-00001E320000}"/>
    <cellStyle name="Note 2 4 2 3 5 5" xfId="1599" xr:uid="{00000000-0005-0000-0000-00001F320000}"/>
    <cellStyle name="Note 2 4 2 3 6" xfId="3402" xr:uid="{00000000-0005-0000-0000-000020320000}"/>
    <cellStyle name="Note 2 4 2 3 6 2" xfId="4753" xr:uid="{00000000-0005-0000-0000-000021320000}"/>
    <cellStyle name="Note 2 4 2 3 6 3" xfId="4761" xr:uid="{00000000-0005-0000-0000-000022320000}"/>
    <cellStyle name="Note 2 4 2 3 6 4" xfId="4766" xr:uid="{00000000-0005-0000-0000-000023320000}"/>
    <cellStyle name="Note 2 4 2 3 7" xfId="4772" xr:uid="{00000000-0005-0000-0000-000024320000}"/>
    <cellStyle name="Note 2 4 2 3 8" xfId="293" xr:uid="{00000000-0005-0000-0000-000025320000}"/>
    <cellStyle name="Note 2 4 2 3 9" xfId="113" xr:uid="{00000000-0005-0000-0000-000026320000}"/>
    <cellStyle name="Note 2 4 2 4" xfId="20078" xr:uid="{00000000-0005-0000-0000-000027320000}"/>
    <cellStyle name="Note 2 4 2 4 2" xfId="868" xr:uid="{00000000-0005-0000-0000-000028320000}"/>
    <cellStyle name="Note 2 4 2 4 2 2" xfId="888" xr:uid="{00000000-0005-0000-0000-000029320000}"/>
    <cellStyle name="Note 2 4 2 4 2 2 2" xfId="17988" xr:uid="{00000000-0005-0000-0000-00002A320000}"/>
    <cellStyle name="Note 2 4 2 4 2 2 2 2" xfId="19359" xr:uid="{00000000-0005-0000-0000-00002B320000}"/>
    <cellStyle name="Note 2 4 2 4 2 2 2 2 2" xfId="20080" xr:uid="{00000000-0005-0000-0000-00002C320000}"/>
    <cellStyle name="Note 2 4 2 4 2 2 2 2 3" xfId="20081" xr:uid="{00000000-0005-0000-0000-00002D320000}"/>
    <cellStyle name="Note 2 4 2 4 2 2 2 2 4" xfId="20082" xr:uid="{00000000-0005-0000-0000-00002E320000}"/>
    <cellStyle name="Note 2 4 2 4 2 2 2 3" xfId="19362" xr:uid="{00000000-0005-0000-0000-00002F320000}"/>
    <cellStyle name="Note 2 4 2 4 2 2 2 4" xfId="19366" xr:uid="{00000000-0005-0000-0000-000030320000}"/>
    <cellStyle name="Note 2 4 2 4 2 2 2 5" xfId="20084" xr:uid="{00000000-0005-0000-0000-000031320000}"/>
    <cellStyle name="Note 2 4 2 4 2 2 3" xfId="17996" xr:uid="{00000000-0005-0000-0000-000032320000}"/>
    <cellStyle name="Note 2 4 2 4 2 2 3 2" xfId="20085" xr:uid="{00000000-0005-0000-0000-000033320000}"/>
    <cellStyle name="Note 2 4 2 4 2 2 3 3" xfId="20087" xr:uid="{00000000-0005-0000-0000-000034320000}"/>
    <cellStyle name="Note 2 4 2 4 2 2 3 4" xfId="20089" xr:uid="{00000000-0005-0000-0000-000035320000}"/>
    <cellStyle name="Note 2 4 2 4 2 2 4" xfId="18515" xr:uid="{00000000-0005-0000-0000-000036320000}"/>
    <cellStyle name="Note 2 4 2 4 2 2 5" xfId="18521" xr:uid="{00000000-0005-0000-0000-000037320000}"/>
    <cellStyle name="Note 2 4 2 4 2 2 6" xfId="18523" xr:uid="{00000000-0005-0000-0000-000038320000}"/>
    <cellStyle name="Note 2 4 2 4 2 3" xfId="20090" xr:uid="{00000000-0005-0000-0000-000039320000}"/>
    <cellStyle name="Note 2 4 2 4 2 3 2" xfId="18032" xr:uid="{00000000-0005-0000-0000-00003A320000}"/>
    <cellStyle name="Note 2 4 2 4 2 3 2 2" xfId="2643" xr:uid="{00000000-0005-0000-0000-00003B320000}"/>
    <cellStyle name="Note 2 4 2 4 2 3 2 3" xfId="2662" xr:uid="{00000000-0005-0000-0000-00003C320000}"/>
    <cellStyle name="Note 2 4 2 4 2 3 2 4" xfId="1727" xr:uid="{00000000-0005-0000-0000-00003D320000}"/>
    <cellStyle name="Note 2 4 2 4 2 3 3" xfId="19378" xr:uid="{00000000-0005-0000-0000-00003E320000}"/>
    <cellStyle name="Note 2 4 2 4 2 3 4" xfId="19381" xr:uid="{00000000-0005-0000-0000-00003F320000}"/>
    <cellStyle name="Note 2 4 2 4 2 3 5" xfId="20091" xr:uid="{00000000-0005-0000-0000-000040320000}"/>
    <cellStyle name="Note 2 4 2 4 2 4" xfId="10865" xr:uid="{00000000-0005-0000-0000-000041320000}"/>
    <cellStyle name="Note 2 4 2 4 2 4 2" xfId="19398" xr:uid="{00000000-0005-0000-0000-000042320000}"/>
    <cellStyle name="Note 2 4 2 4 2 4 3" xfId="19399" xr:uid="{00000000-0005-0000-0000-000043320000}"/>
    <cellStyle name="Note 2 4 2 4 2 4 4" xfId="20095" xr:uid="{00000000-0005-0000-0000-000044320000}"/>
    <cellStyle name="Note 2 4 2 4 2 5" xfId="8985" xr:uid="{00000000-0005-0000-0000-000045320000}"/>
    <cellStyle name="Note 2 4 2 4 2 6" xfId="9019" xr:uid="{00000000-0005-0000-0000-000046320000}"/>
    <cellStyle name="Note 2 4 2 4 2 7" xfId="17147" xr:uid="{00000000-0005-0000-0000-000047320000}"/>
    <cellStyle name="Note 2 4 2 4 3" xfId="892" xr:uid="{00000000-0005-0000-0000-000048320000}"/>
    <cellStyle name="Note 2 4 2 4 3 2" xfId="10534" xr:uid="{00000000-0005-0000-0000-000049320000}"/>
    <cellStyle name="Note 2 4 2 4 3 2 2" xfId="18107" xr:uid="{00000000-0005-0000-0000-00004A320000}"/>
    <cellStyle name="Note 2 4 2 4 3 2 2 2" xfId="2332" xr:uid="{00000000-0005-0000-0000-00004B320000}"/>
    <cellStyle name="Note 2 4 2 4 3 2 2 3" xfId="20097" xr:uid="{00000000-0005-0000-0000-00004C320000}"/>
    <cellStyle name="Note 2 4 2 4 3 2 2 4" xfId="20099" xr:uid="{00000000-0005-0000-0000-00004D320000}"/>
    <cellStyle name="Note 2 4 2 4 3 2 3" xfId="19428" xr:uid="{00000000-0005-0000-0000-00004E320000}"/>
    <cellStyle name="Note 2 4 2 4 3 2 4" xfId="19436" xr:uid="{00000000-0005-0000-0000-00004F320000}"/>
    <cellStyle name="Note 2 4 2 4 3 2 5" xfId="20104" xr:uid="{00000000-0005-0000-0000-000050320000}"/>
    <cellStyle name="Note 2 4 2 4 3 3" xfId="11975" xr:uid="{00000000-0005-0000-0000-000051320000}"/>
    <cellStyle name="Note 2 4 2 4 3 3 2" xfId="19446" xr:uid="{00000000-0005-0000-0000-000052320000}"/>
    <cellStyle name="Note 2 4 2 4 3 3 3" xfId="19449" xr:uid="{00000000-0005-0000-0000-000053320000}"/>
    <cellStyle name="Note 2 4 2 4 3 3 4" xfId="20106" xr:uid="{00000000-0005-0000-0000-000054320000}"/>
    <cellStyle name="Note 2 4 2 4 3 4" xfId="11978" xr:uid="{00000000-0005-0000-0000-000055320000}"/>
    <cellStyle name="Note 2 4 2 4 3 5" xfId="20107" xr:uid="{00000000-0005-0000-0000-000056320000}"/>
    <cellStyle name="Note 2 4 2 4 3 6" xfId="20108" xr:uid="{00000000-0005-0000-0000-000057320000}"/>
    <cellStyle name="Note 2 4 2 4 4" xfId="905" xr:uid="{00000000-0005-0000-0000-000058320000}"/>
    <cellStyle name="Note 2 4 2 4 4 2" xfId="18803" xr:uid="{00000000-0005-0000-0000-000059320000}"/>
    <cellStyle name="Note 2 4 2 4 4 2 2" xfId="17975" xr:uid="{00000000-0005-0000-0000-00005A320000}"/>
    <cellStyle name="Note 2 4 2 4 4 2 3" xfId="19340" xr:uid="{00000000-0005-0000-0000-00005B320000}"/>
    <cellStyle name="Note 2 4 2 4 4 2 4" xfId="19345" xr:uid="{00000000-0005-0000-0000-00005C320000}"/>
    <cellStyle name="Note 2 4 2 4 4 3" xfId="18807" xr:uid="{00000000-0005-0000-0000-00005D320000}"/>
    <cellStyle name="Note 2 4 2 4 4 4" xfId="19595" xr:uid="{00000000-0005-0000-0000-00005E320000}"/>
    <cellStyle name="Note 2 4 2 4 4 5" xfId="20110" xr:uid="{00000000-0005-0000-0000-00005F320000}"/>
    <cellStyle name="Note 2 4 2 4 5" xfId="4223" xr:uid="{00000000-0005-0000-0000-000060320000}"/>
    <cellStyle name="Note 2 4 2 4 5 2" xfId="4241" xr:uid="{00000000-0005-0000-0000-000061320000}"/>
    <cellStyle name="Note 2 4 2 4 5 3" xfId="1671" xr:uid="{00000000-0005-0000-0000-000062320000}"/>
    <cellStyle name="Note 2 4 2 4 5 4" xfId="1713" xr:uid="{00000000-0005-0000-0000-000063320000}"/>
    <cellStyle name="Note 2 4 2 4 6" xfId="4277" xr:uid="{00000000-0005-0000-0000-000064320000}"/>
    <cellStyle name="Note 2 4 2 4 7" xfId="4332" xr:uid="{00000000-0005-0000-0000-000065320000}"/>
    <cellStyle name="Note 2 4 2 4 8" xfId="4348" xr:uid="{00000000-0005-0000-0000-000066320000}"/>
    <cellStyle name="Note 2 4 2 5" xfId="18161" xr:uid="{00000000-0005-0000-0000-000067320000}"/>
    <cellStyle name="Note 2 4 2 5 2" xfId="18164" xr:uid="{00000000-0005-0000-0000-000068320000}"/>
    <cellStyle name="Note 2 4 2 5 2 2" xfId="18168" xr:uid="{00000000-0005-0000-0000-000069320000}"/>
    <cellStyle name="Note 2 4 2 5 2 2 2" xfId="4397" xr:uid="{00000000-0005-0000-0000-00006A320000}"/>
    <cellStyle name="Note 2 4 2 5 2 2 2 2" xfId="18173" xr:uid="{00000000-0005-0000-0000-00006B320000}"/>
    <cellStyle name="Note 2 4 2 5 2 2 2 3" xfId="18176" xr:uid="{00000000-0005-0000-0000-00006C320000}"/>
    <cellStyle name="Note 2 4 2 5 2 2 2 4" xfId="18179" xr:uid="{00000000-0005-0000-0000-00006D320000}"/>
    <cellStyle name="Note 2 4 2 5 2 2 3" xfId="4420" xr:uid="{00000000-0005-0000-0000-00006E320000}"/>
    <cellStyle name="Note 2 4 2 5 2 2 4" xfId="4440" xr:uid="{00000000-0005-0000-0000-00006F320000}"/>
    <cellStyle name="Note 2 4 2 5 2 2 5" xfId="14874" xr:uid="{00000000-0005-0000-0000-000070320000}"/>
    <cellStyle name="Note 2 4 2 5 2 3" xfId="18185" xr:uid="{00000000-0005-0000-0000-000071320000}"/>
    <cellStyle name="Note 2 4 2 5 2 3 2" xfId="4460" xr:uid="{00000000-0005-0000-0000-000072320000}"/>
    <cellStyle name="Note 2 4 2 5 2 3 3" xfId="4466" xr:uid="{00000000-0005-0000-0000-000073320000}"/>
    <cellStyle name="Note 2 4 2 5 2 3 4" xfId="14888" xr:uid="{00000000-0005-0000-0000-000074320000}"/>
    <cellStyle name="Note 2 4 2 5 2 4" xfId="18189" xr:uid="{00000000-0005-0000-0000-000075320000}"/>
    <cellStyle name="Note 2 4 2 5 2 5" xfId="18192" xr:uid="{00000000-0005-0000-0000-000076320000}"/>
    <cellStyle name="Note 2 4 2 5 2 6" xfId="18195" xr:uid="{00000000-0005-0000-0000-000077320000}"/>
    <cellStyle name="Note 2 4 2 5 3" xfId="9151" xr:uid="{00000000-0005-0000-0000-000078320000}"/>
    <cellStyle name="Note 2 4 2 5 3 2" xfId="18200" xr:uid="{00000000-0005-0000-0000-000079320000}"/>
    <cellStyle name="Note 2 4 2 5 3 2 2" xfId="4038" xr:uid="{00000000-0005-0000-0000-00007A320000}"/>
    <cellStyle name="Note 2 4 2 5 3 2 3" xfId="4056" xr:uid="{00000000-0005-0000-0000-00007B320000}"/>
    <cellStyle name="Note 2 4 2 5 3 2 4" xfId="7950" xr:uid="{00000000-0005-0000-0000-00007C320000}"/>
    <cellStyle name="Note 2 4 2 5 3 3" xfId="18204" xr:uid="{00000000-0005-0000-0000-00007D320000}"/>
    <cellStyle name="Note 2 4 2 5 3 4" xfId="18208" xr:uid="{00000000-0005-0000-0000-00007E320000}"/>
    <cellStyle name="Note 2 4 2 5 3 5" xfId="18211" xr:uid="{00000000-0005-0000-0000-00007F320000}"/>
    <cellStyle name="Note 2 4 2 5 4" xfId="11987" xr:uid="{00000000-0005-0000-0000-000080320000}"/>
    <cellStyle name="Note 2 4 2 5 4 2" xfId="18216" xr:uid="{00000000-0005-0000-0000-000081320000}"/>
    <cellStyle name="Note 2 4 2 5 4 3" xfId="18220" xr:uid="{00000000-0005-0000-0000-000082320000}"/>
    <cellStyle name="Note 2 4 2 5 4 4" xfId="18225" xr:uid="{00000000-0005-0000-0000-000083320000}"/>
    <cellStyle name="Note 2 4 2 5 5" xfId="4362" xr:uid="{00000000-0005-0000-0000-000084320000}"/>
    <cellStyle name="Note 2 4 2 5 6" xfId="4392" xr:uid="{00000000-0005-0000-0000-000085320000}"/>
    <cellStyle name="Note 2 4 2 5 7" xfId="4416" xr:uid="{00000000-0005-0000-0000-000086320000}"/>
    <cellStyle name="Note 2 4 2 6" xfId="18229" xr:uid="{00000000-0005-0000-0000-000087320000}"/>
    <cellStyle name="Note 2 4 2 6 2" xfId="18232" xr:uid="{00000000-0005-0000-0000-000088320000}"/>
    <cellStyle name="Note 2 4 2 6 2 2" xfId="18236" xr:uid="{00000000-0005-0000-0000-000089320000}"/>
    <cellStyle name="Note 2 4 2 6 2 2 2" xfId="6146" xr:uid="{00000000-0005-0000-0000-00008A320000}"/>
    <cellStyle name="Note 2 4 2 6 2 2 3" xfId="6149" xr:uid="{00000000-0005-0000-0000-00008B320000}"/>
    <cellStyle name="Note 2 4 2 6 2 2 4" xfId="6164" xr:uid="{00000000-0005-0000-0000-00008C320000}"/>
    <cellStyle name="Note 2 4 2 6 2 3" xfId="18239" xr:uid="{00000000-0005-0000-0000-00008D320000}"/>
    <cellStyle name="Note 2 4 2 6 2 4" xfId="18242" xr:uid="{00000000-0005-0000-0000-00008E320000}"/>
    <cellStyle name="Note 2 4 2 6 2 5" xfId="18245" xr:uid="{00000000-0005-0000-0000-00008F320000}"/>
    <cellStyle name="Note 2 4 2 6 3" xfId="18249" xr:uid="{00000000-0005-0000-0000-000090320000}"/>
    <cellStyle name="Note 2 4 2 6 3 2" xfId="18253" xr:uid="{00000000-0005-0000-0000-000091320000}"/>
    <cellStyle name="Note 2 4 2 6 3 3" xfId="18256" xr:uid="{00000000-0005-0000-0000-000092320000}"/>
    <cellStyle name="Note 2 4 2 6 3 4" xfId="18259" xr:uid="{00000000-0005-0000-0000-000093320000}"/>
    <cellStyle name="Note 2 4 2 6 4" xfId="18264" xr:uid="{00000000-0005-0000-0000-000094320000}"/>
    <cellStyle name="Note 2 4 2 6 5" xfId="57" xr:uid="{00000000-0005-0000-0000-000095320000}"/>
    <cellStyle name="Note 2 4 2 6 6" xfId="4457" xr:uid="{00000000-0005-0000-0000-000096320000}"/>
    <cellStyle name="Note 2 4 2 7" xfId="18268" xr:uid="{00000000-0005-0000-0000-000097320000}"/>
    <cellStyle name="Note 2 4 2 7 2" xfId="18273" xr:uid="{00000000-0005-0000-0000-000098320000}"/>
    <cellStyle name="Note 2 4 2 7 2 2" xfId="18277" xr:uid="{00000000-0005-0000-0000-000099320000}"/>
    <cellStyle name="Note 2 4 2 7 2 3" xfId="18281" xr:uid="{00000000-0005-0000-0000-00009A320000}"/>
    <cellStyle name="Note 2 4 2 7 2 4" xfId="18285" xr:uid="{00000000-0005-0000-0000-00009B320000}"/>
    <cellStyle name="Note 2 4 2 7 3" xfId="18290" xr:uid="{00000000-0005-0000-0000-00009C320000}"/>
    <cellStyle name="Note 2 4 2 7 4" xfId="18296" xr:uid="{00000000-0005-0000-0000-00009D320000}"/>
    <cellStyle name="Note 2 4 2 7 5" xfId="18301" xr:uid="{00000000-0005-0000-0000-00009E320000}"/>
    <cellStyle name="Note 2 4 2 8" xfId="18305" xr:uid="{00000000-0005-0000-0000-00009F320000}"/>
    <cellStyle name="Note 2 4 2 8 2" xfId="18310" xr:uid="{00000000-0005-0000-0000-0000A0320000}"/>
    <cellStyle name="Note 2 4 2 8 3" xfId="18315" xr:uid="{00000000-0005-0000-0000-0000A1320000}"/>
    <cellStyle name="Note 2 4 2 8 4" xfId="18319" xr:uid="{00000000-0005-0000-0000-0000A2320000}"/>
    <cellStyle name="Note 2 4 2 9" xfId="14976" xr:uid="{00000000-0005-0000-0000-0000A3320000}"/>
    <cellStyle name="Note 2 4 3" xfId="20111" xr:uid="{00000000-0005-0000-0000-0000A4320000}"/>
    <cellStyle name="Note 2 4 3 2" xfId="20112" xr:uid="{00000000-0005-0000-0000-0000A5320000}"/>
    <cellStyle name="Note 2 4 3 2 2" xfId="20113" xr:uid="{00000000-0005-0000-0000-0000A6320000}"/>
    <cellStyle name="Note 2 4 3 2 2 2" xfId="20114" xr:uid="{00000000-0005-0000-0000-0000A7320000}"/>
    <cellStyle name="Note 2 4 3 2 2 2 2" xfId="15289" xr:uid="{00000000-0005-0000-0000-0000A8320000}"/>
    <cellStyle name="Note 2 4 3 2 2 2 2 2" xfId="20115" xr:uid="{00000000-0005-0000-0000-0000A9320000}"/>
    <cellStyle name="Note 2 4 3 2 2 2 2 2 2" xfId="13840" xr:uid="{00000000-0005-0000-0000-0000AA320000}"/>
    <cellStyle name="Note 2 4 3 2 2 2 2 2 3" xfId="13842" xr:uid="{00000000-0005-0000-0000-0000AB320000}"/>
    <cellStyle name="Note 2 4 3 2 2 2 2 2 4" xfId="13845" xr:uid="{00000000-0005-0000-0000-0000AC320000}"/>
    <cellStyle name="Note 2 4 3 2 2 2 2 3" xfId="20116" xr:uid="{00000000-0005-0000-0000-0000AD320000}"/>
    <cellStyle name="Note 2 4 3 2 2 2 2 4" xfId="20118" xr:uid="{00000000-0005-0000-0000-0000AE320000}"/>
    <cellStyle name="Note 2 4 3 2 2 2 2 5" xfId="20124" xr:uid="{00000000-0005-0000-0000-0000AF320000}"/>
    <cellStyle name="Note 2 4 3 2 2 2 3" xfId="20128" xr:uid="{00000000-0005-0000-0000-0000B0320000}"/>
    <cellStyle name="Note 2 4 3 2 2 2 3 2" xfId="20130" xr:uid="{00000000-0005-0000-0000-0000B1320000}"/>
    <cellStyle name="Note 2 4 3 2 2 2 3 3" xfId="20132" xr:uid="{00000000-0005-0000-0000-0000B2320000}"/>
    <cellStyle name="Note 2 4 3 2 2 2 3 4" xfId="20133" xr:uid="{00000000-0005-0000-0000-0000B3320000}"/>
    <cellStyle name="Note 2 4 3 2 2 2 4" xfId="20140" xr:uid="{00000000-0005-0000-0000-0000B4320000}"/>
    <cellStyle name="Note 2 4 3 2 2 2 5" xfId="20145" xr:uid="{00000000-0005-0000-0000-0000B5320000}"/>
    <cellStyle name="Note 2 4 3 2 2 2 6" xfId="20146" xr:uid="{00000000-0005-0000-0000-0000B6320000}"/>
    <cellStyle name="Note 2 4 3 2 2 3" xfId="20150" xr:uid="{00000000-0005-0000-0000-0000B7320000}"/>
    <cellStyle name="Note 2 4 3 2 2 3 2" xfId="3121" xr:uid="{00000000-0005-0000-0000-0000B8320000}"/>
    <cellStyle name="Note 2 4 3 2 2 3 2 2" xfId="3123" xr:uid="{00000000-0005-0000-0000-0000B9320000}"/>
    <cellStyle name="Note 2 4 3 2 2 3 2 3" xfId="3139" xr:uid="{00000000-0005-0000-0000-0000BA320000}"/>
    <cellStyle name="Note 2 4 3 2 2 3 2 4" xfId="3147" xr:uid="{00000000-0005-0000-0000-0000BB320000}"/>
    <cellStyle name="Note 2 4 3 2 2 3 3" xfId="3162" xr:uid="{00000000-0005-0000-0000-0000BC320000}"/>
    <cellStyle name="Note 2 4 3 2 2 3 4" xfId="3168" xr:uid="{00000000-0005-0000-0000-0000BD320000}"/>
    <cellStyle name="Note 2 4 3 2 2 3 5" xfId="3173" xr:uid="{00000000-0005-0000-0000-0000BE320000}"/>
    <cellStyle name="Note 2 4 3 2 2 4" xfId="20151" xr:uid="{00000000-0005-0000-0000-0000BF320000}"/>
    <cellStyle name="Note 2 4 3 2 2 4 2" xfId="2305" xr:uid="{00000000-0005-0000-0000-0000C0320000}"/>
    <cellStyle name="Note 2 4 3 2 2 4 3" xfId="2312" xr:uid="{00000000-0005-0000-0000-0000C1320000}"/>
    <cellStyle name="Note 2 4 3 2 2 4 4" xfId="3264" xr:uid="{00000000-0005-0000-0000-0000C2320000}"/>
    <cellStyle name="Note 2 4 3 2 2 5" xfId="20152" xr:uid="{00000000-0005-0000-0000-0000C3320000}"/>
    <cellStyle name="Note 2 4 3 2 2 6" xfId="20153" xr:uid="{00000000-0005-0000-0000-0000C4320000}"/>
    <cellStyle name="Note 2 4 3 2 2 7" xfId="20154" xr:uid="{00000000-0005-0000-0000-0000C5320000}"/>
    <cellStyle name="Note 2 4 3 2 3" xfId="12010" xr:uid="{00000000-0005-0000-0000-0000C6320000}"/>
    <cellStyle name="Note 2 4 3 2 3 2" xfId="10664" xr:uid="{00000000-0005-0000-0000-0000C7320000}"/>
    <cellStyle name="Note 2 4 3 2 3 2 2" xfId="10670" xr:uid="{00000000-0005-0000-0000-0000C8320000}"/>
    <cellStyle name="Note 2 4 3 2 3 2 2 2" xfId="19799" xr:uid="{00000000-0005-0000-0000-0000C9320000}"/>
    <cellStyle name="Note 2 4 3 2 3 2 2 3" xfId="19804" xr:uid="{00000000-0005-0000-0000-0000CA320000}"/>
    <cellStyle name="Note 2 4 3 2 3 2 2 4" xfId="19809" xr:uid="{00000000-0005-0000-0000-0000CB320000}"/>
    <cellStyle name="Note 2 4 3 2 3 2 3" xfId="10677" xr:uid="{00000000-0005-0000-0000-0000CC320000}"/>
    <cellStyle name="Note 2 4 3 2 3 2 4" xfId="10691" xr:uid="{00000000-0005-0000-0000-0000CD320000}"/>
    <cellStyle name="Note 2 4 3 2 3 2 5" xfId="20160" xr:uid="{00000000-0005-0000-0000-0000CE320000}"/>
    <cellStyle name="Note 2 4 3 2 3 3" xfId="10695" xr:uid="{00000000-0005-0000-0000-0000CF320000}"/>
    <cellStyle name="Note 2 4 3 2 3 3 2" xfId="3466" xr:uid="{00000000-0005-0000-0000-0000D0320000}"/>
    <cellStyle name="Note 2 4 3 2 3 3 3" xfId="3481" xr:uid="{00000000-0005-0000-0000-0000D1320000}"/>
    <cellStyle name="Note 2 4 3 2 3 3 4" xfId="3485" xr:uid="{00000000-0005-0000-0000-0000D2320000}"/>
    <cellStyle name="Note 2 4 3 2 3 4" xfId="10702" xr:uid="{00000000-0005-0000-0000-0000D3320000}"/>
    <cellStyle name="Note 2 4 3 2 3 5" xfId="10708" xr:uid="{00000000-0005-0000-0000-0000D4320000}"/>
    <cellStyle name="Note 2 4 3 2 3 6" xfId="20162" xr:uid="{00000000-0005-0000-0000-0000D5320000}"/>
    <cellStyle name="Note 2 4 3 2 4" xfId="12015" xr:uid="{00000000-0005-0000-0000-0000D6320000}"/>
    <cellStyle name="Note 2 4 3 2 4 2" xfId="10265" xr:uid="{00000000-0005-0000-0000-0000D7320000}"/>
    <cellStyle name="Note 2 4 3 2 4 2 2" xfId="20165" xr:uid="{00000000-0005-0000-0000-0000D8320000}"/>
    <cellStyle name="Note 2 4 3 2 4 2 3" xfId="20168" xr:uid="{00000000-0005-0000-0000-0000D9320000}"/>
    <cellStyle name="Note 2 4 3 2 4 2 4" xfId="20170" xr:uid="{00000000-0005-0000-0000-0000DA320000}"/>
    <cellStyle name="Note 2 4 3 2 4 3" xfId="10742" xr:uid="{00000000-0005-0000-0000-0000DB320000}"/>
    <cellStyle name="Note 2 4 3 2 4 4" xfId="10751" xr:uid="{00000000-0005-0000-0000-0000DC320000}"/>
    <cellStyle name="Note 2 4 3 2 4 5" xfId="20172" xr:uid="{00000000-0005-0000-0000-0000DD320000}"/>
    <cellStyle name="Note 2 4 3 2 5" xfId="4797" xr:uid="{00000000-0005-0000-0000-0000DE320000}"/>
    <cellStyle name="Note 2 4 3 2 5 2" xfId="4805" xr:uid="{00000000-0005-0000-0000-0000DF320000}"/>
    <cellStyle name="Note 2 4 3 2 5 3" xfId="4845" xr:uid="{00000000-0005-0000-0000-0000E0320000}"/>
    <cellStyle name="Note 2 4 3 2 5 4" xfId="4855" xr:uid="{00000000-0005-0000-0000-0000E1320000}"/>
    <cellStyle name="Note 2 4 3 2 6" xfId="4872" xr:uid="{00000000-0005-0000-0000-0000E2320000}"/>
    <cellStyle name="Note 2 4 3 2 7" xfId="4908" xr:uid="{00000000-0005-0000-0000-0000E3320000}"/>
    <cellStyle name="Note 2 4 3 2 8" xfId="4916" xr:uid="{00000000-0005-0000-0000-0000E4320000}"/>
    <cellStyle name="Note 2 4 3 3" xfId="20173" xr:uid="{00000000-0005-0000-0000-0000E5320000}"/>
    <cellStyle name="Note 2 4 3 3 2" xfId="20174" xr:uid="{00000000-0005-0000-0000-0000E6320000}"/>
    <cellStyle name="Note 2 4 3 3 2 2" xfId="12652" xr:uid="{00000000-0005-0000-0000-0000E7320000}"/>
    <cellStyle name="Note 2 4 3 3 2 2 2" xfId="19533" xr:uid="{00000000-0005-0000-0000-0000E8320000}"/>
    <cellStyle name="Note 2 4 3 3 2 2 2 2" xfId="20175" xr:uid="{00000000-0005-0000-0000-0000E9320000}"/>
    <cellStyle name="Note 2 4 3 3 2 2 2 3" xfId="20176" xr:uid="{00000000-0005-0000-0000-0000EA320000}"/>
    <cellStyle name="Note 2 4 3 3 2 2 2 4" xfId="20178" xr:uid="{00000000-0005-0000-0000-0000EB320000}"/>
    <cellStyle name="Note 2 4 3 3 2 2 3" xfId="19539" xr:uid="{00000000-0005-0000-0000-0000EC320000}"/>
    <cellStyle name="Note 2 4 3 3 2 2 4" xfId="19549" xr:uid="{00000000-0005-0000-0000-0000ED320000}"/>
    <cellStyle name="Note 2 4 3 3 2 2 5" xfId="20181" xr:uid="{00000000-0005-0000-0000-0000EE320000}"/>
    <cellStyle name="Note 2 4 3 3 2 3" xfId="12658" xr:uid="{00000000-0005-0000-0000-0000EF320000}"/>
    <cellStyle name="Note 2 4 3 3 2 3 2" xfId="4340" xr:uid="{00000000-0005-0000-0000-0000F0320000}"/>
    <cellStyle name="Note 2 4 3 3 2 3 3" xfId="4353" xr:uid="{00000000-0005-0000-0000-0000F1320000}"/>
    <cellStyle name="Note 2 4 3 3 2 3 4" xfId="197" xr:uid="{00000000-0005-0000-0000-0000F2320000}"/>
    <cellStyle name="Note 2 4 3 3 2 4" xfId="12664" xr:uid="{00000000-0005-0000-0000-0000F3320000}"/>
    <cellStyle name="Note 2 4 3 3 2 5" xfId="16692" xr:uid="{00000000-0005-0000-0000-0000F4320000}"/>
    <cellStyle name="Note 2 4 3 3 2 6" xfId="15439" xr:uid="{00000000-0005-0000-0000-0000F5320000}"/>
    <cellStyle name="Note 2 4 3 3 3" xfId="12024" xr:uid="{00000000-0005-0000-0000-0000F6320000}"/>
    <cellStyle name="Note 2 4 3 3 3 2" xfId="10803" xr:uid="{00000000-0005-0000-0000-0000F7320000}"/>
    <cellStyle name="Note 2 4 3 3 3 2 2" xfId="19557" xr:uid="{00000000-0005-0000-0000-0000F8320000}"/>
    <cellStyle name="Note 2 4 3 3 3 2 3" xfId="19562" xr:uid="{00000000-0005-0000-0000-0000F9320000}"/>
    <cellStyle name="Note 2 4 3 3 3 2 4" xfId="20183" xr:uid="{00000000-0005-0000-0000-0000FA320000}"/>
    <cellStyle name="Note 2 4 3 3 3 3" xfId="10812" xr:uid="{00000000-0005-0000-0000-0000FB320000}"/>
    <cellStyle name="Note 2 4 3 3 3 4" xfId="10820" xr:uid="{00000000-0005-0000-0000-0000FC320000}"/>
    <cellStyle name="Note 2 4 3 3 3 5" xfId="16700" xr:uid="{00000000-0005-0000-0000-0000FD320000}"/>
    <cellStyle name="Note 2 4 3 3 4" xfId="12028" xr:uid="{00000000-0005-0000-0000-0000FE320000}"/>
    <cellStyle name="Note 2 4 3 3 4 2" xfId="10833" xr:uid="{00000000-0005-0000-0000-0000FF320000}"/>
    <cellStyle name="Note 2 4 3 3 4 3" xfId="10842" xr:uid="{00000000-0005-0000-0000-000000330000}"/>
    <cellStyle name="Note 2 4 3 3 4 4" xfId="18336" xr:uid="{00000000-0005-0000-0000-000001330000}"/>
    <cellStyle name="Note 2 4 3 3 5" xfId="4942" xr:uid="{00000000-0005-0000-0000-000002330000}"/>
    <cellStyle name="Note 2 4 3 3 6" xfId="4971" xr:uid="{00000000-0005-0000-0000-000003330000}"/>
    <cellStyle name="Note 2 4 3 3 7" xfId="4987" xr:uid="{00000000-0005-0000-0000-000004330000}"/>
    <cellStyle name="Note 2 4 3 4" xfId="20184" xr:uid="{00000000-0005-0000-0000-000005330000}"/>
    <cellStyle name="Note 2 4 3 4 2" xfId="209" xr:uid="{00000000-0005-0000-0000-000006330000}"/>
    <cellStyle name="Note 2 4 3 4 2 2" xfId="1021" xr:uid="{00000000-0005-0000-0000-000007330000}"/>
    <cellStyle name="Note 2 4 3 4 2 2 2" xfId="11967" xr:uid="{00000000-0005-0000-0000-000008330000}"/>
    <cellStyle name="Note 2 4 3 4 2 2 3" xfId="19588" xr:uid="{00000000-0005-0000-0000-000009330000}"/>
    <cellStyle name="Note 2 4 3 4 2 2 4" xfId="20077" xr:uid="{00000000-0005-0000-0000-00000A330000}"/>
    <cellStyle name="Note 2 4 3 4 2 3" xfId="12693" xr:uid="{00000000-0005-0000-0000-00000B330000}"/>
    <cellStyle name="Note 2 4 3 4 2 4" xfId="16717" xr:uid="{00000000-0005-0000-0000-00000C330000}"/>
    <cellStyle name="Note 2 4 3 4 2 5" xfId="16722" xr:uid="{00000000-0005-0000-0000-00000D330000}"/>
    <cellStyle name="Note 2 4 3 4 3" xfId="145" xr:uid="{00000000-0005-0000-0000-00000E330000}"/>
    <cellStyle name="Note 2 4 3 4 3 2" xfId="10869" xr:uid="{00000000-0005-0000-0000-00000F330000}"/>
    <cellStyle name="Note 2 4 3 4 3 3" xfId="10872" xr:uid="{00000000-0005-0000-0000-000010330000}"/>
    <cellStyle name="Note 2 4 3 4 3 4" xfId="20187" xr:uid="{00000000-0005-0000-0000-000011330000}"/>
    <cellStyle name="Note 2 4 3 4 4" xfId="235" xr:uid="{00000000-0005-0000-0000-000012330000}"/>
    <cellStyle name="Note 2 4 3 4 5" xfId="3857" xr:uid="{00000000-0005-0000-0000-000013330000}"/>
    <cellStyle name="Note 2 4 3 4 6" xfId="3935" xr:uid="{00000000-0005-0000-0000-000014330000}"/>
    <cellStyle name="Note 2 4 3 5" xfId="18322" xr:uid="{00000000-0005-0000-0000-000015330000}"/>
    <cellStyle name="Note 2 4 3 5 2" xfId="18325" xr:uid="{00000000-0005-0000-0000-000016330000}"/>
    <cellStyle name="Note 2 4 3 5 2 2" xfId="18329" xr:uid="{00000000-0005-0000-0000-000017330000}"/>
    <cellStyle name="Note 2 4 3 5 2 3" xfId="18346" xr:uid="{00000000-0005-0000-0000-000018330000}"/>
    <cellStyle name="Note 2 4 3 5 2 4" xfId="18352" xr:uid="{00000000-0005-0000-0000-000019330000}"/>
    <cellStyle name="Note 2 4 3 5 3" xfId="18359" xr:uid="{00000000-0005-0000-0000-00001A330000}"/>
    <cellStyle name="Note 2 4 3 5 4" xfId="18370" xr:uid="{00000000-0005-0000-0000-00001B330000}"/>
    <cellStyle name="Note 2 4 3 5 5" xfId="4022" xr:uid="{00000000-0005-0000-0000-00001C330000}"/>
    <cellStyle name="Note 2 4 3 6" xfId="18373" xr:uid="{00000000-0005-0000-0000-00001D330000}"/>
    <cellStyle name="Note 2 4 3 6 2" xfId="18376" xr:uid="{00000000-0005-0000-0000-00001E330000}"/>
    <cellStyle name="Note 2 4 3 6 3" xfId="2149" xr:uid="{00000000-0005-0000-0000-00001F330000}"/>
    <cellStyle name="Note 2 4 3 6 4" xfId="1194" xr:uid="{00000000-0005-0000-0000-000020330000}"/>
    <cellStyle name="Note 2 4 3 7" xfId="18387" xr:uid="{00000000-0005-0000-0000-000021330000}"/>
    <cellStyle name="Note 2 4 3 8" xfId="18395" xr:uid="{00000000-0005-0000-0000-000022330000}"/>
    <cellStyle name="Note 2 4 3 9" xfId="18399" xr:uid="{00000000-0005-0000-0000-000023330000}"/>
    <cellStyle name="Note 2 4 4" xfId="18892" xr:uid="{00000000-0005-0000-0000-000024330000}"/>
    <cellStyle name="Note 2 4 4 2" xfId="18796" xr:uid="{00000000-0005-0000-0000-000025330000}"/>
    <cellStyle name="Note 2 4 4 2 2" xfId="20188" xr:uid="{00000000-0005-0000-0000-000026330000}"/>
    <cellStyle name="Note 2 4 4 2 2 2" xfId="16941" xr:uid="{00000000-0005-0000-0000-000027330000}"/>
    <cellStyle name="Note 2 4 4 2 2 2 2" xfId="16091" xr:uid="{00000000-0005-0000-0000-000028330000}"/>
    <cellStyle name="Note 2 4 4 2 2 2 2 2" xfId="20190" xr:uid="{00000000-0005-0000-0000-000029330000}"/>
    <cellStyle name="Note 2 4 4 2 2 2 2 2 2" xfId="20192" xr:uid="{00000000-0005-0000-0000-00002A330000}"/>
    <cellStyle name="Note 2 4 4 2 2 2 2 2 3" xfId="20193" xr:uid="{00000000-0005-0000-0000-00002B330000}"/>
    <cellStyle name="Note 2 4 4 2 2 2 2 2 4" xfId="20194" xr:uid="{00000000-0005-0000-0000-00002C330000}"/>
    <cellStyle name="Note 2 4 4 2 2 2 2 3" xfId="20196" xr:uid="{00000000-0005-0000-0000-00002D330000}"/>
    <cellStyle name="Note 2 4 4 2 2 2 2 4" xfId="20197" xr:uid="{00000000-0005-0000-0000-00002E330000}"/>
    <cellStyle name="Note 2 4 4 2 2 2 2 5" xfId="20198" xr:uid="{00000000-0005-0000-0000-00002F330000}"/>
    <cellStyle name="Note 2 4 4 2 2 2 3" xfId="20199" xr:uid="{00000000-0005-0000-0000-000030330000}"/>
    <cellStyle name="Note 2 4 4 2 2 2 3 2" xfId="1001" xr:uid="{00000000-0005-0000-0000-000031330000}"/>
    <cellStyle name="Note 2 4 4 2 2 2 3 3" xfId="1011" xr:uid="{00000000-0005-0000-0000-000032330000}"/>
    <cellStyle name="Note 2 4 4 2 2 2 3 4" xfId="206" xr:uid="{00000000-0005-0000-0000-000033330000}"/>
    <cellStyle name="Note 2 4 4 2 2 2 4" xfId="2701" xr:uid="{00000000-0005-0000-0000-000034330000}"/>
    <cellStyle name="Note 2 4 4 2 2 2 5" xfId="2714" xr:uid="{00000000-0005-0000-0000-000035330000}"/>
    <cellStyle name="Note 2 4 4 2 2 2 6" xfId="2732" xr:uid="{00000000-0005-0000-0000-000036330000}"/>
    <cellStyle name="Note 2 4 4 2 2 3" xfId="16946" xr:uid="{00000000-0005-0000-0000-000037330000}"/>
    <cellStyle name="Note 2 4 4 2 2 3 2" xfId="5916" xr:uid="{00000000-0005-0000-0000-000038330000}"/>
    <cellStyle name="Note 2 4 4 2 2 3 2 2" xfId="2720" xr:uid="{00000000-0005-0000-0000-000039330000}"/>
    <cellStyle name="Note 2 4 4 2 2 3 2 3" xfId="2744" xr:uid="{00000000-0005-0000-0000-00003A330000}"/>
    <cellStyle name="Note 2 4 4 2 2 3 2 4" xfId="5939" xr:uid="{00000000-0005-0000-0000-00003B330000}"/>
    <cellStyle name="Note 2 4 4 2 2 3 3" xfId="1053" xr:uid="{00000000-0005-0000-0000-00003C330000}"/>
    <cellStyle name="Note 2 4 4 2 2 3 4" xfId="1097" xr:uid="{00000000-0005-0000-0000-00003D330000}"/>
    <cellStyle name="Note 2 4 4 2 2 3 5" xfId="1062" xr:uid="{00000000-0005-0000-0000-00003E330000}"/>
    <cellStyle name="Note 2 4 4 2 2 4" xfId="16951" xr:uid="{00000000-0005-0000-0000-00003F330000}"/>
    <cellStyle name="Note 2 4 4 2 2 4 2" xfId="6084" xr:uid="{00000000-0005-0000-0000-000040330000}"/>
    <cellStyle name="Note 2 4 4 2 2 4 3" xfId="6122" xr:uid="{00000000-0005-0000-0000-000041330000}"/>
    <cellStyle name="Note 2 4 4 2 2 4 4" xfId="6131" xr:uid="{00000000-0005-0000-0000-000042330000}"/>
    <cellStyle name="Note 2 4 4 2 2 5" xfId="20200" xr:uid="{00000000-0005-0000-0000-000043330000}"/>
    <cellStyle name="Note 2 4 4 2 2 6" xfId="20201" xr:uid="{00000000-0005-0000-0000-000044330000}"/>
    <cellStyle name="Note 2 4 4 2 2 7" xfId="20202" xr:uid="{00000000-0005-0000-0000-000045330000}"/>
    <cellStyle name="Note 2 4 4 2 3" xfId="5902" xr:uid="{00000000-0005-0000-0000-000046330000}"/>
    <cellStyle name="Note 2 4 4 2 3 2" xfId="9691" xr:uid="{00000000-0005-0000-0000-000047330000}"/>
    <cellStyle name="Note 2 4 4 2 3 2 2" xfId="7314" xr:uid="{00000000-0005-0000-0000-000048330000}"/>
    <cellStyle name="Note 2 4 4 2 3 2 2 2" xfId="20122" xr:uid="{00000000-0005-0000-0000-000049330000}"/>
    <cellStyle name="Note 2 4 4 2 3 2 2 3" xfId="20127" xr:uid="{00000000-0005-0000-0000-00004A330000}"/>
    <cellStyle name="Note 2 4 4 2 3 2 2 4" xfId="20206" xr:uid="{00000000-0005-0000-0000-00004B330000}"/>
    <cellStyle name="Note 2 4 4 2 3 2 3" xfId="11018" xr:uid="{00000000-0005-0000-0000-00004C330000}"/>
    <cellStyle name="Note 2 4 4 2 3 2 4" xfId="2893" xr:uid="{00000000-0005-0000-0000-00004D330000}"/>
    <cellStyle name="Note 2 4 4 2 3 2 5" xfId="2905" xr:uid="{00000000-0005-0000-0000-00004E330000}"/>
    <cellStyle name="Note 2 4 4 2 3 3" xfId="9700" xr:uid="{00000000-0005-0000-0000-00004F330000}"/>
    <cellStyle name="Note 2 4 4 2 3 3 2" xfId="6320" xr:uid="{00000000-0005-0000-0000-000050330000}"/>
    <cellStyle name="Note 2 4 4 2 3 3 3" xfId="1204" xr:uid="{00000000-0005-0000-0000-000051330000}"/>
    <cellStyle name="Note 2 4 4 2 3 3 4" xfId="1232" xr:uid="{00000000-0005-0000-0000-000052330000}"/>
    <cellStyle name="Note 2 4 4 2 3 4" xfId="11021" xr:uid="{00000000-0005-0000-0000-000053330000}"/>
    <cellStyle name="Note 2 4 4 2 3 5" xfId="11026" xr:uid="{00000000-0005-0000-0000-000054330000}"/>
    <cellStyle name="Note 2 4 4 2 3 6" xfId="20207" xr:uid="{00000000-0005-0000-0000-000055330000}"/>
    <cellStyle name="Note 2 4 4 2 4" xfId="5907" xr:uid="{00000000-0005-0000-0000-000056330000}"/>
    <cellStyle name="Note 2 4 4 2 4 2" xfId="9718" xr:uid="{00000000-0005-0000-0000-000057330000}"/>
    <cellStyle name="Note 2 4 4 2 4 2 2" xfId="20211" xr:uid="{00000000-0005-0000-0000-000058330000}"/>
    <cellStyle name="Note 2 4 4 2 4 2 3" xfId="20214" xr:uid="{00000000-0005-0000-0000-000059330000}"/>
    <cellStyle name="Note 2 4 4 2 4 2 4" xfId="9501" xr:uid="{00000000-0005-0000-0000-00005A330000}"/>
    <cellStyle name="Note 2 4 4 2 4 3" xfId="11052" xr:uid="{00000000-0005-0000-0000-00005B330000}"/>
    <cellStyle name="Note 2 4 4 2 4 4" xfId="11055" xr:uid="{00000000-0005-0000-0000-00005C330000}"/>
    <cellStyle name="Note 2 4 4 2 4 5" xfId="20215" xr:uid="{00000000-0005-0000-0000-00005D330000}"/>
    <cellStyle name="Note 2 4 4 2 5" xfId="5013" xr:uid="{00000000-0005-0000-0000-00005E330000}"/>
    <cellStyle name="Note 2 4 4 2 5 2" xfId="281" xr:uid="{00000000-0005-0000-0000-00005F330000}"/>
    <cellStyle name="Note 2 4 4 2 5 3" xfId="97" xr:uid="{00000000-0005-0000-0000-000060330000}"/>
    <cellStyle name="Note 2 4 4 2 5 4" xfId="528" xr:uid="{00000000-0005-0000-0000-000061330000}"/>
    <cellStyle name="Note 2 4 4 2 6" xfId="5023" xr:uid="{00000000-0005-0000-0000-000062330000}"/>
    <cellStyle name="Note 2 4 4 2 7" xfId="5029" xr:uid="{00000000-0005-0000-0000-000063330000}"/>
    <cellStyle name="Note 2 4 4 2 8" xfId="5033" xr:uid="{00000000-0005-0000-0000-000064330000}"/>
    <cellStyle name="Note 2 4 4 3" xfId="20217" xr:uid="{00000000-0005-0000-0000-000065330000}"/>
    <cellStyle name="Note 2 4 4 3 2" xfId="20218" xr:uid="{00000000-0005-0000-0000-000066330000}"/>
    <cellStyle name="Note 2 4 4 3 2 2" xfId="12785" xr:uid="{00000000-0005-0000-0000-000067330000}"/>
    <cellStyle name="Note 2 4 4 3 2 2 2" xfId="19619" xr:uid="{00000000-0005-0000-0000-000068330000}"/>
    <cellStyle name="Note 2 4 4 3 2 2 2 2" xfId="20221" xr:uid="{00000000-0005-0000-0000-000069330000}"/>
    <cellStyle name="Note 2 4 4 3 2 2 2 3" xfId="20223" xr:uid="{00000000-0005-0000-0000-00006A330000}"/>
    <cellStyle name="Note 2 4 4 3 2 2 2 4" xfId="20224" xr:uid="{00000000-0005-0000-0000-00006B330000}"/>
    <cellStyle name="Note 2 4 4 3 2 2 3" xfId="19625" xr:uid="{00000000-0005-0000-0000-00006C330000}"/>
    <cellStyle name="Note 2 4 4 3 2 2 4" xfId="3137" xr:uid="{00000000-0005-0000-0000-00006D330000}"/>
    <cellStyle name="Note 2 4 4 3 2 2 5" xfId="3145" xr:uid="{00000000-0005-0000-0000-00006E330000}"/>
    <cellStyle name="Note 2 4 4 3 2 3" xfId="12792" xr:uid="{00000000-0005-0000-0000-00006F330000}"/>
    <cellStyle name="Note 2 4 4 3 2 3 2" xfId="6648" xr:uid="{00000000-0005-0000-0000-000070330000}"/>
    <cellStyle name="Note 2 4 4 3 2 3 3" xfId="2990" xr:uid="{00000000-0005-0000-0000-000071330000}"/>
    <cellStyle name="Note 2 4 4 3 2 3 4" xfId="3004" xr:uid="{00000000-0005-0000-0000-000072330000}"/>
    <cellStyle name="Note 2 4 4 3 2 4" xfId="16427" xr:uid="{00000000-0005-0000-0000-000073330000}"/>
    <cellStyle name="Note 2 4 4 3 2 5" xfId="16741" xr:uid="{00000000-0005-0000-0000-000074330000}"/>
    <cellStyle name="Note 2 4 4 3 2 6" xfId="15803" xr:uid="{00000000-0005-0000-0000-000075330000}"/>
    <cellStyle name="Note 2 4 4 3 3" xfId="5948" xr:uid="{00000000-0005-0000-0000-000076330000}"/>
    <cellStyle name="Note 2 4 4 3 3 2" xfId="9790" xr:uid="{00000000-0005-0000-0000-000077330000}"/>
    <cellStyle name="Note 2 4 4 3 3 2 2" xfId="19638" xr:uid="{00000000-0005-0000-0000-000078330000}"/>
    <cellStyle name="Note 2 4 4 3 3 2 3" xfId="19643" xr:uid="{00000000-0005-0000-0000-000079330000}"/>
    <cellStyle name="Note 2 4 4 3 3 2 4" xfId="3260" xr:uid="{00000000-0005-0000-0000-00007A330000}"/>
    <cellStyle name="Note 2 4 4 3 3 3" xfId="11131" xr:uid="{00000000-0005-0000-0000-00007B330000}"/>
    <cellStyle name="Note 2 4 4 3 3 4" xfId="11134" xr:uid="{00000000-0005-0000-0000-00007C330000}"/>
    <cellStyle name="Note 2 4 4 3 3 5" xfId="20225" xr:uid="{00000000-0005-0000-0000-00007D330000}"/>
    <cellStyle name="Note 2 4 4 3 4" xfId="7473" xr:uid="{00000000-0005-0000-0000-00007E330000}"/>
    <cellStyle name="Note 2 4 4 3 4 2" xfId="11148" xr:uid="{00000000-0005-0000-0000-00007F330000}"/>
    <cellStyle name="Note 2 4 4 3 4 3" xfId="11152" xr:uid="{00000000-0005-0000-0000-000080330000}"/>
    <cellStyle name="Note 2 4 4 3 4 4" xfId="18089" xr:uid="{00000000-0005-0000-0000-000081330000}"/>
    <cellStyle name="Note 2 4 4 3 5" xfId="5045" xr:uid="{00000000-0005-0000-0000-000082330000}"/>
    <cellStyle name="Note 2 4 4 3 6" xfId="5050" xr:uid="{00000000-0005-0000-0000-000083330000}"/>
    <cellStyle name="Note 2 4 4 3 7" xfId="5055" xr:uid="{00000000-0005-0000-0000-000084330000}"/>
    <cellStyle name="Note 2 4 4 4" xfId="20228" xr:uid="{00000000-0005-0000-0000-000085330000}"/>
    <cellStyle name="Note 2 4 4 4 2" xfId="1083" xr:uid="{00000000-0005-0000-0000-000086330000}"/>
    <cellStyle name="Note 2 4 4 4 2 2" xfId="1130" xr:uid="{00000000-0005-0000-0000-000087330000}"/>
    <cellStyle name="Note 2 4 4 4 2 2 2" xfId="12215" xr:uid="{00000000-0005-0000-0000-000088330000}"/>
    <cellStyle name="Note 2 4 4 4 2 2 3" xfId="19664" xr:uid="{00000000-0005-0000-0000-000089330000}"/>
    <cellStyle name="Note 2 4 4 4 2 2 4" xfId="11608" xr:uid="{00000000-0005-0000-0000-00008A330000}"/>
    <cellStyle name="Note 2 4 4 4 2 3" xfId="16440" xr:uid="{00000000-0005-0000-0000-00008B330000}"/>
    <cellStyle name="Note 2 4 4 4 2 4" xfId="20230" xr:uid="{00000000-0005-0000-0000-00008C330000}"/>
    <cellStyle name="Note 2 4 4 4 2 5" xfId="20232" xr:uid="{00000000-0005-0000-0000-00008D330000}"/>
    <cellStyle name="Note 2 4 4 4 3" xfId="1149" xr:uid="{00000000-0005-0000-0000-00008E330000}"/>
    <cellStyle name="Note 2 4 4 4 3 2" xfId="11169" xr:uid="{00000000-0005-0000-0000-00008F330000}"/>
    <cellStyle name="Note 2 4 4 4 3 3" xfId="11171" xr:uid="{00000000-0005-0000-0000-000090330000}"/>
    <cellStyle name="Note 2 4 4 4 3 4" xfId="20234" xr:uid="{00000000-0005-0000-0000-000091330000}"/>
    <cellStyle name="Note 2 4 4 4 4" xfId="1161" xr:uid="{00000000-0005-0000-0000-000092330000}"/>
    <cellStyle name="Note 2 4 4 4 5" xfId="4103" xr:uid="{00000000-0005-0000-0000-000093330000}"/>
    <cellStyle name="Note 2 4 4 4 6" xfId="4116" xr:uid="{00000000-0005-0000-0000-000094330000}"/>
    <cellStyle name="Note 2 4 4 5" xfId="18408" xr:uid="{00000000-0005-0000-0000-000095330000}"/>
    <cellStyle name="Note 2 4 4 5 2" xfId="17582" xr:uid="{00000000-0005-0000-0000-000096330000}"/>
    <cellStyle name="Note 2 4 4 5 2 2" xfId="18409" xr:uid="{00000000-0005-0000-0000-000097330000}"/>
    <cellStyle name="Note 2 4 4 5 2 3" xfId="18414" xr:uid="{00000000-0005-0000-0000-000098330000}"/>
    <cellStyle name="Note 2 4 4 5 2 4" xfId="18420" xr:uid="{00000000-0005-0000-0000-000099330000}"/>
    <cellStyle name="Note 2 4 4 5 3" xfId="18424" xr:uid="{00000000-0005-0000-0000-00009A330000}"/>
    <cellStyle name="Note 2 4 4 5 4" xfId="18428" xr:uid="{00000000-0005-0000-0000-00009B330000}"/>
    <cellStyle name="Note 2 4 4 5 5" xfId="18433" xr:uid="{00000000-0005-0000-0000-00009C330000}"/>
    <cellStyle name="Note 2 4 4 6" xfId="18440" xr:uid="{00000000-0005-0000-0000-00009D330000}"/>
    <cellStyle name="Note 2 4 4 6 2" xfId="18441" xr:uid="{00000000-0005-0000-0000-00009E330000}"/>
    <cellStyle name="Note 2 4 4 6 3" xfId="2306" xr:uid="{00000000-0005-0000-0000-00009F330000}"/>
    <cellStyle name="Note 2 4 4 6 4" xfId="2319" xr:uid="{00000000-0005-0000-0000-0000A0330000}"/>
    <cellStyle name="Note 2 4 4 7" xfId="18446" xr:uid="{00000000-0005-0000-0000-0000A1330000}"/>
    <cellStyle name="Note 2 4 4 8" xfId="18451" xr:uid="{00000000-0005-0000-0000-0000A2330000}"/>
    <cellStyle name="Note 2 4 4 9" xfId="18456" xr:uid="{00000000-0005-0000-0000-0000A3330000}"/>
    <cellStyle name="Note 2 4 5" xfId="18895" xr:uid="{00000000-0005-0000-0000-0000A4330000}"/>
    <cellStyle name="Note 2 4 5 2" xfId="20235" xr:uid="{00000000-0005-0000-0000-0000A5330000}"/>
    <cellStyle name="Note 2 4 5 2 2" xfId="20236" xr:uid="{00000000-0005-0000-0000-0000A6330000}"/>
    <cellStyle name="Note 2 4 5 2 2 2" xfId="20237" xr:uid="{00000000-0005-0000-0000-0000A7330000}"/>
    <cellStyle name="Note 2 4 5 2 2 2 2" xfId="1182" xr:uid="{00000000-0005-0000-0000-0000A8330000}"/>
    <cellStyle name="Note 2 4 5 2 2 2 2 2" xfId="20238" xr:uid="{00000000-0005-0000-0000-0000A9330000}"/>
    <cellStyle name="Note 2 4 5 2 2 2 2 3" xfId="20239" xr:uid="{00000000-0005-0000-0000-0000AA330000}"/>
    <cellStyle name="Note 2 4 5 2 2 2 2 4" xfId="20240" xr:uid="{00000000-0005-0000-0000-0000AB330000}"/>
    <cellStyle name="Note 2 4 5 2 2 2 3" xfId="11337" xr:uid="{00000000-0005-0000-0000-0000AC330000}"/>
    <cellStyle name="Note 2 4 5 2 2 2 4" xfId="20246" xr:uid="{00000000-0005-0000-0000-0000AD330000}"/>
    <cellStyle name="Note 2 4 5 2 2 2 5" xfId="20252" xr:uid="{00000000-0005-0000-0000-0000AE330000}"/>
    <cellStyle name="Note 2 4 5 2 2 3" xfId="20253" xr:uid="{00000000-0005-0000-0000-0000AF330000}"/>
    <cellStyle name="Note 2 4 5 2 2 3 2" xfId="7332" xr:uid="{00000000-0005-0000-0000-0000B0330000}"/>
    <cellStyle name="Note 2 4 5 2 2 3 3" xfId="7343" xr:uid="{00000000-0005-0000-0000-0000B1330000}"/>
    <cellStyle name="Note 2 4 5 2 2 3 4" xfId="7351" xr:uid="{00000000-0005-0000-0000-0000B2330000}"/>
    <cellStyle name="Note 2 4 5 2 2 4" xfId="20254" xr:uid="{00000000-0005-0000-0000-0000B3330000}"/>
    <cellStyle name="Note 2 4 5 2 2 5" xfId="20255" xr:uid="{00000000-0005-0000-0000-0000B4330000}"/>
    <cellStyle name="Note 2 4 5 2 2 6" xfId="6576" xr:uid="{00000000-0005-0000-0000-0000B5330000}"/>
    <cellStyle name="Note 2 4 5 2 3" xfId="6069" xr:uid="{00000000-0005-0000-0000-0000B6330000}"/>
    <cellStyle name="Note 2 4 5 2 3 2" xfId="9948" xr:uid="{00000000-0005-0000-0000-0000B7330000}"/>
    <cellStyle name="Note 2 4 5 2 3 2 2" xfId="20256" xr:uid="{00000000-0005-0000-0000-0000B8330000}"/>
    <cellStyle name="Note 2 4 5 2 3 2 3" xfId="20257" xr:uid="{00000000-0005-0000-0000-0000B9330000}"/>
    <cellStyle name="Note 2 4 5 2 3 2 4" xfId="20258" xr:uid="{00000000-0005-0000-0000-0000BA330000}"/>
    <cellStyle name="Note 2 4 5 2 3 3" xfId="9954" xr:uid="{00000000-0005-0000-0000-0000BB330000}"/>
    <cellStyle name="Note 2 4 5 2 3 4" xfId="11241" xr:uid="{00000000-0005-0000-0000-0000BC330000}"/>
    <cellStyle name="Note 2 4 5 2 3 5" xfId="20260" xr:uid="{00000000-0005-0000-0000-0000BD330000}"/>
    <cellStyle name="Note 2 4 5 2 4" xfId="7500" xr:uid="{00000000-0005-0000-0000-0000BE330000}"/>
    <cellStyle name="Note 2 4 5 2 4 2" xfId="9970" xr:uid="{00000000-0005-0000-0000-0000BF330000}"/>
    <cellStyle name="Note 2 4 5 2 4 3" xfId="11251" xr:uid="{00000000-0005-0000-0000-0000C0330000}"/>
    <cellStyle name="Note 2 4 5 2 4 4" xfId="20265" xr:uid="{00000000-0005-0000-0000-0000C1330000}"/>
    <cellStyle name="Note 2 4 5 2 5" xfId="1421" xr:uid="{00000000-0005-0000-0000-0000C2330000}"/>
    <cellStyle name="Note 2 4 5 2 6" xfId="5080" xr:uid="{00000000-0005-0000-0000-0000C3330000}"/>
    <cellStyle name="Note 2 4 5 2 7" xfId="5083" xr:uid="{00000000-0005-0000-0000-0000C4330000}"/>
    <cellStyle name="Note 2 4 5 3" xfId="20266" xr:uid="{00000000-0005-0000-0000-0000C5330000}"/>
    <cellStyle name="Note 2 4 5 3 2" xfId="20267" xr:uid="{00000000-0005-0000-0000-0000C6330000}"/>
    <cellStyle name="Note 2 4 5 3 2 2" xfId="15796" xr:uid="{00000000-0005-0000-0000-0000C7330000}"/>
    <cellStyle name="Note 2 4 5 3 2 2 2" xfId="19695" xr:uid="{00000000-0005-0000-0000-0000C8330000}"/>
    <cellStyle name="Note 2 4 5 3 2 2 3" xfId="19701" xr:uid="{00000000-0005-0000-0000-0000C9330000}"/>
    <cellStyle name="Note 2 4 5 3 2 2 4" xfId="20270" xr:uid="{00000000-0005-0000-0000-0000CA330000}"/>
    <cellStyle name="Note 2 4 5 3 2 3" xfId="16461" xr:uid="{00000000-0005-0000-0000-0000CB330000}"/>
    <cellStyle name="Note 2 4 5 3 2 4" xfId="20271" xr:uid="{00000000-0005-0000-0000-0000CC330000}"/>
    <cellStyle name="Note 2 4 5 3 2 5" xfId="20272" xr:uid="{00000000-0005-0000-0000-0000CD330000}"/>
    <cellStyle name="Note 2 4 5 3 3" xfId="20274" xr:uid="{00000000-0005-0000-0000-0000CE330000}"/>
    <cellStyle name="Note 2 4 5 3 3 2" xfId="10016" xr:uid="{00000000-0005-0000-0000-0000CF330000}"/>
    <cellStyle name="Note 2 4 5 3 3 3" xfId="11269" xr:uid="{00000000-0005-0000-0000-0000D0330000}"/>
    <cellStyle name="Note 2 4 5 3 3 4" xfId="20277" xr:uid="{00000000-0005-0000-0000-0000D1330000}"/>
    <cellStyle name="Note 2 4 5 3 4" xfId="18114" xr:uid="{00000000-0005-0000-0000-0000D2330000}"/>
    <cellStyle name="Note 2 4 5 3 5" xfId="1442" xr:uid="{00000000-0005-0000-0000-0000D3330000}"/>
    <cellStyle name="Note 2 4 5 3 6" xfId="5090" xr:uid="{00000000-0005-0000-0000-0000D4330000}"/>
    <cellStyle name="Note 2 4 5 4" xfId="20278" xr:uid="{00000000-0005-0000-0000-0000D5330000}"/>
    <cellStyle name="Note 2 4 5 4 2" xfId="1262" xr:uid="{00000000-0005-0000-0000-0000D6330000}"/>
    <cellStyle name="Note 2 4 5 4 2 2" xfId="1271" xr:uid="{00000000-0005-0000-0000-0000D7330000}"/>
    <cellStyle name="Note 2 4 5 4 2 3" xfId="20279" xr:uid="{00000000-0005-0000-0000-0000D8330000}"/>
    <cellStyle name="Note 2 4 5 4 2 4" xfId="20281" xr:uid="{00000000-0005-0000-0000-0000D9330000}"/>
    <cellStyle name="Note 2 4 5 4 3" xfId="1281" xr:uid="{00000000-0005-0000-0000-0000DA330000}"/>
    <cellStyle name="Note 2 4 5 4 4" xfId="1295" xr:uid="{00000000-0005-0000-0000-0000DB330000}"/>
    <cellStyle name="Note 2 4 5 4 5" xfId="20282" xr:uid="{00000000-0005-0000-0000-0000DC330000}"/>
    <cellStyle name="Note 2 4 5 5" xfId="18459" xr:uid="{00000000-0005-0000-0000-0000DD330000}"/>
    <cellStyle name="Note 2 4 5 5 2" xfId="18463" xr:uid="{00000000-0005-0000-0000-0000DE330000}"/>
    <cellStyle name="Note 2 4 5 5 3" xfId="18466" xr:uid="{00000000-0005-0000-0000-0000DF330000}"/>
    <cellStyle name="Note 2 4 5 5 4" xfId="18469" xr:uid="{00000000-0005-0000-0000-0000E0330000}"/>
    <cellStyle name="Note 2 4 5 6" xfId="18473" xr:uid="{00000000-0005-0000-0000-0000E1330000}"/>
    <cellStyle name="Note 2 4 5 7" xfId="18478" xr:uid="{00000000-0005-0000-0000-0000E2330000}"/>
    <cellStyle name="Note 2 4 5 8" xfId="18483" xr:uid="{00000000-0005-0000-0000-0000E3330000}"/>
    <cellStyle name="Note 2 4 6" xfId="487" xr:uid="{00000000-0005-0000-0000-0000E4330000}"/>
    <cellStyle name="Note 2 4 6 2" xfId="545" xr:uid="{00000000-0005-0000-0000-0000E5330000}"/>
    <cellStyle name="Note 2 4 6 2 2" xfId="20283" xr:uid="{00000000-0005-0000-0000-0000E6330000}"/>
    <cellStyle name="Note 2 4 6 2 2 2" xfId="20284" xr:uid="{00000000-0005-0000-0000-0000E7330000}"/>
    <cellStyle name="Note 2 4 6 2 2 2 2" xfId="16866" xr:uid="{00000000-0005-0000-0000-0000E8330000}"/>
    <cellStyle name="Note 2 4 6 2 2 2 3" xfId="20285" xr:uid="{00000000-0005-0000-0000-0000E9330000}"/>
    <cellStyle name="Note 2 4 6 2 2 2 4" xfId="20287" xr:uid="{00000000-0005-0000-0000-0000EA330000}"/>
    <cellStyle name="Note 2 4 6 2 2 3" xfId="20288" xr:uid="{00000000-0005-0000-0000-0000EB330000}"/>
    <cellStyle name="Note 2 4 6 2 2 4" xfId="20289" xr:uid="{00000000-0005-0000-0000-0000EC330000}"/>
    <cellStyle name="Note 2 4 6 2 2 5" xfId="20290" xr:uid="{00000000-0005-0000-0000-0000ED330000}"/>
    <cellStyle name="Note 2 4 6 2 3" xfId="2402" xr:uid="{00000000-0005-0000-0000-0000EE330000}"/>
    <cellStyle name="Note 2 4 6 2 3 2" xfId="4011" xr:uid="{00000000-0005-0000-0000-0000EF330000}"/>
    <cellStyle name="Note 2 4 6 2 3 3" xfId="11332" xr:uid="{00000000-0005-0000-0000-0000F0330000}"/>
    <cellStyle name="Note 2 4 6 2 3 4" xfId="20292" xr:uid="{00000000-0005-0000-0000-0000F1330000}"/>
    <cellStyle name="Note 2 4 6 2 4" xfId="2422" xr:uid="{00000000-0005-0000-0000-0000F2330000}"/>
    <cellStyle name="Note 2 4 6 2 5" xfId="2437" xr:uid="{00000000-0005-0000-0000-0000F3330000}"/>
    <cellStyle name="Note 2 4 6 2 6" xfId="2454" xr:uid="{00000000-0005-0000-0000-0000F4330000}"/>
    <cellStyle name="Note 2 4 6 3" xfId="2343" xr:uid="{00000000-0005-0000-0000-0000F5330000}"/>
    <cellStyle name="Note 2 4 6 3 2" xfId="20293" xr:uid="{00000000-0005-0000-0000-0000F6330000}"/>
    <cellStyle name="Note 2 4 6 3 2 2" xfId="4090" xr:uid="{00000000-0005-0000-0000-0000F7330000}"/>
    <cellStyle name="Note 2 4 6 3 2 3" xfId="4108" xr:uid="{00000000-0005-0000-0000-0000F8330000}"/>
    <cellStyle name="Note 2 4 6 3 2 4" xfId="11233" xr:uid="{00000000-0005-0000-0000-0000F9330000}"/>
    <cellStyle name="Note 2 4 6 3 3" xfId="20296" xr:uid="{00000000-0005-0000-0000-0000FA330000}"/>
    <cellStyle name="Note 2 4 6 3 4" xfId="20299" xr:uid="{00000000-0005-0000-0000-0000FB330000}"/>
    <cellStyle name="Note 2 4 6 3 5" xfId="20303" xr:uid="{00000000-0005-0000-0000-0000FC330000}"/>
    <cellStyle name="Note 2 4 6 4" xfId="4190" xr:uid="{00000000-0005-0000-0000-0000FD330000}"/>
    <cellStyle name="Note 2 4 6 4 2" xfId="1454" xr:uid="{00000000-0005-0000-0000-0000FE330000}"/>
    <cellStyle name="Note 2 4 6 4 3" xfId="695" xr:uid="{00000000-0005-0000-0000-0000FF330000}"/>
    <cellStyle name="Note 2 4 6 4 4" xfId="706" xr:uid="{00000000-0005-0000-0000-000000340000}"/>
    <cellStyle name="Note 2 4 6 5" xfId="18490" xr:uid="{00000000-0005-0000-0000-000001340000}"/>
    <cellStyle name="Note 2 4 6 6" xfId="18495" xr:uid="{00000000-0005-0000-0000-000002340000}"/>
    <cellStyle name="Note 2 4 6 7" xfId="10781" xr:uid="{00000000-0005-0000-0000-000003340000}"/>
    <cellStyle name="Note 2 4 7" xfId="509" xr:uid="{00000000-0005-0000-0000-000004340000}"/>
    <cellStyle name="Note 2 4 7 2" xfId="1561" xr:uid="{00000000-0005-0000-0000-000005340000}"/>
    <cellStyle name="Note 2 4 7 2 2" xfId="20305" xr:uid="{00000000-0005-0000-0000-000006340000}"/>
    <cellStyle name="Note 2 4 7 2 2 2" xfId="20307" xr:uid="{00000000-0005-0000-0000-000007340000}"/>
    <cellStyle name="Note 2 4 7 2 2 3" xfId="20308" xr:uid="{00000000-0005-0000-0000-000008340000}"/>
    <cellStyle name="Note 2 4 7 2 2 4" xfId="20309" xr:uid="{00000000-0005-0000-0000-000009340000}"/>
    <cellStyle name="Note 2 4 7 2 3" xfId="20310" xr:uid="{00000000-0005-0000-0000-00000A340000}"/>
    <cellStyle name="Note 2 4 7 2 4" xfId="20311" xr:uid="{00000000-0005-0000-0000-00000B340000}"/>
    <cellStyle name="Note 2 4 7 2 5" xfId="20312" xr:uid="{00000000-0005-0000-0000-00000C340000}"/>
    <cellStyle name="Note 2 4 7 3" xfId="20313" xr:uid="{00000000-0005-0000-0000-00000D340000}"/>
    <cellStyle name="Note 2 4 7 3 2" xfId="20315" xr:uid="{00000000-0005-0000-0000-00000E340000}"/>
    <cellStyle name="Note 2 4 7 3 3" xfId="20318" xr:uid="{00000000-0005-0000-0000-00000F340000}"/>
    <cellStyle name="Note 2 4 7 3 4" xfId="20321" xr:uid="{00000000-0005-0000-0000-000010340000}"/>
    <cellStyle name="Note 2 4 7 4" xfId="20323" xr:uid="{00000000-0005-0000-0000-000011340000}"/>
    <cellStyle name="Note 2 4 7 5" xfId="20325" xr:uid="{00000000-0005-0000-0000-000012340000}"/>
    <cellStyle name="Note 2 4 7 6" xfId="20327" xr:uid="{00000000-0005-0000-0000-000013340000}"/>
    <cellStyle name="Note 2 4 8" xfId="568" xr:uid="{00000000-0005-0000-0000-000014340000}"/>
    <cellStyle name="Note 2 4 8 2" xfId="20329" xr:uid="{00000000-0005-0000-0000-000015340000}"/>
    <cellStyle name="Note 2 4 8 2 2" xfId="17254" xr:uid="{00000000-0005-0000-0000-000016340000}"/>
    <cellStyle name="Note 2 4 8 2 3" xfId="3939" xr:uid="{00000000-0005-0000-0000-000017340000}"/>
    <cellStyle name="Note 2 4 8 2 4" xfId="3970" xr:uid="{00000000-0005-0000-0000-000018340000}"/>
    <cellStyle name="Note 2 4 8 3" xfId="11379" xr:uid="{00000000-0005-0000-0000-000019340000}"/>
    <cellStyle name="Note 2 4 8 4" xfId="11524" xr:uid="{00000000-0005-0000-0000-00001A340000}"/>
    <cellStyle name="Note 2 4 8 5" xfId="11564" xr:uid="{00000000-0005-0000-0000-00001B340000}"/>
    <cellStyle name="Note 2 4 9" xfId="2354" xr:uid="{00000000-0005-0000-0000-00001C340000}"/>
    <cellStyle name="Note 2 4 9 2" xfId="20330" xr:uid="{00000000-0005-0000-0000-00001D340000}"/>
    <cellStyle name="Note 2 4 9 3" xfId="11636" xr:uid="{00000000-0005-0000-0000-00001E340000}"/>
    <cellStyle name="Note 2 4 9 4" xfId="11700" xr:uid="{00000000-0005-0000-0000-00001F340000}"/>
    <cellStyle name="Note 2 5" xfId="11353" xr:uid="{00000000-0005-0000-0000-000020340000}"/>
    <cellStyle name="Note 2 5 10" xfId="4820" xr:uid="{00000000-0005-0000-0000-000021340000}"/>
    <cellStyle name="Note 2 5 11" xfId="7857" xr:uid="{00000000-0005-0000-0000-000022340000}"/>
    <cellStyle name="Note 2 5 12" xfId="14994" xr:uid="{00000000-0005-0000-0000-000023340000}"/>
    <cellStyle name="Note 2 5 13" xfId="11141" xr:uid="{00000000-0005-0000-0000-000024340000}"/>
    <cellStyle name="Note 2 5 2" xfId="20331" xr:uid="{00000000-0005-0000-0000-000025340000}"/>
    <cellStyle name="Note 2 5 2 10" xfId="20333" xr:uid="{00000000-0005-0000-0000-000026340000}"/>
    <cellStyle name="Note 2 5 2 11" xfId="20335" xr:uid="{00000000-0005-0000-0000-000027340000}"/>
    <cellStyle name="Note 2 5 2 12" xfId="20338" xr:uid="{00000000-0005-0000-0000-000028340000}"/>
    <cellStyle name="Note 2 5 2 2" xfId="20341" xr:uid="{00000000-0005-0000-0000-000029340000}"/>
    <cellStyle name="Note 2 5 2 2 2" xfId="2091" xr:uid="{00000000-0005-0000-0000-00002A340000}"/>
    <cellStyle name="Note 2 5 2 2 2 2" xfId="20342" xr:uid="{00000000-0005-0000-0000-00002B340000}"/>
    <cellStyle name="Note 2 5 2 2 2 2 2" xfId="20343" xr:uid="{00000000-0005-0000-0000-00002C340000}"/>
    <cellStyle name="Note 2 5 2 2 2 2 2 2" xfId="14682" xr:uid="{00000000-0005-0000-0000-00002D340000}"/>
    <cellStyle name="Note 2 5 2 2 2 2 2 2 2" xfId="14685" xr:uid="{00000000-0005-0000-0000-00002E340000}"/>
    <cellStyle name="Note 2 5 2 2 2 2 2 2 2 2" xfId="19405" xr:uid="{00000000-0005-0000-0000-00002F340000}"/>
    <cellStyle name="Note 2 5 2 2 2 2 2 2 2 3" xfId="19440" xr:uid="{00000000-0005-0000-0000-000030340000}"/>
    <cellStyle name="Note 2 5 2 2 2 2 2 2 2 4" xfId="19453" xr:uid="{00000000-0005-0000-0000-000031340000}"/>
    <cellStyle name="Note 2 5 2 2 2 2 2 2 3" xfId="14688" xr:uid="{00000000-0005-0000-0000-000032340000}"/>
    <cellStyle name="Note 2 5 2 2 2 2 2 2 4" xfId="14694" xr:uid="{00000000-0005-0000-0000-000033340000}"/>
    <cellStyle name="Note 2 5 2 2 2 2 2 2 5" xfId="19390" xr:uid="{00000000-0005-0000-0000-000034340000}"/>
    <cellStyle name="Note 2 5 2 2 2 2 2 3" xfId="14696" xr:uid="{00000000-0005-0000-0000-000035340000}"/>
    <cellStyle name="Note 2 5 2 2 2 2 2 3 2" xfId="19478" xr:uid="{00000000-0005-0000-0000-000036340000}"/>
    <cellStyle name="Note 2 5 2 2 2 2 2 3 3" xfId="19403" xr:uid="{00000000-0005-0000-0000-000037340000}"/>
    <cellStyle name="Note 2 5 2 2 2 2 2 3 4" xfId="19438" xr:uid="{00000000-0005-0000-0000-000038340000}"/>
    <cellStyle name="Note 2 5 2 2 2 2 2 4" xfId="14700" xr:uid="{00000000-0005-0000-0000-000039340000}"/>
    <cellStyle name="Note 2 5 2 2 2 2 2 5" xfId="14704" xr:uid="{00000000-0005-0000-0000-00003A340000}"/>
    <cellStyle name="Note 2 5 2 2 2 2 2 6" xfId="20346" xr:uid="{00000000-0005-0000-0000-00003B340000}"/>
    <cellStyle name="Note 2 5 2 2 2 2 3" xfId="20347" xr:uid="{00000000-0005-0000-0000-00003C340000}"/>
    <cellStyle name="Note 2 5 2 2 2 2 3 2" xfId="14724" xr:uid="{00000000-0005-0000-0000-00003D340000}"/>
    <cellStyle name="Note 2 5 2 2 2 2 3 2 2" xfId="19593" xr:uid="{00000000-0005-0000-0000-00003E340000}"/>
    <cellStyle name="Note 2 5 2 2 2 2 3 2 3" xfId="19462" xr:uid="{00000000-0005-0000-0000-00003F340000}"/>
    <cellStyle name="Note 2 5 2 2 2 2 3 2 4" xfId="19467" xr:uid="{00000000-0005-0000-0000-000040340000}"/>
    <cellStyle name="Note 2 5 2 2 2 2 3 3" xfId="14726" xr:uid="{00000000-0005-0000-0000-000041340000}"/>
    <cellStyle name="Note 2 5 2 2 2 2 3 4" xfId="14729" xr:uid="{00000000-0005-0000-0000-000042340000}"/>
    <cellStyle name="Note 2 5 2 2 2 2 3 5" xfId="1991" xr:uid="{00000000-0005-0000-0000-000043340000}"/>
    <cellStyle name="Note 2 5 2 2 2 2 4" xfId="20350" xr:uid="{00000000-0005-0000-0000-000044340000}"/>
    <cellStyle name="Note 2 5 2 2 2 2 4 2" xfId="14736" xr:uid="{00000000-0005-0000-0000-000045340000}"/>
    <cellStyle name="Note 2 5 2 2 2 2 4 3" xfId="14739" xr:uid="{00000000-0005-0000-0000-000046340000}"/>
    <cellStyle name="Note 2 5 2 2 2 2 4 4" xfId="20353" xr:uid="{00000000-0005-0000-0000-000047340000}"/>
    <cellStyle name="Note 2 5 2 2 2 2 5" xfId="20356" xr:uid="{00000000-0005-0000-0000-000048340000}"/>
    <cellStyle name="Note 2 5 2 2 2 2 6" xfId="20357" xr:uid="{00000000-0005-0000-0000-000049340000}"/>
    <cellStyle name="Note 2 5 2 2 2 2 7" xfId="20360" xr:uid="{00000000-0005-0000-0000-00004A340000}"/>
    <cellStyle name="Note 2 5 2 2 2 3" xfId="20363" xr:uid="{00000000-0005-0000-0000-00004B340000}"/>
    <cellStyle name="Note 2 5 2 2 2 3 2" xfId="20364" xr:uid="{00000000-0005-0000-0000-00004C340000}"/>
    <cellStyle name="Note 2 5 2 2 2 3 2 2" xfId="11937" xr:uid="{00000000-0005-0000-0000-00004D340000}"/>
    <cellStyle name="Note 2 5 2 2 2 3 2 2 2" xfId="11941" xr:uid="{00000000-0005-0000-0000-00004E340000}"/>
    <cellStyle name="Note 2 5 2 2 2 3 2 2 3" xfId="11960" xr:uid="{00000000-0005-0000-0000-00004F340000}"/>
    <cellStyle name="Note 2 5 2 2 2 3 2 2 4" xfId="3388" xr:uid="{00000000-0005-0000-0000-000050340000}"/>
    <cellStyle name="Note 2 5 2 2 2 3 2 3" xfId="11973" xr:uid="{00000000-0005-0000-0000-000051340000}"/>
    <cellStyle name="Note 2 5 2 2 2 3 2 4" xfId="11983" xr:uid="{00000000-0005-0000-0000-000052340000}"/>
    <cellStyle name="Note 2 5 2 2 2 3 2 5" xfId="11995" xr:uid="{00000000-0005-0000-0000-000053340000}"/>
    <cellStyle name="Note 2 5 2 2 2 3 3" xfId="20365" xr:uid="{00000000-0005-0000-0000-000054340000}"/>
    <cellStyle name="Note 2 5 2 2 2 3 3 2" xfId="12020" xr:uid="{00000000-0005-0000-0000-000055340000}"/>
    <cellStyle name="Note 2 5 2 2 2 3 3 3" xfId="12034" xr:uid="{00000000-0005-0000-0000-000056340000}"/>
    <cellStyle name="Note 2 5 2 2 2 3 3 4" xfId="12039" xr:uid="{00000000-0005-0000-0000-000057340000}"/>
    <cellStyle name="Note 2 5 2 2 2 3 4" xfId="20368" xr:uid="{00000000-0005-0000-0000-000058340000}"/>
    <cellStyle name="Note 2 5 2 2 2 3 5" xfId="20372" xr:uid="{00000000-0005-0000-0000-000059340000}"/>
    <cellStyle name="Note 2 5 2 2 2 3 6" xfId="20376" xr:uid="{00000000-0005-0000-0000-00005A340000}"/>
    <cellStyle name="Note 2 5 2 2 2 4" xfId="20378" xr:uid="{00000000-0005-0000-0000-00005B340000}"/>
    <cellStyle name="Note 2 5 2 2 2 4 2" xfId="20380" xr:uid="{00000000-0005-0000-0000-00005C340000}"/>
    <cellStyle name="Note 2 5 2 2 2 4 2 2" xfId="12167" xr:uid="{00000000-0005-0000-0000-00005D340000}"/>
    <cellStyle name="Note 2 5 2 2 2 4 2 3" xfId="12225" xr:uid="{00000000-0005-0000-0000-00005E340000}"/>
    <cellStyle name="Note 2 5 2 2 2 4 2 4" xfId="12266" xr:uid="{00000000-0005-0000-0000-00005F340000}"/>
    <cellStyle name="Note 2 5 2 2 2 4 3" xfId="20382" xr:uid="{00000000-0005-0000-0000-000060340000}"/>
    <cellStyle name="Note 2 5 2 2 2 4 4" xfId="20387" xr:uid="{00000000-0005-0000-0000-000061340000}"/>
    <cellStyle name="Note 2 5 2 2 2 4 5" xfId="20393" xr:uid="{00000000-0005-0000-0000-000062340000}"/>
    <cellStyle name="Note 2 5 2 2 2 5" xfId="20394" xr:uid="{00000000-0005-0000-0000-000063340000}"/>
    <cellStyle name="Note 2 5 2 2 2 5 2" xfId="20396" xr:uid="{00000000-0005-0000-0000-000064340000}"/>
    <cellStyle name="Note 2 5 2 2 2 5 3" xfId="20398" xr:uid="{00000000-0005-0000-0000-000065340000}"/>
    <cellStyle name="Note 2 5 2 2 2 5 4" xfId="20402" xr:uid="{00000000-0005-0000-0000-000066340000}"/>
    <cellStyle name="Note 2 5 2 2 2 6" xfId="10930" xr:uid="{00000000-0005-0000-0000-000067340000}"/>
    <cellStyle name="Note 2 5 2 2 2 7" xfId="11095" xr:uid="{00000000-0005-0000-0000-000068340000}"/>
    <cellStyle name="Note 2 5 2 2 2 8" xfId="11159" xr:uid="{00000000-0005-0000-0000-000069340000}"/>
    <cellStyle name="Note 2 5 2 2 3" xfId="12080" xr:uid="{00000000-0005-0000-0000-00006A340000}"/>
    <cellStyle name="Note 2 5 2 2 3 2" xfId="12084" xr:uid="{00000000-0005-0000-0000-00006B340000}"/>
    <cellStyle name="Note 2 5 2 2 3 2 2" xfId="10427" xr:uid="{00000000-0005-0000-0000-00006C340000}"/>
    <cellStyle name="Note 2 5 2 2 3 2 2 2" xfId="12087" xr:uid="{00000000-0005-0000-0000-00006D340000}"/>
    <cellStyle name="Note 2 5 2 2 3 2 2 2 2" xfId="20404" xr:uid="{00000000-0005-0000-0000-00006E340000}"/>
    <cellStyle name="Note 2 5 2 2 3 2 2 2 3" xfId="19945" xr:uid="{00000000-0005-0000-0000-00006F340000}"/>
    <cellStyle name="Note 2 5 2 2 3 2 2 2 4" xfId="19997" xr:uid="{00000000-0005-0000-0000-000070340000}"/>
    <cellStyle name="Note 2 5 2 2 3 2 2 3" xfId="12090" xr:uid="{00000000-0005-0000-0000-000071340000}"/>
    <cellStyle name="Note 2 5 2 2 3 2 2 4" xfId="12094" xr:uid="{00000000-0005-0000-0000-000072340000}"/>
    <cellStyle name="Note 2 5 2 2 3 2 2 5" xfId="20406" xr:uid="{00000000-0005-0000-0000-000073340000}"/>
    <cellStyle name="Note 2 5 2 2 3 2 3" xfId="12098" xr:uid="{00000000-0005-0000-0000-000074340000}"/>
    <cellStyle name="Note 2 5 2 2 3 2 3 2" xfId="20407" xr:uid="{00000000-0005-0000-0000-000075340000}"/>
    <cellStyle name="Note 2 5 2 2 3 2 3 3" xfId="20408" xr:uid="{00000000-0005-0000-0000-000076340000}"/>
    <cellStyle name="Note 2 5 2 2 3 2 3 4" xfId="20410" xr:uid="{00000000-0005-0000-0000-000077340000}"/>
    <cellStyle name="Note 2 5 2 2 3 2 4" xfId="12107" xr:uid="{00000000-0005-0000-0000-000078340000}"/>
    <cellStyle name="Note 2 5 2 2 3 2 5" xfId="12115" xr:uid="{00000000-0005-0000-0000-000079340000}"/>
    <cellStyle name="Note 2 5 2 2 3 2 6" xfId="13745" xr:uid="{00000000-0005-0000-0000-00007A340000}"/>
    <cellStyle name="Note 2 5 2 2 3 3" xfId="12117" xr:uid="{00000000-0005-0000-0000-00007B340000}"/>
    <cellStyle name="Note 2 5 2 2 3 3 2" xfId="12120" xr:uid="{00000000-0005-0000-0000-00007C340000}"/>
    <cellStyle name="Note 2 5 2 2 3 3 2 2" xfId="12637" xr:uid="{00000000-0005-0000-0000-00007D340000}"/>
    <cellStyle name="Note 2 5 2 2 3 3 2 3" xfId="12670" xr:uid="{00000000-0005-0000-0000-00007E340000}"/>
    <cellStyle name="Note 2 5 2 2 3 3 2 4" xfId="12674" xr:uid="{00000000-0005-0000-0000-00007F340000}"/>
    <cellStyle name="Note 2 5 2 2 3 3 3" xfId="12123" xr:uid="{00000000-0005-0000-0000-000080340000}"/>
    <cellStyle name="Note 2 5 2 2 3 3 4" xfId="12130" xr:uid="{00000000-0005-0000-0000-000081340000}"/>
    <cellStyle name="Note 2 5 2 2 3 3 5" xfId="20414" xr:uid="{00000000-0005-0000-0000-000082340000}"/>
    <cellStyle name="Note 2 5 2 2 3 4" xfId="12133" xr:uid="{00000000-0005-0000-0000-000083340000}"/>
    <cellStyle name="Note 2 5 2 2 3 4 2" xfId="20416" xr:uid="{00000000-0005-0000-0000-000084340000}"/>
    <cellStyle name="Note 2 5 2 2 3 4 3" xfId="20418" xr:uid="{00000000-0005-0000-0000-000085340000}"/>
    <cellStyle name="Note 2 5 2 2 3 4 4" xfId="20422" xr:uid="{00000000-0005-0000-0000-000086340000}"/>
    <cellStyle name="Note 2 5 2 2 3 5" xfId="12137" xr:uid="{00000000-0005-0000-0000-000087340000}"/>
    <cellStyle name="Note 2 5 2 2 3 6" xfId="11214" xr:uid="{00000000-0005-0000-0000-000088340000}"/>
    <cellStyle name="Note 2 5 2 2 3 7" xfId="11263" xr:uid="{00000000-0005-0000-0000-000089340000}"/>
    <cellStyle name="Note 2 5 2 2 4" xfId="12142" xr:uid="{00000000-0005-0000-0000-00008A340000}"/>
    <cellStyle name="Note 2 5 2 2 4 2" xfId="11070" xr:uid="{00000000-0005-0000-0000-00008B340000}"/>
    <cellStyle name="Note 2 5 2 2 4 2 2" xfId="12147" xr:uid="{00000000-0005-0000-0000-00008C340000}"/>
    <cellStyle name="Note 2 5 2 2 4 2 2 2" xfId="20423" xr:uid="{00000000-0005-0000-0000-00008D340000}"/>
    <cellStyle name="Note 2 5 2 2 4 2 2 3" xfId="20424" xr:uid="{00000000-0005-0000-0000-00008E340000}"/>
    <cellStyle name="Note 2 5 2 2 4 2 2 4" xfId="6919" xr:uid="{00000000-0005-0000-0000-00008F340000}"/>
    <cellStyle name="Note 2 5 2 2 4 2 3" xfId="12151" xr:uid="{00000000-0005-0000-0000-000090340000}"/>
    <cellStyle name="Note 2 5 2 2 4 2 4" xfId="12157" xr:uid="{00000000-0005-0000-0000-000091340000}"/>
    <cellStyle name="Note 2 5 2 2 4 2 5" xfId="20426" xr:uid="{00000000-0005-0000-0000-000092340000}"/>
    <cellStyle name="Note 2 5 2 2 4 3" xfId="11082" xr:uid="{00000000-0005-0000-0000-000093340000}"/>
    <cellStyle name="Note 2 5 2 2 4 3 2" xfId="20427" xr:uid="{00000000-0005-0000-0000-000094340000}"/>
    <cellStyle name="Note 2 5 2 2 4 3 3" xfId="20428" xr:uid="{00000000-0005-0000-0000-000095340000}"/>
    <cellStyle name="Note 2 5 2 2 4 3 4" xfId="20431" xr:uid="{00000000-0005-0000-0000-000096340000}"/>
    <cellStyle name="Note 2 5 2 2 4 4" xfId="11091" xr:uid="{00000000-0005-0000-0000-000097340000}"/>
    <cellStyle name="Note 2 5 2 2 4 5" xfId="12161" xr:uid="{00000000-0005-0000-0000-000098340000}"/>
    <cellStyle name="Note 2 5 2 2 4 6" xfId="11312" xr:uid="{00000000-0005-0000-0000-000099340000}"/>
    <cellStyle name="Note 2 5 2 2 5" xfId="6705" xr:uid="{00000000-0005-0000-0000-00009A340000}"/>
    <cellStyle name="Note 2 5 2 2 5 2" xfId="6710" xr:uid="{00000000-0005-0000-0000-00009B340000}"/>
    <cellStyle name="Note 2 5 2 2 5 2 2" xfId="6718" xr:uid="{00000000-0005-0000-0000-00009C340000}"/>
    <cellStyle name="Note 2 5 2 2 5 2 3" xfId="6742" xr:uid="{00000000-0005-0000-0000-00009D340000}"/>
    <cellStyle name="Note 2 5 2 2 5 2 4" xfId="6753" xr:uid="{00000000-0005-0000-0000-00009E340000}"/>
    <cellStyle name="Note 2 5 2 2 5 3" xfId="6771" xr:uid="{00000000-0005-0000-0000-00009F340000}"/>
    <cellStyle name="Note 2 5 2 2 5 4" xfId="6815" xr:uid="{00000000-0005-0000-0000-0000A0340000}"/>
    <cellStyle name="Note 2 5 2 2 5 5" xfId="6822" xr:uid="{00000000-0005-0000-0000-0000A1340000}"/>
    <cellStyle name="Note 2 5 2 2 6" xfId="5757" xr:uid="{00000000-0005-0000-0000-0000A2340000}"/>
    <cellStyle name="Note 2 5 2 2 6 2" xfId="2606" xr:uid="{00000000-0005-0000-0000-0000A3340000}"/>
    <cellStyle name="Note 2 5 2 2 6 3" xfId="2631" xr:uid="{00000000-0005-0000-0000-0000A4340000}"/>
    <cellStyle name="Note 2 5 2 2 6 4" xfId="2647" xr:uid="{00000000-0005-0000-0000-0000A5340000}"/>
    <cellStyle name="Note 2 5 2 2 7" xfId="5861" xr:uid="{00000000-0005-0000-0000-0000A6340000}"/>
    <cellStyle name="Note 2 5 2 2 8" xfId="5921" xr:uid="{00000000-0005-0000-0000-0000A7340000}"/>
    <cellStyle name="Note 2 5 2 2 9" xfId="1047" xr:uid="{00000000-0005-0000-0000-0000A8340000}"/>
    <cellStyle name="Note 2 5 2 3" xfId="20433" xr:uid="{00000000-0005-0000-0000-0000A9340000}"/>
    <cellStyle name="Note 2 5 2 3 2" xfId="20434" xr:uid="{00000000-0005-0000-0000-0000AA340000}"/>
    <cellStyle name="Note 2 5 2 3 2 2" xfId="20435" xr:uid="{00000000-0005-0000-0000-0000AB340000}"/>
    <cellStyle name="Note 2 5 2 3 2 2 2" xfId="19823" xr:uid="{00000000-0005-0000-0000-0000AC340000}"/>
    <cellStyle name="Note 2 5 2 3 2 2 2 2" xfId="19828" xr:uid="{00000000-0005-0000-0000-0000AD340000}"/>
    <cellStyle name="Note 2 5 2 3 2 2 2 2 2" xfId="13929" xr:uid="{00000000-0005-0000-0000-0000AE340000}"/>
    <cellStyle name="Note 2 5 2 3 2 2 2 2 2 2" xfId="18460" xr:uid="{00000000-0005-0000-0000-0000AF340000}"/>
    <cellStyle name="Note 2 5 2 3 2 2 2 2 2 3" xfId="18474" xr:uid="{00000000-0005-0000-0000-0000B0340000}"/>
    <cellStyle name="Note 2 5 2 3 2 2 2 2 2 4" xfId="18479" xr:uid="{00000000-0005-0000-0000-0000B1340000}"/>
    <cellStyle name="Note 2 5 2 3 2 2 2 2 3" xfId="18487" xr:uid="{00000000-0005-0000-0000-0000B2340000}"/>
    <cellStyle name="Note 2 5 2 3 2 2 2 2 4" xfId="18501" xr:uid="{00000000-0005-0000-0000-0000B3340000}"/>
    <cellStyle name="Note 2 5 2 3 2 2 2 2 5" xfId="15062" xr:uid="{00000000-0005-0000-0000-0000B4340000}"/>
    <cellStyle name="Note 2 5 2 3 2 2 2 3" xfId="19831" xr:uid="{00000000-0005-0000-0000-0000B5340000}"/>
    <cellStyle name="Note 2 5 2 3 2 2 2 3 2" xfId="14643" xr:uid="{00000000-0005-0000-0000-0000B6340000}"/>
    <cellStyle name="Note 2 5 2 3 2 2 2 3 3" xfId="14646" xr:uid="{00000000-0005-0000-0000-0000B7340000}"/>
    <cellStyle name="Note 2 5 2 3 2 2 2 3 4" xfId="18648" xr:uid="{00000000-0005-0000-0000-0000B8340000}"/>
    <cellStyle name="Note 2 5 2 3 2 2 2 4" xfId="19835" xr:uid="{00000000-0005-0000-0000-0000B9340000}"/>
    <cellStyle name="Note 2 5 2 3 2 2 2 5" xfId="20438" xr:uid="{00000000-0005-0000-0000-0000BA340000}"/>
    <cellStyle name="Note 2 5 2 3 2 2 2 6" xfId="20440" xr:uid="{00000000-0005-0000-0000-0000BB340000}"/>
    <cellStyle name="Note 2 5 2 3 2 2 3" xfId="19840" xr:uid="{00000000-0005-0000-0000-0000BC340000}"/>
    <cellStyle name="Note 2 5 2 3 2 2 3 2" xfId="20442" xr:uid="{00000000-0005-0000-0000-0000BD340000}"/>
    <cellStyle name="Note 2 5 2 3 2 2 3 2 2" xfId="18829" xr:uid="{00000000-0005-0000-0000-0000BE340000}"/>
    <cellStyle name="Note 2 5 2 3 2 2 3 2 3" xfId="2295" xr:uid="{00000000-0005-0000-0000-0000BF340000}"/>
    <cellStyle name="Note 2 5 2 3 2 2 3 2 4" xfId="5891" xr:uid="{00000000-0005-0000-0000-0000C0340000}"/>
    <cellStyle name="Note 2 5 2 3 2 2 3 3" xfId="20444" xr:uid="{00000000-0005-0000-0000-0000C1340000}"/>
    <cellStyle name="Note 2 5 2 3 2 2 3 4" xfId="20447" xr:uid="{00000000-0005-0000-0000-0000C2340000}"/>
    <cellStyle name="Note 2 5 2 3 2 2 3 5" xfId="20449" xr:uid="{00000000-0005-0000-0000-0000C3340000}"/>
    <cellStyle name="Note 2 5 2 3 2 2 4" xfId="19848" xr:uid="{00000000-0005-0000-0000-0000C4340000}"/>
    <cellStyle name="Note 2 5 2 3 2 2 4 2" xfId="20453" xr:uid="{00000000-0005-0000-0000-0000C5340000}"/>
    <cellStyle name="Note 2 5 2 3 2 2 4 3" xfId="20456" xr:uid="{00000000-0005-0000-0000-0000C6340000}"/>
    <cellStyle name="Note 2 5 2 3 2 2 4 4" xfId="20459" xr:uid="{00000000-0005-0000-0000-0000C7340000}"/>
    <cellStyle name="Note 2 5 2 3 2 2 5" xfId="19853" xr:uid="{00000000-0005-0000-0000-0000C8340000}"/>
    <cellStyle name="Note 2 5 2 3 2 2 6" xfId="20461" xr:uid="{00000000-0005-0000-0000-0000C9340000}"/>
    <cellStyle name="Note 2 5 2 3 2 2 7" xfId="17715" xr:uid="{00000000-0005-0000-0000-0000CA340000}"/>
    <cellStyle name="Note 2 5 2 3 2 3" xfId="20464" xr:uid="{00000000-0005-0000-0000-0000CB340000}"/>
    <cellStyle name="Note 2 5 2 3 2 3 2" xfId="17464" xr:uid="{00000000-0005-0000-0000-0000CC340000}"/>
    <cellStyle name="Note 2 5 2 3 2 3 2 2" xfId="20466" xr:uid="{00000000-0005-0000-0000-0000CD340000}"/>
    <cellStyle name="Note 2 5 2 3 2 3 2 2 2" xfId="14691" xr:uid="{00000000-0005-0000-0000-0000CE340000}"/>
    <cellStyle name="Note 2 5 2 3 2 3 2 2 3" xfId="19387" xr:uid="{00000000-0005-0000-0000-0000CF340000}"/>
    <cellStyle name="Note 2 5 2 3 2 3 2 2 4" xfId="16986" xr:uid="{00000000-0005-0000-0000-0000D0340000}"/>
    <cellStyle name="Note 2 5 2 3 2 3 2 3" xfId="20468" xr:uid="{00000000-0005-0000-0000-0000D1340000}"/>
    <cellStyle name="Note 2 5 2 3 2 3 2 4" xfId="20471" xr:uid="{00000000-0005-0000-0000-0000D2340000}"/>
    <cellStyle name="Note 2 5 2 3 2 3 2 5" xfId="20473" xr:uid="{00000000-0005-0000-0000-0000D3340000}"/>
    <cellStyle name="Note 2 5 2 3 2 3 3" xfId="19863" xr:uid="{00000000-0005-0000-0000-0000D4340000}"/>
    <cellStyle name="Note 2 5 2 3 2 3 3 2" xfId="20474" xr:uid="{00000000-0005-0000-0000-0000D5340000}"/>
    <cellStyle name="Note 2 5 2 3 2 3 3 3" xfId="20476" xr:uid="{00000000-0005-0000-0000-0000D6340000}"/>
    <cellStyle name="Note 2 5 2 3 2 3 3 4" xfId="20478" xr:uid="{00000000-0005-0000-0000-0000D7340000}"/>
    <cellStyle name="Note 2 5 2 3 2 3 4" xfId="19869" xr:uid="{00000000-0005-0000-0000-0000D8340000}"/>
    <cellStyle name="Note 2 5 2 3 2 3 5" xfId="20483" xr:uid="{00000000-0005-0000-0000-0000D9340000}"/>
    <cellStyle name="Note 2 5 2 3 2 3 6" xfId="20487" xr:uid="{00000000-0005-0000-0000-0000DA340000}"/>
    <cellStyle name="Note 2 5 2 3 2 4" xfId="20489" xr:uid="{00000000-0005-0000-0000-0000DB340000}"/>
    <cellStyle name="Note 2 5 2 3 2 4 2" xfId="19876" xr:uid="{00000000-0005-0000-0000-0000DC340000}"/>
    <cellStyle name="Note 2 5 2 3 2 4 2 2" xfId="1527" xr:uid="{00000000-0005-0000-0000-0000DD340000}"/>
    <cellStyle name="Note 2 5 2 3 2 4 2 3" xfId="1540" xr:uid="{00000000-0005-0000-0000-0000DE340000}"/>
    <cellStyle name="Note 2 5 2 3 2 4 2 4" xfId="2369" xr:uid="{00000000-0005-0000-0000-0000DF340000}"/>
    <cellStyle name="Note 2 5 2 3 2 4 3" xfId="19880" xr:uid="{00000000-0005-0000-0000-0000E0340000}"/>
    <cellStyle name="Note 2 5 2 3 2 4 4" xfId="20494" xr:uid="{00000000-0005-0000-0000-0000E1340000}"/>
    <cellStyle name="Note 2 5 2 3 2 4 5" xfId="13053" xr:uid="{00000000-0005-0000-0000-0000E2340000}"/>
    <cellStyle name="Note 2 5 2 3 2 5" xfId="17217" xr:uid="{00000000-0005-0000-0000-0000E3340000}"/>
    <cellStyle name="Note 2 5 2 3 2 5 2" xfId="19888" xr:uid="{00000000-0005-0000-0000-0000E4340000}"/>
    <cellStyle name="Note 2 5 2 3 2 5 3" xfId="20496" xr:uid="{00000000-0005-0000-0000-0000E5340000}"/>
    <cellStyle name="Note 2 5 2 3 2 5 4" xfId="20498" xr:uid="{00000000-0005-0000-0000-0000E6340000}"/>
    <cellStyle name="Note 2 5 2 3 2 6" xfId="11528" xr:uid="{00000000-0005-0000-0000-0000E7340000}"/>
    <cellStyle name="Note 2 5 2 3 2 7" xfId="11537" xr:uid="{00000000-0005-0000-0000-0000E8340000}"/>
    <cellStyle name="Note 2 5 2 3 2 8" xfId="11546" xr:uid="{00000000-0005-0000-0000-0000E9340000}"/>
    <cellStyle name="Note 2 5 2 3 3" xfId="12173" xr:uid="{00000000-0005-0000-0000-0000EA340000}"/>
    <cellStyle name="Note 2 5 2 3 3 2" xfId="12177" xr:uid="{00000000-0005-0000-0000-0000EB340000}"/>
    <cellStyle name="Note 2 5 2 3 3 2 2" xfId="11875" xr:uid="{00000000-0005-0000-0000-0000EC340000}"/>
    <cellStyle name="Note 2 5 2 3 3 2 2 2" xfId="20501" xr:uid="{00000000-0005-0000-0000-0000ED340000}"/>
    <cellStyle name="Note 2 5 2 3 3 2 2 2 2" xfId="20506" xr:uid="{00000000-0005-0000-0000-0000EE340000}"/>
    <cellStyle name="Note 2 5 2 3 3 2 2 2 3" xfId="20513" xr:uid="{00000000-0005-0000-0000-0000EF340000}"/>
    <cellStyle name="Note 2 5 2 3 3 2 2 2 4" xfId="19066" xr:uid="{00000000-0005-0000-0000-0000F0340000}"/>
    <cellStyle name="Note 2 5 2 3 3 2 2 3" xfId="20516" xr:uid="{00000000-0005-0000-0000-0000F1340000}"/>
    <cellStyle name="Note 2 5 2 3 3 2 2 4" xfId="20520" xr:uid="{00000000-0005-0000-0000-0000F2340000}"/>
    <cellStyle name="Note 2 5 2 3 3 2 2 5" xfId="20524" xr:uid="{00000000-0005-0000-0000-0000F3340000}"/>
    <cellStyle name="Note 2 5 2 3 3 2 3" xfId="11885" xr:uid="{00000000-0005-0000-0000-0000F4340000}"/>
    <cellStyle name="Note 2 5 2 3 3 2 3 2" xfId="20527" xr:uid="{00000000-0005-0000-0000-0000F5340000}"/>
    <cellStyle name="Note 2 5 2 3 3 2 3 3" xfId="20530" xr:uid="{00000000-0005-0000-0000-0000F6340000}"/>
    <cellStyle name="Note 2 5 2 3 3 2 3 4" xfId="20534" xr:uid="{00000000-0005-0000-0000-0000F7340000}"/>
    <cellStyle name="Note 2 5 2 3 3 2 4" xfId="12190" xr:uid="{00000000-0005-0000-0000-0000F8340000}"/>
    <cellStyle name="Note 2 5 2 3 3 2 5" xfId="20538" xr:uid="{00000000-0005-0000-0000-0000F9340000}"/>
    <cellStyle name="Note 2 5 2 3 3 2 6" xfId="20541" xr:uid="{00000000-0005-0000-0000-0000FA340000}"/>
    <cellStyle name="Note 2 5 2 3 3 3" xfId="12192" xr:uid="{00000000-0005-0000-0000-0000FB340000}"/>
    <cellStyle name="Note 2 5 2 3 3 3 2" xfId="11900" xr:uid="{00000000-0005-0000-0000-0000FC340000}"/>
    <cellStyle name="Note 2 5 2 3 3 3 2 2" xfId="20546" xr:uid="{00000000-0005-0000-0000-0000FD340000}"/>
    <cellStyle name="Note 2 5 2 3 3 3 2 3" xfId="20549" xr:uid="{00000000-0005-0000-0000-0000FE340000}"/>
    <cellStyle name="Note 2 5 2 3 3 3 2 4" xfId="20553" xr:uid="{00000000-0005-0000-0000-0000FF340000}"/>
    <cellStyle name="Note 2 5 2 3 3 3 3" xfId="19918" xr:uid="{00000000-0005-0000-0000-000000350000}"/>
    <cellStyle name="Note 2 5 2 3 3 3 4" xfId="20558" xr:uid="{00000000-0005-0000-0000-000001350000}"/>
    <cellStyle name="Note 2 5 2 3 3 3 5" xfId="20563" xr:uid="{00000000-0005-0000-0000-000002350000}"/>
    <cellStyle name="Note 2 5 2 3 3 4" xfId="12198" xr:uid="{00000000-0005-0000-0000-000003350000}"/>
    <cellStyle name="Note 2 5 2 3 3 4 2" xfId="19924" xr:uid="{00000000-0005-0000-0000-000004350000}"/>
    <cellStyle name="Note 2 5 2 3 3 4 3" xfId="20566" xr:uid="{00000000-0005-0000-0000-000005350000}"/>
    <cellStyle name="Note 2 5 2 3 3 4 4" xfId="20570" xr:uid="{00000000-0005-0000-0000-000006350000}"/>
    <cellStyle name="Note 2 5 2 3 3 5" xfId="12205" xr:uid="{00000000-0005-0000-0000-000007350000}"/>
    <cellStyle name="Note 2 5 2 3 3 6" xfId="381" xr:uid="{00000000-0005-0000-0000-000008350000}"/>
    <cellStyle name="Note 2 5 2 3 3 7" xfId="11580" xr:uid="{00000000-0005-0000-0000-000009350000}"/>
    <cellStyle name="Note 2 5 2 3 4" xfId="7335" xr:uid="{00000000-0005-0000-0000-00000A350000}"/>
    <cellStyle name="Note 2 5 2 3 4 2" xfId="2054" xr:uid="{00000000-0005-0000-0000-00000B350000}"/>
    <cellStyle name="Note 2 5 2 3 4 2 2" xfId="11928" xr:uid="{00000000-0005-0000-0000-00000C350000}"/>
    <cellStyle name="Note 2 5 2 3 4 2 2 2" xfId="20573" xr:uid="{00000000-0005-0000-0000-00000D350000}"/>
    <cellStyle name="Note 2 5 2 3 4 2 2 3" xfId="20576" xr:uid="{00000000-0005-0000-0000-00000E350000}"/>
    <cellStyle name="Note 2 5 2 3 4 2 2 4" xfId="20580" xr:uid="{00000000-0005-0000-0000-00000F350000}"/>
    <cellStyle name="Note 2 5 2 3 4 2 3" xfId="19655" xr:uid="{00000000-0005-0000-0000-000010350000}"/>
    <cellStyle name="Note 2 5 2 3 4 2 4" xfId="19662" xr:uid="{00000000-0005-0000-0000-000011350000}"/>
    <cellStyle name="Note 2 5 2 3 4 2 5" xfId="20584" xr:uid="{00000000-0005-0000-0000-000012350000}"/>
    <cellStyle name="Note 2 5 2 3 4 3" xfId="11257" xr:uid="{00000000-0005-0000-0000-000013350000}"/>
    <cellStyle name="Note 2 5 2 3 4 3 2" xfId="19938" xr:uid="{00000000-0005-0000-0000-000014350000}"/>
    <cellStyle name="Note 2 5 2 3 4 3 3" xfId="20587" xr:uid="{00000000-0005-0000-0000-000015350000}"/>
    <cellStyle name="Note 2 5 2 3 4 3 4" xfId="20591" xr:uid="{00000000-0005-0000-0000-000016350000}"/>
    <cellStyle name="Note 2 5 2 3 4 4" xfId="12216" xr:uid="{00000000-0005-0000-0000-000017350000}"/>
    <cellStyle name="Note 2 5 2 3 4 5" xfId="19665" xr:uid="{00000000-0005-0000-0000-000018350000}"/>
    <cellStyle name="Note 2 5 2 3 4 6" xfId="11609" xr:uid="{00000000-0005-0000-0000-000019350000}"/>
    <cellStyle name="Note 2 5 2 3 5" xfId="6838" xr:uid="{00000000-0005-0000-0000-00001A350000}"/>
    <cellStyle name="Note 2 5 2 3 5 2" xfId="6849" xr:uid="{00000000-0005-0000-0000-00001B350000}"/>
    <cellStyle name="Note 2 5 2 3 5 2 2" xfId="4559" xr:uid="{00000000-0005-0000-0000-00001C350000}"/>
    <cellStyle name="Note 2 5 2 3 5 2 3" xfId="4568" xr:uid="{00000000-0005-0000-0000-00001D350000}"/>
    <cellStyle name="Note 2 5 2 3 5 2 4" xfId="4577" xr:uid="{00000000-0005-0000-0000-00001E350000}"/>
    <cellStyle name="Note 2 5 2 3 5 3" xfId="6868" xr:uid="{00000000-0005-0000-0000-00001F350000}"/>
    <cellStyle name="Note 2 5 2 3 5 4" xfId="6875" xr:uid="{00000000-0005-0000-0000-000020350000}"/>
    <cellStyle name="Note 2 5 2 3 5 5" xfId="6883" xr:uid="{00000000-0005-0000-0000-000021350000}"/>
    <cellStyle name="Note 2 5 2 3 6" xfId="5957" xr:uid="{00000000-0005-0000-0000-000022350000}"/>
    <cellStyle name="Note 2 5 2 3 6 2" xfId="2794" xr:uid="{00000000-0005-0000-0000-000023350000}"/>
    <cellStyle name="Note 2 5 2 3 6 3" xfId="2813" xr:uid="{00000000-0005-0000-0000-000024350000}"/>
    <cellStyle name="Note 2 5 2 3 6 4" xfId="2217" xr:uid="{00000000-0005-0000-0000-000025350000}"/>
    <cellStyle name="Note 2 5 2 3 7" xfId="6028" xr:uid="{00000000-0005-0000-0000-000026350000}"/>
    <cellStyle name="Note 2 5 2 3 8" xfId="6079" xr:uid="{00000000-0005-0000-0000-000027350000}"/>
    <cellStyle name="Note 2 5 2 3 9" xfId="6118" xr:uid="{00000000-0005-0000-0000-000028350000}"/>
    <cellStyle name="Note 2 5 2 4" xfId="20593" xr:uid="{00000000-0005-0000-0000-000029350000}"/>
    <cellStyle name="Note 2 5 2 4 2" xfId="15706" xr:uid="{00000000-0005-0000-0000-00002A350000}"/>
    <cellStyle name="Note 2 5 2 4 2 2" xfId="14204" xr:uid="{00000000-0005-0000-0000-00002B350000}"/>
    <cellStyle name="Note 2 5 2 4 2 2 2" xfId="19190" xr:uid="{00000000-0005-0000-0000-00002C350000}"/>
    <cellStyle name="Note 2 5 2 4 2 2 2 2" xfId="12823" xr:uid="{00000000-0005-0000-0000-00002D350000}"/>
    <cellStyle name="Note 2 5 2 4 2 2 2 2 2" xfId="17604" xr:uid="{00000000-0005-0000-0000-00002E350000}"/>
    <cellStyle name="Note 2 5 2 4 2 2 2 2 3" xfId="20594" xr:uid="{00000000-0005-0000-0000-00002F350000}"/>
    <cellStyle name="Note 2 5 2 4 2 2 2 2 4" xfId="20595" xr:uid="{00000000-0005-0000-0000-000030350000}"/>
    <cellStyle name="Note 2 5 2 4 2 2 2 3" xfId="19978" xr:uid="{00000000-0005-0000-0000-000031350000}"/>
    <cellStyle name="Note 2 5 2 4 2 2 2 4" xfId="19983" xr:uid="{00000000-0005-0000-0000-000032350000}"/>
    <cellStyle name="Note 2 5 2 4 2 2 2 5" xfId="20597" xr:uid="{00000000-0005-0000-0000-000033350000}"/>
    <cellStyle name="Note 2 5 2 4 2 2 3" xfId="19196" xr:uid="{00000000-0005-0000-0000-000034350000}"/>
    <cellStyle name="Note 2 5 2 4 2 2 3 2" xfId="20598" xr:uid="{00000000-0005-0000-0000-000035350000}"/>
    <cellStyle name="Note 2 5 2 4 2 2 3 3" xfId="20599" xr:uid="{00000000-0005-0000-0000-000036350000}"/>
    <cellStyle name="Note 2 5 2 4 2 2 3 4" xfId="20601" xr:uid="{00000000-0005-0000-0000-000037350000}"/>
    <cellStyle name="Note 2 5 2 4 2 2 4" xfId="19990" xr:uid="{00000000-0005-0000-0000-000038350000}"/>
    <cellStyle name="Note 2 5 2 4 2 2 5" xfId="19994" xr:uid="{00000000-0005-0000-0000-000039350000}"/>
    <cellStyle name="Note 2 5 2 4 2 2 6" xfId="2537" xr:uid="{00000000-0005-0000-0000-00003A350000}"/>
    <cellStyle name="Note 2 5 2 4 2 3" xfId="15076" xr:uid="{00000000-0005-0000-0000-00003B350000}"/>
    <cellStyle name="Note 2 5 2 4 2 3 2" xfId="19223" xr:uid="{00000000-0005-0000-0000-00003C350000}"/>
    <cellStyle name="Note 2 5 2 4 2 3 2 2" xfId="4140" xr:uid="{00000000-0005-0000-0000-00003D350000}"/>
    <cellStyle name="Note 2 5 2 4 2 3 2 3" xfId="5332" xr:uid="{00000000-0005-0000-0000-00003E350000}"/>
    <cellStyle name="Note 2 5 2 4 2 3 2 4" xfId="5340" xr:uid="{00000000-0005-0000-0000-00003F350000}"/>
    <cellStyle name="Note 2 5 2 4 2 3 3" xfId="20021" xr:uid="{00000000-0005-0000-0000-000040350000}"/>
    <cellStyle name="Note 2 5 2 4 2 3 4" xfId="20027" xr:uid="{00000000-0005-0000-0000-000041350000}"/>
    <cellStyle name="Note 2 5 2 4 2 3 5" xfId="20605" xr:uid="{00000000-0005-0000-0000-000042350000}"/>
    <cellStyle name="Note 2 5 2 4 2 4" xfId="11166" xr:uid="{00000000-0005-0000-0000-000043350000}"/>
    <cellStyle name="Note 2 5 2 4 2 4 2" xfId="20038" xr:uid="{00000000-0005-0000-0000-000044350000}"/>
    <cellStyle name="Note 2 5 2 4 2 4 3" xfId="20042" xr:uid="{00000000-0005-0000-0000-000045350000}"/>
    <cellStyle name="Note 2 5 2 4 2 4 4" xfId="20608" xr:uid="{00000000-0005-0000-0000-000046350000}"/>
    <cellStyle name="Note 2 5 2 4 2 5" xfId="2316" xr:uid="{00000000-0005-0000-0000-000047350000}"/>
    <cellStyle name="Note 2 5 2 4 2 6" xfId="3529" xr:uid="{00000000-0005-0000-0000-000048350000}"/>
    <cellStyle name="Note 2 5 2 4 2 7" xfId="3536" xr:uid="{00000000-0005-0000-0000-000049350000}"/>
    <cellStyle name="Note 2 5 2 4 3" xfId="12229" xr:uid="{00000000-0005-0000-0000-00004A350000}"/>
    <cellStyle name="Note 2 5 2 4 3 2" xfId="12235" xr:uid="{00000000-0005-0000-0000-00004B350000}"/>
    <cellStyle name="Note 2 5 2 4 3 2 2" xfId="7231" xr:uid="{00000000-0005-0000-0000-00004C350000}"/>
    <cellStyle name="Note 2 5 2 4 3 2 2 2" xfId="19003" xr:uid="{00000000-0005-0000-0000-00004D350000}"/>
    <cellStyle name="Note 2 5 2 4 3 2 2 3" xfId="19016" xr:uid="{00000000-0005-0000-0000-00004E350000}"/>
    <cellStyle name="Note 2 5 2 4 3 2 2 4" xfId="19024" xr:uid="{00000000-0005-0000-0000-00004F350000}"/>
    <cellStyle name="Note 2 5 2 4 3 2 3" xfId="19031" xr:uid="{00000000-0005-0000-0000-000050350000}"/>
    <cellStyle name="Note 2 5 2 4 3 2 4" xfId="19043" xr:uid="{00000000-0005-0000-0000-000051350000}"/>
    <cellStyle name="Note 2 5 2 4 3 2 5" xfId="19050" xr:uid="{00000000-0005-0000-0000-000052350000}"/>
    <cellStyle name="Note 2 5 2 4 3 3" xfId="12247" xr:uid="{00000000-0005-0000-0000-000053350000}"/>
    <cellStyle name="Note 2 5 2 4 3 3 2" xfId="19058" xr:uid="{00000000-0005-0000-0000-000054350000}"/>
    <cellStyle name="Note 2 5 2 4 3 3 3" xfId="19078" xr:uid="{00000000-0005-0000-0000-000055350000}"/>
    <cellStyle name="Note 2 5 2 4 3 3 4" xfId="19090" xr:uid="{00000000-0005-0000-0000-000056350000}"/>
    <cellStyle name="Note 2 5 2 4 3 4" xfId="12255" xr:uid="{00000000-0005-0000-0000-000057350000}"/>
    <cellStyle name="Note 2 5 2 4 3 5" xfId="19104" xr:uid="{00000000-0005-0000-0000-000058350000}"/>
    <cellStyle name="Note 2 5 2 4 3 6" xfId="3564" xr:uid="{00000000-0005-0000-0000-000059350000}"/>
    <cellStyle name="Note 2 5 2 4 4" xfId="12257" xr:uid="{00000000-0005-0000-0000-00005A350000}"/>
    <cellStyle name="Note 2 5 2 4 4 2" xfId="18880" xr:uid="{00000000-0005-0000-0000-00005B350000}"/>
    <cellStyle name="Note 2 5 2 4 4 2 2" xfId="19584" xr:uid="{00000000-0005-0000-0000-00005C350000}"/>
    <cellStyle name="Note 2 5 2 4 4 2 3" xfId="19740" xr:uid="{00000000-0005-0000-0000-00005D350000}"/>
    <cellStyle name="Note 2 5 2 4 4 2 4" xfId="19747" xr:uid="{00000000-0005-0000-0000-00005E350000}"/>
    <cellStyle name="Note 2 5 2 4 4 3" xfId="18890" xr:uid="{00000000-0005-0000-0000-00005F350000}"/>
    <cellStyle name="Note 2 5 2 4 4 4" xfId="19678" xr:uid="{00000000-0005-0000-0000-000060350000}"/>
    <cellStyle name="Note 2 5 2 4 4 5" xfId="19774" xr:uid="{00000000-0005-0000-0000-000061350000}"/>
    <cellStyle name="Note 2 5 2 4 5" xfId="3846" xr:uid="{00000000-0005-0000-0000-000062350000}"/>
    <cellStyle name="Note 2 5 2 4 5 2" xfId="485" xr:uid="{00000000-0005-0000-0000-000063350000}"/>
    <cellStyle name="Note 2 5 2 4 5 3" xfId="508" xr:uid="{00000000-0005-0000-0000-000064350000}"/>
    <cellStyle name="Note 2 5 2 4 5 4" xfId="566" xr:uid="{00000000-0005-0000-0000-000065350000}"/>
    <cellStyle name="Note 2 5 2 4 6" xfId="1499" xr:uid="{00000000-0005-0000-0000-000066350000}"/>
    <cellStyle name="Note 2 5 2 4 7" xfId="1572" xr:uid="{00000000-0005-0000-0000-000067350000}"/>
    <cellStyle name="Note 2 5 2 4 8" xfId="1592" xr:uid="{00000000-0005-0000-0000-000068350000}"/>
    <cellStyle name="Note 2 5 2 5" xfId="18506" xr:uid="{00000000-0005-0000-0000-000069350000}"/>
    <cellStyle name="Note 2 5 2 5 2" xfId="9395" xr:uid="{00000000-0005-0000-0000-00006A350000}"/>
    <cellStyle name="Note 2 5 2 5 2 2" xfId="15084" xr:uid="{00000000-0005-0000-0000-00006B350000}"/>
    <cellStyle name="Note 2 5 2 5 2 2 2" xfId="18511" xr:uid="{00000000-0005-0000-0000-00006C350000}"/>
    <cellStyle name="Note 2 5 2 5 2 2 2 2" xfId="20610" xr:uid="{00000000-0005-0000-0000-00006D350000}"/>
    <cellStyle name="Note 2 5 2 5 2 2 2 3" xfId="20612" xr:uid="{00000000-0005-0000-0000-00006E350000}"/>
    <cellStyle name="Note 2 5 2 5 2 2 2 4" xfId="20615" xr:uid="{00000000-0005-0000-0000-00006F350000}"/>
    <cellStyle name="Note 2 5 2 5 2 2 3" xfId="18519" xr:uid="{00000000-0005-0000-0000-000070350000}"/>
    <cellStyle name="Note 2 5 2 5 2 2 4" xfId="18526" xr:uid="{00000000-0005-0000-0000-000071350000}"/>
    <cellStyle name="Note 2 5 2 5 2 2 5" xfId="20620" xr:uid="{00000000-0005-0000-0000-000072350000}"/>
    <cellStyle name="Note 2 5 2 5 2 3" xfId="18529" xr:uid="{00000000-0005-0000-0000-000073350000}"/>
    <cellStyle name="Note 2 5 2 5 2 3 2" xfId="19385" xr:uid="{00000000-0005-0000-0000-000074350000}"/>
    <cellStyle name="Note 2 5 2 5 2 3 3" xfId="20094" xr:uid="{00000000-0005-0000-0000-000075350000}"/>
    <cellStyle name="Note 2 5 2 5 2 3 4" xfId="20624" xr:uid="{00000000-0005-0000-0000-000076350000}"/>
    <cellStyle name="Note 2 5 2 5 2 4" xfId="18532" xr:uid="{00000000-0005-0000-0000-000077350000}"/>
    <cellStyle name="Note 2 5 2 5 2 5" xfId="18535" xr:uid="{00000000-0005-0000-0000-000078350000}"/>
    <cellStyle name="Note 2 5 2 5 2 6" xfId="3061" xr:uid="{00000000-0005-0000-0000-000079350000}"/>
    <cellStyle name="Note 2 5 2 5 3" xfId="9403" xr:uid="{00000000-0005-0000-0000-00007A350000}"/>
    <cellStyle name="Note 2 5 2 5 3 2" xfId="18537" xr:uid="{00000000-0005-0000-0000-00007B350000}"/>
    <cellStyle name="Note 2 5 2 5 3 2 2" xfId="19434" xr:uid="{00000000-0005-0000-0000-00007C350000}"/>
    <cellStyle name="Note 2 5 2 5 3 2 3" xfId="20102" xr:uid="{00000000-0005-0000-0000-00007D350000}"/>
    <cellStyle name="Note 2 5 2 5 3 2 4" xfId="20627" xr:uid="{00000000-0005-0000-0000-00007E350000}"/>
    <cellStyle name="Note 2 5 2 5 3 3" xfId="18546" xr:uid="{00000000-0005-0000-0000-00007F350000}"/>
    <cellStyle name="Note 2 5 2 5 3 4" xfId="18552" xr:uid="{00000000-0005-0000-0000-000080350000}"/>
    <cellStyle name="Note 2 5 2 5 3 5" xfId="20632" xr:uid="{00000000-0005-0000-0000-000081350000}"/>
    <cellStyle name="Note 2 5 2 5 4" xfId="12272" xr:uid="{00000000-0005-0000-0000-000082350000}"/>
    <cellStyle name="Note 2 5 2 5 4 2" xfId="17897" xr:uid="{00000000-0005-0000-0000-000083350000}"/>
    <cellStyle name="Note 2 5 2 5 4 3" xfId="17903" xr:uid="{00000000-0005-0000-0000-000084350000}"/>
    <cellStyle name="Note 2 5 2 5 4 4" xfId="17908" xr:uid="{00000000-0005-0000-0000-000085350000}"/>
    <cellStyle name="Note 2 5 2 5 5" xfId="6530" xr:uid="{00000000-0005-0000-0000-000086350000}"/>
    <cellStyle name="Note 2 5 2 5 6" xfId="6142" xr:uid="{00000000-0005-0000-0000-000087350000}"/>
    <cellStyle name="Note 2 5 2 5 7" xfId="6158" xr:uid="{00000000-0005-0000-0000-000088350000}"/>
    <cellStyle name="Note 2 5 2 6" xfId="18553" xr:uid="{00000000-0005-0000-0000-000089350000}"/>
    <cellStyle name="Note 2 5 2 6 2" xfId="6045" xr:uid="{00000000-0005-0000-0000-00008A350000}"/>
    <cellStyle name="Note 2 5 2 6 2 2" xfId="14855" xr:uid="{00000000-0005-0000-0000-00008B350000}"/>
    <cellStyle name="Note 2 5 2 6 2 2 2" xfId="4438" xr:uid="{00000000-0005-0000-0000-00008C350000}"/>
    <cellStyle name="Note 2 5 2 6 2 2 3" xfId="14871" xr:uid="{00000000-0005-0000-0000-00008D350000}"/>
    <cellStyle name="Note 2 5 2 6 2 2 4" xfId="14878" xr:uid="{00000000-0005-0000-0000-00008E350000}"/>
    <cellStyle name="Note 2 5 2 6 2 3" xfId="14887" xr:uid="{00000000-0005-0000-0000-00008F350000}"/>
    <cellStyle name="Note 2 5 2 6 2 4" xfId="14911" xr:uid="{00000000-0005-0000-0000-000090350000}"/>
    <cellStyle name="Note 2 5 2 6 2 5" xfId="253" xr:uid="{00000000-0005-0000-0000-000091350000}"/>
    <cellStyle name="Note 2 5 2 6 3" xfId="15717" xr:uid="{00000000-0005-0000-0000-000092350000}"/>
    <cellStyle name="Note 2 5 2 6 3 2" xfId="15023" xr:uid="{00000000-0005-0000-0000-000093350000}"/>
    <cellStyle name="Note 2 5 2 6 3 3" xfId="15034" xr:uid="{00000000-0005-0000-0000-000094350000}"/>
    <cellStyle name="Note 2 5 2 6 3 4" xfId="15044" xr:uid="{00000000-0005-0000-0000-000095350000}"/>
    <cellStyle name="Note 2 5 2 6 4" xfId="17871" xr:uid="{00000000-0005-0000-0000-000096350000}"/>
    <cellStyle name="Note 2 5 2 6 5" xfId="6897" xr:uid="{00000000-0005-0000-0000-000097350000}"/>
    <cellStyle name="Note 2 5 2 6 6" xfId="6193" xr:uid="{00000000-0005-0000-0000-000098350000}"/>
    <cellStyle name="Note 2 5 2 7" xfId="18556" xr:uid="{00000000-0005-0000-0000-000099350000}"/>
    <cellStyle name="Note 2 5 2 7 2" xfId="18560" xr:uid="{00000000-0005-0000-0000-00009A350000}"/>
    <cellStyle name="Note 2 5 2 7 2 2" xfId="15170" xr:uid="{00000000-0005-0000-0000-00009B350000}"/>
    <cellStyle name="Note 2 5 2 7 2 3" xfId="15183" xr:uid="{00000000-0005-0000-0000-00009C350000}"/>
    <cellStyle name="Note 2 5 2 7 2 4" xfId="15185" xr:uid="{00000000-0005-0000-0000-00009D350000}"/>
    <cellStyle name="Note 2 5 2 7 3" xfId="18564" xr:uid="{00000000-0005-0000-0000-00009E350000}"/>
    <cellStyle name="Note 2 5 2 7 4" xfId="18568" xr:uid="{00000000-0005-0000-0000-00009F350000}"/>
    <cellStyle name="Note 2 5 2 7 5" xfId="20634" xr:uid="{00000000-0005-0000-0000-0000A0350000}"/>
    <cellStyle name="Note 2 5 2 8" xfId="18571" xr:uid="{00000000-0005-0000-0000-0000A1350000}"/>
    <cellStyle name="Note 2 5 2 8 2" xfId="20635" xr:uid="{00000000-0005-0000-0000-0000A2350000}"/>
    <cellStyle name="Note 2 5 2 8 3" xfId="20636" xr:uid="{00000000-0005-0000-0000-0000A3350000}"/>
    <cellStyle name="Note 2 5 2 8 4" xfId="20637" xr:uid="{00000000-0005-0000-0000-0000A4350000}"/>
    <cellStyle name="Note 2 5 2 9" xfId="18574" xr:uid="{00000000-0005-0000-0000-0000A5350000}"/>
    <cellStyle name="Note 2 5 3" xfId="20638" xr:uid="{00000000-0005-0000-0000-0000A6350000}"/>
    <cellStyle name="Note 2 5 3 2" xfId="20639" xr:uid="{00000000-0005-0000-0000-0000A7350000}"/>
    <cellStyle name="Note 2 5 3 2 2" xfId="355" xr:uid="{00000000-0005-0000-0000-0000A8350000}"/>
    <cellStyle name="Note 2 5 3 2 2 2" xfId="20641" xr:uid="{00000000-0005-0000-0000-0000A9350000}"/>
    <cellStyle name="Note 2 5 3 2 2 2 2" xfId="18972" xr:uid="{00000000-0005-0000-0000-0000AA350000}"/>
    <cellStyle name="Note 2 5 3 2 2 2 2 2" xfId="20643" xr:uid="{00000000-0005-0000-0000-0000AB350000}"/>
    <cellStyle name="Note 2 5 3 2 2 2 2 2 2" xfId="20227" xr:uid="{00000000-0005-0000-0000-0000AC350000}"/>
    <cellStyle name="Note 2 5 3 2 2 2 2 2 3" xfId="18407" xr:uid="{00000000-0005-0000-0000-0000AD350000}"/>
    <cellStyle name="Note 2 5 3 2 2 2 2 2 4" xfId="18439" xr:uid="{00000000-0005-0000-0000-0000AE350000}"/>
    <cellStyle name="Note 2 5 3 2 2 2 2 3" xfId="20645" xr:uid="{00000000-0005-0000-0000-0000AF350000}"/>
    <cellStyle name="Note 2 5 3 2 2 2 2 4" xfId="8083" xr:uid="{00000000-0005-0000-0000-0000B0350000}"/>
    <cellStyle name="Note 2 5 3 2 2 2 2 5" xfId="8090" xr:uid="{00000000-0005-0000-0000-0000B1350000}"/>
    <cellStyle name="Note 2 5 3 2 2 2 3" xfId="18976" xr:uid="{00000000-0005-0000-0000-0000B2350000}"/>
    <cellStyle name="Note 2 5 3 2 2 2 3 2" xfId="20648" xr:uid="{00000000-0005-0000-0000-0000B3350000}"/>
    <cellStyle name="Note 2 5 3 2 2 2 3 3" xfId="20650" xr:uid="{00000000-0005-0000-0000-0000B4350000}"/>
    <cellStyle name="Note 2 5 3 2 2 2 3 4" xfId="20652" xr:uid="{00000000-0005-0000-0000-0000B5350000}"/>
    <cellStyle name="Note 2 5 3 2 2 2 4" xfId="20656" xr:uid="{00000000-0005-0000-0000-0000B6350000}"/>
    <cellStyle name="Note 2 5 3 2 2 2 5" xfId="20660" xr:uid="{00000000-0005-0000-0000-0000B7350000}"/>
    <cellStyle name="Note 2 5 3 2 2 2 6" xfId="20662" xr:uid="{00000000-0005-0000-0000-0000B8350000}"/>
    <cellStyle name="Note 2 5 3 2 2 3" xfId="20666" xr:uid="{00000000-0005-0000-0000-0000B9350000}"/>
    <cellStyle name="Note 2 5 3 2 2 3 2" xfId="20669" xr:uid="{00000000-0005-0000-0000-0000BA350000}"/>
    <cellStyle name="Note 2 5 3 2 2 3 2 2" xfId="10889" xr:uid="{00000000-0005-0000-0000-0000BB350000}"/>
    <cellStyle name="Note 2 5 3 2 2 3 2 3" xfId="10913" xr:uid="{00000000-0005-0000-0000-0000BC350000}"/>
    <cellStyle name="Note 2 5 3 2 2 3 2 4" xfId="10922" xr:uid="{00000000-0005-0000-0000-0000BD350000}"/>
    <cellStyle name="Note 2 5 3 2 2 3 3" xfId="20671" xr:uid="{00000000-0005-0000-0000-0000BE350000}"/>
    <cellStyle name="Note 2 5 3 2 2 3 4" xfId="20675" xr:uid="{00000000-0005-0000-0000-0000BF350000}"/>
    <cellStyle name="Note 2 5 3 2 2 3 5" xfId="20680" xr:uid="{00000000-0005-0000-0000-0000C0350000}"/>
    <cellStyle name="Note 2 5 3 2 2 4" xfId="20682" xr:uid="{00000000-0005-0000-0000-0000C1350000}"/>
    <cellStyle name="Note 2 5 3 2 2 4 2" xfId="20684" xr:uid="{00000000-0005-0000-0000-0000C2350000}"/>
    <cellStyle name="Note 2 5 3 2 2 4 3" xfId="20686" xr:uid="{00000000-0005-0000-0000-0000C3350000}"/>
    <cellStyle name="Note 2 5 3 2 2 4 4" xfId="20689" xr:uid="{00000000-0005-0000-0000-0000C4350000}"/>
    <cellStyle name="Note 2 5 3 2 2 5" xfId="15343" xr:uid="{00000000-0005-0000-0000-0000C5350000}"/>
    <cellStyle name="Note 2 5 3 2 2 6" xfId="12006" xr:uid="{00000000-0005-0000-0000-0000C6350000}"/>
    <cellStyle name="Note 2 5 3 2 2 7" xfId="12021" xr:uid="{00000000-0005-0000-0000-0000C7350000}"/>
    <cellStyle name="Note 2 5 3 2 3" xfId="12300" xr:uid="{00000000-0005-0000-0000-0000C8350000}"/>
    <cellStyle name="Note 2 5 3 2 3 2" xfId="11392" xr:uid="{00000000-0005-0000-0000-0000C9350000}"/>
    <cellStyle name="Note 2 5 3 2 3 2 2" xfId="7048" xr:uid="{00000000-0005-0000-0000-0000CA350000}"/>
    <cellStyle name="Note 2 5 3 2 3 2 2 2" xfId="14697" xr:uid="{00000000-0005-0000-0000-0000CB350000}"/>
    <cellStyle name="Note 2 5 3 2 3 2 2 3" xfId="14701" xr:uid="{00000000-0005-0000-0000-0000CC350000}"/>
    <cellStyle name="Note 2 5 3 2 3 2 2 4" xfId="20344" xr:uid="{00000000-0005-0000-0000-0000CD350000}"/>
    <cellStyle name="Note 2 5 3 2 3 2 3" xfId="7056" xr:uid="{00000000-0005-0000-0000-0000CE350000}"/>
    <cellStyle name="Note 2 5 3 2 3 2 4" xfId="7067" xr:uid="{00000000-0005-0000-0000-0000CF350000}"/>
    <cellStyle name="Note 2 5 3 2 3 2 5" xfId="14530" xr:uid="{00000000-0005-0000-0000-0000D0350000}"/>
    <cellStyle name="Note 2 5 3 2 3 3" xfId="11396" xr:uid="{00000000-0005-0000-0000-0000D1350000}"/>
    <cellStyle name="Note 2 5 3 2 3 3 2" xfId="20690" xr:uid="{00000000-0005-0000-0000-0000D2350000}"/>
    <cellStyle name="Note 2 5 3 2 3 3 3" xfId="20691" xr:uid="{00000000-0005-0000-0000-0000D3350000}"/>
    <cellStyle name="Note 2 5 3 2 3 3 4" xfId="20693" xr:uid="{00000000-0005-0000-0000-0000D4350000}"/>
    <cellStyle name="Note 2 5 3 2 3 4" xfId="11400" xr:uid="{00000000-0005-0000-0000-0000D5350000}"/>
    <cellStyle name="Note 2 5 3 2 3 5" xfId="12304" xr:uid="{00000000-0005-0000-0000-0000D6350000}"/>
    <cellStyle name="Note 2 5 3 2 3 6" xfId="12043" xr:uid="{00000000-0005-0000-0000-0000D7350000}"/>
    <cellStyle name="Note 2 5 3 2 4" xfId="12308" xr:uid="{00000000-0005-0000-0000-0000D8350000}"/>
    <cellStyle name="Note 2 5 3 2 4 2" xfId="11414" xr:uid="{00000000-0005-0000-0000-0000D9350000}"/>
    <cellStyle name="Note 2 5 3 2 4 2 2" xfId="20694" xr:uid="{00000000-0005-0000-0000-0000DA350000}"/>
    <cellStyle name="Note 2 5 3 2 4 2 3" xfId="20695" xr:uid="{00000000-0005-0000-0000-0000DB350000}"/>
    <cellStyle name="Note 2 5 3 2 4 2 4" xfId="20696" xr:uid="{00000000-0005-0000-0000-0000DC350000}"/>
    <cellStyle name="Note 2 5 3 2 4 3" xfId="11422" xr:uid="{00000000-0005-0000-0000-0000DD350000}"/>
    <cellStyle name="Note 2 5 3 2 4 4" xfId="12312" xr:uid="{00000000-0005-0000-0000-0000DE350000}"/>
    <cellStyle name="Note 2 5 3 2 4 5" xfId="14422" xr:uid="{00000000-0005-0000-0000-0000DF350000}"/>
    <cellStyle name="Note 2 5 3 2 5" xfId="6913" xr:uid="{00000000-0005-0000-0000-0000E0350000}"/>
    <cellStyle name="Note 2 5 3 2 5 2" xfId="3551" xr:uid="{00000000-0005-0000-0000-0000E1350000}"/>
    <cellStyle name="Note 2 5 3 2 5 3" xfId="3582" xr:uid="{00000000-0005-0000-0000-0000E2350000}"/>
    <cellStyle name="Note 2 5 3 2 5 4" xfId="3590" xr:uid="{00000000-0005-0000-0000-0000E3350000}"/>
    <cellStyle name="Note 2 5 3 2 6" xfId="6223" xr:uid="{00000000-0005-0000-0000-0000E4350000}"/>
    <cellStyle name="Note 2 5 3 2 7" xfId="6283" xr:uid="{00000000-0005-0000-0000-0000E5350000}"/>
    <cellStyle name="Note 2 5 3 2 8" xfId="6312" xr:uid="{00000000-0005-0000-0000-0000E6350000}"/>
    <cellStyle name="Note 2 5 3 3" xfId="20697" xr:uid="{00000000-0005-0000-0000-0000E7350000}"/>
    <cellStyle name="Note 2 5 3 3 2" xfId="20698" xr:uid="{00000000-0005-0000-0000-0000E8350000}"/>
    <cellStyle name="Note 2 5 3 3 2 2" xfId="20699" xr:uid="{00000000-0005-0000-0000-0000E9350000}"/>
    <cellStyle name="Note 2 5 3 3 2 2 2" xfId="20139" xr:uid="{00000000-0005-0000-0000-0000EA350000}"/>
    <cellStyle name="Note 2 5 3 3 2 2 2 2" xfId="20701" xr:uid="{00000000-0005-0000-0000-0000EB350000}"/>
    <cellStyle name="Note 2 5 3 3 2 2 2 3" xfId="20703" xr:uid="{00000000-0005-0000-0000-0000EC350000}"/>
    <cellStyle name="Note 2 5 3 3 2 2 2 4" xfId="9419" xr:uid="{00000000-0005-0000-0000-0000ED350000}"/>
    <cellStyle name="Note 2 5 3 3 2 2 3" xfId="20144" xr:uid="{00000000-0005-0000-0000-0000EE350000}"/>
    <cellStyle name="Note 2 5 3 3 2 2 4" xfId="20149" xr:uid="{00000000-0005-0000-0000-0000EF350000}"/>
    <cellStyle name="Note 2 5 3 3 2 2 5" xfId="20706" xr:uid="{00000000-0005-0000-0000-0000F0350000}"/>
    <cellStyle name="Note 2 5 3 3 2 3" xfId="16801" xr:uid="{00000000-0005-0000-0000-0000F1350000}"/>
    <cellStyle name="Note 2 5 3 3 2 3 2" xfId="3165" xr:uid="{00000000-0005-0000-0000-0000F2350000}"/>
    <cellStyle name="Note 2 5 3 3 2 3 3" xfId="3170" xr:uid="{00000000-0005-0000-0000-0000F3350000}"/>
    <cellStyle name="Note 2 5 3 3 2 3 4" xfId="847" xr:uid="{00000000-0005-0000-0000-0000F4350000}"/>
    <cellStyle name="Note 2 5 3 3 2 4" xfId="16804" xr:uid="{00000000-0005-0000-0000-0000F5350000}"/>
    <cellStyle name="Note 2 5 3 3 2 5" xfId="16236" xr:uid="{00000000-0005-0000-0000-0000F6350000}"/>
    <cellStyle name="Note 2 5 3 3 2 6" xfId="12294" xr:uid="{00000000-0005-0000-0000-0000F7350000}"/>
    <cellStyle name="Note 2 5 3 3 3" xfId="12320" xr:uid="{00000000-0005-0000-0000-0000F8350000}"/>
    <cellStyle name="Note 2 5 3 3 3 2" xfId="11455" xr:uid="{00000000-0005-0000-0000-0000F9350000}"/>
    <cellStyle name="Note 2 5 3 3 3 2 2" xfId="10687" xr:uid="{00000000-0005-0000-0000-0000FA350000}"/>
    <cellStyle name="Note 2 5 3 3 3 2 3" xfId="20157" xr:uid="{00000000-0005-0000-0000-0000FB350000}"/>
    <cellStyle name="Note 2 5 3 3 3 2 4" xfId="20709" xr:uid="{00000000-0005-0000-0000-0000FC350000}"/>
    <cellStyle name="Note 2 5 3 3 3 3" xfId="11463" xr:uid="{00000000-0005-0000-0000-0000FD350000}"/>
    <cellStyle name="Note 2 5 3 3 3 4" xfId="12324" xr:uid="{00000000-0005-0000-0000-0000FE350000}"/>
    <cellStyle name="Note 2 5 3 3 3 5" xfId="16249" xr:uid="{00000000-0005-0000-0000-0000FF350000}"/>
    <cellStyle name="Note 2 5 3 3 4" xfId="12331" xr:uid="{00000000-0005-0000-0000-000000360000}"/>
    <cellStyle name="Note 2 5 3 3 4 2" xfId="11485" xr:uid="{00000000-0005-0000-0000-000001360000}"/>
    <cellStyle name="Note 2 5 3 3 4 3" xfId="18916" xr:uid="{00000000-0005-0000-0000-000002360000}"/>
    <cellStyle name="Note 2 5 3 3 4 4" xfId="19681" xr:uid="{00000000-0005-0000-0000-000003360000}"/>
    <cellStyle name="Note 2 5 3 3 5" xfId="6938" xr:uid="{00000000-0005-0000-0000-000004360000}"/>
    <cellStyle name="Note 2 5 3 3 6" xfId="6335" xr:uid="{00000000-0005-0000-0000-000005360000}"/>
    <cellStyle name="Note 2 5 3 3 7" xfId="6366" xr:uid="{00000000-0005-0000-0000-000006360000}"/>
    <cellStyle name="Note 2 5 3 4" xfId="20710" xr:uid="{00000000-0005-0000-0000-000007360000}"/>
    <cellStyle name="Note 2 5 3 4 2" xfId="15727" xr:uid="{00000000-0005-0000-0000-000008360000}"/>
    <cellStyle name="Note 2 5 3 4 2 2" xfId="14159" xr:uid="{00000000-0005-0000-0000-000009360000}"/>
    <cellStyle name="Note 2 5 3 4 2 2 2" xfId="19548" xr:uid="{00000000-0005-0000-0000-00000A360000}"/>
    <cellStyle name="Note 2 5 3 4 2 2 3" xfId="20180" xr:uid="{00000000-0005-0000-0000-00000B360000}"/>
    <cellStyle name="Note 2 5 3 4 2 2 4" xfId="20712" xr:uid="{00000000-0005-0000-0000-00000C360000}"/>
    <cellStyle name="Note 2 5 3 4 2 3" xfId="16818" xr:uid="{00000000-0005-0000-0000-00000D360000}"/>
    <cellStyle name="Note 2 5 3 4 2 4" xfId="16822" xr:uid="{00000000-0005-0000-0000-00000E360000}"/>
    <cellStyle name="Note 2 5 3 4 2 5" xfId="16633" xr:uid="{00000000-0005-0000-0000-00000F360000}"/>
    <cellStyle name="Note 2 5 3 4 3" xfId="12340" xr:uid="{00000000-0005-0000-0000-000010360000}"/>
    <cellStyle name="Note 2 5 3 4 3 2" xfId="11505" xr:uid="{00000000-0005-0000-0000-000011360000}"/>
    <cellStyle name="Note 2 5 3 4 3 3" xfId="20714" xr:uid="{00000000-0005-0000-0000-000012360000}"/>
    <cellStyle name="Note 2 5 3 4 3 4" xfId="20717" xr:uid="{00000000-0005-0000-0000-000013360000}"/>
    <cellStyle name="Note 2 5 3 4 4" xfId="12345" xr:uid="{00000000-0005-0000-0000-000014360000}"/>
    <cellStyle name="Note 2 5 3 4 5" xfId="4248" xr:uid="{00000000-0005-0000-0000-000015360000}"/>
    <cellStyle name="Note 2 5 3 4 6" xfId="1675" xr:uid="{00000000-0005-0000-0000-000016360000}"/>
    <cellStyle name="Note 2 5 3 5" xfId="18580" xr:uid="{00000000-0005-0000-0000-000017360000}"/>
    <cellStyle name="Note 2 5 3 5 2" xfId="9010" xr:uid="{00000000-0005-0000-0000-000018360000}"/>
    <cellStyle name="Note 2 5 3 5 2 2" xfId="18582" xr:uid="{00000000-0005-0000-0000-000019360000}"/>
    <cellStyle name="Note 2 5 3 5 2 3" xfId="18585" xr:uid="{00000000-0005-0000-0000-00001A360000}"/>
    <cellStyle name="Note 2 5 3 5 2 4" xfId="18588" xr:uid="{00000000-0005-0000-0000-00001B360000}"/>
    <cellStyle name="Note 2 5 3 5 3" xfId="15732" xr:uid="{00000000-0005-0000-0000-00001C360000}"/>
    <cellStyle name="Note 2 5 3 5 4" xfId="17942" xr:uid="{00000000-0005-0000-0000-00001D360000}"/>
    <cellStyle name="Note 2 5 3 5 5" xfId="4292" xr:uid="{00000000-0005-0000-0000-00001E360000}"/>
    <cellStyle name="Note 2 5 3 6" xfId="18590" xr:uid="{00000000-0005-0000-0000-00001F360000}"/>
    <cellStyle name="Note 2 5 3 6 2" xfId="18593" xr:uid="{00000000-0005-0000-0000-000020360000}"/>
    <cellStyle name="Note 2 5 3 6 3" xfId="18597" xr:uid="{00000000-0005-0000-0000-000021360000}"/>
    <cellStyle name="Note 2 5 3 6 4" xfId="18600" xr:uid="{00000000-0005-0000-0000-000022360000}"/>
    <cellStyle name="Note 2 5 3 7" xfId="18603" xr:uid="{00000000-0005-0000-0000-000023360000}"/>
    <cellStyle name="Note 2 5 3 8" xfId="18606" xr:uid="{00000000-0005-0000-0000-000024360000}"/>
    <cellStyle name="Note 2 5 3 9" xfId="18609" xr:uid="{00000000-0005-0000-0000-000025360000}"/>
    <cellStyle name="Note 2 5 4" xfId="20718" xr:uid="{00000000-0005-0000-0000-000026360000}"/>
    <cellStyle name="Note 2 5 4 2" xfId="20719" xr:uid="{00000000-0005-0000-0000-000027360000}"/>
    <cellStyle name="Note 2 5 4 2 2" xfId="20720" xr:uid="{00000000-0005-0000-0000-000028360000}"/>
    <cellStyle name="Note 2 5 4 2 2 2" xfId="7733" xr:uid="{00000000-0005-0000-0000-000029360000}"/>
    <cellStyle name="Note 2 5 4 2 2 2 2" xfId="7436" xr:uid="{00000000-0005-0000-0000-00002A360000}"/>
    <cellStyle name="Note 2 5 4 2 2 2 2 2" xfId="1318" xr:uid="{00000000-0005-0000-0000-00002B360000}"/>
    <cellStyle name="Note 2 5 4 2 2 2 2 2 2" xfId="1780" xr:uid="{00000000-0005-0000-0000-00002C360000}"/>
    <cellStyle name="Note 2 5 4 2 2 2 2 2 3" xfId="20721" xr:uid="{00000000-0005-0000-0000-00002D360000}"/>
    <cellStyle name="Note 2 5 4 2 2 2 2 2 4" xfId="20722" xr:uid="{00000000-0005-0000-0000-00002E360000}"/>
    <cellStyle name="Note 2 5 4 2 2 2 2 3" xfId="7735" xr:uid="{00000000-0005-0000-0000-00002F360000}"/>
    <cellStyle name="Note 2 5 4 2 2 2 2 4" xfId="7737" xr:uid="{00000000-0005-0000-0000-000030360000}"/>
    <cellStyle name="Note 2 5 4 2 2 2 2 5" xfId="20723" xr:uid="{00000000-0005-0000-0000-000031360000}"/>
    <cellStyle name="Note 2 5 4 2 2 2 3" xfId="5387" xr:uid="{00000000-0005-0000-0000-000032360000}"/>
    <cellStyle name="Note 2 5 4 2 2 2 3 2" xfId="20725" xr:uid="{00000000-0005-0000-0000-000033360000}"/>
    <cellStyle name="Note 2 5 4 2 2 2 3 3" xfId="20726" xr:uid="{00000000-0005-0000-0000-000034360000}"/>
    <cellStyle name="Note 2 5 4 2 2 2 3 4" xfId="20727" xr:uid="{00000000-0005-0000-0000-000035360000}"/>
    <cellStyle name="Note 2 5 4 2 2 2 4" xfId="5401" xr:uid="{00000000-0005-0000-0000-000036360000}"/>
    <cellStyle name="Note 2 5 4 2 2 2 5" xfId="5409" xr:uid="{00000000-0005-0000-0000-000037360000}"/>
    <cellStyle name="Note 2 5 4 2 2 2 6" xfId="1395" xr:uid="{00000000-0005-0000-0000-000038360000}"/>
    <cellStyle name="Note 2 5 4 2 2 3" xfId="7739" xr:uid="{00000000-0005-0000-0000-000039360000}"/>
    <cellStyle name="Note 2 5 4 2 2 3 2" xfId="7742" xr:uid="{00000000-0005-0000-0000-00003A360000}"/>
    <cellStyle name="Note 2 5 4 2 2 3 2 2" xfId="3265" xr:uid="{00000000-0005-0000-0000-00003B360000}"/>
    <cellStyle name="Note 2 5 4 2 2 3 2 3" xfId="9888" xr:uid="{00000000-0005-0000-0000-00003C360000}"/>
    <cellStyle name="Note 2 5 4 2 2 3 2 4" xfId="9891" xr:uid="{00000000-0005-0000-0000-00003D360000}"/>
    <cellStyle name="Note 2 5 4 2 2 3 3" xfId="929" xr:uid="{00000000-0005-0000-0000-00003E360000}"/>
    <cellStyle name="Note 2 5 4 2 2 3 4" xfId="949" xr:uid="{00000000-0005-0000-0000-00003F360000}"/>
    <cellStyle name="Note 2 5 4 2 2 3 5" xfId="956" xr:uid="{00000000-0005-0000-0000-000040360000}"/>
    <cellStyle name="Note 2 5 4 2 2 4" xfId="7744" xr:uid="{00000000-0005-0000-0000-000041360000}"/>
    <cellStyle name="Note 2 5 4 2 2 4 2" xfId="20728" xr:uid="{00000000-0005-0000-0000-000042360000}"/>
    <cellStyle name="Note 2 5 4 2 2 4 3" xfId="990" xr:uid="{00000000-0005-0000-0000-000043360000}"/>
    <cellStyle name="Note 2 5 4 2 2 4 4" xfId="20730" xr:uid="{00000000-0005-0000-0000-000044360000}"/>
    <cellStyle name="Note 2 5 4 2 2 5" xfId="7746" xr:uid="{00000000-0005-0000-0000-000045360000}"/>
    <cellStyle name="Note 2 5 4 2 2 6" xfId="7751" xr:uid="{00000000-0005-0000-0000-000046360000}"/>
    <cellStyle name="Note 2 5 4 2 2 7" xfId="12688" xr:uid="{00000000-0005-0000-0000-000047360000}"/>
    <cellStyle name="Note 2 5 4 2 3" xfId="6302" xr:uid="{00000000-0005-0000-0000-000048360000}"/>
    <cellStyle name="Note 2 5 4 2 3 2" xfId="8065" xr:uid="{00000000-0005-0000-0000-000049360000}"/>
    <cellStyle name="Note 2 5 4 2 3 2 2" xfId="8073" xr:uid="{00000000-0005-0000-0000-00004A360000}"/>
    <cellStyle name="Note 2 5 4 2 3 2 2 2" xfId="8080" xr:uid="{00000000-0005-0000-0000-00004B360000}"/>
    <cellStyle name="Note 2 5 4 2 3 2 2 3" xfId="8087" xr:uid="{00000000-0005-0000-0000-00004C360000}"/>
    <cellStyle name="Note 2 5 4 2 3 2 2 4" xfId="8093" xr:uid="{00000000-0005-0000-0000-00004D360000}"/>
    <cellStyle name="Note 2 5 4 2 3 2 3" xfId="5576" xr:uid="{00000000-0005-0000-0000-00004E360000}"/>
    <cellStyle name="Note 2 5 4 2 3 2 4" xfId="5591" xr:uid="{00000000-0005-0000-0000-00004F360000}"/>
    <cellStyle name="Note 2 5 4 2 3 2 5" xfId="5605" xr:uid="{00000000-0005-0000-0000-000050360000}"/>
    <cellStyle name="Note 2 5 4 2 3 3" xfId="8097" xr:uid="{00000000-0005-0000-0000-000051360000}"/>
    <cellStyle name="Note 2 5 4 2 3 3 2" xfId="8102" xr:uid="{00000000-0005-0000-0000-000052360000}"/>
    <cellStyle name="Note 2 5 4 2 3 3 3" xfId="8105" xr:uid="{00000000-0005-0000-0000-000053360000}"/>
    <cellStyle name="Note 2 5 4 2 3 3 4" xfId="8109" xr:uid="{00000000-0005-0000-0000-000054360000}"/>
    <cellStyle name="Note 2 5 4 2 3 4" xfId="8112" xr:uid="{00000000-0005-0000-0000-000055360000}"/>
    <cellStyle name="Note 2 5 4 2 3 5" xfId="8117" xr:uid="{00000000-0005-0000-0000-000056360000}"/>
    <cellStyle name="Note 2 5 4 2 3 6" xfId="7802" xr:uid="{00000000-0005-0000-0000-000057360000}"/>
    <cellStyle name="Note 2 5 4 2 4" xfId="7520" xr:uid="{00000000-0005-0000-0000-000058360000}"/>
    <cellStyle name="Note 2 5 4 2 4 2" xfId="8214" xr:uid="{00000000-0005-0000-0000-000059360000}"/>
    <cellStyle name="Note 2 5 4 2 4 2 2" xfId="8216" xr:uid="{00000000-0005-0000-0000-00005A360000}"/>
    <cellStyle name="Note 2 5 4 2 4 2 3" xfId="8219" xr:uid="{00000000-0005-0000-0000-00005B360000}"/>
    <cellStyle name="Note 2 5 4 2 4 2 4" xfId="8222" xr:uid="{00000000-0005-0000-0000-00005C360000}"/>
    <cellStyle name="Note 2 5 4 2 4 3" xfId="8226" xr:uid="{00000000-0005-0000-0000-00005D360000}"/>
    <cellStyle name="Note 2 5 4 2 4 4" xfId="8229" xr:uid="{00000000-0005-0000-0000-00005E360000}"/>
    <cellStyle name="Note 2 5 4 2 4 5" xfId="3994" xr:uid="{00000000-0005-0000-0000-00005F360000}"/>
    <cellStyle name="Note 2 5 4 2 5" xfId="6957" xr:uid="{00000000-0005-0000-0000-000060360000}"/>
    <cellStyle name="Note 2 5 4 2 5 2" xfId="4049" xr:uid="{00000000-0005-0000-0000-000061360000}"/>
    <cellStyle name="Note 2 5 4 2 5 3" xfId="4067" xr:uid="{00000000-0005-0000-0000-000062360000}"/>
    <cellStyle name="Note 2 5 4 2 5 4" xfId="6986" xr:uid="{00000000-0005-0000-0000-000063360000}"/>
    <cellStyle name="Note 2 5 4 2 6" xfId="6395" xr:uid="{00000000-0005-0000-0000-000064360000}"/>
    <cellStyle name="Note 2 5 4 2 7" xfId="6414" xr:uid="{00000000-0005-0000-0000-000065360000}"/>
    <cellStyle name="Note 2 5 4 2 8" xfId="6425" xr:uid="{00000000-0005-0000-0000-000066360000}"/>
    <cellStyle name="Note 2 5 4 3" xfId="7525" xr:uid="{00000000-0005-0000-0000-000067360000}"/>
    <cellStyle name="Note 2 5 4 3 2" xfId="20732" xr:uid="{00000000-0005-0000-0000-000068360000}"/>
    <cellStyle name="Note 2 5 4 3 2 2" xfId="9161" xr:uid="{00000000-0005-0000-0000-000069360000}"/>
    <cellStyle name="Note 2 5 4 3 2 2 2" xfId="2699" xr:uid="{00000000-0005-0000-0000-00006A360000}"/>
    <cellStyle name="Note 2 5 4 3 2 2 2 2" xfId="5631" xr:uid="{00000000-0005-0000-0000-00006B360000}"/>
    <cellStyle name="Note 2 5 4 3 2 2 2 3" xfId="8962" xr:uid="{00000000-0005-0000-0000-00006C360000}"/>
    <cellStyle name="Note 2 5 4 3 2 2 2 4" xfId="8966" xr:uid="{00000000-0005-0000-0000-00006D360000}"/>
    <cellStyle name="Note 2 5 4 3 2 2 3" xfId="2712" xr:uid="{00000000-0005-0000-0000-00006E360000}"/>
    <cellStyle name="Note 2 5 4 3 2 2 4" xfId="2738" xr:uid="{00000000-0005-0000-0000-00006F360000}"/>
    <cellStyle name="Note 2 5 4 3 2 2 5" xfId="5937" xr:uid="{00000000-0005-0000-0000-000070360000}"/>
    <cellStyle name="Note 2 5 4 3 2 3" xfId="9166" xr:uid="{00000000-0005-0000-0000-000071360000}"/>
    <cellStyle name="Note 2 5 4 3 2 3 2" xfId="1094" xr:uid="{00000000-0005-0000-0000-000072360000}"/>
    <cellStyle name="Note 2 5 4 3 2 3 3" xfId="1059" xr:uid="{00000000-0005-0000-0000-000073360000}"/>
    <cellStyle name="Note 2 5 4 3 2 3 4" xfId="1071" xr:uid="{00000000-0005-0000-0000-000074360000}"/>
    <cellStyle name="Note 2 5 4 3 2 4" xfId="9172" xr:uid="{00000000-0005-0000-0000-000075360000}"/>
    <cellStyle name="Note 2 5 4 3 2 5" xfId="3747" xr:uid="{00000000-0005-0000-0000-000076360000}"/>
    <cellStyle name="Note 2 5 4 3 2 6" xfId="3756" xr:uid="{00000000-0005-0000-0000-000077360000}"/>
    <cellStyle name="Note 2 5 4 3 3" xfId="12379" xr:uid="{00000000-0005-0000-0000-000078360000}"/>
    <cellStyle name="Note 2 5 4 3 3 2" xfId="9415" xr:uid="{00000000-0005-0000-0000-000079360000}"/>
    <cellStyle name="Note 2 5 4 3 3 2 2" xfId="2888" xr:uid="{00000000-0005-0000-0000-00007A360000}"/>
    <cellStyle name="Note 2 5 4 3 3 2 3" xfId="2901" xr:uid="{00000000-0005-0000-0000-00007B360000}"/>
    <cellStyle name="Note 2 5 4 3 3 2 4" xfId="6094" xr:uid="{00000000-0005-0000-0000-00007C360000}"/>
    <cellStyle name="Note 2 5 4 3 3 3" xfId="9425" xr:uid="{00000000-0005-0000-0000-00007D360000}"/>
    <cellStyle name="Note 2 5 4 3 3 4" xfId="9428" xr:uid="{00000000-0005-0000-0000-00007E360000}"/>
    <cellStyle name="Note 2 5 4 3 3 5" xfId="9431" xr:uid="{00000000-0005-0000-0000-00007F360000}"/>
    <cellStyle name="Note 2 5 4 3 4" xfId="12388" xr:uid="{00000000-0005-0000-0000-000080360000}"/>
    <cellStyle name="Note 2 5 4 3 4 2" xfId="9496" xr:uid="{00000000-0005-0000-0000-000081360000}"/>
    <cellStyle name="Note 2 5 4 3 4 3" xfId="9508" xr:uid="{00000000-0005-0000-0000-000082360000}"/>
    <cellStyle name="Note 2 5 4 3 4 4" xfId="9513" xr:uid="{00000000-0005-0000-0000-000083360000}"/>
    <cellStyle name="Note 2 5 4 3 5" xfId="7002" xr:uid="{00000000-0005-0000-0000-000084360000}"/>
    <cellStyle name="Note 2 5 4 3 6" xfId="6442" xr:uid="{00000000-0005-0000-0000-000085360000}"/>
    <cellStyle name="Note 2 5 4 3 7" xfId="6458" xr:uid="{00000000-0005-0000-0000-000086360000}"/>
    <cellStyle name="Note 2 5 4 4" xfId="7531" xr:uid="{00000000-0005-0000-0000-000087360000}"/>
    <cellStyle name="Note 2 5 4 4 2" xfId="1219" xr:uid="{00000000-0005-0000-0000-000088360000}"/>
    <cellStyle name="Note 2 5 4 4 2 2" xfId="3610" xr:uid="{00000000-0005-0000-0000-000089360000}"/>
    <cellStyle name="Note 2 5 4 4 2 2 2" xfId="3133" xr:uid="{00000000-0005-0000-0000-00008A360000}"/>
    <cellStyle name="Note 2 5 4 4 2 2 3" xfId="3142" xr:uid="{00000000-0005-0000-0000-00008B360000}"/>
    <cellStyle name="Note 2 5 4 4 2 2 4" xfId="3155" xr:uid="{00000000-0005-0000-0000-00008C360000}"/>
    <cellStyle name="Note 2 5 4 4 2 3" xfId="3614" xr:uid="{00000000-0005-0000-0000-00008D360000}"/>
    <cellStyle name="Note 2 5 4 4 2 4" xfId="3618" xr:uid="{00000000-0005-0000-0000-00008E360000}"/>
    <cellStyle name="Note 2 5 4 4 2 5" xfId="10287" xr:uid="{00000000-0005-0000-0000-00008F360000}"/>
    <cellStyle name="Note 2 5 4 4 3" xfId="8348" xr:uid="{00000000-0005-0000-0000-000090360000}"/>
    <cellStyle name="Note 2 5 4 4 3 2" xfId="3732" xr:uid="{00000000-0005-0000-0000-000091360000}"/>
    <cellStyle name="Note 2 5 4 4 3 3" xfId="3738" xr:uid="{00000000-0005-0000-0000-000092360000}"/>
    <cellStyle name="Note 2 5 4 4 3 4" xfId="10444" xr:uid="{00000000-0005-0000-0000-000093360000}"/>
    <cellStyle name="Note 2 5 4 4 4" xfId="20735" xr:uid="{00000000-0005-0000-0000-000094360000}"/>
    <cellStyle name="Note 2 5 4 4 5" xfId="4384" xr:uid="{00000000-0005-0000-0000-000095360000}"/>
    <cellStyle name="Note 2 5 4 4 6" xfId="1827" xr:uid="{00000000-0005-0000-0000-000096360000}"/>
    <cellStyle name="Note 2 5 4 5" xfId="7538" xr:uid="{00000000-0005-0000-0000-000097360000}"/>
    <cellStyle name="Note 2 5 4 5 2" xfId="18612" xr:uid="{00000000-0005-0000-0000-000098360000}"/>
    <cellStyle name="Note 2 5 4 5 2 2" xfId="11603" xr:uid="{00000000-0005-0000-0000-000099360000}"/>
    <cellStyle name="Note 2 5 4 5 2 3" xfId="8473" xr:uid="{00000000-0005-0000-0000-00009A360000}"/>
    <cellStyle name="Note 2 5 4 5 2 4" xfId="8484" xr:uid="{00000000-0005-0000-0000-00009B360000}"/>
    <cellStyle name="Note 2 5 4 5 3" xfId="18617" xr:uid="{00000000-0005-0000-0000-00009C360000}"/>
    <cellStyle name="Note 2 5 4 5 4" xfId="18622" xr:uid="{00000000-0005-0000-0000-00009D360000}"/>
    <cellStyle name="Note 2 5 4 5 5" xfId="19329" xr:uid="{00000000-0005-0000-0000-00009E360000}"/>
    <cellStyle name="Note 2 5 4 6" xfId="18627" xr:uid="{00000000-0005-0000-0000-00009F360000}"/>
    <cellStyle name="Note 2 5 4 6 2" xfId="20736" xr:uid="{00000000-0005-0000-0000-0000A0360000}"/>
    <cellStyle name="Note 2 5 4 6 3" xfId="20737" xr:uid="{00000000-0005-0000-0000-0000A1360000}"/>
    <cellStyle name="Note 2 5 4 6 4" xfId="19336" xr:uid="{00000000-0005-0000-0000-0000A2360000}"/>
    <cellStyle name="Note 2 5 4 7" xfId="18631" xr:uid="{00000000-0005-0000-0000-0000A3360000}"/>
    <cellStyle name="Note 2 5 4 8" xfId="18635" xr:uid="{00000000-0005-0000-0000-0000A4360000}"/>
    <cellStyle name="Note 2 5 4 9" xfId="20740" xr:uid="{00000000-0005-0000-0000-0000A5360000}"/>
    <cellStyle name="Note 2 5 5" xfId="20741" xr:uid="{00000000-0005-0000-0000-0000A6360000}"/>
    <cellStyle name="Note 2 5 5 2" xfId="20742" xr:uid="{00000000-0005-0000-0000-0000A7360000}"/>
    <cellStyle name="Note 2 5 5 2 2" xfId="17647" xr:uid="{00000000-0005-0000-0000-0000A8360000}"/>
    <cellStyle name="Note 2 5 5 2 2 2" xfId="20743" xr:uid="{00000000-0005-0000-0000-0000A9360000}"/>
    <cellStyle name="Note 2 5 5 2 2 2 2" xfId="11248" xr:uid="{00000000-0005-0000-0000-0000AA360000}"/>
    <cellStyle name="Note 2 5 5 2 2 2 2 2" xfId="7527" xr:uid="{00000000-0005-0000-0000-0000AB360000}"/>
    <cellStyle name="Note 2 5 5 2 2 2 2 3" xfId="7534" xr:uid="{00000000-0005-0000-0000-0000AC360000}"/>
    <cellStyle name="Note 2 5 5 2 2 2 2 4" xfId="7542" xr:uid="{00000000-0005-0000-0000-0000AD360000}"/>
    <cellStyle name="Note 2 5 5 2 2 2 3" xfId="20263" xr:uid="{00000000-0005-0000-0000-0000AE360000}"/>
    <cellStyle name="Note 2 5 5 2 2 2 4" xfId="20747" xr:uid="{00000000-0005-0000-0000-0000AF360000}"/>
    <cellStyle name="Note 2 5 5 2 2 2 5" xfId="11841" xr:uid="{00000000-0005-0000-0000-0000B0360000}"/>
    <cellStyle name="Note 2 5 5 2 2 3" xfId="20748" xr:uid="{00000000-0005-0000-0000-0000B1360000}"/>
    <cellStyle name="Note 2 5 5 2 2 3 2" xfId="5071" xr:uid="{00000000-0005-0000-0000-0000B2360000}"/>
    <cellStyle name="Note 2 5 5 2 2 3 3" xfId="5075" xr:uid="{00000000-0005-0000-0000-0000B3360000}"/>
    <cellStyle name="Note 2 5 5 2 2 3 4" xfId="20749" xr:uid="{00000000-0005-0000-0000-0000B4360000}"/>
    <cellStyle name="Note 2 5 5 2 2 4" xfId="20750" xr:uid="{00000000-0005-0000-0000-0000B5360000}"/>
    <cellStyle name="Note 2 5 5 2 2 5" xfId="20751" xr:uid="{00000000-0005-0000-0000-0000B6360000}"/>
    <cellStyle name="Note 2 5 5 2 2 6" xfId="20752" xr:uid="{00000000-0005-0000-0000-0000B7360000}"/>
    <cellStyle name="Note 2 5 5 2 3" xfId="12415" xr:uid="{00000000-0005-0000-0000-0000B8360000}"/>
    <cellStyle name="Note 2 5 5 2 3 2" xfId="11571" xr:uid="{00000000-0005-0000-0000-0000B9360000}"/>
    <cellStyle name="Note 2 5 5 2 3 2 2" xfId="20755" xr:uid="{00000000-0005-0000-0000-0000BA360000}"/>
    <cellStyle name="Note 2 5 5 2 3 2 3" xfId="20756" xr:uid="{00000000-0005-0000-0000-0000BB360000}"/>
    <cellStyle name="Note 2 5 5 2 3 2 4" xfId="20757" xr:uid="{00000000-0005-0000-0000-0000BC360000}"/>
    <cellStyle name="Note 2 5 5 2 3 3" xfId="16272" xr:uid="{00000000-0005-0000-0000-0000BD360000}"/>
    <cellStyle name="Note 2 5 5 2 3 4" xfId="16276" xr:uid="{00000000-0005-0000-0000-0000BE360000}"/>
    <cellStyle name="Note 2 5 5 2 3 5" xfId="16656" xr:uid="{00000000-0005-0000-0000-0000BF360000}"/>
    <cellStyle name="Note 2 5 5 2 4" xfId="12421" xr:uid="{00000000-0005-0000-0000-0000C0360000}"/>
    <cellStyle name="Note 2 5 5 2 4 2" xfId="20758" xr:uid="{00000000-0005-0000-0000-0000C1360000}"/>
    <cellStyle name="Note 2 5 5 2 4 3" xfId="20762" xr:uid="{00000000-0005-0000-0000-0000C2360000}"/>
    <cellStyle name="Note 2 5 5 2 4 4" xfId="20767" xr:uid="{00000000-0005-0000-0000-0000C3360000}"/>
    <cellStyle name="Note 2 5 5 2 5" xfId="7023" xr:uid="{00000000-0005-0000-0000-0000C4360000}"/>
    <cellStyle name="Note 2 5 5 2 6" xfId="6483" xr:uid="{00000000-0005-0000-0000-0000C5360000}"/>
    <cellStyle name="Note 2 5 5 2 7" xfId="6496" xr:uid="{00000000-0005-0000-0000-0000C6360000}"/>
    <cellStyle name="Note 2 5 5 3" xfId="20768" xr:uid="{00000000-0005-0000-0000-0000C7360000}"/>
    <cellStyle name="Note 2 5 5 3 2" xfId="17665" xr:uid="{00000000-0005-0000-0000-0000C8360000}"/>
    <cellStyle name="Note 2 5 5 3 2 2" xfId="15973" xr:uid="{00000000-0005-0000-0000-0000C9360000}"/>
    <cellStyle name="Note 2 5 5 3 2 2 2" xfId="20244" xr:uid="{00000000-0005-0000-0000-0000CA360000}"/>
    <cellStyle name="Note 2 5 5 3 2 2 3" xfId="20250" xr:uid="{00000000-0005-0000-0000-0000CB360000}"/>
    <cellStyle name="Note 2 5 5 3 2 2 4" xfId="20770" xr:uid="{00000000-0005-0000-0000-0000CC360000}"/>
    <cellStyle name="Note 2 5 5 3 2 3" xfId="16519" xr:uid="{00000000-0005-0000-0000-0000CD360000}"/>
    <cellStyle name="Note 2 5 5 3 2 4" xfId="20771" xr:uid="{00000000-0005-0000-0000-0000CE360000}"/>
    <cellStyle name="Note 2 5 5 3 2 5" xfId="20772" xr:uid="{00000000-0005-0000-0000-0000CF360000}"/>
    <cellStyle name="Note 2 5 5 3 3" xfId="17670" xr:uid="{00000000-0005-0000-0000-0000D0360000}"/>
    <cellStyle name="Note 2 5 5 3 3 2" xfId="20774" xr:uid="{00000000-0005-0000-0000-0000D1360000}"/>
    <cellStyle name="Note 2 5 5 3 3 3" xfId="20779" xr:uid="{00000000-0005-0000-0000-0000D2360000}"/>
    <cellStyle name="Note 2 5 5 3 3 4" xfId="20784" xr:uid="{00000000-0005-0000-0000-0000D3360000}"/>
    <cellStyle name="Note 2 5 5 3 4" xfId="20786" xr:uid="{00000000-0005-0000-0000-0000D4360000}"/>
    <cellStyle name="Note 2 5 5 3 5" xfId="7036" xr:uid="{00000000-0005-0000-0000-0000D5360000}"/>
    <cellStyle name="Note 2 5 5 3 6" xfId="6508" xr:uid="{00000000-0005-0000-0000-0000D6360000}"/>
    <cellStyle name="Note 2 5 5 4" xfId="20787" xr:uid="{00000000-0005-0000-0000-0000D7360000}"/>
    <cellStyle name="Note 2 5 5 4 2" xfId="17489" xr:uid="{00000000-0005-0000-0000-0000D8360000}"/>
    <cellStyle name="Note 2 5 5 4 2 2" xfId="20788" xr:uid="{00000000-0005-0000-0000-0000D9360000}"/>
    <cellStyle name="Note 2 5 5 4 2 3" xfId="20789" xr:uid="{00000000-0005-0000-0000-0000DA360000}"/>
    <cellStyle name="Note 2 5 5 4 2 4" xfId="20791" xr:uid="{00000000-0005-0000-0000-0000DB360000}"/>
    <cellStyle name="Note 2 5 5 4 3" xfId="20793" xr:uid="{00000000-0005-0000-0000-0000DC360000}"/>
    <cellStyle name="Note 2 5 5 4 4" xfId="20795" xr:uid="{00000000-0005-0000-0000-0000DD360000}"/>
    <cellStyle name="Note 2 5 5 4 5" xfId="20797" xr:uid="{00000000-0005-0000-0000-0000DE360000}"/>
    <cellStyle name="Note 2 5 5 5" xfId="18638" xr:uid="{00000000-0005-0000-0000-0000DF360000}"/>
    <cellStyle name="Note 2 5 5 5 2" xfId="20798" xr:uid="{00000000-0005-0000-0000-0000E0360000}"/>
    <cellStyle name="Note 2 5 5 5 3" xfId="20799" xr:uid="{00000000-0005-0000-0000-0000E1360000}"/>
    <cellStyle name="Note 2 5 5 5 4" xfId="19347" xr:uid="{00000000-0005-0000-0000-0000E2360000}"/>
    <cellStyle name="Note 2 5 5 6" xfId="18641" xr:uid="{00000000-0005-0000-0000-0000E3360000}"/>
    <cellStyle name="Note 2 5 5 7" xfId="18645" xr:uid="{00000000-0005-0000-0000-0000E4360000}"/>
    <cellStyle name="Note 2 5 5 8" xfId="20801" xr:uid="{00000000-0005-0000-0000-0000E5360000}"/>
    <cellStyle name="Note 2 5 6" xfId="1512" xr:uid="{00000000-0005-0000-0000-0000E6360000}"/>
    <cellStyle name="Note 2 5 6 2" xfId="4497" xr:uid="{00000000-0005-0000-0000-0000E7360000}"/>
    <cellStyle name="Note 2 5 6 2 2" xfId="17696" xr:uid="{00000000-0005-0000-0000-0000E8360000}"/>
    <cellStyle name="Note 2 5 6 2 2 2" xfId="20802" xr:uid="{00000000-0005-0000-0000-0000E9360000}"/>
    <cellStyle name="Note 2 5 6 2 2 2 2" xfId="20760" xr:uid="{00000000-0005-0000-0000-0000EA360000}"/>
    <cellStyle name="Note 2 5 6 2 2 2 3" xfId="20765" xr:uid="{00000000-0005-0000-0000-0000EB360000}"/>
    <cellStyle name="Note 2 5 6 2 2 2 4" xfId="20804" xr:uid="{00000000-0005-0000-0000-0000EC360000}"/>
    <cellStyle name="Note 2 5 6 2 2 3" xfId="20805" xr:uid="{00000000-0005-0000-0000-0000ED360000}"/>
    <cellStyle name="Note 2 5 6 2 2 4" xfId="20806" xr:uid="{00000000-0005-0000-0000-0000EE360000}"/>
    <cellStyle name="Note 2 5 6 2 2 5" xfId="20807" xr:uid="{00000000-0005-0000-0000-0000EF360000}"/>
    <cellStyle name="Note 2 5 6 2 3" xfId="17699" xr:uid="{00000000-0005-0000-0000-0000F0360000}"/>
    <cellStyle name="Note 2 5 6 2 3 2" xfId="16861" xr:uid="{00000000-0005-0000-0000-0000F1360000}"/>
    <cellStyle name="Note 2 5 6 2 3 3" xfId="20809" xr:uid="{00000000-0005-0000-0000-0000F2360000}"/>
    <cellStyle name="Note 2 5 6 2 3 4" xfId="20811" xr:uid="{00000000-0005-0000-0000-0000F3360000}"/>
    <cellStyle name="Note 2 5 6 2 4" xfId="20812" xr:uid="{00000000-0005-0000-0000-0000F4360000}"/>
    <cellStyle name="Note 2 5 6 2 5" xfId="4624" xr:uid="{00000000-0005-0000-0000-0000F5360000}"/>
    <cellStyle name="Note 2 5 6 2 6" xfId="4634" xr:uid="{00000000-0005-0000-0000-0000F6360000}"/>
    <cellStyle name="Note 2 5 6 3" xfId="20813" xr:uid="{00000000-0005-0000-0000-0000F7360000}"/>
    <cellStyle name="Note 2 5 6 3 2" xfId="17709" xr:uid="{00000000-0005-0000-0000-0000F8360000}"/>
    <cellStyle name="Note 2 5 6 3 2 2" xfId="11325" xr:uid="{00000000-0005-0000-0000-0000F9360000}"/>
    <cellStyle name="Note 2 5 6 3 2 3" xfId="11329" xr:uid="{00000000-0005-0000-0000-0000FA360000}"/>
    <cellStyle name="Note 2 5 6 3 2 4" xfId="20815" xr:uid="{00000000-0005-0000-0000-0000FB360000}"/>
    <cellStyle name="Note 2 5 6 3 3" xfId="20817" xr:uid="{00000000-0005-0000-0000-0000FC360000}"/>
    <cellStyle name="Note 2 5 6 3 4" xfId="20821" xr:uid="{00000000-0005-0000-0000-0000FD360000}"/>
    <cellStyle name="Note 2 5 6 3 5" xfId="20824" xr:uid="{00000000-0005-0000-0000-0000FE360000}"/>
    <cellStyle name="Note 2 5 6 4" xfId="20825" xr:uid="{00000000-0005-0000-0000-0000FF360000}"/>
    <cellStyle name="Note 2 5 6 4 2" xfId="20827" xr:uid="{00000000-0005-0000-0000-000000370000}"/>
    <cellStyle name="Note 2 5 6 4 3" xfId="20828" xr:uid="{00000000-0005-0000-0000-000001370000}"/>
    <cellStyle name="Note 2 5 6 4 4" xfId="20829" xr:uid="{00000000-0005-0000-0000-000002370000}"/>
    <cellStyle name="Note 2 5 6 5" xfId="20830" xr:uid="{00000000-0005-0000-0000-000003370000}"/>
    <cellStyle name="Note 2 5 6 6" xfId="20832" xr:uid="{00000000-0005-0000-0000-000004370000}"/>
    <cellStyle name="Note 2 5 6 7" xfId="20835" xr:uid="{00000000-0005-0000-0000-000005370000}"/>
    <cellStyle name="Note 2 5 7" xfId="1532" xr:uid="{00000000-0005-0000-0000-000006370000}"/>
    <cellStyle name="Note 2 5 7 2" xfId="20837" xr:uid="{00000000-0005-0000-0000-000007370000}"/>
    <cellStyle name="Note 2 5 7 2 2" xfId="17725" xr:uid="{00000000-0005-0000-0000-000008370000}"/>
    <cellStyle name="Note 2 5 7 2 2 2" xfId="20838" xr:uid="{00000000-0005-0000-0000-000009370000}"/>
    <cellStyle name="Note 2 5 7 2 2 3" xfId="20839" xr:uid="{00000000-0005-0000-0000-00000A370000}"/>
    <cellStyle name="Note 2 5 7 2 2 4" xfId="20840" xr:uid="{00000000-0005-0000-0000-00000B370000}"/>
    <cellStyle name="Note 2 5 7 2 3" xfId="20841" xr:uid="{00000000-0005-0000-0000-00000C370000}"/>
    <cellStyle name="Note 2 5 7 2 4" xfId="20842" xr:uid="{00000000-0005-0000-0000-00000D370000}"/>
    <cellStyle name="Note 2 5 7 2 5" xfId="20843" xr:uid="{00000000-0005-0000-0000-00000E370000}"/>
    <cellStyle name="Note 2 5 7 3" xfId="20845" xr:uid="{00000000-0005-0000-0000-00000F370000}"/>
    <cellStyle name="Note 2 5 7 3 2" xfId="20847" xr:uid="{00000000-0005-0000-0000-000010370000}"/>
    <cellStyle name="Note 2 5 7 3 3" xfId="20848" xr:uid="{00000000-0005-0000-0000-000011370000}"/>
    <cellStyle name="Note 2 5 7 3 4" xfId="20849" xr:uid="{00000000-0005-0000-0000-000012370000}"/>
    <cellStyle name="Note 2 5 7 4" xfId="20851" xr:uid="{00000000-0005-0000-0000-000013370000}"/>
    <cellStyle name="Note 2 5 7 5" xfId="20854" xr:uid="{00000000-0005-0000-0000-000014370000}"/>
    <cellStyle name="Note 2 5 7 6" xfId="20856" xr:uid="{00000000-0005-0000-0000-000015370000}"/>
    <cellStyle name="Note 2 5 8" xfId="1545" xr:uid="{00000000-0005-0000-0000-000016370000}"/>
    <cellStyle name="Note 2 5 8 2" xfId="20858" xr:uid="{00000000-0005-0000-0000-000017370000}"/>
    <cellStyle name="Note 2 5 8 2 2" xfId="4237" xr:uid="{00000000-0005-0000-0000-000018370000}"/>
    <cellStyle name="Note 2 5 8 2 3" xfId="1667" xr:uid="{00000000-0005-0000-0000-000019370000}"/>
    <cellStyle name="Note 2 5 8 2 4" xfId="20859" xr:uid="{00000000-0005-0000-0000-00001A370000}"/>
    <cellStyle name="Note 2 5 8 3" xfId="12071" xr:uid="{00000000-0005-0000-0000-00001B370000}"/>
    <cellStyle name="Note 2 5 8 4" xfId="12290" xr:uid="{00000000-0005-0000-0000-00001C370000}"/>
    <cellStyle name="Note 2 5 8 5" xfId="12360" xr:uid="{00000000-0005-0000-0000-00001D370000}"/>
    <cellStyle name="Note 2 5 9" xfId="20860" xr:uid="{00000000-0005-0000-0000-00001E370000}"/>
    <cellStyle name="Note 2 5 9 2" xfId="20862" xr:uid="{00000000-0005-0000-0000-00001F370000}"/>
    <cellStyle name="Note 2 5 9 3" xfId="20863" xr:uid="{00000000-0005-0000-0000-000020370000}"/>
    <cellStyle name="Note 2 5 9 4" xfId="20864" xr:uid="{00000000-0005-0000-0000-000021370000}"/>
    <cellStyle name="Note 2 6" xfId="11359" xr:uid="{00000000-0005-0000-0000-000022370000}"/>
    <cellStyle name="Note 2 6 10" xfId="20865" xr:uid="{00000000-0005-0000-0000-000023370000}"/>
    <cellStyle name="Note 2 6 11" xfId="20866" xr:uid="{00000000-0005-0000-0000-000024370000}"/>
    <cellStyle name="Note 2 6 12" xfId="20868" xr:uid="{00000000-0005-0000-0000-000025370000}"/>
    <cellStyle name="Note 2 6 13" xfId="20870" xr:uid="{00000000-0005-0000-0000-000026370000}"/>
    <cellStyle name="Note 2 6 2" xfId="20872" xr:uid="{00000000-0005-0000-0000-000027370000}"/>
    <cellStyle name="Note 2 6 2 10" xfId="20875" xr:uid="{00000000-0005-0000-0000-000028370000}"/>
    <cellStyle name="Note 2 6 2 11" xfId="16883" xr:uid="{00000000-0005-0000-0000-000029370000}"/>
    <cellStyle name="Note 2 6 2 12" xfId="16889" xr:uid="{00000000-0005-0000-0000-00002A370000}"/>
    <cellStyle name="Note 2 6 2 2" xfId="20877" xr:uid="{00000000-0005-0000-0000-00002B370000}"/>
    <cellStyle name="Note 2 6 2 2 2" xfId="15389" xr:uid="{00000000-0005-0000-0000-00002C370000}"/>
    <cellStyle name="Note 2 6 2 2 2 2" xfId="15391" xr:uid="{00000000-0005-0000-0000-00002D370000}"/>
    <cellStyle name="Note 2 6 2 2 2 2 2" xfId="1366" xr:uid="{00000000-0005-0000-0000-00002E370000}"/>
    <cellStyle name="Note 2 6 2 2 2 2 2 2" xfId="20878" xr:uid="{00000000-0005-0000-0000-00002F370000}"/>
    <cellStyle name="Note 2 6 2 2 2 2 2 2 2" xfId="20879" xr:uid="{00000000-0005-0000-0000-000030370000}"/>
    <cellStyle name="Note 2 6 2 2 2 2 2 2 2 2" xfId="12757" xr:uid="{00000000-0005-0000-0000-000031370000}"/>
    <cellStyle name="Note 2 6 2 2 2 2 2 2 2 3" xfId="12763" xr:uid="{00000000-0005-0000-0000-000032370000}"/>
    <cellStyle name="Note 2 6 2 2 2 2 2 2 2 4" xfId="12770" xr:uid="{00000000-0005-0000-0000-000033370000}"/>
    <cellStyle name="Note 2 6 2 2 2 2 2 2 3" xfId="20219" xr:uid="{00000000-0005-0000-0000-000034370000}"/>
    <cellStyle name="Note 2 6 2 2 2 2 2 2 4" xfId="5949" xr:uid="{00000000-0005-0000-0000-000035370000}"/>
    <cellStyle name="Note 2 6 2 2 2 2 2 2 5" xfId="7474" xr:uid="{00000000-0005-0000-0000-000036370000}"/>
    <cellStyle name="Note 2 6 2 2 2 2 2 3" xfId="20880" xr:uid="{00000000-0005-0000-0000-000037370000}"/>
    <cellStyle name="Note 2 6 2 2 2 2 2 3 2" xfId="1076" xr:uid="{00000000-0005-0000-0000-000038370000}"/>
    <cellStyle name="Note 2 6 2 2 2 2 2 3 3" xfId="1084" xr:uid="{00000000-0005-0000-0000-000039370000}"/>
    <cellStyle name="Note 2 6 2 2 2 2 2 3 4" xfId="1150" xr:uid="{00000000-0005-0000-0000-00003A370000}"/>
    <cellStyle name="Note 2 6 2 2 2 2 2 4" xfId="20884" xr:uid="{00000000-0005-0000-0000-00003B370000}"/>
    <cellStyle name="Note 2 6 2 2 2 2 2 5" xfId="20887" xr:uid="{00000000-0005-0000-0000-00003C370000}"/>
    <cellStyle name="Note 2 6 2 2 2 2 2 6" xfId="20890" xr:uid="{00000000-0005-0000-0000-00003D370000}"/>
    <cellStyle name="Note 2 6 2 2 2 2 3" xfId="15393" xr:uid="{00000000-0005-0000-0000-00003E370000}"/>
    <cellStyle name="Note 2 6 2 2 2 2 3 2" xfId="20891" xr:uid="{00000000-0005-0000-0000-00003F370000}"/>
    <cellStyle name="Note 2 6 2 2 2 2 3 2 2" xfId="20892" xr:uid="{00000000-0005-0000-0000-000040370000}"/>
    <cellStyle name="Note 2 6 2 2 2 2 3 2 3" xfId="20268" xr:uid="{00000000-0005-0000-0000-000041370000}"/>
    <cellStyle name="Note 2 6 2 2 2 2 3 2 4" xfId="20275" xr:uid="{00000000-0005-0000-0000-000042370000}"/>
    <cellStyle name="Note 2 6 2 2 2 2 3 3" xfId="20893" xr:uid="{00000000-0005-0000-0000-000043370000}"/>
    <cellStyle name="Note 2 6 2 2 2 2 3 4" xfId="20894" xr:uid="{00000000-0005-0000-0000-000044370000}"/>
    <cellStyle name="Note 2 6 2 2 2 2 3 5" xfId="20895" xr:uid="{00000000-0005-0000-0000-000045370000}"/>
    <cellStyle name="Note 2 6 2 2 2 2 4" xfId="15396" xr:uid="{00000000-0005-0000-0000-000046370000}"/>
    <cellStyle name="Note 2 6 2 2 2 2 4 2" xfId="20899" xr:uid="{00000000-0005-0000-0000-000047370000}"/>
    <cellStyle name="Note 2 6 2 2 2 2 4 3" xfId="13453" xr:uid="{00000000-0005-0000-0000-000048370000}"/>
    <cellStyle name="Note 2 6 2 2 2 2 4 4" xfId="13457" xr:uid="{00000000-0005-0000-0000-000049370000}"/>
    <cellStyle name="Note 2 6 2 2 2 2 5" xfId="20901" xr:uid="{00000000-0005-0000-0000-00004A370000}"/>
    <cellStyle name="Note 2 6 2 2 2 2 6" xfId="20902" xr:uid="{00000000-0005-0000-0000-00004B370000}"/>
    <cellStyle name="Note 2 6 2 2 2 2 7" xfId="20905" xr:uid="{00000000-0005-0000-0000-00004C370000}"/>
    <cellStyle name="Note 2 6 2 2 2 3" xfId="15398" xr:uid="{00000000-0005-0000-0000-00004D370000}"/>
    <cellStyle name="Note 2 6 2 2 2 3 2" xfId="20908" xr:uid="{00000000-0005-0000-0000-00004E370000}"/>
    <cellStyle name="Note 2 6 2 2 2 3 2 2" xfId="20910" xr:uid="{00000000-0005-0000-0000-00004F370000}"/>
    <cellStyle name="Note 2 6 2 2 2 3 2 2 2" xfId="20911" xr:uid="{00000000-0005-0000-0000-000050370000}"/>
    <cellStyle name="Note 2 6 2 2 2 3 2 2 3" xfId="20733" xr:uid="{00000000-0005-0000-0000-000051370000}"/>
    <cellStyle name="Note 2 6 2 2 2 3 2 2 4" xfId="12380" xr:uid="{00000000-0005-0000-0000-000052370000}"/>
    <cellStyle name="Note 2 6 2 2 2 3 2 3" xfId="15737" xr:uid="{00000000-0005-0000-0000-000053370000}"/>
    <cellStyle name="Note 2 6 2 2 2 3 2 4" xfId="15742" xr:uid="{00000000-0005-0000-0000-000054370000}"/>
    <cellStyle name="Note 2 6 2 2 2 3 2 5" xfId="15748" xr:uid="{00000000-0005-0000-0000-000055370000}"/>
    <cellStyle name="Note 2 6 2 2 2 3 3" xfId="20912" xr:uid="{00000000-0005-0000-0000-000056370000}"/>
    <cellStyle name="Note 2 6 2 2 2 3 3 2" xfId="20914" xr:uid="{00000000-0005-0000-0000-000057370000}"/>
    <cellStyle name="Note 2 6 2 2 2 3 3 3" xfId="13933" xr:uid="{00000000-0005-0000-0000-000058370000}"/>
    <cellStyle name="Note 2 6 2 2 2 3 3 4" xfId="13961" xr:uid="{00000000-0005-0000-0000-000059370000}"/>
    <cellStyle name="Note 2 6 2 2 2 3 4" xfId="20916" xr:uid="{00000000-0005-0000-0000-00005A370000}"/>
    <cellStyle name="Note 2 6 2 2 2 3 5" xfId="20920" xr:uid="{00000000-0005-0000-0000-00005B370000}"/>
    <cellStyle name="Note 2 6 2 2 2 3 6" xfId="20924" xr:uid="{00000000-0005-0000-0000-00005C370000}"/>
    <cellStyle name="Note 2 6 2 2 2 4" xfId="15400" xr:uid="{00000000-0005-0000-0000-00005D370000}"/>
    <cellStyle name="Note 2 6 2 2 2 4 2" xfId="20928" xr:uid="{00000000-0005-0000-0000-00005E370000}"/>
    <cellStyle name="Note 2 6 2 2 2 4 2 2" xfId="15485" xr:uid="{00000000-0005-0000-0000-00005F370000}"/>
    <cellStyle name="Note 2 6 2 2 2 4 2 3" xfId="15494" xr:uid="{00000000-0005-0000-0000-000060370000}"/>
    <cellStyle name="Note 2 6 2 2 2 4 2 4" xfId="15497" xr:uid="{00000000-0005-0000-0000-000061370000}"/>
    <cellStyle name="Note 2 6 2 2 2 4 3" xfId="20929" xr:uid="{00000000-0005-0000-0000-000062370000}"/>
    <cellStyle name="Note 2 6 2 2 2 4 4" xfId="20932" xr:uid="{00000000-0005-0000-0000-000063370000}"/>
    <cellStyle name="Note 2 6 2 2 2 4 5" xfId="20937" xr:uid="{00000000-0005-0000-0000-000064370000}"/>
    <cellStyle name="Note 2 6 2 2 2 5" xfId="15402" xr:uid="{00000000-0005-0000-0000-000065370000}"/>
    <cellStyle name="Note 2 6 2 2 2 5 2" xfId="20941" xr:uid="{00000000-0005-0000-0000-000066370000}"/>
    <cellStyle name="Note 2 6 2 2 2 5 3" xfId="20942" xr:uid="{00000000-0005-0000-0000-000067370000}"/>
    <cellStyle name="Note 2 6 2 2 2 5 4" xfId="20944" xr:uid="{00000000-0005-0000-0000-000068370000}"/>
    <cellStyle name="Note 2 6 2 2 2 6" xfId="20948" xr:uid="{00000000-0005-0000-0000-000069370000}"/>
    <cellStyle name="Note 2 6 2 2 2 7" xfId="20949" xr:uid="{00000000-0005-0000-0000-00006A370000}"/>
    <cellStyle name="Note 2 6 2 2 2 8" xfId="20950" xr:uid="{00000000-0005-0000-0000-00006B370000}"/>
    <cellStyle name="Note 2 6 2 2 3" xfId="12449" xr:uid="{00000000-0005-0000-0000-00006C370000}"/>
    <cellStyle name="Note 2 6 2 2 3 2" xfId="12454" xr:uid="{00000000-0005-0000-0000-00006D370000}"/>
    <cellStyle name="Note 2 6 2 2 3 2 2" xfId="12457" xr:uid="{00000000-0005-0000-0000-00006E370000}"/>
    <cellStyle name="Note 2 6 2 2 3 2 2 2" xfId="16280" xr:uid="{00000000-0005-0000-0000-00006F370000}"/>
    <cellStyle name="Note 2 6 2 2 3 2 2 2 2" xfId="20951" xr:uid="{00000000-0005-0000-0000-000070370000}"/>
    <cellStyle name="Note 2 6 2 2 3 2 2 2 3" xfId="20954" xr:uid="{00000000-0005-0000-0000-000071370000}"/>
    <cellStyle name="Note 2 6 2 2 3 2 2 2 4" xfId="20958" xr:uid="{00000000-0005-0000-0000-000072370000}"/>
    <cellStyle name="Note 2 6 2 2 3 2 2 3" xfId="751" xr:uid="{00000000-0005-0000-0000-000073370000}"/>
    <cellStyle name="Note 2 6 2 2 3 2 2 4" xfId="2541" xr:uid="{00000000-0005-0000-0000-000074370000}"/>
    <cellStyle name="Note 2 6 2 2 3 2 2 5" xfId="2554" xr:uid="{00000000-0005-0000-0000-000075370000}"/>
    <cellStyle name="Note 2 6 2 2 3 2 3" xfId="12462" xr:uid="{00000000-0005-0000-0000-000076370000}"/>
    <cellStyle name="Note 2 6 2 2 3 2 3 2" xfId="20959" xr:uid="{00000000-0005-0000-0000-000077370000}"/>
    <cellStyle name="Note 2 6 2 2 3 2 3 3" xfId="11829" xr:uid="{00000000-0005-0000-0000-000078370000}"/>
    <cellStyle name="Note 2 6 2 2 3 2 3 4" xfId="11831" xr:uid="{00000000-0005-0000-0000-000079370000}"/>
    <cellStyle name="Note 2 6 2 2 3 2 4" xfId="10947" xr:uid="{00000000-0005-0000-0000-00007A370000}"/>
    <cellStyle name="Note 2 6 2 2 3 2 5" xfId="10954" xr:uid="{00000000-0005-0000-0000-00007B370000}"/>
    <cellStyle name="Note 2 6 2 2 3 2 6" xfId="10960" xr:uid="{00000000-0005-0000-0000-00007C370000}"/>
    <cellStyle name="Note 2 6 2 2 3 3" xfId="12469" xr:uid="{00000000-0005-0000-0000-00007D370000}"/>
    <cellStyle name="Note 2 6 2 2 3 3 2" xfId="16282" xr:uid="{00000000-0005-0000-0000-00007E370000}"/>
    <cellStyle name="Note 2 6 2 2 3 3 2 2" xfId="20961" xr:uid="{00000000-0005-0000-0000-00007F370000}"/>
    <cellStyle name="Note 2 6 2 2 3 3 2 3" xfId="12590" xr:uid="{00000000-0005-0000-0000-000080370000}"/>
    <cellStyle name="Note 2 6 2 2 3 3 2 4" xfId="12598" xr:uid="{00000000-0005-0000-0000-000081370000}"/>
    <cellStyle name="Note 2 6 2 2 3 3 3" xfId="16286" xr:uid="{00000000-0005-0000-0000-000082370000}"/>
    <cellStyle name="Note 2 6 2 2 3 3 4" xfId="16291" xr:uid="{00000000-0005-0000-0000-000083370000}"/>
    <cellStyle name="Note 2 6 2 2 3 3 5" xfId="20962" xr:uid="{00000000-0005-0000-0000-000084370000}"/>
    <cellStyle name="Note 2 6 2 2 3 4" xfId="12475" xr:uid="{00000000-0005-0000-0000-000085370000}"/>
    <cellStyle name="Note 2 6 2 2 3 4 2" xfId="20966" xr:uid="{00000000-0005-0000-0000-000086370000}"/>
    <cellStyle name="Note 2 6 2 2 3 4 3" xfId="20967" xr:uid="{00000000-0005-0000-0000-000087370000}"/>
    <cellStyle name="Note 2 6 2 2 3 4 4" xfId="20969" xr:uid="{00000000-0005-0000-0000-000088370000}"/>
    <cellStyle name="Note 2 6 2 2 3 5" xfId="12479" xr:uid="{00000000-0005-0000-0000-000089370000}"/>
    <cellStyle name="Note 2 6 2 2 3 6" xfId="5569" xr:uid="{00000000-0005-0000-0000-00008A370000}"/>
    <cellStyle name="Note 2 6 2 2 3 7" xfId="5583" xr:uid="{00000000-0005-0000-0000-00008B370000}"/>
    <cellStyle name="Note 2 6 2 2 4" xfId="12485" xr:uid="{00000000-0005-0000-0000-00008C370000}"/>
    <cellStyle name="Note 2 6 2 2 4 2" xfId="4901" xr:uid="{00000000-0005-0000-0000-00008D370000}"/>
    <cellStyle name="Note 2 6 2 2 4 2 2" xfId="16298" xr:uid="{00000000-0005-0000-0000-00008E370000}"/>
    <cellStyle name="Note 2 6 2 2 4 2 2 2" xfId="20973" xr:uid="{00000000-0005-0000-0000-00008F370000}"/>
    <cellStyle name="Note 2 6 2 2 4 2 2 3" xfId="20974" xr:uid="{00000000-0005-0000-0000-000090370000}"/>
    <cellStyle name="Note 2 6 2 2 4 2 2 4" xfId="8140" xr:uid="{00000000-0005-0000-0000-000091370000}"/>
    <cellStyle name="Note 2 6 2 2 4 2 3" xfId="921" xr:uid="{00000000-0005-0000-0000-000092370000}"/>
    <cellStyle name="Note 2 6 2 2 4 2 4" xfId="937" xr:uid="{00000000-0005-0000-0000-000093370000}"/>
    <cellStyle name="Note 2 6 2 2 4 2 5" xfId="15932" xr:uid="{00000000-0005-0000-0000-000094370000}"/>
    <cellStyle name="Note 2 6 2 2 4 3" xfId="4920" xr:uid="{00000000-0005-0000-0000-000095370000}"/>
    <cellStyle name="Note 2 6 2 2 4 3 2" xfId="20975" xr:uid="{00000000-0005-0000-0000-000096370000}"/>
    <cellStyle name="Note 2 6 2 2 4 3 3" xfId="16266" xr:uid="{00000000-0005-0000-0000-000097370000}"/>
    <cellStyle name="Note 2 6 2 2 4 3 4" xfId="16407" xr:uid="{00000000-0005-0000-0000-000098370000}"/>
    <cellStyle name="Note 2 6 2 2 4 4" xfId="4932" xr:uid="{00000000-0005-0000-0000-000099370000}"/>
    <cellStyle name="Note 2 6 2 2 4 5" xfId="16302" xr:uid="{00000000-0005-0000-0000-00009A370000}"/>
    <cellStyle name="Note 2 6 2 2 4 6" xfId="7093" xr:uid="{00000000-0005-0000-0000-00009B370000}"/>
    <cellStyle name="Note 2 6 2 2 5" xfId="7758" xr:uid="{00000000-0005-0000-0000-00009C370000}"/>
    <cellStyle name="Note 2 6 2 2 5 2" xfId="4992" xr:uid="{00000000-0005-0000-0000-00009D370000}"/>
    <cellStyle name="Note 2 6 2 2 5 2 2" xfId="7749" xr:uid="{00000000-0005-0000-0000-00009E370000}"/>
    <cellStyle name="Note 2 6 2 2 5 2 3" xfId="7782" xr:uid="{00000000-0005-0000-0000-00009F370000}"/>
    <cellStyle name="Note 2 6 2 2 5 2 4" xfId="7789" xr:uid="{00000000-0005-0000-0000-0000A0370000}"/>
    <cellStyle name="Note 2 6 2 2 5 3" xfId="5000" xr:uid="{00000000-0005-0000-0000-0000A1370000}"/>
    <cellStyle name="Note 2 6 2 2 5 4" xfId="5008" xr:uid="{00000000-0005-0000-0000-0000A2370000}"/>
    <cellStyle name="Note 2 6 2 2 5 5" xfId="7869" xr:uid="{00000000-0005-0000-0000-0000A3370000}"/>
    <cellStyle name="Note 2 6 2 2 6" xfId="7874" xr:uid="{00000000-0005-0000-0000-0000A4370000}"/>
    <cellStyle name="Note 2 6 2 2 6 2" xfId="3968" xr:uid="{00000000-0005-0000-0000-0000A5370000}"/>
    <cellStyle name="Note 2 6 2 2 6 3" xfId="3987" xr:uid="{00000000-0005-0000-0000-0000A6370000}"/>
    <cellStyle name="Note 2 6 2 2 6 4" xfId="7906" xr:uid="{00000000-0005-0000-0000-0000A7370000}"/>
    <cellStyle name="Note 2 6 2 2 7" xfId="7924" xr:uid="{00000000-0005-0000-0000-0000A8370000}"/>
    <cellStyle name="Note 2 6 2 2 8" xfId="7971" xr:uid="{00000000-0005-0000-0000-0000A9370000}"/>
    <cellStyle name="Note 2 6 2 2 9" xfId="7990" xr:uid="{00000000-0005-0000-0000-0000AA370000}"/>
    <cellStyle name="Note 2 6 2 3" xfId="20977" xr:uid="{00000000-0005-0000-0000-0000AB370000}"/>
    <cellStyle name="Note 2 6 2 3 2" xfId="15412" xr:uid="{00000000-0005-0000-0000-0000AC370000}"/>
    <cellStyle name="Note 2 6 2 3 2 2" xfId="6727" xr:uid="{00000000-0005-0000-0000-0000AD370000}"/>
    <cellStyle name="Note 2 6 2 3 2 2 2" xfId="20349" xr:uid="{00000000-0005-0000-0000-0000AE370000}"/>
    <cellStyle name="Note 2 6 2 3 2 2 2 2" xfId="14734" xr:uid="{00000000-0005-0000-0000-0000AF370000}"/>
    <cellStyle name="Note 2 6 2 3 2 2 2 2 2" xfId="19670" xr:uid="{00000000-0005-0000-0000-0000B0370000}"/>
    <cellStyle name="Note 2 6 2 3 2 2 2 2 2 2" xfId="12258" xr:uid="{00000000-0005-0000-0000-0000B1370000}"/>
    <cellStyle name="Note 2 6 2 3 2 2 2 2 2 3" xfId="3847" xr:uid="{00000000-0005-0000-0000-0000B2370000}"/>
    <cellStyle name="Note 2 6 2 3 2 2 2 2 2 4" xfId="1500" xr:uid="{00000000-0005-0000-0000-0000B3370000}"/>
    <cellStyle name="Note 2 6 2 3 2 2 2 2 3" xfId="17891" xr:uid="{00000000-0005-0000-0000-0000B4370000}"/>
    <cellStyle name="Note 2 6 2 3 2 2 2 2 4" xfId="17914" xr:uid="{00000000-0005-0000-0000-0000B5370000}"/>
    <cellStyle name="Note 2 6 2 3 2 2 2 2 5" xfId="17920" xr:uid="{00000000-0005-0000-0000-0000B6370000}"/>
    <cellStyle name="Note 2 6 2 3 2 2 2 3" xfId="14737" xr:uid="{00000000-0005-0000-0000-0000B7370000}"/>
    <cellStyle name="Note 2 6 2 3 2 2 2 3 2" xfId="19687" xr:uid="{00000000-0005-0000-0000-0000B8370000}"/>
    <cellStyle name="Note 2 6 2 3 2 2 2 3 3" xfId="17937" xr:uid="{00000000-0005-0000-0000-0000B9370000}"/>
    <cellStyle name="Note 2 6 2 3 2 2 2 3 4" xfId="17947" xr:uid="{00000000-0005-0000-0000-0000BA370000}"/>
    <cellStyle name="Note 2 6 2 3 2 2 2 4" xfId="20351" xr:uid="{00000000-0005-0000-0000-0000BB370000}"/>
    <cellStyle name="Note 2 6 2 3 2 2 2 5" xfId="20978" xr:uid="{00000000-0005-0000-0000-0000BC370000}"/>
    <cellStyle name="Note 2 6 2 3 2 2 2 6" xfId="20979" xr:uid="{00000000-0005-0000-0000-0000BD370000}"/>
    <cellStyle name="Note 2 6 2 3 2 2 3" xfId="20355" xr:uid="{00000000-0005-0000-0000-0000BE370000}"/>
    <cellStyle name="Note 2 6 2 3 2 2 3 2" xfId="14378" xr:uid="{00000000-0005-0000-0000-0000BF370000}"/>
    <cellStyle name="Note 2 6 2 3 2 2 3 2 2" xfId="19722" xr:uid="{00000000-0005-0000-0000-0000C0370000}"/>
    <cellStyle name="Note 2 6 2 3 2 2 3 2 3" xfId="6564" xr:uid="{00000000-0005-0000-0000-0000C1370000}"/>
    <cellStyle name="Note 2 6 2 3 2 2 3 2 4" xfId="8357" xr:uid="{00000000-0005-0000-0000-0000C2370000}"/>
    <cellStyle name="Note 2 6 2 3 2 2 3 3" xfId="20980" xr:uid="{00000000-0005-0000-0000-0000C3370000}"/>
    <cellStyle name="Note 2 6 2 3 2 2 3 4" xfId="20981" xr:uid="{00000000-0005-0000-0000-0000C4370000}"/>
    <cellStyle name="Note 2 6 2 3 2 2 3 5" xfId="20982" xr:uid="{00000000-0005-0000-0000-0000C5370000}"/>
    <cellStyle name="Note 2 6 2 3 2 2 4" xfId="20359" xr:uid="{00000000-0005-0000-0000-0000C6370000}"/>
    <cellStyle name="Note 2 6 2 3 2 2 4 2" xfId="20985" xr:uid="{00000000-0005-0000-0000-0000C7370000}"/>
    <cellStyle name="Note 2 6 2 3 2 2 4 3" xfId="20987" xr:uid="{00000000-0005-0000-0000-0000C8370000}"/>
    <cellStyle name="Note 2 6 2 3 2 2 4 4" xfId="20989" xr:uid="{00000000-0005-0000-0000-0000C9370000}"/>
    <cellStyle name="Note 2 6 2 3 2 2 5" xfId="20362" xr:uid="{00000000-0005-0000-0000-0000CA370000}"/>
    <cellStyle name="Note 2 6 2 3 2 2 6" xfId="20991" xr:uid="{00000000-0005-0000-0000-0000CB370000}"/>
    <cellStyle name="Note 2 6 2 3 2 2 7" xfId="20993" xr:uid="{00000000-0005-0000-0000-0000CC370000}"/>
    <cellStyle name="Note 2 6 2 3 2 3" xfId="6731" xr:uid="{00000000-0005-0000-0000-0000CD370000}"/>
    <cellStyle name="Note 2 6 2 3 2 3 2" xfId="20366" xr:uid="{00000000-0005-0000-0000-0000CE370000}"/>
    <cellStyle name="Note 2 6 2 3 2 3 2 2" xfId="12046" xr:uid="{00000000-0005-0000-0000-0000CF370000}"/>
    <cellStyle name="Note 2 6 2 3 2 3 2 2 2" xfId="5946" xr:uid="{00000000-0005-0000-0000-0000D0370000}"/>
    <cellStyle name="Note 2 6 2 3 2 3 2 2 3" xfId="7470" xr:uid="{00000000-0005-0000-0000-0000D1370000}"/>
    <cellStyle name="Note 2 6 2 3 2 3 2 2 4" xfId="5040" xr:uid="{00000000-0005-0000-0000-0000D2370000}"/>
    <cellStyle name="Note 2 6 2 3 2 3 2 3" xfId="12050" xr:uid="{00000000-0005-0000-0000-0000D3370000}"/>
    <cellStyle name="Note 2 6 2 3 2 3 2 4" xfId="12055" xr:uid="{00000000-0005-0000-0000-0000D4370000}"/>
    <cellStyle name="Note 2 6 2 3 2 3 2 5" xfId="390" xr:uid="{00000000-0005-0000-0000-0000D5370000}"/>
    <cellStyle name="Note 2 6 2 3 2 3 3" xfId="20369" xr:uid="{00000000-0005-0000-0000-0000D6370000}"/>
    <cellStyle name="Note 2 6 2 3 2 3 3 2" xfId="2415" xr:uid="{00000000-0005-0000-0000-0000D7370000}"/>
    <cellStyle name="Note 2 6 2 3 2 3 3 3" xfId="156" xr:uid="{00000000-0005-0000-0000-0000D8370000}"/>
    <cellStyle name="Note 2 6 2 3 2 3 3 4" xfId="12061" xr:uid="{00000000-0005-0000-0000-0000D9370000}"/>
    <cellStyle name="Note 2 6 2 3 2 3 4" xfId="20373" xr:uid="{00000000-0005-0000-0000-0000DA370000}"/>
    <cellStyle name="Note 2 6 2 3 2 3 5" xfId="20994" xr:uid="{00000000-0005-0000-0000-0000DB370000}"/>
    <cellStyle name="Note 2 6 2 3 2 3 6" xfId="20998" xr:uid="{00000000-0005-0000-0000-0000DC370000}"/>
    <cellStyle name="Note 2 6 2 3 2 4" xfId="15414" xr:uid="{00000000-0005-0000-0000-0000DD370000}"/>
    <cellStyle name="Note 2 6 2 3 2 4 2" xfId="20383" xr:uid="{00000000-0005-0000-0000-0000DE370000}"/>
    <cellStyle name="Note 2 6 2 3 2 4 2 2" xfId="12372" xr:uid="{00000000-0005-0000-0000-0000DF370000}"/>
    <cellStyle name="Note 2 6 2 3 2 4 2 3" xfId="12396" xr:uid="{00000000-0005-0000-0000-0000E0370000}"/>
    <cellStyle name="Note 2 6 2 3 2 4 2 4" xfId="12403" xr:uid="{00000000-0005-0000-0000-0000E1370000}"/>
    <cellStyle name="Note 2 6 2 3 2 4 3" xfId="20388" xr:uid="{00000000-0005-0000-0000-0000E2370000}"/>
    <cellStyle name="Note 2 6 2 3 2 4 4" xfId="21002" xr:uid="{00000000-0005-0000-0000-0000E3370000}"/>
    <cellStyle name="Note 2 6 2 3 2 4 5" xfId="13263" xr:uid="{00000000-0005-0000-0000-0000E4370000}"/>
    <cellStyle name="Note 2 6 2 3 2 5" xfId="21008" xr:uid="{00000000-0005-0000-0000-0000E5370000}"/>
    <cellStyle name="Note 2 6 2 3 2 5 2" xfId="20399" xr:uid="{00000000-0005-0000-0000-0000E6370000}"/>
    <cellStyle name="Note 2 6 2 3 2 5 3" xfId="21009" xr:uid="{00000000-0005-0000-0000-0000E7370000}"/>
    <cellStyle name="Note 2 6 2 3 2 5 4" xfId="21010" xr:uid="{00000000-0005-0000-0000-0000E8370000}"/>
    <cellStyle name="Note 2 6 2 3 2 6" xfId="21011" xr:uid="{00000000-0005-0000-0000-0000E9370000}"/>
    <cellStyle name="Note 2 6 2 3 2 7" xfId="21012" xr:uid="{00000000-0005-0000-0000-0000EA370000}"/>
    <cellStyle name="Note 2 6 2 3 2 8" xfId="21013" xr:uid="{00000000-0005-0000-0000-0000EB370000}"/>
    <cellStyle name="Note 2 6 2 3 3" xfId="12495" xr:uid="{00000000-0005-0000-0000-0000EC370000}"/>
    <cellStyle name="Note 2 6 2 3 3 2" xfId="8904" xr:uid="{00000000-0005-0000-0000-0000ED370000}"/>
    <cellStyle name="Note 2 6 2 3 3 2 2" xfId="12104" xr:uid="{00000000-0005-0000-0000-0000EE370000}"/>
    <cellStyle name="Note 2 6 2 3 3 2 2 2" xfId="21014" xr:uid="{00000000-0005-0000-0000-0000EF370000}"/>
    <cellStyle name="Note 2 6 2 3 3 2 2 2 2" xfId="21015" xr:uid="{00000000-0005-0000-0000-0000F0370000}"/>
    <cellStyle name="Note 2 6 2 3 3 2 2 2 3" xfId="18169" xr:uid="{00000000-0005-0000-0000-0000F1370000}"/>
    <cellStyle name="Note 2 6 2 3 3 2 2 2 4" xfId="18186" xr:uid="{00000000-0005-0000-0000-0000F2370000}"/>
    <cellStyle name="Note 2 6 2 3 3 2 2 3" xfId="21016" xr:uid="{00000000-0005-0000-0000-0000F3370000}"/>
    <cellStyle name="Note 2 6 2 3 3 2 2 4" xfId="21017" xr:uid="{00000000-0005-0000-0000-0000F4370000}"/>
    <cellStyle name="Note 2 6 2 3 3 2 2 5" xfId="21018" xr:uid="{00000000-0005-0000-0000-0000F5370000}"/>
    <cellStyle name="Note 2 6 2 3 3 2 3" xfId="12111" xr:uid="{00000000-0005-0000-0000-0000F6370000}"/>
    <cellStyle name="Note 2 6 2 3 3 2 3 2" xfId="21019" xr:uid="{00000000-0005-0000-0000-0000F7370000}"/>
    <cellStyle name="Note 2 6 2 3 3 2 3 3" xfId="21020" xr:uid="{00000000-0005-0000-0000-0000F8370000}"/>
    <cellStyle name="Note 2 6 2 3 3 2 3 4" xfId="21021" xr:uid="{00000000-0005-0000-0000-0000F9370000}"/>
    <cellStyle name="Note 2 6 2 3 3 2 4" xfId="13748" xr:uid="{00000000-0005-0000-0000-0000FA370000}"/>
    <cellStyle name="Note 2 6 2 3 3 2 5" xfId="13752" xr:uid="{00000000-0005-0000-0000-0000FB370000}"/>
    <cellStyle name="Note 2 6 2 3 3 2 6" xfId="21024" xr:uid="{00000000-0005-0000-0000-0000FC370000}"/>
    <cellStyle name="Note 2 6 2 3 3 3" xfId="10170" xr:uid="{00000000-0005-0000-0000-0000FD370000}"/>
    <cellStyle name="Note 2 6 2 3 3 3 2" xfId="12128" xr:uid="{00000000-0005-0000-0000-0000FE370000}"/>
    <cellStyle name="Note 2 6 2 3 3 3 2 2" xfId="12713" xr:uid="{00000000-0005-0000-0000-0000FF370000}"/>
    <cellStyle name="Note 2 6 2 3 3 3 2 3" xfId="12716" xr:uid="{00000000-0005-0000-0000-000000380000}"/>
    <cellStyle name="Note 2 6 2 3 3 3 2 4" xfId="12719" xr:uid="{00000000-0005-0000-0000-000001380000}"/>
    <cellStyle name="Note 2 6 2 3 3 3 3" xfId="20411" xr:uid="{00000000-0005-0000-0000-000002380000}"/>
    <cellStyle name="Note 2 6 2 3 3 3 4" xfId="21025" xr:uid="{00000000-0005-0000-0000-000003380000}"/>
    <cellStyle name="Note 2 6 2 3 3 3 5" xfId="21029" xr:uid="{00000000-0005-0000-0000-000004380000}"/>
    <cellStyle name="Note 2 6 2 3 3 4" xfId="12499" xr:uid="{00000000-0005-0000-0000-000005380000}"/>
    <cellStyle name="Note 2 6 2 3 3 4 2" xfId="20419" xr:uid="{00000000-0005-0000-0000-000006380000}"/>
    <cellStyle name="Note 2 6 2 3 3 4 3" xfId="21033" xr:uid="{00000000-0005-0000-0000-000007380000}"/>
    <cellStyle name="Note 2 6 2 3 3 4 4" xfId="21034" xr:uid="{00000000-0005-0000-0000-000008380000}"/>
    <cellStyle name="Note 2 6 2 3 3 5" xfId="16306" xr:uid="{00000000-0005-0000-0000-000009380000}"/>
    <cellStyle name="Note 2 6 2 3 3 6" xfId="7145" xr:uid="{00000000-0005-0000-0000-00000A380000}"/>
    <cellStyle name="Note 2 6 2 3 3 7" xfId="7150" xr:uid="{00000000-0005-0000-0000-00000B380000}"/>
    <cellStyle name="Note 2 6 2 3 4" xfId="12509" xr:uid="{00000000-0005-0000-0000-00000C380000}"/>
    <cellStyle name="Note 2 6 2 3 4 2" xfId="16313" xr:uid="{00000000-0005-0000-0000-00000D380000}"/>
    <cellStyle name="Note 2 6 2 3 4 2 2" xfId="12156" xr:uid="{00000000-0005-0000-0000-00000E380000}"/>
    <cellStyle name="Note 2 6 2 3 4 2 2 2" xfId="13015" xr:uid="{00000000-0005-0000-0000-00000F380000}"/>
    <cellStyle name="Note 2 6 2 3 4 2 2 3" xfId="13018" xr:uid="{00000000-0005-0000-0000-000010380000}"/>
    <cellStyle name="Note 2 6 2 3 4 2 2 4" xfId="21035" xr:uid="{00000000-0005-0000-0000-000011380000}"/>
    <cellStyle name="Note 2 6 2 3 4 2 3" xfId="20425" xr:uid="{00000000-0005-0000-0000-000012380000}"/>
    <cellStyle name="Note 2 6 2 3 4 2 4" xfId="21037" xr:uid="{00000000-0005-0000-0000-000013380000}"/>
    <cellStyle name="Note 2 6 2 3 4 2 5" xfId="21039" xr:uid="{00000000-0005-0000-0000-000014380000}"/>
    <cellStyle name="Note 2 6 2 3 4 3" xfId="16320" xr:uid="{00000000-0005-0000-0000-000015380000}"/>
    <cellStyle name="Note 2 6 2 3 4 3 2" xfId="20429" xr:uid="{00000000-0005-0000-0000-000016380000}"/>
    <cellStyle name="Note 2 6 2 3 4 3 3" xfId="21040" xr:uid="{00000000-0005-0000-0000-000017380000}"/>
    <cellStyle name="Note 2 6 2 3 4 3 4" xfId="21041" xr:uid="{00000000-0005-0000-0000-000018380000}"/>
    <cellStyle name="Note 2 6 2 3 4 4" xfId="16326" xr:uid="{00000000-0005-0000-0000-000019380000}"/>
    <cellStyle name="Note 2 6 2 3 4 5" xfId="21042" xr:uid="{00000000-0005-0000-0000-00001A380000}"/>
    <cellStyle name="Note 2 6 2 3 4 6" xfId="7155" xr:uid="{00000000-0005-0000-0000-00001B380000}"/>
    <cellStyle name="Note 2 6 2 3 5" xfId="8002" xr:uid="{00000000-0005-0000-0000-00001C380000}"/>
    <cellStyle name="Note 2 6 2 3 5 2" xfId="5059" xr:uid="{00000000-0005-0000-0000-00001D380000}"/>
    <cellStyle name="Note 2 6 2 3 5 2 2" xfId="6750" xr:uid="{00000000-0005-0000-0000-00001E380000}"/>
    <cellStyle name="Note 2 6 2 3 5 2 3" xfId="6756" xr:uid="{00000000-0005-0000-0000-00001F380000}"/>
    <cellStyle name="Note 2 6 2 3 5 2 4" xfId="6762" xr:uid="{00000000-0005-0000-0000-000020380000}"/>
    <cellStyle name="Note 2 6 2 3 5 3" xfId="5064" xr:uid="{00000000-0005-0000-0000-000021380000}"/>
    <cellStyle name="Note 2 6 2 3 5 4" xfId="8026" xr:uid="{00000000-0005-0000-0000-000022380000}"/>
    <cellStyle name="Note 2 6 2 3 5 5" xfId="8030" xr:uid="{00000000-0005-0000-0000-000023380000}"/>
    <cellStyle name="Note 2 6 2 3 6" xfId="5429" xr:uid="{00000000-0005-0000-0000-000024380000}"/>
    <cellStyle name="Note 2 6 2 3 6 2" xfId="4123" xr:uid="{00000000-0005-0000-0000-000025380000}"/>
    <cellStyle name="Note 2 6 2 3 6 3" xfId="4136" xr:uid="{00000000-0005-0000-0000-000026380000}"/>
    <cellStyle name="Note 2 6 2 3 6 4" xfId="5329" xr:uid="{00000000-0005-0000-0000-000027380000}"/>
    <cellStyle name="Note 2 6 2 3 7" xfId="5458" xr:uid="{00000000-0005-0000-0000-000028380000}"/>
    <cellStyle name="Note 2 6 2 3 8" xfId="5488" xr:uid="{00000000-0005-0000-0000-000029380000}"/>
    <cellStyle name="Note 2 6 2 3 9" xfId="5498" xr:uid="{00000000-0005-0000-0000-00002A380000}"/>
    <cellStyle name="Note 2 6 2 4" xfId="21044" xr:uid="{00000000-0005-0000-0000-00002B380000}"/>
    <cellStyle name="Note 2 6 2 4 2" xfId="15423" xr:uid="{00000000-0005-0000-0000-00002C380000}"/>
    <cellStyle name="Note 2 6 2 4 2 2" xfId="21045" xr:uid="{00000000-0005-0000-0000-00002D380000}"/>
    <cellStyle name="Note 2 6 2 4 2 2 2" xfId="19845" xr:uid="{00000000-0005-0000-0000-00002E380000}"/>
    <cellStyle name="Note 2 6 2 4 2 2 2 2" xfId="20452" xr:uid="{00000000-0005-0000-0000-00002F380000}"/>
    <cellStyle name="Note 2 6 2 4 2 2 2 2 2" xfId="18930" xr:uid="{00000000-0005-0000-0000-000030380000}"/>
    <cellStyle name="Note 2 6 2 4 2 2 2 2 3" xfId="18765" xr:uid="{00000000-0005-0000-0000-000031380000}"/>
    <cellStyle name="Note 2 6 2 4 2 2 2 2 4" xfId="18774" xr:uid="{00000000-0005-0000-0000-000032380000}"/>
    <cellStyle name="Note 2 6 2 4 2 2 2 3" xfId="20455" xr:uid="{00000000-0005-0000-0000-000033380000}"/>
    <cellStyle name="Note 2 6 2 4 2 2 2 4" xfId="20457" xr:uid="{00000000-0005-0000-0000-000034380000}"/>
    <cellStyle name="Note 2 6 2 4 2 2 2 5" xfId="21046" xr:uid="{00000000-0005-0000-0000-000035380000}"/>
    <cellStyle name="Note 2 6 2 4 2 2 3" xfId="19851" xr:uid="{00000000-0005-0000-0000-000036380000}"/>
    <cellStyle name="Note 2 6 2 4 2 2 3 2" xfId="21048" xr:uid="{00000000-0005-0000-0000-000037380000}"/>
    <cellStyle name="Note 2 6 2 4 2 2 3 3" xfId="21049" xr:uid="{00000000-0005-0000-0000-000038380000}"/>
    <cellStyle name="Note 2 6 2 4 2 2 3 4" xfId="21050" xr:uid="{00000000-0005-0000-0000-000039380000}"/>
    <cellStyle name="Note 2 6 2 4 2 2 4" xfId="20463" xr:uid="{00000000-0005-0000-0000-00003A380000}"/>
    <cellStyle name="Note 2 6 2 4 2 2 5" xfId="17718" xr:uid="{00000000-0005-0000-0000-00003B380000}"/>
    <cellStyle name="Note 2 6 2 4 2 2 6" xfId="17722" xr:uid="{00000000-0005-0000-0000-00003C380000}"/>
    <cellStyle name="Note 2 6 2 4 2 3" xfId="12932" xr:uid="{00000000-0005-0000-0000-00003D380000}"/>
    <cellStyle name="Note 2 6 2 4 2 3 2" xfId="19866" xr:uid="{00000000-0005-0000-0000-00003E380000}"/>
    <cellStyle name="Note 2 6 2 4 2 3 2 2" xfId="6089" xr:uid="{00000000-0005-0000-0000-00003F380000}"/>
    <cellStyle name="Note 2 6 2 4 2 3 2 3" xfId="6107" xr:uid="{00000000-0005-0000-0000-000040380000}"/>
    <cellStyle name="Note 2 6 2 4 2 3 2 4" xfId="7205" xr:uid="{00000000-0005-0000-0000-000041380000}"/>
    <cellStyle name="Note 2 6 2 4 2 3 3" xfId="20479" xr:uid="{00000000-0005-0000-0000-000042380000}"/>
    <cellStyle name="Note 2 6 2 4 2 3 4" xfId="20484" xr:uid="{00000000-0005-0000-0000-000043380000}"/>
    <cellStyle name="Note 2 6 2 4 2 3 5" xfId="17730" xr:uid="{00000000-0005-0000-0000-000044380000}"/>
    <cellStyle name="Note 2 6 2 4 2 4" xfId="12934" xr:uid="{00000000-0005-0000-0000-000045380000}"/>
    <cellStyle name="Note 2 6 2 4 2 4 2" xfId="20491" xr:uid="{00000000-0005-0000-0000-000046380000}"/>
    <cellStyle name="Note 2 6 2 4 2 4 3" xfId="13050" xr:uid="{00000000-0005-0000-0000-000047380000}"/>
    <cellStyle name="Note 2 6 2 4 2 4 4" xfId="13054" xr:uid="{00000000-0005-0000-0000-000048380000}"/>
    <cellStyle name="Note 2 6 2 4 2 5" xfId="11387" xr:uid="{00000000-0005-0000-0000-000049380000}"/>
    <cellStyle name="Note 2 6 2 4 2 6" xfId="21051" xr:uid="{00000000-0005-0000-0000-00004A380000}"/>
    <cellStyle name="Note 2 6 2 4 2 7" xfId="21052" xr:uid="{00000000-0005-0000-0000-00004B380000}"/>
    <cellStyle name="Note 2 6 2 4 3" xfId="12519" xr:uid="{00000000-0005-0000-0000-00004C380000}"/>
    <cellStyle name="Note 2 6 2 4 3 2" xfId="16332" xr:uid="{00000000-0005-0000-0000-00004D380000}"/>
    <cellStyle name="Note 2 6 2 4 3 2 2" xfId="12187" xr:uid="{00000000-0005-0000-0000-00004E380000}"/>
    <cellStyle name="Note 2 6 2 4 3 2 2 2" xfId="21054" xr:uid="{00000000-0005-0000-0000-00004F380000}"/>
    <cellStyle name="Note 2 6 2 4 3 2 2 3" xfId="21055" xr:uid="{00000000-0005-0000-0000-000050380000}"/>
    <cellStyle name="Note 2 6 2 4 3 2 2 4" xfId="21056" xr:uid="{00000000-0005-0000-0000-000051380000}"/>
    <cellStyle name="Note 2 6 2 4 3 2 3" xfId="20535" xr:uid="{00000000-0005-0000-0000-000052380000}"/>
    <cellStyle name="Note 2 6 2 4 3 2 4" xfId="20543" xr:uid="{00000000-0005-0000-0000-000053380000}"/>
    <cellStyle name="Note 2 6 2 4 3 2 5" xfId="17746" xr:uid="{00000000-0005-0000-0000-000054380000}"/>
    <cellStyle name="Note 2 6 2 4 3 3" xfId="12938" xr:uid="{00000000-0005-0000-0000-000055380000}"/>
    <cellStyle name="Note 2 6 2 4 3 3 2" xfId="20554" xr:uid="{00000000-0005-0000-0000-000056380000}"/>
    <cellStyle name="Note 2 6 2 4 3 3 3" xfId="20559" xr:uid="{00000000-0005-0000-0000-000057380000}"/>
    <cellStyle name="Note 2 6 2 4 3 3 4" xfId="21057" xr:uid="{00000000-0005-0000-0000-000058380000}"/>
    <cellStyle name="Note 2 6 2 4 3 4" xfId="16337" xr:uid="{00000000-0005-0000-0000-000059380000}"/>
    <cellStyle name="Note 2 6 2 4 3 5" xfId="21058" xr:uid="{00000000-0005-0000-0000-00005A380000}"/>
    <cellStyle name="Note 2 6 2 4 3 6" xfId="6970" xr:uid="{00000000-0005-0000-0000-00005B380000}"/>
    <cellStyle name="Note 2 6 2 4 4" xfId="12525" xr:uid="{00000000-0005-0000-0000-00005C380000}"/>
    <cellStyle name="Note 2 6 2 4 4 2" xfId="18963" xr:uid="{00000000-0005-0000-0000-00005D380000}"/>
    <cellStyle name="Note 2 6 2 4 4 2 2" xfId="19659" xr:uid="{00000000-0005-0000-0000-00005E380000}"/>
    <cellStyle name="Note 2 6 2 4 4 2 3" xfId="20581" xr:uid="{00000000-0005-0000-0000-00005F380000}"/>
    <cellStyle name="Note 2 6 2 4 4 2 4" xfId="21059" xr:uid="{00000000-0005-0000-0000-000060380000}"/>
    <cellStyle name="Note 2 6 2 4 4 3" xfId="5087" xr:uid="{00000000-0005-0000-0000-000061380000}"/>
    <cellStyle name="Note 2 6 2 4 4 4" xfId="21060" xr:uid="{00000000-0005-0000-0000-000062380000}"/>
    <cellStyle name="Note 2 6 2 4 4 5" xfId="21061" xr:uid="{00000000-0005-0000-0000-000063380000}"/>
    <cellStyle name="Note 2 6 2 4 5" xfId="8044" xr:uid="{00000000-0005-0000-0000-000064380000}"/>
    <cellStyle name="Note 2 6 2 4 5 2" xfId="5093" xr:uid="{00000000-0005-0000-0000-000065380000}"/>
    <cellStyle name="Note 2 6 2 4 5 3" xfId="8054" xr:uid="{00000000-0005-0000-0000-000066380000}"/>
    <cellStyle name="Note 2 6 2 4 5 4" xfId="8057" xr:uid="{00000000-0005-0000-0000-000067380000}"/>
    <cellStyle name="Note 2 6 2 4 6" xfId="5519" xr:uid="{00000000-0005-0000-0000-000068380000}"/>
    <cellStyle name="Note 2 6 2 4 7" xfId="5542" xr:uid="{00000000-0005-0000-0000-000069380000}"/>
    <cellStyle name="Note 2 6 2 4 8" xfId="5549" xr:uid="{00000000-0005-0000-0000-00006A380000}"/>
    <cellStyle name="Note 2 6 2 5" xfId="18656" xr:uid="{00000000-0005-0000-0000-00006B380000}"/>
    <cellStyle name="Note 2 6 2 5 2" xfId="9488" xr:uid="{00000000-0005-0000-0000-00006C380000}"/>
    <cellStyle name="Note 2 6 2 5 2 2" xfId="18658" xr:uid="{00000000-0005-0000-0000-00006D380000}"/>
    <cellStyle name="Note 2 6 2 5 2 2 2" xfId="19987" xr:uid="{00000000-0005-0000-0000-00006E380000}"/>
    <cellStyle name="Note 2 6 2 5 2 2 2 2" xfId="21062" xr:uid="{00000000-0005-0000-0000-00006F380000}"/>
    <cellStyle name="Note 2 6 2 5 2 2 2 3" xfId="21063" xr:uid="{00000000-0005-0000-0000-000070380000}"/>
    <cellStyle name="Note 2 6 2 5 2 2 2 4" xfId="21064" xr:uid="{00000000-0005-0000-0000-000071380000}"/>
    <cellStyle name="Note 2 6 2 5 2 2 3" xfId="19992" xr:uid="{00000000-0005-0000-0000-000072380000}"/>
    <cellStyle name="Note 2 6 2 5 2 2 4" xfId="2540" xr:uid="{00000000-0005-0000-0000-000073380000}"/>
    <cellStyle name="Note 2 6 2 5 2 2 5" xfId="2553" xr:uid="{00000000-0005-0000-0000-000074380000}"/>
    <cellStyle name="Note 2 6 2 5 2 3" xfId="12956" xr:uid="{00000000-0005-0000-0000-000075380000}"/>
    <cellStyle name="Note 2 6 2 5 2 3 2" xfId="20023" xr:uid="{00000000-0005-0000-0000-000076380000}"/>
    <cellStyle name="Note 2 6 2 5 2 3 3" xfId="20602" xr:uid="{00000000-0005-0000-0000-000077380000}"/>
    <cellStyle name="Note 2 6 2 5 2 3 4" xfId="21065" xr:uid="{00000000-0005-0000-0000-000078380000}"/>
    <cellStyle name="Note 2 6 2 5 2 4" xfId="12960" xr:uid="{00000000-0005-0000-0000-000079380000}"/>
    <cellStyle name="Note 2 6 2 5 2 5" xfId="11532" xr:uid="{00000000-0005-0000-0000-00007A380000}"/>
    <cellStyle name="Note 2 6 2 5 2 6" xfId="21066" xr:uid="{00000000-0005-0000-0000-00007B380000}"/>
    <cellStyle name="Note 2 6 2 5 3" xfId="15430" xr:uid="{00000000-0005-0000-0000-00007C380000}"/>
    <cellStyle name="Note 2 6 2 5 3 2" xfId="21067" xr:uid="{00000000-0005-0000-0000-00007D380000}"/>
    <cellStyle name="Note 2 6 2 5 3 2 2" xfId="19040" xr:uid="{00000000-0005-0000-0000-00007E380000}"/>
    <cellStyle name="Note 2 6 2 5 3 2 3" xfId="19048" xr:uid="{00000000-0005-0000-0000-00007F380000}"/>
    <cellStyle name="Note 2 6 2 5 3 2 4" xfId="19052" xr:uid="{00000000-0005-0000-0000-000080380000}"/>
    <cellStyle name="Note 2 6 2 5 3 3" xfId="12965" xr:uid="{00000000-0005-0000-0000-000081380000}"/>
    <cellStyle name="Note 2 6 2 5 3 4" xfId="21068" xr:uid="{00000000-0005-0000-0000-000082380000}"/>
    <cellStyle name="Note 2 6 2 5 3 5" xfId="21069" xr:uid="{00000000-0005-0000-0000-000083380000}"/>
    <cellStyle name="Note 2 6 2 5 4" xfId="16342" xr:uid="{00000000-0005-0000-0000-000084380000}"/>
    <cellStyle name="Note 2 6 2 5 4 2" xfId="21070" xr:uid="{00000000-0005-0000-0000-000085380000}"/>
    <cellStyle name="Note 2 6 2 5 4 3" xfId="12972" xr:uid="{00000000-0005-0000-0000-000086380000}"/>
    <cellStyle name="Note 2 6 2 5 4 4" xfId="21071" xr:uid="{00000000-0005-0000-0000-000087380000}"/>
    <cellStyle name="Note 2 6 2 5 5" xfId="8074" xr:uid="{00000000-0005-0000-0000-000088380000}"/>
    <cellStyle name="Note 2 6 2 5 6" xfId="5577" xr:uid="{00000000-0005-0000-0000-000089380000}"/>
    <cellStyle name="Note 2 6 2 5 7" xfId="5592" xr:uid="{00000000-0005-0000-0000-00008A380000}"/>
    <cellStyle name="Note 2 6 2 6" xfId="7086" xr:uid="{00000000-0005-0000-0000-00008B380000}"/>
    <cellStyle name="Note 2 6 2 6 2" xfId="18661" xr:uid="{00000000-0005-0000-0000-00008C380000}"/>
    <cellStyle name="Note 2 6 2 6 2 2" xfId="21072" xr:uid="{00000000-0005-0000-0000-00008D380000}"/>
    <cellStyle name="Note 2 6 2 6 2 2 2" xfId="18524" xr:uid="{00000000-0005-0000-0000-00008E380000}"/>
    <cellStyle name="Note 2 6 2 6 2 2 3" xfId="20616" xr:uid="{00000000-0005-0000-0000-00008F380000}"/>
    <cellStyle name="Note 2 6 2 6 2 2 4" xfId="21073" xr:uid="{00000000-0005-0000-0000-000090380000}"/>
    <cellStyle name="Note 2 6 2 6 2 3" xfId="21075" xr:uid="{00000000-0005-0000-0000-000091380000}"/>
    <cellStyle name="Note 2 6 2 6 2 4" xfId="21076" xr:uid="{00000000-0005-0000-0000-000092380000}"/>
    <cellStyle name="Note 2 6 2 6 2 5" xfId="17393" xr:uid="{00000000-0005-0000-0000-000093380000}"/>
    <cellStyle name="Note 2 6 2 6 3" xfId="18663" xr:uid="{00000000-0005-0000-0000-000094380000}"/>
    <cellStyle name="Note 2 6 2 6 3 2" xfId="21077" xr:uid="{00000000-0005-0000-0000-000095380000}"/>
    <cellStyle name="Note 2 6 2 6 3 3" xfId="21079" xr:uid="{00000000-0005-0000-0000-000096380000}"/>
    <cellStyle name="Note 2 6 2 6 3 4" xfId="21081" xr:uid="{00000000-0005-0000-0000-000097380000}"/>
    <cellStyle name="Note 2 6 2 6 4" xfId="18665" xr:uid="{00000000-0005-0000-0000-000098380000}"/>
    <cellStyle name="Note 2 6 2 6 5" xfId="8103" xr:uid="{00000000-0005-0000-0000-000099380000}"/>
    <cellStyle name="Note 2 6 2 6 6" xfId="8106" xr:uid="{00000000-0005-0000-0000-00009A380000}"/>
    <cellStyle name="Note 2 6 2 7" xfId="7090" xr:uid="{00000000-0005-0000-0000-00009B380000}"/>
    <cellStyle name="Note 2 6 2 7 2" xfId="21082" xr:uid="{00000000-0005-0000-0000-00009C380000}"/>
    <cellStyle name="Note 2 6 2 7 2 2" xfId="21083" xr:uid="{00000000-0005-0000-0000-00009D380000}"/>
    <cellStyle name="Note 2 6 2 7 2 3" xfId="13366" xr:uid="{00000000-0005-0000-0000-00009E380000}"/>
    <cellStyle name="Note 2 6 2 7 2 4" xfId="13369" xr:uid="{00000000-0005-0000-0000-00009F380000}"/>
    <cellStyle name="Note 2 6 2 7 3" xfId="21084" xr:uid="{00000000-0005-0000-0000-0000A0380000}"/>
    <cellStyle name="Note 2 6 2 7 4" xfId="21085" xr:uid="{00000000-0005-0000-0000-0000A1380000}"/>
    <cellStyle name="Note 2 6 2 7 5" xfId="21086" xr:uid="{00000000-0005-0000-0000-0000A2380000}"/>
    <cellStyle name="Note 2 6 2 8" xfId="6630" xr:uid="{00000000-0005-0000-0000-0000A3380000}"/>
    <cellStyle name="Note 2 6 2 8 2" xfId="21087" xr:uid="{00000000-0005-0000-0000-0000A4380000}"/>
    <cellStyle name="Note 2 6 2 8 3" xfId="21088" xr:uid="{00000000-0005-0000-0000-0000A5380000}"/>
    <cellStyle name="Note 2 6 2 8 4" xfId="21089" xr:uid="{00000000-0005-0000-0000-0000A6380000}"/>
    <cellStyle name="Note 2 6 2 9" xfId="18668" xr:uid="{00000000-0005-0000-0000-0000A7380000}"/>
    <cellStyle name="Note 2 6 3" xfId="21090" xr:uid="{00000000-0005-0000-0000-0000A8380000}"/>
    <cellStyle name="Note 2 6 3 2" xfId="21092" xr:uid="{00000000-0005-0000-0000-0000A9380000}"/>
    <cellStyle name="Note 2 6 3 2 2" xfId="15450" xr:uid="{00000000-0005-0000-0000-0000AA380000}"/>
    <cellStyle name="Note 2 6 3 2 2 2" xfId="15452" xr:uid="{00000000-0005-0000-0000-0000AB380000}"/>
    <cellStyle name="Note 2 6 3 2 2 2 2" xfId="18905" xr:uid="{00000000-0005-0000-0000-0000AC380000}"/>
    <cellStyle name="Note 2 6 3 2 2 2 2 2" xfId="15362" xr:uid="{00000000-0005-0000-0000-0000AD380000}"/>
    <cellStyle name="Note 2 6 3 2 2 2 2 2 2" xfId="21093" xr:uid="{00000000-0005-0000-0000-0000AE380000}"/>
    <cellStyle name="Note 2 6 3 2 2 2 2 2 3" xfId="21094" xr:uid="{00000000-0005-0000-0000-0000AF380000}"/>
    <cellStyle name="Note 2 6 3 2 2 2 2 2 4" xfId="11289" xr:uid="{00000000-0005-0000-0000-0000B0380000}"/>
    <cellStyle name="Note 2 6 3 2 2 2 2 3" xfId="21095" xr:uid="{00000000-0005-0000-0000-0000B1380000}"/>
    <cellStyle name="Note 2 6 3 2 2 2 2 4" xfId="21099" xr:uid="{00000000-0005-0000-0000-0000B2380000}"/>
    <cellStyle name="Note 2 6 3 2 2 2 2 5" xfId="21103" xr:uid="{00000000-0005-0000-0000-0000B3380000}"/>
    <cellStyle name="Note 2 6 3 2 2 2 3" xfId="21104" xr:uid="{00000000-0005-0000-0000-0000B4380000}"/>
    <cellStyle name="Note 2 6 3 2 2 2 3 2" xfId="21105" xr:uid="{00000000-0005-0000-0000-0000B5380000}"/>
    <cellStyle name="Note 2 6 3 2 2 2 3 3" xfId="21106" xr:uid="{00000000-0005-0000-0000-0000B6380000}"/>
    <cellStyle name="Note 2 6 3 2 2 2 3 4" xfId="21107" xr:uid="{00000000-0005-0000-0000-0000B7380000}"/>
    <cellStyle name="Note 2 6 3 2 2 2 4" xfId="21109" xr:uid="{00000000-0005-0000-0000-0000B8380000}"/>
    <cellStyle name="Note 2 6 3 2 2 2 5" xfId="21111" xr:uid="{00000000-0005-0000-0000-0000B9380000}"/>
    <cellStyle name="Note 2 6 3 2 2 2 6" xfId="21112" xr:uid="{00000000-0005-0000-0000-0000BA380000}"/>
    <cellStyle name="Note 2 6 3 2 2 3" xfId="15454" xr:uid="{00000000-0005-0000-0000-0000BB380000}"/>
    <cellStyle name="Note 2 6 3 2 2 3 2" xfId="21115" xr:uid="{00000000-0005-0000-0000-0000BC380000}"/>
    <cellStyle name="Note 2 6 3 2 2 3 2 2" xfId="15115" xr:uid="{00000000-0005-0000-0000-0000BD380000}"/>
    <cellStyle name="Note 2 6 3 2 2 3 2 3" xfId="15117" xr:uid="{00000000-0005-0000-0000-0000BE380000}"/>
    <cellStyle name="Note 2 6 3 2 2 3 2 4" xfId="15119" xr:uid="{00000000-0005-0000-0000-0000BF380000}"/>
    <cellStyle name="Note 2 6 3 2 2 3 3" xfId="21116" xr:uid="{00000000-0005-0000-0000-0000C0380000}"/>
    <cellStyle name="Note 2 6 3 2 2 3 4" xfId="21118" xr:uid="{00000000-0005-0000-0000-0000C1380000}"/>
    <cellStyle name="Note 2 6 3 2 2 3 5" xfId="21122" xr:uid="{00000000-0005-0000-0000-0000C2380000}"/>
    <cellStyle name="Note 2 6 3 2 2 4" xfId="15456" xr:uid="{00000000-0005-0000-0000-0000C3380000}"/>
    <cellStyle name="Note 2 6 3 2 2 4 2" xfId="21126" xr:uid="{00000000-0005-0000-0000-0000C4380000}"/>
    <cellStyle name="Note 2 6 3 2 2 4 3" xfId="21127" xr:uid="{00000000-0005-0000-0000-0000C5380000}"/>
    <cellStyle name="Note 2 6 3 2 2 4 4" xfId="21129" xr:uid="{00000000-0005-0000-0000-0000C6380000}"/>
    <cellStyle name="Note 2 6 3 2 2 5" xfId="21131" xr:uid="{00000000-0005-0000-0000-0000C7380000}"/>
    <cellStyle name="Note 2 6 3 2 2 6" xfId="21132" xr:uid="{00000000-0005-0000-0000-0000C8380000}"/>
    <cellStyle name="Note 2 6 3 2 2 7" xfId="20475" xr:uid="{00000000-0005-0000-0000-0000C9380000}"/>
    <cellStyle name="Note 2 6 3 2 3" xfId="10308" xr:uid="{00000000-0005-0000-0000-0000CA380000}"/>
    <cellStyle name="Note 2 6 3 2 3 2" xfId="10315" xr:uid="{00000000-0005-0000-0000-0000CB380000}"/>
    <cellStyle name="Note 2 6 3 2 3 2 2" xfId="16348" xr:uid="{00000000-0005-0000-0000-0000CC380000}"/>
    <cellStyle name="Note 2 6 3 2 3 2 2 2" xfId="20883" xr:uid="{00000000-0005-0000-0000-0000CD380000}"/>
    <cellStyle name="Note 2 6 3 2 3 2 2 3" xfId="20886" xr:uid="{00000000-0005-0000-0000-0000CE380000}"/>
    <cellStyle name="Note 2 6 3 2 3 2 2 4" xfId="20889" xr:uid="{00000000-0005-0000-0000-0000CF380000}"/>
    <cellStyle name="Note 2 6 3 2 3 2 3" xfId="14398" xr:uid="{00000000-0005-0000-0000-0000D0380000}"/>
    <cellStyle name="Note 2 6 3 2 3 2 4" xfId="14407" xr:uid="{00000000-0005-0000-0000-0000D1380000}"/>
    <cellStyle name="Note 2 6 3 2 3 2 5" xfId="14411" xr:uid="{00000000-0005-0000-0000-0000D2380000}"/>
    <cellStyle name="Note 2 6 3 2 3 3" xfId="10320" xr:uid="{00000000-0005-0000-0000-0000D3380000}"/>
    <cellStyle name="Note 2 6 3 2 3 3 2" xfId="21134" xr:uid="{00000000-0005-0000-0000-0000D4380000}"/>
    <cellStyle name="Note 2 6 3 2 3 3 3" xfId="21136" xr:uid="{00000000-0005-0000-0000-0000D5380000}"/>
    <cellStyle name="Note 2 6 3 2 3 3 4" xfId="21139" xr:uid="{00000000-0005-0000-0000-0000D6380000}"/>
    <cellStyle name="Note 2 6 3 2 3 4" xfId="10326" xr:uid="{00000000-0005-0000-0000-0000D7380000}"/>
    <cellStyle name="Note 2 6 3 2 3 5" xfId="16352" xr:uid="{00000000-0005-0000-0000-0000D8380000}"/>
    <cellStyle name="Note 2 6 3 2 3 6" xfId="2895" xr:uid="{00000000-0005-0000-0000-0000D9380000}"/>
    <cellStyle name="Note 2 6 3 2 4" xfId="10333" xr:uid="{00000000-0005-0000-0000-0000DA380000}"/>
    <cellStyle name="Note 2 6 3 2 4 2" xfId="6287" xr:uid="{00000000-0005-0000-0000-0000DB380000}"/>
    <cellStyle name="Note 2 6 3 2 4 2 2" xfId="21142" xr:uid="{00000000-0005-0000-0000-0000DC380000}"/>
    <cellStyle name="Note 2 6 3 2 4 2 3" xfId="21144" xr:uid="{00000000-0005-0000-0000-0000DD380000}"/>
    <cellStyle name="Note 2 6 3 2 4 2 4" xfId="21146" xr:uid="{00000000-0005-0000-0000-0000DE380000}"/>
    <cellStyle name="Note 2 6 3 2 4 3" xfId="6314" xr:uid="{00000000-0005-0000-0000-0000DF380000}"/>
    <cellStyle name="Note 2 6 3 2 4 4" xfId="16355" xr:uid="{00000000-0005-0000-0000-0000E0380000}"/>
    <cellStyle name="Note 2 6 3 2 4 5" xfId="21147" xr:uid="{00000000-0005-0000-0000-0000E1380000}"/>
    <cellStyle name="Note 2 6 3 2 5" xfId="8130" xr:uid="{00000000-0005-0000-0000-0000E2380000}"/>
    <cellStyle name="Note 2 6 3 2 5 2" xfId="6362" xr:uid="{00000000-0005-0000-0000-0000E3380000}"/>
    <cellStyle name="Note 2 6 3 2 5 3" xfId="317" xr:uid="{00000000-0005-0000-0000-0000E4380000}"/>
    <cellStyle name="Note 2 6 3 2 5 4" xfId="436" xr:uid="{00000000-0005-0000-0000-0000E5380000}"/>
    <cellStyle name="Note 2 6 3 2 6" xfId="8153" xr:uid="{00000000-0005-0000-0000-0000E6380000}"/>
    <cellStyle name="Note 2 6 3 2 7" xfId="8167" xr:uid="{00000000-0005-0000-0000-0000E7380000}"/>
    <cellStyle name="Note 2 6 3 2 8" xfId="8174" xr:uid="{00000000-0005-0000-0000-0000E8380000}"/>
    <cellStyle name="Note 2 6 3 3" xfId="21149" xr:uid="{00000000-0005-0000-0000-0000E9380000}"/>
    <cellStyle name="Note 2 6 3 3 2" xfId="15463" xr:uid="{00000000-0005-0000-0000-0000EA380000}"/>
    <cellStyle name="Note 2 6 3 3 2 2" xfId="21150" xr:uid="{00000000-0005-0000-0000-0000EB380000}"/>
    <cellStyle name="Note 2 6 3 3 2 2 2" xfId="20654" xr:uid="{00000000-0005-0000-0000-0000EC380000}"/>
    <cellStyle name="Note 2 6 3 3 2 2 2 2" xfId="21151" xr:uid="{00000000-0005-0000-0000-0000ED380000}"/>
    <cellStyle name="Note 2 6 3 3 2 2 2 3" xfId="21152" xr:uid="{00000000-0005-0000-0000-0000EE380000}"/>
    <cellStyle name="Note 2 6 3 3 2 2 2 4" xfId="21154" xr:uid="{00000000-0005-0000-0000-0000EF380000}"/>
    <cellStyle name="Note 2 6 3 3 2 2 3" xfId="20658" xr:uid="{00000000-0005-0000-0000-0000F0380000}"/>
    <cellStyle name="Note 2 6 3 3 2 2 4" xfId="20664" xr:uid="{00000000-0005-0000-0000-0000F1380000}"/>
    <cellStyle name="Note 2 6 3 3 2 2 5" xfId="21157" xr:uid="{00000000-0005-0000-0000-0000F2380000}"/>
    <cellStyle name="Note 2 6 3 3 2 3" xfId="16890" xr:uid="{00000000-0005-0000-0000-0000F3380000}"/>
    <cellStyle name="Note 2 6 3 3 2 3 2" xfId="20672" xr:uid="{00000000-0005-0000-0000-0000F4380000}"/>
    <cellStyle name="Note 2 6 3 3 2 3 3" xfId="20676" xr:uid="{00000000-0005-0000-0000-0000F5380000}"/>
    <cellStyle name="Note 2 6 3 3 2 3 4" xfId="21158" xr:uid="{00000000-0005-0000-0000-0000F6380000}"/>
    <cellStyle name="Note 2 6 3 3 2 4" xfId="16894" xr:uid="{00000000-0005-0000-0000-0000F7380000}"/>
    <cellStyle name="Note 2 6 3 3 2 5" xfId="16899" xr:uid="{00000000-0005-0000-0000-0000F8380000}"/>
    <cellStyle name="Note 2 6 3 3 2 6" xfId="722" xr:uid="{00000000-0005-0000-0000-0000F9380000}"/>
    <cellStyle name="Note 2 6 3 3 3" xfId="10342" xr:uid="{00000000-0005-0000-0000-0000FA380000}"/>
    <cellStyle name="Note 2 6 3 3 3 2" xfId="11669" xr:uid="{00000000-0005-0000-0000-0000FB380000}"/>
    <cellStyle name="Note 2 6 3 3 3 2 2" xfId="7065" xr:uid="{00000000-0005-0000-0000-0000FC380000}"/>
    <cellStyle name="Note 2 6 3 3 3 2 3" xfId="14527" xr:uid="{00000000-0005-0000-0000-0000FD380000}"/>
    <cellStyle name="Note 2 6 3 3 3 2 4" xfId="14532" xr:uid="{00000000-0005-0000-0000-0000FE380000}"/>
    <cellStyle name="Note 2 6 3 3 3 3" xfId="9898" xr:uid="{00000000-0005-0000-0000-0000FF380000}"/>
    <cellStyle name="Note 2 6 3 3 3 4" xfId="9905" xr:uid="{00000000-0005-0000-0000-000000390000}"/>
    <cellStyle name="Note 2 6 3 3 3 5" xfId="9909" xr:uid="{00000000-0005-0000-0000-000001390000}"/>
    <cellStyle name="Note 2 6 3 3 4" xfId="10349" xr:uid="{00000000-0005-0000-0000-000002390000}"/>
    <cellStyle name="Note 2 6 3 3 4 2" xfId="6411" xr:uid="{00000000-0005-0000-0000-000003390000}"/>
    <cellStyle name="Note 2 6 3 3 4 3" xfId="21160" xr:uid="{00000000-0005-0000-0000-000004390000}"/>
    <cellStyle name="Note 2 6 3 3 4 4" xfId="21161" xr:uid="{00000000-0005-0000-0000-000005390000}"/>
    <cellStyle name="Note 2 6 3 3 5" xfId="8190" xr:uid="{00000000-0005-0000-0000-000006390000}"/>
    <cellStyle name="Note 2 6 3 3 6" xfId="5645" xr:uid="{00000000-0005-0000-0000-000007390000}"/>
    <cellStyle name="Note 2 6 3 3 7" xfId="5654" xr:uid="{00000000-0005-0000-0000-000008390000}"/>
    <cellStyle name="Note 2 6 3 4" xfId="21162" xr:uid="{00000000-0005-0000-0000-000009390000}"/>
    <cellStyle name="Note 2 6 3 4 2" xfId="15469" xr:uid="{00000000-0005-0000-0000-00000A390000}"/>
    <cellStyle name="Note 2 6 3 4 2 2" xfId="13652" xr:uid="{00000000-0005-0000-0000-00000B390000}"/>
    <cellStyle name="Note 2 6 3 4 2 2 2" xfId="20147" xr:uid="{00000000-0005-0000-0000-00000C390000}"/>
    <cellStyle name="Note 2 6 3 4 2 2 3" xfId="20704" xr:uid="{00000000-0005-0000-0000-00000D390000}"/>
    <cellStyle name="Note 2 6 3 4 2 2 4" xfId="21163" xr:uid="{00000000-0005-0000-0000-00000E390000}"/>
    <cellStyle name="Note 2 6 3 4 2 3" xfId="841" xr:uid="{00000000-0005-0000-0000-00000F390000}"/>
    <cellStyle name="Note 2 6 3 4 2 4" xfId="858" xr:uid="{00000000-0005-0000-0000-000010390000}"/>
    <cellStyle name="Note 2 6 3 4 2 5" xfId="21165" xr:uid="{00000000-0005-0000-0000-000011390000}"/>
    <cellStyle name="Note 2 6 3 4 3" xfId="15472" xr:uid="{00000000-0005-0000-0000-000012390000}"/>
    <cellStyle name="Note 2 6 3 4 3 2" xfId="11683" xr:uid="{00000000-0005-0000-0000-000013390000}"/>
    <cellStyle name="Note 2 6 3 4 3 3" xfId="360" xr:uid="{00000000-0005-0000-0000-000014390000}"/>
    <cellStyle name="Note 2 6 3 4 3 4" xfId="2255" xr:uid="{00000000-0005-0000-0000-000015390000}"/>
    <cellStyle name="Note 2 6 3 4 4" xfId="16359" xr:uid="{00000000-0005-0000-0000-000016390000}"/>
    <cellStyle name="Note 2 6 3 4 5" xfId="8207" xr:uid="{00000000-0005-0000-0000-000017390000}"/>
    <cellStyle name="Note 2 6 3 4 6" xfId="3887" xr:uid="{00000000-0005-0000-0000-000018390000}"/>
    <cellStyle name="Note 2 6 3 5" xfId="18672" xr:uid="{00000000-0005-0000-0000-000019390000}"/>
    <cellStyle name="Note 2 6 3 5 2" xfId="18674" xr:uid="{00000000-0005-0000-0000-00001A390000}"/>
    <cellStyle name="Note 2 6 3 5 2 2" xfId="14450" xr:uid="{00000000-0005-0000-0000-00001B390000}"/>
    <cellStyle name="Note 2 6 3 5 2 3" xfId="14452" xr:uid="{00000000-0005-0000-0000-00001C390000}"/>
    <cellStyle name="Note 2 6 3 5 2 4" xfId="21167" xr:uid="{00000000-0005-0000-0000-00001D390000}"/>
    <cellStyle name="Note 2 6 3 5 3" xfId="18676" xr:uid="{00000000-0005-0000-0000-00001E390000}"/>
    <cellStyle name="Note 2 6 3 5 4" xfId="18678" xr:uid="{00000000-0005-0000-0000-00001F390000}"/>
    <cellStyle name="Note 2 6 3 5 5" xfId="8217" xr:uid="{00000000-0005-0000-0000-000020390000}"/>
    <cellStyle name="Note 2 6 3 6" xfId="18680" xr:uid="{00000000-0005-0000-0000-000021390000}"/>
    <cellStyle name="Note 2 6 3 6 2" xfId="21168" xr:uid="{00000000-0005-0000-0000-000022390000}"/>
    <cellStyle name="Note 2 6 3 6 3" xfId="21169" xr:uid="{00000000-0005-0000-0000-000023390000}"/>
    <cellStyle name="Note 2 6 3 6 4" xfId="21170" xr:uid="{00000000-0005-0000-0000-000024390000}"/>
    <cellStyle name="Note 2 6 3 7" xfId="18682" xr:uid="{00000000-0005-0000-0000-000025390000}"/>
    <cellStyle name="Note 2 6 3 8" xfId="18684" xr:uid="{00000000-0005-0000-0000-000026390000}"/>
    <cellStyle name="Note 2 6 3 9" xfId="21171" xr:uid="{00000000-0005-0000-0000-000027390000}"/>
    <cellStyle name="Note 2 6 4" xfId="21172" xr:uid="{00000000-0005-0000-0000-000028390000}"/>
    <cellStyle name="Note 2 6 4 2" xfId="21173" xr:uid="{00000000-0005-0000-0000-000029390000}"/>
    <cellStyle name="Note 2 6 4 2 2" xfId="6420" xr:uid="{00000000-0005-0000-0000-00002A390000}"/>
    <cellStyle name="Note 2 6 4 2 2 2" xfId="21174" xr:uid="{00000000-0005-0000-0000-00002B390000}"/>
    <cellStyle name="Note 2 6 4 2 2 2 2" xfId="5730" xr:uid="{00000000-0005-0000-0000-00002C390000}"/>
    <cellStyle name="Note 2 6 4 2 2 2 2 2" xfId="20867" xr:uid="{00000000-0005-0000-0000-00002D390000}"/>
    <cellStyle name="Note 2 6 4 2 2 2 2 2 2" xfId="21175" xr:uid="{00000000-0005-0000-0000-00002E390000}"/>
    <cellStyle name="Note 2 6 4 2 2 2 2 2 3" xfId="21177" xr:uid="{00000000-0005-0000-0000-00002F390000}"/>
    <cellStyle name="Note 2 6 4 2 2 2 2 2 4" xfId="21179" xr:uid="{00000000-0005-0000-0000-000030390000}"/>
    <cellStyle name="Note 2 6 4 2 2 2 2 3" xfId="20869" xr:uid="{00000000-0005-0000-0000-000031390000}"/>
    <cellStyle name="Note 2 6 4 2 2 2 2 4" xfId="20871" xr:uid="{00000000-0005-0000-0000-000032390000}"/>
    <cellStyle name="Note 2 6 4 2 2 2 2 5" xfId="21180" xr:uid="{00000000-0005-0000-0000-000033390000}"/>
    <cellStyle name="Note 2 6 4 2 2 2 3" xfId="5736" xr:uid="{00000000-0005-0000-0000-000034390000}"/>
    <cellStyle name="Note 2 6 4 2 2 2 3 2" xfId="21181" xr:uid="{00000000-0005-0000-0000-000035390000}"/>
    <cellStyle name="Note 2 6 4 2 2 2 3 3" xfId="21182" xr:uid="{00000000-0005-0000-0000-000036390000}"/>
    <cellStyle name="Note 2 6 4 2 2 2 3 4" xfId="21183" xr:uid="{00000000-0005-0000-0000-000037390000}"/>
    <cellStyle name="Note 2 6 4 2 2 2 4" xfId="21187" xr:uid="{00000000-0005-0000-0000-000038390000}"/>
    <cellStyle name="Note 2 6 4 2 2 2 5" xfId="21191" xr:uid="{00000000-0005-0000-0000-000039390000}"/>
    <cellStyle name="Note 2 6 4 2 2 2 6" xfId="21195" xr:uid="{00000000-0005-0000-0000-00003A390000}"/>
    <cellStyle name="Note 2 6 4 2 2 3" xfId="21196" xr:uid="{00000000-0005-0000-0000-00003B390000}"/>
    <cellStyle name="Note 2 6 4 2 2 3 2" xfId="810" xr:uid="{00000000-0005-0000-0000-00003C390000}"/>
    <cellStyle name="Note 2 6 4 2 2 3 2 2" xfId="3417" xr:uid="{00000000-0005-0000-0000-00003D390000}"/>
    <cellStyle name="Note 2 6 4 2 2 3 2 3" xfId="3422" xr:uid="{00000000-0005-0000-0000-00003E390000}"/>
    <cellStyle name="Note 2 6 4 2 2 3 2 4" xfId="21197" xr:uid="{00000000-0005-0000-0000-00003F390000}"/>
    <cellStyle name="Note 2 6 4 2 2 3 3" xfId="820" xr:uid="{00000000-0005-0000-0000-000040390000}"/>
    <cellStyle name="Note 2 6 4 2 2 3 4" xfId="21202" xr:uid="{00000000-0005-0000-0000-000041390000}"/>
    <cellStyle name="Note 2 6 4 2 2 3 5" xfId="21208" xr:uid="{00000000-0005-0000-0000-000042390000}"/>
    <cellStyle name="Note 2 6 4 2 2 4" xfId="21210" xr:uid="{00000000-0005-0000-0000-000043390000}"/>
    <cellStyle name="Note 2 6 4 2 2 4 2" xfId="21211" xr:uid="{00000000-0005-0000-0000-000044390000}"/>
    <cellStyle name="Note 2 6 4 2 2 4 3" xfId="17384" xr:uid="{00000000-0005-0000-0000-000045390000}"/>
    <cellStyle name="Note 2 6 4 2 2 4 4" xfId="17389" xr:uid="{00000000-0005-0000-0000-000046390000}"/>
    <cellStyle name="Note 2 6 4 2 2 5" xfId="21212" xr:uid="{00000000-0005-0000-0000-000047390000}"/>
    <cellStyle name="Note 2 6 4 2 2 6" xfId="21213" xr:uid="{00000000-0005-0000-0000-000048390000}"/>
    <cellStyle name="Note 2 6 4 2 2 7" xfId="21214" xr:uid="{00000000-0005-0000-0000-000049390000}"/>
    <cellStyle name="Note 2 6 4 2 3" xfId="10376" xr:uid="{00000000-0005-0000-0000-00004A390000}"/>
    <cellStyle name="Note 2 6 4 2 3 2" xfId="10219" xr:uid="{00000000-0005-0000-0000-00004B390000}"/>
    <cellStyle name="Note 2 6 4 2 3 2 2" xfId="6150" xr:uid="{00000000-0005-0000-0000-00004C390000}"/>
    <cellStyle name="Note 2 6 4 2 3 2 2 2" xfId="21097" xr:uid="{00000000-0005-0000-0000-00004D390000}"/>
    <cellStyle name="Note 2 6 4 2 3 2 2 3" xfId="21101" xr:uid="{00000000-0005-0000-0000-00004E390000}"/>
    <cellStyle name="Note 2 6 4 2 3 2 2 4" xfId="21215" xr:uid="{00000000-0005-0000-0000-00004F390000}"/>
    <cellStyle name="Note 2 6 4 2 3 2 3" xfId="6165" xr:uid="{00000000-0005-0000-0000-000050390000}"/>
    <cellStyle name="Note 2 6 4 2 3 2 4" xfId="15176" xr:uid="{00000000-0005-0000-0000-000051390000}"/>
    <cellStyle name="Note 2 6 4 2 3 2 5" xfId="15181" xr:uid="{00000000-0005-0000-0000-000052390000}"/>
    <cellStyle name="Note 2 6 4 2 3 3" xfId="11705" xr:uid="{00000000-0005-0000-0000-000053390000}"/>
    <cellStyle name="Note 2 6 4 2 3 3 2" xfId="6199" xr:uid="{00000000-0005-0000-0000-000054390000}"/>
    <cellStyle name="Note 2 6 4 2 3 3 3" xfId="17874" xr:uid="{00000000-0005-0000-0000-000055390000}"/>
    <cellStyle name="Note 2 6 4 2 3 3 4" xfId="17880" xr:uid="{00000000-0005-0000-0000-000056390000}"/>
    <cellStyle name="Note 2 6 4 2 3 4" xfId="16362" xr:uid="{00000000-0005-0000-0000-000057390000}"/>
    <cellStyle name="Note 2 6 4 2 3 5" xfId="21216" xr:uid="{00000000-0005-0000-0000-000058390000}"/>
    <cellStyle name="Note 2 6 4 2 3 6" xfId="674" xr:uid="{00000000-0005-0000-0000-000059390000}"/>
    <cellStyle name="Note 2 6 4 2 4" xfId="10382" xr:uid="{00000000-0005-0000-0000-00005A390000}"/>
    <cellStyle name="Note 2 6 4 2 4 2" xfId="8164" xr:uid="{00000000-0005-0000-0000-00005B390000}"/>
    <cellStyle name="Note 2 6 4 2 4 2 2" xfId="4323" xr:uid="{00000000-0005-0000-0000-00005C390000}"/>
    <cellStyle name="Note 2 6 4 2 4 2 3" xfId="21218" xr:uid="{00000000-0005-0000-0000-00005D390000}"/>
    <cellStyle name="Note 2 6 4 2 4 2 4" xfId="21221" xr:uid="{00000000-0005-0000-0000-00005E390000}"/>
    <cellStyle name="Note 2 6 4 2 4 3" xfId="21222" xr:uid="{00000000-0005-0000-0000-00005F390000}"/>
    <cellStyle name="Note 2 6 4 2 4 4" xfId="21223" xr:uid="{00000000-0005-0000-0000-000060390000}"/>
    <cellStyle name="Note 2 6 4 2 4 5" xfId="21224" xr:uid="{00000000-0005-0000-0000-000061390000}"/>
    <cellStyle name="Note 2 6 4 2 5" xfId="8243" xr:uid="{00000000-0005-0000-0000-000062390000}"/>
    <cellStyle name="Note 2 6 4 2 5 2" xfId="5656" xr:uid="{00000000-0005-0000-0000-000063390000}"/>
    <cellStyle name="Note 2 6 4 2 5 3" xfId="5664" xr:uid="{00000000-0005-0000-0000-000064390000}"/>
    <cellStyle name="Note 2 6 4 2 5 4" xfId="5672" xr:uid="{00000000-0005-0000-0000-000065390000}"/>
    <cellStyle name="Note 2 6 4 2 6" xfId="8262" xr:uid="{00000000-0005-0000-0000-000066390000}"/>
    <cellStyle name="Note 2 6 4 2 7" xfId="8267" xr:uid="{00000000-0005-0000-0000-000067390000}"/>
    <cellStyle name="Note 2 6 4 2 8" xfId="8271" xr:uid="{00000000-0005-0000-0000-000068390000}"/>
    <cellStyle name="Note 2 6 4 3" xfId="21225" xr:uid="{00000000-0005-0000-0000-000069390000}"/>
    <cellStyle name="Note 2 6 4 3 2" xfId="13766" xr:uid="{00000000-0005-0000-0000-00006A390000}"/>
    <cellStyle name="Note 2 6 4 3 2 2" xfId="16559" xr:uid="{00000000-0005-0000-0000-00006B390000}"/>
    <cellStyle name="Note 2 6 4 3 2 2 2" xfId="5398" xr:uid="{00000000-0005-0000-0000-00006C390000}"/>
    <cellStyle name="Note 2 6 4 3 2 2 2 2" xfId="21226" xr:uid="{00000000-0005-0000-0000-00006D390000}"/>
    <cellStyle name="Note 2 6 4 3 2 2 2 3" xfId="21227" xr:uid="{00000000-0005-0000-0000-00006E390000}"/>
    <cellStyle name="Note 2 6 4 3 2 2 2 4" xfId="21228" xr:uid="{00000000-0005-0000-0000-00006F390000}"/>
    <cellStyle name="Note 2 6 4 3 2 2 3" xfId="5406" xr:uid="{00000000-0005-0000-0000-000070390000}"/>
    <cellStyle name="Note 2 6 4 3 2 2 4" xfId="1400" xr:uid="{00000000-0005-0000-0000-000071390000}"/>
    <cellStyle name="Note 2 6 4 3 2 2 5" xfId="5110" xr:uid="{00000000-0005-0000-0000-000072390000}"/>
    <cellStyle name="Note 2 6 4 3 2 3" xfId="16561" xr:uid="{00000000-0005-0000-0000-000073390000}"/>
    <cellStyle name="Note 2 6 4 3 2 3 2" xfId="944" xr:uid="{00000000-0005-0000-0000-000074390000}"/>
    <cellStyle name="Note 2 6 4 3 2 3 3" xfId="952" xr:uid="{00000000-0005-0000-0000-000075390000}"/>
    <cellStyle name="Note 2 6 4 3 2 3 4" xfId="21230" xr:uid="{00000000-0005-0000-0000-000076390000}"/>
    <cellStyle name="Note 2 6 4 3 2 4" xfId="21231" xr:uid="{00000000-0005-0000-0000-000077390000}"/>
    <cellStyle name="Note 2 6 4 3 2 5" xfId="21232" xr:uid="{00000000-0005-0000-0000-000078390000}"/>
    <cellStyle name="Note 2 6 4 3 2 6" xfId="16708" xr:uid="{00000000-0005-0000-0000-000079390000}"/>
    <cellStyle name="Note 2 6 4 3 3" xfId="15489" xr:uid="{00000000-0005-0000-0000-00007A390000}"/>
    <cellStyle name="Note 2 6 4 3 3 2" xfId="11710" xr:uid="{00000000-0005-0000-0000-00007B390000}"/>
    <cellStyle name="Note 2 6 4 3 3 2 2" xfId="5587" xr:uid="{00000000-0005-0000-0000-00007C390000}"/>
    <cellStyle name="Note 2 6 4 3 3 2 3" xfId="5600" xr:uid="{00000000-0005-0000-0000-00007D390000}"/>
    <cellStyle name="Note 2 6 4 3 3 2 4" xfId="6550" xr:uid="{00000000-0005-0000-0000-00007E390000}"/>
    <cellStyle name="Note 2 6 4 3 3 3" xfId="21233" xr:uid="{00000000-0005-0000-0000-00007F390000}"/>
    <cellStyle name="Note 2 6 4 3 3 4" xfId="21234" xr:uid="{00000000-0005-0000-0000-000080390000}"/>
    <cellStyle name="Note 2 6 4 3 3 5" xfId="21235" xr:uid="{00000000-0005-0000-0000-000081390000}"/>
    <cellStyle name="Note 2 6 4 3 4" xfId="16367" xr:uid="{00000000-0005-0000-0000-000082390000}"/>
    <cellStyle name="Note 2 6 4 3 4 2" xfId="21236" xr:uid="{00000000-0005-0000-0000-000083390000}"/>
    <cellStyle name="Note 2 6 4 3 4 3" xfId="21237" xr:uid="{00000000-0005-0000-0000-000084390000}"/>
    <cellStyle name="Note 2 6 4 3 4 4" xfId="21238" xr:uid="{00000000-0005-0000-0000-000085390000}"/>
    <cellStyle name="Note 2 6 4 3 5" xfId="8286" xr:uid="{00000000-0005-0000-0000-000086390000}"/>
    <cellStyle name="Note 2 6 4 3 6" xfId="5711" xr:uid="{00000000-0005-0000-0000-000087390000}"/>
    <cellStyle name="Note 2 6 4 3 7" xfId="5717" xr:uid="{00000000-0005-0000-0000-000088390000}"/>
    <cellStyle name="Note 2 6 4 4" xfId="21239" xr:uid="{00000000-0005-0000-0000-000089390000}"/>
    <cellStyle name="Note 2 6 4 4 2" xfId="21241" xr:uid="{00000000-0005-0000-0000-00008A390000}"/>
    <cellStyle name="Note 2 6 4 4 2 2" xfId="21243" xr:uid="{00000000-0005-0000-0000-00008B390000}"/>
    <cellStyle name="Note 2 6 4 4 2 2 2" xfId="2733" xr:uid="{00000000-0005-0000-0000-00008C390000}"/>
    <cellStyle name="Note 2 6 4 4 2 2 3" xfId="5933" xr:uid="{00000000-0005-0000-0000-00008D390000}"/>
    <cellStyle name="Note 2 6 4 4 2 2 4" xfId="21246" xr:uid="{00000000-0005-0000-0000-00008E390000}"/>
    <cellStyle name="Note 2 6 4 4 2 3" xfId="21248" xr:uid="{00000000-0005-0000-0000-00008F390000}"/>
    <cellStyle name="Note 2 6 4 4 2 4" xfId="21250" xr:uid="{00000000-0005-0000-0000-000090390000}"/>
    <cellStyle name="Note 2 6 4 4 2 5" xfId="21252" xr:uid="{00000000-0005-0000-0000-000091390000}"/>
    <cellStyle name="Note 2 6 4 4 3" xfId="21253" xr:uid="{00000000-0005-0000-0000-000092390000}"/>
    <cellStyle name="Note 2 6 4 4 3 2" xfId="21254" xr:uid="{00000000-0005-0000-0000-000093390000}"/>
    <cellStyle name="Note 2 6 4 4 3 3" xfId="21255" xr:uid="{00000000-0005-0000-0000-000094390000}"/>
    <cellStyle name="Note 2 6 4 4 3 4" xfId="21257" xr:uid="{00000000-0005-0000-0000-000095390000}"/>
    <cellStyle name="Note 2 6 4 4 4" xfId="21258" xr:uid="{00000000-0005-0000-0000-000096390000}"/>
    <cellStyle name="Note 2 6 4 4 5" xfId="8296" xr:uid="{00000000-0005-0000-0000-000097390000}"/>
    <cellStyle name="Note 2 6 4 4 6" xfId="8298" xr:uid="{00000000-0005-0000-0000-000098390000}"/>
    <cellStyle name="Note 2 6 4 5" xfId="18688" xr:uid="{00000000-0005-0000-0000-000099390000}"/>
    <cellStyle name="Note 2 6 4 5 2" xfId="19110" xr:uid="{00000000-0005-0000-0000-00009A390000}"/>
    <cellStyle name="Note 2 6 4 5 2 2" xfId="19113" xr:uid="{00000000-0005-0000-0000-00009B390000}"/>
    <cellStyle name="Note 2 6 4 5 2 3" xfId="9022" xr:uid="{00000000-0005-0000-0000-00009C390000}"/>
    <cellStyle name="Note 2 6 4 5 2 4" xfId="9028" xr:uid="{00000000-0005-0000-0000-00009D390000}"/>
    <cellStyle name="Note 2 6 4 5 3" xfId="19117" xr:uid="{00000000-0005-0000-0000-00009E390000}"/>
    <cellStyle name="Note 2 6 4 5 4" xfId="19121" xr:uid="{00000000-0005-0000-0000-00009F390000}"/>
    <cellStyle name="Note 2 6 4 5 5" xfId="6965" xr:uid="{00000000-0005-0000-0000-0000A0390000}"/>
    <cellStyle name="Note 2 6 4 6" xfId="18692" xr:uid="{00000000-0005-0000-0000-0000A1390000}"/>
    <cellStyle name="Note 2 6 4 6 2" xfId="19124" xr:uid="{00000000-0005-0000-0000-0000A2390000}"/>
    <cellStyle name="Note 2 6 4 6 3" xfId="19127" xr:uid="{00000000-0005-0000-0000-0000A3390000}"/>
    <cellStyle name="Note 2 6 4 6 4" xfId="19130" xr:uid="{00000000-0005-0000-0000-0000A4390000}"/>
    <cellStyle name="Note 2 6 4 7" xfId="18698" xr:uid="{00000000-0005-0000-0000-0000A5390000}"/>
    <cellStyle name="Note 2 6 4 8" xfId="19135" xr:uid="{00000000-0005-0000-0000-0000A6390000}"/>
    <cellStyle name="Note 2 6 4 9" xfId="19140" xr:uid="{00000000-0005-0000-0000-0000A7390000}"/>
    <cellStyle name="Note 2 6 5" xfId="21259" xr:uid="{00000000-0005-0000-0000-0000A8390000}"/>
    <cellStyle name="Note 2 6 5 2" xfId="21260" xr:uid="{00000000-0005-0000-0000-0000A9390000}"/>
    <cellStyle name="Note 2 6 5 2 2" xfId="15505" xr:uid="{00000000-0005-0000-0000-0000AA390000}"/>
    <cellStyle name="Note 2 6 5 2 2 2" xfId="21261" xr:uid="{00000000-0005-0000-0000-0000AB390000}"/>
    <cellStyle name="Note 2 6 5 2 2 2 2" xfId="20216" xr:uid="{00000000-0005-0000-0000-0000AC390000}"/>
    <cellStyle name="Note 2 6 5 2 2 2 2 2" xfId="1868" xr:uid="{00000000-0005-0000-0000-0000AD390000}"/>
    <cellStyle name="Note 2 6 5 2 2 2 2 3" xfId="21262" xr:uid="{00000000-0005-0000-0000-0000AE390000}"/>
    <cellStyle name="Note 2 6 5 2 2 2 2 4" xfId="21263" xr:uid="{00000000-0005-0000-0000-0000AF390000}"/>
    <cellStyle name="Note 2 6 5 2 2 2 3" xfId="21264" xr:uid="{00000000-0005-0000-0000-0000B0390000}"/>
    <cellStyle name="Note 2 6 5 2 2 2 4" xfId="21268" xr:uid="{00000000-0005-0000-0000-0000B1390000}"/>
    <cellStyle name="Note 2 6 5 2 2 2 5" xfId="16401" xr:uid="{00000000-0005-0000-0000-0000B2390000}"/>
    <cellStyle name="Note 2 6 5 2 2 3" xfId="21269" xr:uid="{00000000-0005-0000-0000-0000B3390000}"/>
    <cellStyle name="Note 2 6 5 2 2 3 2" xfId="586" xr:uid="{00000000-0005-0000-0000-0000B4390000}"/>
    <cellStyle name="Note 2 6 5 2 2 3 3" xfId="21270" xr:uid="{00000000-0005-0000-0000-0000B5390000}"/>
    <cellStyle name="Note 2 6 5 2 2 3 4" xfId="21271" xr:uid="{00000000-0005-0000-0000-0000B6390000}"/>
    <cellStyle name="Note 2 6 5 2 2 4" xfId="21273" xr:uid="{00000000-0005-0000-0000-0000B7390000}"/>
    <cellStyle name="Note 2 6 5 2 2 5" xfId="21274" xr:uid="{00000000-0005-0000-0000-0000B8390000}"/>
    <cellStyle name="Note 2 6 5 2 2 6" xfId="21277" xr:uid="{00000000-0005-0000-0000-0000B9390000}"/>
    <cellStyle name="Note 2 6 5 2 3" xfId="15509" xr:uid="{00000000-0005-0000-0000-0000BA390000}"/>
    <cellStyle name="Note 2 6 5 2 3 2" xfId="11722" xr:uid="{00000000-0005-0000-0000-0000BB390000}"/>
    <cellStyle name="Note 2 6 5 2 3 2 2" xfId="21278" xr:uid="{00000000-0005-0000-0000-0000BC390000}"/>
    <cellStyle name="Note 2 6 5 2 3 2 3" xfId="15840" xr:uid="{00000000-0005-0000-0000-0000BD390000}"/>
    <cellStyle name="Note 2 6 5 2 3 2 4" xfId="15844" xr:uid="{00000000-0005-0000-0000-0000BE390000}"/>
    <cellStyle name="Note 2 6 5 2 3 3" xfId="21280" xr:uid="{00000000-0005-0000-0000-0000BF390000}"/>
    <cellStyle name="Note 2 6 5 2 3 4" xfId="21282" xr:uid="{00000000-0005-0000-0000-0000C0390000}"/>
    <cellStyle name="Note 2 6 5 2 3 5" xfId="21284" xr:uid="{00000000-0005-0000-0000-0000C1390000}"/>
    <cellStyle name="Note 2 6 5 2 4" xfId="16371" xr:uid="{00000000-0005-0000-0000-0000C2390000}"/>
    <cellStyle name="Note 2 6 5 2 4 2" xfId="21285" xr:uid="{00000000-0005-0000-0000-0000C3390000}"/>
    <cellStyle name="Note 2 6 5 2 4 3" xfId="21287" xr:uid="{00000000-0005-0000-0000-0000C4390000}"/>
    <cellStyle name="Note 2 6 5 2 4 4" xfId="21289" xr:uid="{00000000-0005-0000-0000-0000C5390000}"/>
    <cellStyle name="Note 2 6 5 2 5" xfId="8308" xr:uid="{00000000-0005-0000-0000-0000C6390000}"/>
    <cellStyle name="Note 2 6 5 2 6" xfId="8311" xr:uid="{00000000-0005-0000-0000-0000C7390000}"/>
    <cellStyle name="Note 2 6 5 2 7" xfId="8313" xr:uid="{00000000-0005-0000-0000-0000C8390000}"/>
    <cellStyle name="Note 2 6 5 3" xfId="21290" xr:uid="{00000000-0005-0000-0000-0000C9390000}"/>
    <cellStyle name="Note 2 6 5 3 2" xfId="17787" xr:uid="{00000000-0005-0000-0000-0000CA390000}"/>
    <cellStyle name="Note 2 6 5 3 2 2" xfId="21291" xr:uid="{00000000-0005-0000-0000-0000CB390000}"/>
    <cellStyle name="Note 2 6 5 3 2 2 2" xfId="20745" xr:uid="{00000000-0005-0000-0000-0000CC390000}"/>
    <cellStyle name="Note 2 6 5 3 2 2 3" xfId="11839" xr:uid="{00000000-0005-0000-0000-0000CD390000}"/>
    <cellStyle name="Note 2 6 5 3 2 2 4" xfId="12068" xr:uid="{00000000-0005-0000-0000-0000CE390000}"/>
    <cellStyle name="Note 2 6 5 3 2 3" xfId="21292" xr:uid="{00000000-0005-0000-0000-0000CF390000}"/>
    <cellStyle name="Note 2 6 5 3 2 4" xfId="21293" xr:uid="{00000000-0005-0000-0000-0000D0390000}"/>
    <cellStyle name="Note 2 6 5 3 2 5" xfId="21295" xr:uid="{00000000-0005-0000-0000-0000D1390000}"/>
    <cellStyle name="Note 2 6 5 3 3" xfId="21296" xr:uid="{00000000-0005-0000-0000-0000D2390000}"/>
    <cellStyle name="Note 2 6 5 3 3 2" xfId="21297" xr:uid="{00000000-0005-0000-0000-0000D3390000}"/>
    <cellStyle name="Note 2 6 5 3 3 3" xfId="21300" xr:uid="{00000000-0005-0000-0000-0000D4390000}"/>
    <cellStyle name="Note 2 6 5 3 3 4" xfId="21303" xr:uid="{00000000-0005-0000-0000-0000D5390000}"/>
    <cellStyle name="Note 2 6 5 3 4" xfId="21304" xr:uid="{00000000-0005-0000-0000-0000D6390000}"/>
    <cellStyle name="Note 2 6 5 3 5" xfId="8322" xr:uid="{00000000-0005-0000-0000-0000D7390000}"/>
    <cellStyle name="Note 2 6 5 3 6" xfId="8324" xr:uid="{00000000-0005-0000-0000-0000D8390000}"/>
    <cellStyle name="Note 2 6 5 4" xfId="21305" xr:uid="{00000000-0005-0000-0000-0000D9390000}"/>
    <cellStyle name="Note 2 6 5 4 2" xfId="21306" xr:uid="{00000000-0005-0000-0000-0000DA390000}"/>
    <cellStyle name="Note 2 6 5 4 2 2" xfId="21307" xr:uid="{00000000-0005-0000-0000-0000DB390000}"/>
    <cellStyle name="Note 2 6 5 4 2 3" xfId="21308" xr:uid="{00000000-0005-0000-0000-0000DC390000}"/>
    <cellStyle name="Note 2 6 5 4 2 4" xfId="21310" xr:uid="{00000000-0005-0000-0000-0000DD390000}"/>
    <cellStyle name="Note 2 6 5 4 3" xfId="21311" xr:uid="{00000000-0005-0000-0000-0000DE390000}"/>
    <cellStyle name="Note 2 6 5 4 4" xfId="21312" xr:uid="{00000000-0005-0000-0000-0000DF390000}"/>
    <cellStyle name="Note 2 6 5 4 5" xfId="21313" xr:uid="{00000000-0005-0000-0000-0000E0390000}"/>
    <cellStyle name="Note 2 6 5 5" xfId="19144" xr:uid="{00000000-0005-0000-0000-0000E1390000}"/>
    <cellStyle name="Note 2 6 5 5 2" xfId="19147" xr:uid="{00000000-0005-0000-0000-0000E2390000}"/>
    <cellStyle name="Note 2 6 5 5 3" xfId="19150" xr:uid="{00000000-0005-0000-0000-0000E3390000}"/>
    <cellStyle name="Note 2 6 5 5 4" xfId="19153" xr:uid="{00000000-0005-0000-0000-0000E4390000}"/>
    <cellStyle name="Note 2 6 5 6" xfId="19157" xr:uid="{00000000-0005-0000-0000-0000E5390000}"/>
    <cellStyle name="Note 2 6 5 7" xfId="19162" xr:uid="{00000000-0005-0000-0000-0000E6390000}"/>
    <cellStyle name="Note 2 6 5 8" xfId="19166" xr:uid="{00000000-0005-0000-0000-0000E7390000}"/>
    <cellStyle name="Note 2 6 6" xfId="21314" xr:uid="{00000000-0005-0000-0000-0000E8390000}"/>
    <cellStyle name="Note 2 6 6 2" xfId="21315" xr:uid="{00000000-0005-0000-0000-0000E9390000}"/>
    <cellStyle name="Note 2 6 6 2 2" xfId="17820" xr:uid="{00000000-0005-0000-0000-0000EA390000}"/>
    <cellStyle name="Note 2 6 6 2 2 2" xfId="21316" xr:uid="{00000000-0005-0000-0000-0000EB390000}"/>
    <cellStyle name="Note 2 6 6 2 2 2 2" xfId="3995" xr:uid="{00000000-0005-0000-0000-0000EC390000}"/>
    <cellStyle name="Note 2 6 6 2 2 2 3" xfId="12723" xr:uid="{00000000-0005-0000-0000-0000ED390000}"/>
    <cellStyle name="Note 2 6 6 2 2 2 4" xfId="12730" xr:uid="{00000000-0005-0000-0000-0000EE390000}"/>
    <cellStyle name="Note 2 6 6 2 2 3" xfId="21317" xr:uid="{00000000-0005-0000-0000-0000EF390000}"/>
    <cellStyle name="Note 2 6 6 2 2 4" xfId="21318" xr:uid="{00000000-0005-0000-0000-0000F0390000}"/>
    <cellStyle name="Note 2 6 6 2 2 5" xfId="21319" xr:uid="{00000000-0005-0000-0000-0000F1390000}"/>
    <cellStyle name="Note 2 6 6 2 3" xfId="21320" xr:uid="{00000000-0005-0000-0000-0000F2390000}"/>
    <cellStyle name="Note 2 6 6 2 3 2" xfId="21321" xr:uid="{00000000-0005-0000-0000-0000F3390000}"/>
    <cellStyle name="Note 2 6 6 2 3 3" xfId="21323" xr:uid="{00000000-0005-0000-0000-0000F4390000}"/>
    <cellStyle name="Note 2 6 6 2 3 4" xfId="21325" xr:uid="{00000000-0005-0000-0000-0000F5390000}"/>
    <cellStyle name="Note 2 6 6 2 4" xfId="21326" xr:uid="{00000000-0005-0000-0000-0000F6390000}"/>
    <cellStyle name="Note 2 6 6 2 5" xfId="4857" xr:uid="{00000000-0005-0000-0000-0000F7390000}"/>
    <cellStyle name="Note 2 6 6 2 6" xfId="4864" xr:uid="{00000000-0005-0000-0000-0000F8390000}"/>
    <cellStyle name="Note 2 6 6 3" xfId="21327" xr:uid="{00000000-0005-0000-0000-0000F9390000}"/>
    <cellStyle name="Note 2 6 6 3 2" xfId="21329" xr:uid="{00000000-0005-0000-0000-0000FA390000}"/>
    <cellStyle name="Note 2 6 6 3 2 2" xfId="21331" xr:uid="{00000000-0005-0000-0000-0000FB390000}"/>
    <cellStyle name="Note 2 6 6 3 2 3" xfId="21333" xr:uid="{00000000-0005-0000-0000-0000FC390000}"/>
    <cellStyle name="Note 2 6 6 3 2 4" xfId="21334" xr:uid="{00000000-0005-0000-0000-0000FD390000}"/>
    <cellStyle name="Note 2 6 6 3 3" xfId="21335" xr:uid="{00000000-0005-0000-0000-0000FE390000}"/>
    <cellStyle name="Note 2 6 6 3 4" xfId="21336" xr:uid="{00000000-0005-0000-0000-0000FF390000}"/>
    <cellStyle name="Note 2 6 6 3 5" xfId="21337" xr:uid="{00000000-0005-0000-0000-0000003A0000}"/>
    <cellStyle name="Note 2 6 6 4" xfId="21338" xr:uid="{00000000-0005-0000-0000-0000013A0000}"/>
    <cellStyle name="Note 2 6 6 4 2" xfId="21340" xr:uid="{00000000-0005-0000-0000-0000023A0000}"/>
    <cellStyle name="Note 2 6 6 4 3" xfId="21341" xr:uid="{00000000-0005-0000-0000-0000033A0000}"/>
    <cellStyle name="Note 2 6 6 4 4" xfId="940" xr:uid="{00000000-0005-0000-0000-0000043A0000}"/>
    <cellStyle name="Note 2 6 6 5" xfId="19170" xr:uid="{00000000-0005-0000-0000-0000053A0000}"/>
    <cellStyle name="Note 2 6 6 6" xfId="19176" xr:uid="{00000000-0005-0000-0000-0000063A0000}"/>
    <cellStyle name="Note 2 6 6 7" xfId="19182" xr:uid="{00000000-0005-0000-0000-0000073A0000}"/>
    <cellStyle name="Note 2 6 7" xfId="21342" xr:uid="{00000000-0005-0000-0000-0000083A0000}"/>
    <cellStyle name="Note 2 6 7 2" xfId="21343" xr:uid="{00000000-0005-0000-0000-0000093A0000}"/>
    <cellStyle name="Note 2 6 7 2 2" xfId="21344" xr:uid="{00000000-0005-0000-0000-00000A3A0000}"/>
    <cellStyle name="Note 2 6 7 2 2 2" xfId="21345" xr:uid="{00000000-0005-0000-0000-00000B3A0000}"/>
    <cellStyle name="Note 2 6 7 2 2 3" xfId="21346" xr:uid="{00000000-0005-0000-0000-00000C3A0000}"/>
    <cellStyle name="Note 2 6 7 2 2 4" xfId="21347" xr:uid="{00000000-0005-0000-0000-00000D3A0000}"/>
    <cellStyle name="Note 2 6 7 2 3" xfId="21348" xr:uid="{00000000-0005-0000-0000-00000E3A0000}"/>
    <cellStyle name="Note 2 6 7 2 4" xfId="21349" xr:uid="{00000000-0005-0000-0000-00000F3A0000}"/>
    <cellStyle name="Note 2 6 7 2 5" xfId="13555" xr:uid="{00000000-0005-0000-0000-0000103A0000}"/>
    <cellStyle name="Note 2 6 7 3" xfId="21350" xr:uid="{00000000-0005-0000-0000-0000113A0000}"/>
    <cellStyle name="Note 2 6 7 3 2" xfId="21351" xr:uid="{00000000-0005-0000-0000-0000123A0000}"/>
    <cellStyle name="Note 2 6 7 3 3" xfId="21352" xr:uid="{00000000-0005-0000-0000-0000133A0000}"/>
    <cellStyle name="Note 2 6 7 3 4" xfId="21353" xr:uid="{00000000-0005-0000-0000-0000143A0000}"/>
    <cellStyle name="Note 2 6 7 4" xfId="21354" xr:uid="{00000000-0005-0000-0000-0000153A0000}"/>
    <cellStyle name="Note 2 6 7 5" xfId="19961" xr:uid="{00000000-0005-0000-0000-0000163A0000}"/>
    <cellStyle name="Note 2 6 7 6" xfId="19969" xr:uid="{00000000-0005-0000-0000-0000173A0000}"/>
    <cellStyle name="Note 2 6 8" xfId="21355" xr:uid="{00000000-0005-0000-0000-0000183A0000}"/>
    <cellStyle name="Note 2 6 8 2" xfId="21357" xr:uid="{00000000-0005-0000-0000-0000193A0000}"/>
    <cellStyle name="Note 2 6 8 2 2" xfId="17529" xr:uid="{00000000-0005-0000-0000-00001A3A0000}"/>
    <cellStyle name="Note 2 6 8 2 3" xfId="17534" xr:uid="{00000000-0005-0000-0000-00001B3A0000}"/>
    <cellStyle name="Note 2 6 8 2 4" xfId="17537" xr:uid="{00000000-0005-0000-0000-00001C3A0000}"/>
    <cellStyle name="Note 2 6 8 3" xfId="3926" xr:uid="{00000000-0005-0000-0000-00001D3A0000}"/>
    <cellStyle name="Note 2 6 8 4" xfId="12804" xr:uid="{00000000-0005-0000-0000-00001E3A0000}"/>
    <cellStyle name="Note 2 6 8 5" xfId="12818" xr:uid="{00000000-0005-0000-0000-00001F3A0000}"/>
    <cellStyle name="Note 2 6 9" xfId="21358" xr:uid="{00000000-0005-0000-0000-0000203A0000}"/>
    <cellStyle name="Note 2 6 9 2" xfId="21359" xr:uid="{00000000-0005-0000-0000-0000213A0000}"/>
    <cellStyle name="Note 2 6 9 3" xfId="21360" xr:uid="{00000000-0005-0000-0000-0000223A0000}"/>
    <cellStyle name="Note 2 6 9 4" xfId="21361" xr:uid="{00000000-0005-0000-0000-0000233A0000}"/>
    <cellStyle name="Note 2 7" xfId="21362" xr:uid="{00000000-0005-0000-0000-0000243A0000}"/>
    <cellStyle name="Note 2 7 10" xfId="7672" xr:uid="{00000000-0005-0000-0000-0000253A0000}"/>
    <cellStyle name="Note 2 7 11" xfId="7678" xr:uid="{00000000-0005-0000-0000-0000263A0000}"/>
    <cellStyle name="Note 2 7 12" xfId="7685" xr:uid="{00000000-0005-0000-0000-0000273A0000}"/>
    <cellStyle name="Note 2 7 13" xfId="7687" xr:uid="{00000000-0005-0000-0000-0000283A0000}"/>
    <cellStyle name="Note 2 7 2" xfId="21363" xr:uid="{00000000-0005-0000-0000-0000293A0000}"/>
    <cellStyle name="Note 2 7 2 10" xfId="2703" xr:uid="{00000000-0005-0000-0000-00002A3A0000}"/>
    <cellStyle name="Note 2 7 2 11" xfId="2717" xr:uid="{00000000-0005-0000-0000-00002B3A0000}"/>
    <cellStyle name="Note 2 7 2 12" xfId="2742" xr:uid="{00000000-0005-0000-0000-00002C3A0000}"/>
    <cellStyle name="Note 2 7 2 2" xfId="21364" xr:uid="{00000000-0005-0000-0000-00002D3A0000}"/>
    <cellStyle name="Note 2 7 2 2 2" xfId="13421" xr:uid="{00000000-0005-0000-0000-00002E3A0000}"/>
    <cellStyle name="Note 2 7 2 2 2 2" xfId="15550" xr:uid="{00000000-0005-0000-0000-00002F3A0000}"/>
    <cellStyle name="Note 2 7 2 2 2 2 2" xfId="15553" xr:uid="{00000000-0005-0000-0000-0000303A0000}"/>
    <cellStyle name="Note 2 7 2 2 2 2 2 2" xfId="3810" xr:uid="{00000000-0005-0000-0000-0000313A0000}"/>
    <cellStyle name="Note 2 7 2 2 2 2 2 2 2" xfId="17702" xr:uid="{00000000-0005-0000-0000-0000323A0000}"/>
    <cellStyle name="Note 2 7 2 2 2 2 2 2 2 2" xfId="8673" xr:uid="{00000000-0005-0000-0000-0000333A0000}"/>
    <cellStyle name="Note 2 7 2 2 2 2 2 2 2 3" xfId="8729" xr:uid="{00000000-0005-0000-0000-0000343A0000}"/>
    <cellStyle name="Note 2 7 2 2 2 2 2 2 2 4" xfId="8734" xr:uid="{00000000-0005-0000-0000-0000353A0000}"/>
    <cellStyle name="Note 2 7 2 2 2 2 2 2 3" xfId="17704" xr:uid="{00000000-0005-0000-0000-0000363A0000}"/>
    <cellStyle name="Note 2 7 2 2 2 2 2 2 4" xfId="17708" xr:uid="{00000000-0005-0000-0000-0000373A0000}"/>
    <cellStyle name="Note 2 7 2 2 2 2 2 2 5" xfId="17710" xr:uid="{00000000-0005-0000-0000-0000383A0000}"/>
    <cellStyle name="Note 2 7 2 2 2 2 2 3" xfId="13300" xr:uid="{00000000-0005-0000-0000-0000393A0000}"/>
    <cellStyle name="Note 2 7 2 2 2 2 2 3 2" xfId="13030" xr:uid="{00000000-0005-0000-0000-00003A3A0000}"/>
    <cellStyle name="Note 2 7 2 2 2 2 2 3 3" xfId="13034" xr:uid="{00000000-0005-0000-0000-00003B3A0000}"/>
    <cellStyle name="Note 2 7 2 2 2 2 2 3 4" xfId="13304" xr:uid="{00000000-0005-0000-0000-00003C3A0000}"/>
    <cellStyle name="Note 2 7 2 2 2 2 2 4" xfId="13310" xr:uid="{00000000-0005-0000-0000-00003D3A0000}"/>
    <cellStyle name="Note 2 7 2 2 2 2 2 5" xfId="13315" xr:uid="{00000000-0005-0000-0000-00003E3A0000}"/>
    <cellStyle name="Note 2 7 2 2 2 2 2 6" xfId="13321" xr:uid="{00000000-0005-0000-0000-00003F3A0000}"/>
    <cellStyle name="Note 2 7 2 2 2 2 3" xfId="15557" xr:uid="{00000000-0005-0000-0000-0000403A0000}"/>
    <cellStyle name="Note 2 7 2 2 2 2 3 2" xfId="17727" xr:uid="{00000000-0005-0000-0000-0000413A0000}"/>
    <cellStyle name="Note 2 7 2 2 2 2 3 2 2" xfId="17733" xr:uid="{00000000-0005-0000-0000-0000423A0000}"/>
    <cellStyle name="Note 2 7 2 2 2 2 3 2 3" xfId="17736" xr:uid="{00000000-0005-0000-0000-0000433A0000}"/>
    <cellStyle name="Note 2 7 2 2 2 2 3 2 4" xfId="17739" xr:uid="{00000000-0005-0000-0000-0000443A0000}"/>
    <cellStyle name="Note 2 7 2 2 2 2 3 3" xfId="13323" xr:uid="{00000000-0005-0000-0000-0000453A0000}"/>
    <cellStyle name="Note 2 7 2 2 2 2 3 4" xfId="13326" xr:uid="{00000000-0005-0000-0000-0000463A0000}"/>
    <cellStyle name="Note 2 7 2 2 2 2 3 5" xfId="13330" xr:uid="{00000000-0005-0000-0000-0000473A0000}"/>
    <cellStyle name="Note 2 7 2 2 2 2 4" xfId="15562" xr:uid="{00000000-0005-0000-0000-0000483A0000}"/>
    <cellStyle name="Note 2 7 2 2 2 2 4 2" xfId="17752" xr:uid="{00000000-0005-0000-0000-0000493A0000}"/>
    <cellStyle name="Note 2 7 2 2 2 2 4 3" xfId="14280" xr:uid="{00000000-0005-0000-0000-00004A3A0000}"/>
    <cellStyle name="Note 2 7 2 2 2 2 4 4" xfId="14284" xr:uid="{00000000-0005-0000-0000-00004B3A0000}"/>
    <cellStyle name="Note 2 7 2 2 2 2 5" xfId="985" xr:uid="{00000000-0005-0000-0000-00004C3A0000}"/>
    <cellStyle name="Note 2 7 2 2 2 2 6" xfId="1875" xr:uid="{00000000-0005-0000-0000-00004D3A0000}"/>
    <cellStyle name="Note 2 7 2 2 2 2 7" xfId="132" xr:uid="{00000000-0005-0000-0000-00004E3A0000}"/>
    <cellStyle name="Note 2 7 2 2 2 3" xfId="15564" xr:uid="{00000000-0005-0000-0000-00004F3A0000}"/>
    <cellStyle name="Note 2 7 2 2 2 3 2" xfId="21367" xr:uid="{00000000-0005-0000-0000-0000503A0000}"/>
    <cellStyle name="Note 2 7 2 2 2 3 2 2" xfId="17824" xr:uid="{00000000-0005-0000-0000-0000513A0000}"/>
    <cellStyle name="Note 2 7 2 2 2 3 2 2 2" xfId="6275" xr:uid="{00000000-0005-0000-0000-0000523A0000}"/>
    <cellStyle name="Note 2 7 2 2 2 3 2 2 3" xfId="1885" xr:uid="{00000000-0005-0000-0000-0000533A0000}"/>
    <cellStyle name="Note 2 7 2 2 2 3 2 2 4" xfId="17832" xr:uid="{00000000-0005-0000-0000-0000543A0000}"/>
    <cellStyle name="Note 2 7 2 2 2 3 2 3" xfId="13343" xr:uid="{00000000-0005-0000-0000-0000553A0000}"/>
    <cellStyle name="Note 2 7 2 2 2 3 2 4" xfId="13354" xr:uid="{00000000-0005-0000-0000-0000563A0000}"/>
    <cellStyle name="Note 2 7 2 2 2 3 2 5" xfId="13360" xr:uid="{00000000-0005-0000-0000-0000573A0000}"/>
    <cellStyle name="Note 2 7 2 2 2 3 3" xfId="21370" xr:uid="{00000000-0005-0000-0000-0000583A0000}"/>
    <cellStyle name="Note 2 7 2 2 2 3 3 2" xfId="17842" xr:uid="{00000000-0005-0000-0000-0000593A0000}"/>
    <cellStyle name="Note 2 7 2 2 2 3 3 3" xfId="17847" xr:uid="{00000000-0005-0000-0000-00005A3A0000}"/>
    <cellStyle name="Note 2 7 2 2 2 3 3 4" xfId="17851" xr:uid="{00000000-0005-0000-0000-00005B3A0000}"/>
    <cellStyle name="Note 2 7 2 2 2 3 4" xfId="21374" xr:uid="{00000000-0005-0000-0000-00005C3A0000}"/>
    <cellStyle name="Note 2 7 2 2 2 3 5" xfId="21378" xr:uid="{00000000-0005-0000-0000-00005D3A0000}"/>
    <cellStyle name="Note 2 7 2 2 2 3 6" xfId="19083" xr:uid="{00000000-0005-0000-0000-00005E3A0000}"/>
    <cellStyle name="Note 2 7 2 2 2 4" xfId="15566" xr:uid="{00000000-0005-0000-0000-00005F3A0000}"/>
    <cellStyle name="Note 2 7 2 2 2 4 2" xfId="21381" xr:uid="{00000000-0005-0000-0000-0000603A0000}"/>
    <cellStyle name="Note 2 7 2 2 2 4 2 2" xfId="14900" xr:uid="{00000000-0005-0000-0000-0000613A0000}"/>
    <cellStyle name="Note 2 7 2 2 2 4 2 3" xfId="14906" xr:uid="{00000000-0005-0000-0000-0000623A0000}"/>
    <cellStyle name="Note 2 7 2 2 2 4 2 4" xfId="17861" xr:uid="{00000000-0005-0000-0000-0000633A0000}"/>
    <cellStyle name="Note 2 7 2 2 2 4 3" xfId="21384" xr:uid="{00000000-0005-0000-0000-0000643A0000}"/>
    <cellStyle name="Note 2 7 2 2 2 4 4" xfId="21388" xr:uid="{00000000-0005-0000-0000-0000653A0000}"/>
    <cellStyle name="Note 2 7 2 2 2 4 5" xfId="7394" xr:uid="{00000000-0005-0000-0000-0000663A0000}"/>
    <cellStyle name="Note 2 7 2 2 2 5" xfId="15568" xr:uid="{00000000-0005-0000-0000-0000673A0000}"/>
    <cellStyle name="Note 2 7 2 2 2 5 2" xfId="21391" xr:uid="{00000000-0005-0000-0000-0000683A0000}"/>
    <cellStyle name="Note 2 7 2 2 2 5 3" xfId="14043" xr:uid="{00000000-0005-0000-0000-0000693A0000}"/>
    <cellStyle name="Note 2 7 2 2 2 5 4" xfId="14047" xr:uid="{00000000-0005-0000-0000-00006A3A0000}"/>
    <cellStyle name="Note 2 7 2 2 2 6" xfId="5245" xr:uid="{00000000-0005-0000-0000-00006B3A0000}"/>
    <cellStyle name="Note 2 7 2 2 2 7" xfId="5133" xr:uid="{00000000-0005-0000-0000-00006C3A0000}"/>
    <cellStyle name="Note 2 7 2 2 2 8" xfId="5214" xr:uid="{00000000-0005-0000-0000-00006D3A0000}"/>
    <cellStyle name="Note 2 7 2 2 3" xfId="9650" xr:uid="{00000000-0005-0000-0000-00006E3A0000}"/>
    <cellStyle name="Note 2 7 2 2 3 2" xfId="9657" xr:uid="{00000000-0005-0000-0000-00006F3A0000}"/>
    <cellStyle name="Note 2 7 2 2 3 2 2" xfId="13205" xr:uid="{00000000-0005-0000-0000-0000703A0000}"/>
    <cellStyle name="Note 2 7 2 2 3 2 2 2" xfId="1922" xr:uid="{00000000-0005-0000-0000-0000713A0000}"/>
    <cellStyle name="Note 2 7 2 2 3 2 2 2 2" xfId="21392" xr:uid="{00000000-0005-0000-0000-0000723A0000}"/>
    <cellStyle name="Note 2 7 2 2 3 2 2 2 3" xfId="21393" xr:uid="{00000000-0005-0000-0000-0000733A0000}"/>
    <cellStyle name="Note 2 7 2 2 3 2 2 2 4" xfId="21394" xr:uid="{00000000-0005-0000-0000-0000743A0000}"/>
    <cellStyle name="Note 2 7 2 2 3 2 2 3" xfId="13392" xr:uid="{00000000-0005-0000-0000-0000753A0000}"/>
    <cellStyle name="Note 2 7 2 2 3 2 2 4" xfId="13394" xr:uid="{00000000-0005-0000-0000-0000763A0000}"/>
    <cellStyle name="Note 2 7 2 2 3 2 2 5" xfId="13397" xr:uid="{00000000-0005-0000-0000-0000773A0000}"/>
    <cellStyle name="Note 2 7 2 2 3 2 3" xfId="13210" xr:uid="{00000000-0005-0000-0000-0000783A0000}"/>
    <cellStyle name="Note 2 7 2 2 3 2 3 2" xfId="21395" xr:uid="{00000000-0005-0000-0000-0000793A0000}"/>
    <cellStyle name="Note 2 7 2 2 3 2 3 3" xfId="21396" xr:uid="{00000000-0005-0000-0000-00007A3A0000}"/>
    <cellStyle name="Note 2 7 2 2 3 2 3 4" xfId="21397" xr:uid="{00000000-0005-0000-0000-00007B3A0000}"/>
    <cellStyle name="Note 2 7 2 2 3 2 4" xfId="13215" xr:uid="{00000000-0005-0000-0000-00007C3A0000}"/>
    <cellStyle name="Note 2 7 2 2 3 2 5" xfId="17094" xr:uid="{00000000-0005-0000-0000-00007D3A0000}"/>
    <cellStyle name="Note 2 7 2 2 3 2 6" xfId="17113" xr:uid="{00000000-0005-0000-0000-00007E3A0000}"/>
    <cellStyle name="Note 2 7 2 2 3 3" xfId="9663" xr:uid="{00000000-0005-0000-0000-00007F3A0000}"/>
    <cellStyle name="Note 2 7 2 2 3 3 2" xfId="13229" xr:uid="{00000000-0005-0000-0000-0000803A0000}"/>
    <cellStyle name="Note 2 7 2 2 3 3 2 2" xfId="21203" xr:uid="{00000000-0005-0000-0000-0000813A0000}"/>
    <cellStyle name="Note 2 7 2 2 3 3 2 3" xfId="21209" xr:uid="{00000000-0005-0000-0000-0000823A0000}"/>
    <cellStyle name="Note 2 7 2 2 3 3 2 4" xfId="21400" xr:uid="{00000000-0005-0000-0000-0000833A0000}"/>
    <cellStyle name="Note 2 7 2 2 3 3 3" xfId="13233" xr:uid="{00000000-0005-0000-0000-0000843A0000}"/>
    <cellStyle name="Note 2 7 2 2 3 3 4" xfId="21403" xr:uid="{00000000-0005-0000-0000-0000853A0000}"/>
    <cellStyle name="Note 2 7 2 2 3 3 5" xfId="17142" xr:uid="{00000000-0005-0000-0000-0000863A0000}"/>
    <cellStyle name="Note 2 7 2 2 3 4" xfId="9669" xr:uid="{00000000-0005-0000-0000-0000873A0000}"/>
    <cellStyle name="Note 2 7 2 2 3 4 2" xfId="21406" xr:uid="{00000000-0005-0000-0000-0000883A0000}"/>
    <cellStyle name="Note 2 7 2 2 3 4 3" xfId="21409" xr:uid="{00000000-0005-0000-0000-0000893A0000}"/>
    <cellStyle name="Note 2 7 2 2 3 4 4" xfId="21412" xr:uid="{00000000-0005-0000-0000-00008A3A0000}"/>
    <cellStyle name="Note 2 7 2 2 3 5" xfId="16377" xr:uid="{00000000-0005-0000-0000-00008B3A0000}"/>
    <cellStyle name="Note 2 7 2 2 3 6" xfId="5272" xr:uid="{00000000-0005-0000-0000-00008C3A0000}"/>
    <cellStyle name="Note 2 7 2 2 3 7" xfId="5275" xr:uid="{00000000-0005-0000-0000-00008D3A0000}"/>
    <cellStyle name="Note 2 7 2 2 4" xfId="9675" xr:uid="{00000000-0005-0000-0000-00008E3A0000}"/>
    <cellStyle name="Note 2 7 2 2 4 2" xfId="16379" xr:uid="{00000000-0005-0000-0000-00008F3A0000}"/>
    <cellStyle name="Note 2 7 2 2 4 2 2" xfId="805" xr:uid="{00000000-0005-0000-0000-0000903A0000}"/>
    <cellStyle name="Note 2 7 2 2 4 2 2 2" xfId="7593" xr:uid="{00000000-0005-0000-0000-0000913A0000}"/>
    <cellStyle name="Note 2 7 2 2 4 2 2 3" xfId="21413" xr:uid="{00000000-0005-0000-0000-0000923A0000}"/>
    <cellStyle name="Note 2 7 2 2 4 2 2 4" xfId="9444" xr:uid="{00000000-0005-0000-0000-0000933A0000}"/>
    <cellStyle name="Note 2 7 2 2 4 2 3" xfId="818" xr:uid="{00000000-0005-0000-0000-0000943A0000}"/>
    <cellStyle name="Note 2 7 2 2 4 2 4" xfId="1985" xr:uid="{00000000-0005-0000-0000-0000953A0000}"/>
    <cellStyle name="Note 2 7 2 2 4 2 5" xfId="17165" xr:uid="{00000000-0005-0000-0000-0000963A0000}"/>
    <cellStyle name="Note 2 7 2 2 4 3" xfId="16381" xr:uid="{00000000-0005-0000-0000-0000973A0000}"/>
    <cellStyle name="Note 2 7 2 2 4 3 2" xfId="3214" xr:uid="{00000000-0005-0000-0000-0000983A0000}"/>
    <cellStyle name="Note 2 7 2 2 4 3 3" xfId="13429" xr:uid="{00000000-0005-0000-0000-0000993A0000}"/>
    <cellStyle name="Note 2 7 2 2 4 3 4" xfId="17409" xr:uid="{00000000-0005-0000-0000-00009A3A0000}"/>
    <cellStyle name="Note 2 7 2 2 4 4" xfId="16383" xr:uid="{00000000-0005-0000-0000-00009B3A0000}"/>
    <cellStyle name="Note 2 7 2 2 4 5" xfId="21414" xr:uid="{00000000-0005-0000-0000-00009C3A0000}"/>
    <cellStyle name="Note 2 7 2 2 4 6" xfId="7298" xr:uid="{00000000-0005-0000-0000-00009D3A0000}"/>
    <cellStyle name="Note 2 7 2 2 5" xfId="9190" xr:uid="{00000000-0005-0000-0000-00009E3A0000}"/>
    <cellStyle name="Note 2 7 2 2 5 2" xfId="9195" xr:uid="{00000000-0005-0000-0000-00009F3A0000}"/>
    <cellStyle name="Note 2 7 2 2 5 2 2" xfId="4785" xr:uid="{00000000-0005-0000-0000-0000A03A0000}"/>
    <cellStyle name="Note 2 7 2 2 5 2 3" xfId="9203" xr:uid="{00000000-0005-0000-0000-0000A13A0000}"/>
    <cellStyle name="Note 2 7 2 2 5 2 4" xfId="2127" xr:uid="{00000000-0005-0000-0000-0000A23A0000}"/>
    <cellStyle name="Note 2 7 2 2 5 3" xfId="9212" xr:uid="{00000000-0005-0000-0000-0000A33A0000}"/>
    <cellStyle name="Note 2 7 2 2 5 4" xfId="9235" xr:uid="{00000000-0005-0000-0000-0000A43A0000}"/>
    <cellStyle name="Note 2 7 2 2 5 5" xfId="9096" xr:uid="{00000000-0005-0000-0000-0000A53A0000}"/>
    <cellStyle name="Note 2 7 2 2 6" xfId="9254" xr:uid="{00000000-0005-0000-0000-0000A63A0000}"/>
    <cellStyle name="Note 2 7 2 2 6 2" xfId="9258" xr:uid="{00000000-0005-0000-0000-0000A73A0000}"/>
    <cellStyle name="Note 2 7 2 2 6 3" xfId="9272" xr:uid="{00000000-0005-0000-0000-0000A83A0000}"/>
    <cellStyle name="Note 2 7 2 2 6 4" xfId="9295" xr:uid="{00000000-0005-0000-0000-0000A93A0000}"/>
    <cellStyle name="Note 2 7 2 2 7" xfId="9301" xr:uid="{00000000-0005-0000-0000-0000AA3A0000}"/>
    <cellStyle name="Note 2 7 2 2 8" xfId="9327" xr:uid="{00000000-0005-0000-0000-0000AB3A0000}"/>
    <cellStyle name="Note 2 7 2 2 9" xfId="9342" xr:uid="{00000000-0005-0000-0000-0000AC3A0000}"/>
    <cellStyle name="Note 2 7 2 3" xfId="21415" xr:uid="{00000000-0005-0000-0000-0000AD3A0000}"/>
    <cellStyle name="Note 2 7 2 3 2" xfId="14793" xr:uid="{00000000-0005-0000-0000-0000AE3A0000}"/>
    <cellStyle name="Note 2 7 2 3 2 2" xfId="15576" xr:uid="{00000000-0005-0000-0000-0000AF3A0000}"/>
    <cellStyle name="Note 2 7 2 3 2 2 2" xfId="15394" xr:uid="{00000000-0005-0000-0000-0000B03A0000}"/>
    <cellStyle name="Note 2 7 2 3 2 2 2 2" xfId="20898" xr:uid="{00000000-0005-0000-0000-0000B13A0000}"/>
    <cellStyle name="Note 2 7 2 3 2 2 2 2 2" xfId="21416" xr:uid="{00000000-0005-0000-0000-0000B23A0000}"/>
    <cellStyle name="Note 2 7 2 3 2 2 2 2 2 2" xfId="9933" xr:uid="{00000000-0005-0000-0000-0000B33A0000}"/>
    <cellStyle name="Note 2 7 2 3 2 2 2 2 2 3" xfId="9936" xr:uid="{00000000-0005-0000-0000-0000B43A0000}"/>
    <cellStyle name="Note 2 7 2 3 2 2 2 2 2 4" xfId="9940" xr:uid="{00000000-0005-0000-0000-0000B53A0000}"/>
    <cellStyle name="Note 2 7 2 3 2 2 2 2 3" xfId="20295" xr:uid="{00000000-0005-0000-0000-0000B63A0000}"/>
    <cellStyle name="Note 2 7 2 3 2 2 2 2 4" xfId="20298" xr:uid="{00000000-0005-0000-0000-0000B73A0000}"/>
    <cellStyle name="Note 2 7 2 3 2 2 2 2 5" xfId="20302" xr:uid="{00000000-0005-0000-0000-0000B83A0000}"/>
    <cellStyle name="Note 2 7 2 3 2 2 2 3" xfId="13451" xr:uid="{00000000-0005-0000-0000-0000B93A0000}"/>
    <cellStyle name="Note 2 7 2 3 2 2 2 3 2" xfId="1432" xr:uid="{00000000-0005-0000-0000-0000BA3A0000}"/>
    <cellStyle name="Note 2 7 2 3 2 2 2 3 3" xfId="1459" xr:uid="{00000000-0005-0000-0000-0000BB3A0000}"/>
    <cellStyle name="Note 2 7 2 3 2 2 2 3 4" xfId="699" xr:uid="{00000000-0005-0000-0000-0000BC3A0000}"/>
    <cellStyle name="Note 2 7 2 3 2 2 2 4" xfId="13455" xr:uid="{00000000-0005-0000-0000-0000BD3A0000}"/>
    <cellStyle name="Note 2 7 2 3 2 2 2 5" xfId="13458" xr:uid="{00000000-0005-0000-0000-0000BE3A0000}"/>
    <cellStyle name="Note 2 7 2 3 2 2 2 6" xfId="21417" xr:uid="{00000000-0005-0000-0000-0000BF3A0000}"/>
    <cellStyle name="Note 2 7 2 3 2 2 3" xfId="20900" xr:uid="{00000000-0005-0000-0000-0000C03A0000}"/>
    <cellStyle name="Note 2 7 2 3 2 2 3 2" xfId="21419" xr:uid="{00000000-0005-0000-0000-0000C13A0000}"/>
    <cellStyle name="Note 2 7 2 3 2 2 3 2 2" xfId="21422" xr:uid="{00000000-0005-0000-0000-0000C23A0000}"/>
    <cellStyle name="Note 2 7 2 3 2 2 3 2 3" xfId="20317" xr:uid="{00000000-0005-0000-0000-0000C33A0000}"/>
    <cellStyle name="Note 2 7 2 3 2 2 3 2 4" xfId="20320" xr:uid="{00000000-0005-0000-0000-0000C43A0000}"/>
    <cellStyle name="Note 2 7 2 3 2 2 3 3" xfId="21424" xr:uid="{00000000-0005-0000-0000-0000C53A0000}"/>
    <cellStyle name="Note 2 7 2 3 2 2 3 4" xfId="21425" xr:uid="{00000000-0005-0000-0000-0000C63A0000}"/>
    <cellStyle name="Note 2 7 2 3 2 2 3 5" xfId="17606" xr:uid="{00000000-0005-0000-0000-0000C73A0000}"/>
    <cellStyle name="Note 2 7 2 3 2 2 4" xfId="20904" xr:uid="{00000000-0005-0000-0000-0000C83A0000}"/>
    <cellStyle name="Note 2 7 2 3 2 2 4 2" xfId="17256" xr:uid="{00000000-0005-0000-0000-0000C93A0000}"/>
    <cellStyle name="Note 2 7 2 3 2 2 4 3" xfId="17261" xr:uid="{00000000-0005-0000-0000-0000CA3A0000}"/>
    <cellStyle name="Note 2 7 2 3 2 2 4 4" xfId="17263" xr:uid="{00000000-0005-0000-0000-0000CB3A0000}"/>
    <cellStyle name="Note 2 7 2 3 2 2 5" xfId="20907" xr:uid="{00000000-0005-0000-0000-0000CC3A0000}"/>
    <cellStyle name="Note 2 7 2 3 2 2 6" xfId="19755" xr:uid="{00000000-0005-0000-0000-0000CD3A0000}"/>
    <cellStyle name="Note 2 7 2 3 2 2 7" xfId="19757" xr:uid="{00000000-0005-0000-0000-0000CE3A0000}"/>
    <cellStyle name="Note 2 7 2 3 2 3" xfId="15578" xr:uid="{00000000-0005-0000-0000-0000CF3A0000}"/>
    <cellStyle name="Note 2 7 2 3 2 3 2" xfId="20919" xr:uid="{00000000-0005-0000-0000-0000D03A0000}"/>
    <cellStyle name="Note 2 7 2 3 2 3 2 2" xfId="21429" xr:uid="{00000000-0005-0000-0000-0000D13A0000}"/>
    <cellStyle name="Note 2 7 2 3 2 3 2 2 2" xfId="17707" xr:uid="{00000000-0005-0000-0000-0000D23A0000}"/>
    <cellStyle name="Note 2 7 2 3 2 3 2 2 3" xfId="17713" xr:uid="{00000000-0005-0000-0000-0000D33A0000}"/>
    <cellStyle name="Note 2 7 2 3 2 3 2 2 4" xfId="20819" xr:uid="{00000000-0005-0000-0000-0000D43A0000}"/>
    <cellStyle name="Note 2 7 2 3 2 3 2 3" xfId="21433" xr:uid="{00000000-0005-0000-0000-0000D53A0000}"/>
    <cellStyle name="Note 2 7 2 3 2 3 2 4" xfId="21437" xr:uid="{00000000-0005-0000-0000-0000D63A0000}"/>
    <cellStyle name="Note 2 7 2 3 2 3 2 5" xfId="21438" xr:uid="{00000000-0005-0000-0000-0000D73A0000}"/>
    <cellStyle name="Note 2 7 2 3 2 3 3" xfId="20923" xr:uid="{00000000-0005-0000-0000-0000D83A0000}"/>
    <cellStyle name="Note 2 7 2 3 2 3 3 2" xfId="21440" xr:uid="{00000000-0005-0000-0000-0000D93A0000}"/>
    <cellStyle name="Note 2 7 2 3 2 3 3 3" xfId="21442" xr:uid="{00000000-0005-0000-0000-0000DA3A0000}"/>
    <cellStyle name="Note 2 7 2 3 2 3 3 4" xfId="21443" xr:uid="{00000000-0005-0000-0000-0000DB3A0000}"/>
    <cellStyle name="Note 2 7 2 3 2 3 4" xfId="20927" xr:uid="{00000000-0005-0000-0000-0000DC3A0000}"/>
    <cellStyle name="Note 2 7 2 3 2 3 5" xfId="21446" xr:uid="{00000000-0005-0000-0000-0000DD3A0000}"/>
    <cellStyle name="Note 2 7 2 3 2 3 6" xfId="19762" xr:uid="{00000000-0005-0000-0000-0000DE3A0000}"/>
    <cellStyle name="Note 2 7 2 3 2 4" xfId="15580" xr:uid="{00000000-0005-0000-0000-0000DF3A0000}"/>
    <cellStyle name="Note 2 7 2 3 2 4 2" xfId="20935" xr:uid="{00000000-0005-0000-0000-0000E03A0000}"/>
    <cellStyle name="Note 2 7 2 3 2 4 2 2" xfId="15524" xr:uid="{00000000-0005-0000-0000-0000E13A0000}"/>
    <cellStyle name="Note 2 7 2 3 2 4 2 3" xfId="15527" xr:uid="{00000000-0005-0000-0000-0000E23A0000}"/>
    <cellStyle name="Note 2 7 2 3 2 4 2 4" xfId="21448" xr:uid="{00000000-0005-0000-0000-0000E33A0000}"/>
    <cellStyle name="Note 2 7 2 3 2 4 3" xfId="20940" xr:uid="{00000000-0005-0000-0000-0000E43A0000}"/>
    <cellStyle name="Note 2 7 2 3 2 4 4" xfId="21452" xr:uid="{00000000-0005-0000-0000-0000E53A0000}"/>
    <cellStyle name="Note 2 7 2 3 2 4 5" xfId="21453" xr:uid="{00000000-0005-0000-0000-0000E63A0000}"/>
    <cellStyle name="Note 2 7 2 3 2 5" xfId="21454" xr:uid="{00000000-0005-0000-0000-0000E73A0000}"/>
    <cellStyle name="Note 2 7 2 3 2 5 2" xfId="20947" xr:uid="{00000000-0005-0000-0000-0000E83A0000}"/>
    <cellStyle name="Note 2 7 2 3 2 5 3" xfId="21457" xr:uid="{00000000-0005-0000-0000-0000E93A0000}"/>
    <cellStyle name="Note 2 7 2 3 2 5 4" xfId="21458" xr:uid="{00000000-0005-0000-0000-0000EA3A0000}"/>
    <cellStyle name="Note 2 7 2 3 2 6" xfId="3796" xr:uid="{00000000-0005-0000-0000-0000EB3A0000}"/>
    <cellStyle name="Note 2 7 2 3 2 7" xfId="4261" xr:uid="{00000000-0005-0000-0000-0000EC3A0000}"/>
    <cellStyle name="Note 2 7 2 3 2 8" xfId="5141" xr:uid="{00000000-0005-0000-0000-0000ED3A0000}"/>
    <cellStyle name="Note 2 7 2 3 3" xfId="9683" xr:uid="{00000000-0005-0000-0000-0000EE3A0000}"/>
    <cellStyle name="Note 2 7 2 3 3 2" xfId="10935" xr:uid="{00000000-0005-0000-0000-0000EF3A0000}"/>
    <cellStyle name="Note 2 7 2 3 3 2 2" xfId="10945" xr:uid="{00000000-0005-0000-0000-0000F03A0000}"/>
    <cellStyle name="Note 2 7 2 3 3 2 2 2" xfId="21459" xr:uid="{00000000-0005-0000-0000-0000F13A0000}"/>
    <cellStyle name="Note 2 7 2 3 3 2 2 2 2" xfId="21460" xr:uid="{00000000-0005-0000-0000-0000F23A0000}"/>
    <cellStyle name="Note 2 7 2 3 3 2 2 2 3" xfId="21462" xr:uid="{00000000-0005-0000-0000-0000F33A0000}"/>
    <cellStyle name="Note 2 7 2 3 3 2 2 2 4" xfId="21464" xr:uid="{00000000-0005-0000-0000-0000F43A0000}"/>
    <cellStyle name="Note 2 7 2 3 3 2 2 3" xfId="21465" xr:uid="{00000000-0005-0000-0000-0000F53A0000}"/>
    <cellStyle name="Note 2 7 2 3 3 2 2 4" xfId="21466" xr:uid="{00000000-0005-0000-0000-0000F63A0000}"/>
    <cellStyle name="Note 2 7 2 3 3 2 2 5" xfId="21467" xr:uid="{00000000-0005-0000-0000-0000F73A0000}"/>
    <cellStyle name="Note 2 7 2 3 3 2 3" xfId="10951" xr:uid="{00000000-0005-0000-0000-0000F83A0000}"/>
    <cellStyle name="Note 2 7 2 3 3 2 3 2" xfId="21468" xr:uid="{00000000-0005-0000-0000-0000F93A0000}"/>
    <cellStyle name="Note 2 7 2 3 3 2 3 3" xfId="21469" xr:uid="{00000000-0005-0000-0000-0000FA3A0000}"/>
    <cellStyle name="Note 2 7 2 3 3 2 3 4" xfId="21470" xr:uid="{00000000-0005-0000-0000-0000FB3A0000}"/>
    <cellStyle name="Note 2 7 2 3 3 2 4" xfId="10956" xr:uid="{00000000-0005-0000-0000-0000FC3A0000}"/>
    <cellStyle name="Note 2 7 2 3 3 2 5" xfId="17208" xr:uid="{00000000-0005-0000-0000-0000FD3A0000}"/>
    <cellStyle name="Note 2 7 2 3 3 2 6" xfId="17215" xr:uid="{00000000-0005-0000-0000-0000FE3A0000}"/>
    <cellStyle name="Note 2 7 2 3 3 3" xfId="10962" xr:uid="{00000000-0005-0000-0000-0000FF3A0000}"/>
    <cellStyle name="Note 2 7 2 3 3 3 2" xfId="16295" xr:uid="{00000000-0005-0000-0000-0000003B0000}"/>
    <cellStyle name="Note 2 7 2 3 3 3 2 2" xfId="21272" xr:uid="{00000000-0005-0000-0000-0000013B0000}"/>
    <cellStyle name="Note 2 7 2 3 3 3 2 3" xfId="21471" xr:uid="{00000000-0005-0000-0000-0000023B0000}"/>
    <cellStyle name="Note 2 7 2 3 3 3 2 4" xfId="21472" xr:uid="{00000000-0005-0000-0000-0000033B0000}"/>
    <cellStyle name="Note 2 7 2 3 3 3 3" xfId="20965" xr:uid="{00000000-0005-0000-0000-0000043B0000}"/>
    <cellStyle name="Note 2 7 2 3 3 3 4" xfId="21475" xr:uid="{00000000-0005-0000-0000-0000053B0000}"/>
    <cellStyle name="Note 2 7 2 3 3 3 5" xfId="17226" xr:uid="{00000000-0005-0000-0000-0000063B0000}"/>
    <cellStyle name="Note 2 7 2 3 3 4" xfId="10968" xr:uid="{00000000-0005-0000-0000-0000073B0000}"/>
    <cellStyle name="Note 2 7 2 3 3 4 2" xfId="20972" xr:uid="{00000000-0005-0000-0000-0000083B0000}"/>
    <cellStyle name="Note 2 7 2 3 3 4 3" xfId="21478" xr:uid="{00000000-0005-0000-0000-0000093B0000}"/>
    <cellStyle name="Note 2 7 2 3 3 4 4" xfId="21479" xr:uid="{00000000-0005-0000-0000-00000A3B0000}"/>
    <cellStyle name="Note 2 7 2 3 3 5" xfId="10975" xr:uid="{00000000-0005-0000-0000-00000B3B0000}"/>
    <cellStyle name="Note 2 7 2 3 3 6" xfId="7326" xr:uid="{00000000-0005-0000-0000-00000C3B0000}"/>
    <cellStyle name="Note 2 7 2 3 3 7" xfId="6621" xr:uid="{00000000-0005-0000-0000-00000D3B0000}"/>
    <cellStyle name="Note 2 7 2 3 4" xfId="2763" xr:uid="{00000000-0005-0000-0000-00000E3B0000}"/>
    <cellStyle name="Note 2 7 2 3 4 2" xfId="10981" xr:uid="{00000000-0005-0000-0000-00000F3B0000}"/>
    <cellStyle name="Note 2 7 2 3 4 2 2" xfId="936" xr:uid="{00000000-0005-0000-0000-0000103B0000}"/>
    <cellStyle name="Note 2 7 2 3 4 2 2 2" xfId="15754" xr:uid="{00000000-0005-0000-0000-0000113B0000}"/>
    <cellStyle name="Note 2 7 2 3 4 2 2 3" xfId="15851" xr:uid="{00000000-0005-0000-0000-0000123B0000}"/>
    <cellStyle name="Note 2 7 2 3 4 2 2 4" xfId="15899" xr:uid="{00000000-0005-0000-0000-0000133B0000}"/>
    <cellStyle name="Note 2 7 2 3 4 2 3" xfId="15931" xr:uid="{00000000-0005-0000-0000-0000143B0000}"/>
    <cellStyle name="Note 2 7 2 3 4 2 4" xfId="16102" xr:uid="{00000000-0005-0000-0000-0000153B0000}"/>
    <cellStyle name="Note 2 7 2 3 4 2 5" xfId="16213" xr:uid="{00000000-0005-0000-0000-0000163B0000}"/>
    <cellStyle name="Note 2 7 2 3 4 3" xfId="10987" xr:uid="{00000000-0005-0000-0000-0000173B0000}"/>
    <cellStyle name="Note 2 7 2 3 4 3 2" xfId="16412" xr:uid="{00000000-0005-0000-0000-0000183B0000}"/>
    <cellStyle name="Note 2 7 2 3 4 3 3" xfId="16474" xr:uid="{00000000-0005-0000-0000-0000193B0000}"/>
    <cellStyle name="Note 2 7 2 3 4 3 4" xfId="16542" xr:uid="{00000000-0005-0000-0000-00001A3B0000}"/>
    <cellStyle name="Note 2 7 2 3 4 4" xfId="10992" xr:uid="{00000000-0005-0000-0000-00001B3B0000}"/>
    <cellStyle name="Note 2 7 2 3 4 5" xfId="21480" xr:uid="{00000000-0005-0000-0000-00001C3B0000}"/>
    <cellStyle name="Note 2 7 2 3 4 6" xfId="4532" xr:uid="{00000000-0005-0000-0000-00001D3B0000}"/>
    <cellStyle name="Note 2 7 2 3 5" xfId="2778" xr:uid="{00000000-0005-0000-0000-00001E3B0000}"/>
    <cellStyle name="Note 2 7 2 3 5 2" xfId="652" xr:uid="{00000000-0005-0000-0000-00001F3B0000}"/>
    <cellStyle name="Note 2 7 2 3 5 2 2" xfId="7786" xr:uid="{00000000-0005-0000-0000-0000203B0000}"/>
    <cellStyle name="Note 2 7 2 3 5 2 3" xfId="7792" xr:uid="{00000000-0005-0000-0000-0000213B0000}"/>
    <cellStyle name="Note 2 7 2 3 5 2 4" xfId="7796" xr:uid="{00000000-0005-0000-0000-0000223B0000}"/>
    <cellStyle name="Note 2 7 2 3 5 3" xfId="667" xr:uid="{00000000-0005-0000-0000-0000233B0000}"/>
    <cellStyle name="Note 2 7 2 3 5 4" xfId="2788" xr:uid="{00000000-0005-0000-0000-0000243B0000}"/>
    <cellStyle name="Note 2 7 2 3 5 5" xfId="9376" xr:uid="{00000000-0005-0000-0000-0000253B0000}"/>
    <cellStyle name="Note 2 7 2 3 6" xfId="2798" xr:uid="{00000000-0005-0000-0000-0000263B0000}"/>
    <cellStyle name="Note 2 7 2 3 6 2" xfId="4670" xr:uid="{00000000-0005-0000-0000-0000273B0000}"/>
    <cellStyle name="Note 2 7 2 3 6 3" xfId="33" xr:uid="{00000000-0005-0000-0000-0000283B0000}"/>
    <cellStyle name="Note 2 7 2 3 6 4" xfId="5986" xr:uid="{00000000-0005-0000-0000-0000293B0000}"/>
    <cellStyle name="Note 2 7 2 3 7" xfId="2817" xr:uid="{00000000-0005-0000-0000-00002A3B0000}"/>
    <cellStyle name="Note 2 7 2 3 8" xfId="2220" xr:uid="{00000000-0005-0000-0000-00002B3B0000}"/>
    <cellStyle name="Note 2 7 2 3 9" xfId="6014" xr:uid="{00000000-0005-0000-0000-00002C3B0000}"/>
    <cellStyle name="Note 2 7 2 4" xfId="21481" xr:uid="{00000000-0005-0000-0000-00002D3B0000}"/>
    <cellStyle name="Note 2 7 2 4 2" xfId="14801" xr:uid="{00000000-0005-0000-0000-00002E3B0000}"/>
    <cellStyle name="Note 2 7 2 4 2 2" xfId="21482" xr:uid="{00000000-0005-0000-0000-00002F3B0000}"/>
    <cellStyle name="Note 2 7 2 4 2 2 2" xfId="20358" xr:uid="{00000000-0005-0000-0000-0000303B0000}"/>
    <cellStyle name="Note 2 7 2 4 2 2 2 2" xfId="20984" xr:uid="{00000000-0005-0000-0000-0000313B0000}"/>
    <cellStyle name="Note 2 7 2 4 2 2 2 2 2" xfId="19745" xr:uid="{00000000-0005-0000-0000-0000323B0000}"/>
    <cellStyle name="Note 2 7 2 4 2 2 2 2 3" xfId="18048" xr:uid="{00000000-0005-0000-0000-0000333B0000}"/>
    <cellStyle name="Note 2 7 2 4 2 2 2 2 4" xfId="18054" xr:uid="{00000000-0005-0000-0000-0000343B0000}"/>
    <cellStyle name="Note 2 7 2 4 2 2 2 3" xfId="20986" xr:uid="{00000000-0005-0000-0000-0000353B0000}"/>
    <cellStyle name="Note 2 7 2 4 2 2 2 4" xfId="20988" xr:uid="{00000000-0005-0000-0000-0000363B0000}"/>
    <cellStyle name="Note 2 7 2 4 2 2 2 5" xfId="21483" xr:uid="{00000000-0005-0000-0000-0000373B0000}"/>
    <cellStyle name="Note 2 7 2 4 2 2 3" xfId="20361" xr:uid="{00000000-0005-0000-0000-0000383B0000}"/>
    <cellStyle name="Note 2 7 2 4 2 2 3 2" xfId="21484" xr:uid="{00000000-0005-0000-0000-0000393B0000}"/>
    <cellStyle name="Note 2 7 2 4 2 2 3 3" xfId="21485" xr:uid="{00000000-0005-0000-0000-00003A3B0000}"/>
    <cellStyle name="Note 2 7 2 4 2 2 3 4" xfId="21486" xr:uid="{00000000-0005-0000-0000-00003B3B0000}"/>
    <cellStyle name="Note 2 7 2 4 2 2 4" xfId="20990" xr:uid="{00000000-0005-0000-0000-00003C3B0000}"/>
    <cellStyle name="Note 2 7 2 4 2 2 5" xfId="20992" xr:uid="{00000000-0005-0000-0000-00003D3B0000}"/>
    <cellStyle name="Note 2 7 2 4 2 2 6" xfId="20306" xr:uid="{00000000-0005-0000-0000-00003E3B0000}"/>
    <cellStyle name="Note 2 7 2 4 2 3" xfId="21487" xr:uid="{00000000-0005-0000-0000-00003F3B0000}"/>
    <cellStyle name="Note 2 7 2 4 2 3 2" xfId="20377" xr:uid="{00000000-0005-0000-0000-0000403B0000}"/>
    <cellStyle name="Note 2 7 2 4 2 3 2 2" xfId="8572" xr:uid="{00000000-0005-0000-0000-0000413B0000}"/>
    <cellStyle name="Note 2 7 2 4 2 3 2 3" xfId="8576" xr:uid="{00000000-0005-0000-0000-0000423B0000}"/>
    <cellStyle name="Note 2 7 2 4 2 3 2 4" xfId="8582" xr:uid="{00000000-0005-0000-0000-0000433B0000}"/>
    <cellStyle name="Note 2 7 2 4 2 3 3" xfId="20997" xr:uid="{00000000-0005-0000-0000-0000443B0000}"/>
    <cellStyle name="Note 2 7 2 4 2 3 4" xfId="21001" xr:uid="{00000000-0005-0000-0000-0000453B0000}"/>
    <cellStyle name="Note 2 7 2 4 2 3 5" xfId="21421" xr:uid="{00000000-0005-0000-0000-0000463B0000}"/>
    <cellStyle name="Note 2 7 2 4 2 4" xfId="21488" xr:uid="{00000000-0005-0000-0000-0000473B0000}"/>
    <cellStyle name="Note 2 7 2 4 2 4 2" xfId="21007" xr:uid="{00000000-0005-0000-0000-0000483B0000}"/>
    <cellStyle name="Note 2 7 2 4 2 4 3" xfId="13267" xr:uid="{00000000-0005-0000-0000-0000493B0000}"/>
    <cellStyle name="Note 2 7 2 4 2 4 4" xfId="13270" xr:uid="{00000000-0005-0000-0000-00004A3B0000}"/>
    <cellStyle name="Note 2 7 2 4 2 5" xfId="21489" xr:uid="{00000000-0005-0000-0000-00004B3B0000}"/>
    <cellStyle name="Note 2 7 2 4 2 6" xfId="21490" xr:uid="{00000000-0005-0000-0000-00004C3B0000}"/>
    <cellStyle name="Note 2 7 2 4 2 7" xfId="21491" xr:uid="{00000000-0005-0000-0000-00004D3B0000}"/>
    <cellStyle name="Note 2 7 2 4 3" xfId="10998" xr:uid="{00000000-0005-0000-0000-00004E3B0000}"/>
    <cellStyle name="Note 2 7 2 4 3 2" xfId="3018" xr:uid="{00000000-0005-0000-0000-00004F3B0000}"/>
    <cellStyle name="Note 2 7 2 4 3 2 2" xfId="13746" xr:uid="{00000000-0005-0000-0000-0000503B0000}"/>
    <cellStyle name="Note 2 7 2 4 3 2 2 2" xfId="21492" xr:uid="{00000000-0005-0000-0000-0000513B0000}"/>
    <cellStyle name="Note 2 7 2 4 3 2 2 3" xfId="21493" xr:uid="{00000000-0005-0000-0000-0000523B0000}"/>
    <cellStyle name="Note 2 7 2 4 3 2 2 4" xfId="21494" xr:uid="{00000000-0005-0000-0000-0000533B0000}"/>
    <cellStyle name="Note 2 7 2 4 3 2 3" xfId="13751" xr:uid="{00000000-0005-0000-0000-0000543B0000}"/>
    <cellStyle name="Note 2 7 2 4 3 2 4" xfId="21023" xr:uid="{00000000-0005-0000-0000-0000553B0000}"/>
    <cellStyle name="Note 2 7 2 4 3 2 5" xfId="17250" xr:uid="{00000000-0005-0000-0000-0000563B0000}"/>
    <cellStyle name="Note 2 7 2 4 3 3" xfId="2189" xr:uid="{00000000-0005-0000-0000-0000573B0000}"/>
    <cellStyle name="Note 2 7 2 4 3 3 2" xfId="21028" xr:uid="{00000000-0005-0000-0000-0000583B0000}"/>
    <cellStyle name="Note 2 7 2 4 3 3 3" xfId="21032" xr:uid="{00000000-0005-0000-0000-0000593B0000}"/>
    <cellStyle name="Note 2 7 2 4 3 3 4" xfId="21496" xr:uid="{00000000-0005-0000-0000-00005A3B0000}"/>
    <cellStyle name="Note 2 7 2 4 3 4" xfId="11004" xr:uid="{00000000-0005-0000-0000-00005B3B0000}"/>
    <cellStyle name="Note 2 7 2 4 3 5" xfId="21498" xr:uid="{00000000-0005-0000-0000-00005C3B0000}"/>
    <cellStyle name="Note 2 7 2 4 3 6" xfId="7339" xr:uid="{00000000-0005-0000-0000-00005D3B0000}"/>
    <cellStyle name="Note 2 7 2 4 4" xfId="11009" xr:uid="{00000000-0005-0000-0000-00005E3B0000}"/>
    <cellStyle name="Note 2 7 2 4 4 2" xfId="21500" xr:uid="{00000000-0005-0000-0000-00005F3B0000}"/>
    <cellStyle name="Note 2 7 2 4 4 2 2" xfId="21036" xr:uid="{00000000-0005-0000-0000-0000603B0000}"/>
    <cellStyle name="Note 2 7 2 4 4 2 3" xfId="21038" xr:uid="{00000000-0005-0000-0000-0000613B0000}"/>
    <cellStyle name="Note 2 7 2 4 4 2 4" xfId="21501" xr:uid="{00000000-0005-0000-0000-0000623B0000}"/>
    <cellStyle name="Note 2 7 2 4 4 3" xfId="21503" xr:uid="{00000000-0005-0000-0000-0000633B0000}"/>
    <cellStyle name="Note 2 7 2 4 4 4" xfId="21505" xr:uid="{00000000-0005-0000-0000-0000643B0000}"/>
    <cellStyle name="Note 2 7 2 4 4 5" xfId="21506" xr:uid="{00000000-0005-0000-0000-0000653B0000}"/>
    <cellStyle name="Note 2 7 2 4 5" xfId="2851" xr:uid="{00000000-0005-0000-0000-0000663B0000}"/>
    <cellStyle name="Note 2 7 2 4 5 2" xfId="9388" xr:uid="{00000000-0005-0000-0000-0000673B0000}"/>
    <cellStyle name="Note 2 7 2 4 5 3" xfId="9393" xr:uid="{00000000-0005-0000-0000-0000683B0000}"/>
    <cellStyle name="Note 2 7 2 4 5 4" xfId="9400" xr:uid="{00000000-0005-0000-0000-0000693B0000}"/>
    <cellStyle name="Note 2 7 2 4 6" xfId="2863" xr:uid="{00000000-0005-0000-0000-00006A3B0000}"/>
    <cellStyle name="Note 2 7 2 4 7" xfId="2879" xr:uid="{00000000-0005-0000-0000-00006B3B0000}"/>
    <cellStyle name="Note 2 7 2 4 8" xfId="6060" xr:uid="{00000000-0005-0000-0000-00006C3B0000}"/>
    <cellStyle name="Note 2 7 2 5" xfId="18717" xr:uid="{00000000-0005-0000-0000-00006D3B0000}"/>
    <cellStyle name="Note 2 7 2 5 2" xfId="7305" xr:uid="{00000000-0005-0000-0000-00006E3B0000}"/>
    <cellStyle name="Note 2 7 2 5 2 2" xfId="21507" xr:uid="{00000000-0005-0000-0000-00006F3B0000}"/>
    <cellStyle name="Note 2 7 2 5 2 2 2" xfId="20462" xr:uid="{00000000-0005-0000-0000-0000703B0000}"/>
    <cellStyle name="Note 2 7 2 5 2 2 2 2" xfId="21508" xr:uid="{00000000-0005-0000-0000-0000713B0000}"/>
    <cellStyle name="Note 2 7 2 5 2 2 2 3" xfId="21509" xr:uid="{00000000-0005-0000-0000-0000723B0000}"/>
    <cellStyle name="Note 2 7 2 5 2 2 2 4" xfId="21510" xr:uid="{00000000-0005-0000-0000-0000733B0000}"/>
    <cellStyle name="Note 2 7 2 5 2 2 3" xfId="17716" xr:uid="{00000000-0005-0000-0000-0000743B0000}"/>
    <cellStyle name="Note 2 7 2 5 2 2 4" xfId="17720" xr:uid="{00000000-0005-0000-0000-0000753B0000}"/>
    <cellStyle name="Note 2 7 2 5 2 2 5" xfId="17723" xr:uid="{00000000-0005-0000-0000-0000763B0000}"/>
    <cellStyle name="Note 2 7 2 5 2 3" xfId="21511" xr:uid="{00000000-0005-0000-0000-0000773B0000}"/>
    <cellStyle name="Note 2 7 2 5 2 3 2" xfId="20488" xr:uid="{00000000-0005-0000-0000-0000783B0000}"/>
    <cellStyle name="Note 2 7 2 5 2 3 3" xfId="17734" xr:uid="{00000000-0005-0000-0000-0000793B0000}"/>
    <cellStyle name="Note 2 7 2 5 2 3 4" xfId="17737" xr:uid="{00000000-0005-0000-0000-00007A3B0000}"/>
    <cellStyle name="Note 2 7 2 5 2 4" xfId="21512" xr:uid="{00000000-0005-0000-0000-00007B3B0000}"/>
    <cellStyle name="Note 2 7 2 5 2 5" xfId="21513" xr:uid="{00000000-0005-0000-0000-00007C3B0000}"/>
    <cellStyle name="Note 2 7 2 5 2 6" xfId="21514" xr:uid="{00000000-0005-0000-0000-00007D3B0000}"/>
    <cellStyle name="Note 2 7 2 5 3" xfId="7311" xr:uid="{00000000-0005-0000-0000-00007E3B0000}"/>
    <cellStyle name="Note 2 7 2 5 3 2" xfId="20119" xr:uid="{00000000-0005-0000-0000-00007F3B0000}"/>
    <cellStyle name="Note 2 7 2 5 3 2 2" xfId="20542" xr:uid="{00000000-0005-0000-0000-0000803B0000}"/>
    <cellStyle name="Note 2 7 2 5 3 2 3" xfId="17744" xr:uid="{00000000-0005-0000-0000-0000813B0000}"/>
    <cellStyle name="Note 2 7 2 5 3 2 4" xfId="17747" xr:uid="{00000000-0005-0000-0000-0000823B0000}"/>
    <cellStyle name="Note 2 7 2 5 3 3" xfId="20125" xr:uid="{00000000-0005-0000-0000-0000833B0000}"/>
    <cellStyle name="Note 2 7 2 5 3 4" xfId="20204" xr:uid="{00000000-0005-0000-0000-0000843B0000}"/>
    <cellStyle name="Note 2 7 2 5 3 5" xfId="21515" xr:uid="{00000000-0005-0000-0000-0000853B0000}"/>
    <cellStyle name="Note 2 7 2 5 4" xfId="11014" xr:uid="{00000000-0005-0000-0000-0000863B0000}"/>
    <cellStyle name="Note 2 7 2 5 4 2" xfId="20134" xr:uid="{00000000-0005-0000-0000-0000873B0000}"/>
    <cellStyle name="Note 2 7 2 5 4 3" xfId="21516" xr:uid="{00000000-0005-0000-0000-0000883B0000}"/>
    <cellStyle name="Note 2 7 2 5 4 4" xfId="21517" xr:uid="{00000000-0005-0000-0000-0000893B0000}"/>
    <cellStyle name="Note 2 7 2 5 5" xfId="2889" xr:uid="{00000000-0005-0000-0000-00008A3B0000}"/>
    <cellStyle name="Note 2 7 2 5 6" xfId="2902" xr:uid="{00000000-0005-0000-0000-00008B3B0000}"/>
    <cellStyle name="Note 2 7 2 5 7" xfId="6095" xr:uid="{00000000-0005-0000-0000-00008C3B0000}"/>
    <cellStyle name="Note 2 7 2 6" xfId="18719" xr:uid="{00000000-0005-0000-0000-00008D3B0000}"/>
    <cellStyle name="Note 2 7 2 6 2" xfId="6289" xr:uid="{00000000-0005-0000-0000-00008E3B0000}"/>
    <cellStyle name="Note 2 7 2 6 2 2" xfId="3100" xr:uid="{00000000-0005-0000-0000-00008F3B0000}"/>
    <cellStyle name="Note 2 7 2 6 2 2 2" xfId="2538" xr:uid="{00000000-0005-0000-0000-0000903B0000}"/>
    <cellStyle name="Note 2 7 2 6 2 2 3" xfId="2550" xr:uid="{00000000-0005-0000-0000-0000913B0000}"/>
    <cellStyle name="Note 2 7 2 6 2 2 4" xfId="6296" xr:uid="{00000000-0005-0000-0000-0000923B0000}"/>
    <cellStyle name="Note 2 7 2 6 2 3" xfId="3108" xr:uid="{00000000-0005-0000-0000-0000933B0000}"/>
    <cellStyle name="Note 2 7 2 6 2 4" xfId="3118" xr:uid="{00000000-0005-0000-0000-0000943B0000}"/>
    <cellStyle name="Note 2 7 2 6 2 5" xfId="6307" xr:uid="{00000000-0005-0000-0000-0000953B0000}"/>
    <cellStyle name="Note 2 7 2 6 3" xfId="6318" xr:uid="{00000000-0005-0000-0000-0000963B0000}"/>
    <cellStyle name="Note 2 7 2 6 3 2" xfId="3148" xr:uid="{00000000-0005-0000-0000-0000973B0000}"/>
    <cellStyle name="Note 2 7 2 6 3 3" xfId="3158" xr:uid="{00000000-0005-0000-0000-0000983B0000}"/>
    <cellStyle name="Note 2 7 2 6 3 4" xfId="6325" xr:uid="{00000000-0005-0000-0000-0000993B0000}"/>
    <cellStyle name="Note 2 7 2 6 4" xfId="1202" xr:uid="{00000000-0005-0000-0000-00009A3B0000}"/>
    <cellStyle name="Note 2 7 2 6 5" xfId="1229" xr:uid="{00000000-0005-0000-0000-00009B3B0000}"/>
    <cellStyle name="Note 2 7 2 6 6" xfId="1238" xr:uid="{00000000-0005-0000-0000-00009C3B0000}"/>
    <cellStyle name="Note 2 7 2 7" xfId="18721" xr:uid="{00000000-0005-0000-0000-00009D3B0000}"/>
    <cellStyle name="Note 2 7 2 7 2" xfId="6368" xr:uid="{00000000-0005-0000-0000-00009E3B0000}"/>
    <cellStyle name="Note 2 7 2 7 2 2" xfId="3247" xr:uid="{00000000-0005-0000-0000-00009F3B0000}"/>
    <cellStyle name="Note 2 7 2 7 2 3" xfId="632" xr:uid="{00000000-0005-0000-0000-0000A03B0000}"/>
    <cellStyle name="Note 2 7 2 7 2 4" xfId="6373" xr:uid="{00000000-0005-0000-0000-0000A13B0000}"/>
    <cellStyle name="Note 2 7 2 7 3" xfId="318" xr:uid="{00000000-0005-0000-0000-0000A23B0000}"/>
    <cellStyle name="Note 2 7 2 7 4" xfId="437" xr:uid="{00000000-0005-0000-0000-0000A33B0000}"/>
    <cellStyle name="Note 2 7 2 7 5" xfId="467" xr:uid="{00000000-0005-0000-0000-0000A43B0000}"/>
    <cellStyle name="Note 2 7 2 8" xfId="18723" xr:uid="{00000000-0005-0000-0000-0000A53B0000}"/>
    <cellStyle name="Note 2 7 2 8 2" xfId="1724" xr:uid="{00000000-0005-0000-0000-0000A63B0000}"/>
    <cellStyle name="Note 2 7 2 8 3" xfId="1761" xr:uid="{00000000-0005-0000-0000-0000A73B0000}"/>
    <cellStyle name="Note 2 7 2 8 4" xfId="1784" xr:uid="{00000000-0005-0000-0000-0000A83B0000}"/>
    <cellStyle name="Note 2 7 2 9" xfId="21518" xr:uid="{00000000-0005-0000-0000-0000A93B0000}"/>
    <cellStyle name="Note 2 7 3" xfId="21519" xr:uid="{00000000-0005-0000-0000-0000AA3B0000}"/>
    <cellStyle name="Note 2 7 3 2" xfId="21520" xr:uid="{00000000-0005-0000-0000-0000AB3B0000}"/>
    <cellStyle name="Note 2 7 3 2 2" xfId="9223" xr:uid="{00000000-0005-0000-0000-0000AC3B0000}"/>
    <cellStyle name="Note 2 7 3 2 2 2" xfId="15598" xr:uid="{00000000-0005-0000-0000-0000AD3B0000}"/>
    <cellStyle name="Note 2 7 3 2 2 2 2" xfId="21521" xr:uid="{00000000-0005-0000-0000-0000AE3B0000}"/>
    <cellStyle name="Note 2 7 3 2 2 2 2 2" xfId="15539" xr:uid="{00000000-0005-0000-0000-0000AF3B0000}"/>
    <cellStyle name="Note 2 7 3 2 2 2 2 2 2" xfId="21522" xr:uid="{00000000-0005-0000-0000-0000B03B0000}"/>
    <cellStyle name="Note 2 7 3 2 2 2 2 2 3" xfId="21523" xr:uid="{00000000-0005-0000-0000-0000B13B0000}"/>
    <cellStyle name="Note 2 7 3 2 2 2 2 2 4" xfId="21524" xr:uid="{00000000-0005-0000-0000-0000B23B0000}"/>
    <cellStyle name="Note 2 7 3 2 2 2 2 3" xfId="13545" xr:uid="{00000000-0005-0000-0000-0000B33B0000}"/>
    <cellStyle name="Note 2 7 3 2 2 2 2 4" xfId="13579" xr:uid="{00000000-0005-0000-0000-0000B43B0000}"/>
    <cellStyle name="Note 2 7 3 2 2 2 2 5" xfId="13588" xr:uid="{00000000-0005-0000-0000-0000B53B0000}"/>
    <cellStyle name="Note 2 7 3 2 2 2 3" xfId="21525" xr:uid="{00000000-0005-0000-0000-0000B63B0000}"/>
    <cellStyle name="Note 2 7 3 2 2 2 3 2" xfId="21526" xr:uid="{00000000-0005-0000-0000-0000B73B0000}"/>
    <cellStyle name="Note 2 7 3 2 2 2 3 3" xfId="13001" xr:uid="{00000000-0005-0000-0000-0000B83B0000}"/>
    <cellStyle name="Note 2 7 3 2 2 2 3 4" xfId="13611" xr:uid="{00000000-0005-0000-0000-0000B93B0000}"/>
    <cellStyle name="Note 2 7 3 2 2 2 4" xfId="21528" xr:uid="{00000000-0005-0000-0000-0000BA3B0000}"/>
    <cellStyle name="Note 2 7 3 2 2 2 5" xfId="4495" xr:uid="{00000000-0005-0000-0000-0000BB3B0000}"/>
    <cellStyle name="Note 2 7 3 2 2 2 6" xfId="4648" xr:uid="{00000000-0005-0000-0000-0000BC3B0000}"/>
    <cellStyle name="Note 2 7 3 2 2 3" xfId="15601" xr:uid="{00000000-0005-0000-0000-0000BD3B0000}"/>
    <cellStyle name="Note 2 7 3 2 2 3 2" xfId="21531" xr:uid="{00000000-0005-0000-0000-0000BE3B0000}"/>
    <cellStyle name="Note 2 7 3 2 2 3 2 2" xfId="21535" xr:uid="{00000000-0005-0000-0000-0000BF3B0000}"/>
    <cellStyle name="Note 2 7 3 2 2 3 2 3" xfId="13656" xr:uid="{00000000-0005-0000-0000-0000C03B0000}"/>
    <cellStyle name="Note 2 7 3 2 2 3 2 4" xfId="13703" xr:uid="{00000000-0005-0000-0000-0000C13B0000}"/>
    <cellStyle name="Note 2 7 3 2 2 3 3" xfId="13108" xr:uid="{00000000-0005-0000-0000-0000C23B0000}"/>
    <cellStyle name="Note 2 7 3 2 2 3 4" xfId="13113" xr:uid="{00000000-0005-0000-0000-0000C33B0000}"/>
    <cellStyle name="Note 2 7 3 2 2 3 5" xfId="13118" xr:uid="{00000000-0005-0000-0000-0000C43B0000}"/>
    <cellStyle name="Note 2 7 3 2 2 4" xfId="15605" xr:uid="{00000000-0005-0000-0000-0000C53B0000}"/>
    <cellStyle name="Note 2 7 3 2 2 4 2" xfId="21538" xr:uid="{00000000-0005-0000-0000-0000C63B0000}"/>
    <cellStyle name="Note 2 7 3 2 2 4 3" xfId="21541" xr:uid="{00000000-0005-0000-0000-0000C73B0000}"/>
    <cellStyle name="Note 2 7 3 2 2 4 4" xfId="21544" xr:uid="{00000000-0005-0000-0000-0000C83B0000}"/>
    <cellStyle name="Note 2 7 3 2 2 5" xfId="21545" xr:uid="{00000000-0005-0000-0000-0000C93B0000}"/>
    <cellStyle name="Note 2 7 3 2 2 6" xfId="4154" xr:uid="{00000000-0005-0000-0000-0000CA3B0000}"/>
    <cellStyle name="Note 2 7 3 2 2 7" xfId="5473" xr:uid="{00000000-0005-0000-0000-0000CB3B0000}"/>
    <cellStyle name="Note 2 7 3 2 3" xfId="395" xr:uid="{00000000-0005-0000-0000-0000CC3B0000}"/>
    <cellStyle name="Note 2 7 3 2 3 2" xfId="11759" xr:uid="{00000000-0005-0000-0000-0000CD3B0000}"/>
    <cellStyle name="Note 2 7 3 2 3 2 2" xfId="10299" xr:uid="{00000000-0005-0000-0000-0000CE3B0000}"/>
    <cellStyle name="Note 2 7 3 2 3 2 2 2" xfId="13309" xr:uid="{00000000-0005-0000-0000-0000CF3B0000}"/>
    <cellStyle name="Note 2 7 3 2 3 2 2 3" xfId="13313" xr:uid="{00000000-0005-0000-0000-0000D03B0000}"/>
    <cellStyle name="Note 2 7 3 2 3 2 2 4" xfId="13319" xr:uid="{00000000-0005-0000-0000-0000D13B0000}"/>
    <cellStyle name="Note 2 7 3 2 3 2 3" xfId="14115" xr:uid="{00000000-0005-0000-0000-0000D23B0000}"/>
    <cellStyle name="Note 2 7 3 2 3 2 4" xfId="14118" xr:uid="{00000000-0005-0000-0000-0000D33B0000}"/>
    <cellStyle name="Note 2 7 3 2 3 2 5" xfId="17335" xr:uid="{00000000-0005-0000-0000-0000D43B0000}"/>
    <cellStyle name="Note 2 7 3 2 3 3" xfId="11762" xr:uid="{00000000-0005-0000-0000-0000D53B0000}"/>
    <cellStyle name="Note 2 7 3 2 3 3 2" xfId="14132" xr:uid="{00000000-0005-0000-0000-0000D63B0000}"/>
    <cellStyle name="Note 2 7 3 2 3 3 3" xfId="14137" xr:uid="{00000000-0005-0000-0000-0000D73B0000}"/>
    <cellStyle name="Note 2 7 3 2 3 3 4" xfId="21550" xr:uid="{00000000-0005-0000-0000-0000D83B0000}"/>
    <cellStyle name="Note 2 7 3 2 3 4" xfId="16385" xr:uid="{00000000-0005-0000-0000-0000D93B0000}"/>
    <cellStyle name="Note 2 7 3 2 3 5" xfId="21551" xr:uid="{00000000-0005-0000-0000-0000DA3B0000}"/>
    <cellStyle name="Note 2 7 3 2 3 6" xfId="7358" xr:uid="{00000000-0005-0000-0000-0000DB3B0000}"/>
    <cellStyle name="Note 2 7 3 2 4" xfId="424" xr:uid="{00000000-0005-0000-0000-0000DC3B0000}"/>
    <cellStyle name="Note 2 7 3 2 4 2" xfId="11772" xr:uid="{00000000-0005-0000-0000-0000DD3B0000}"/>
    <cellStyle name="Note 2 7 3 2 4 2 2" xfId="590" xr:uid="{00000000-0005-0000-0000-0000DE3B0000}"/>
    <cellStyle name="Note 2 7 3 2 4 2 3" xfId="5897" xr:uid="{00000000-0005-0000-0000-0000DF3B0000}"/>
    <cellStyle name="Note 2 7 3 2 4 2 4" xfId="8450" xr:uid="{00000000-0005-0000-0000-0000E03B0000}"/>
    <cellStyle name="Note 2 7 3 2 4 3" xfId="21553" xr:uid="{00000000-0005-0000-0000-0000E13B0000}"/>
    <cellStyle name="Note 2 7 3 2 4 4" xfId="21554" xr:uid="{00000000-0005-0000-0000-0000E23B0000}"/>
    <cellStyle name="Note 2 7 3 2 4 5" xfId="21555" xr:uid="{00000000-0005-0000-0000-0000E33B0000}"/>
    <cellStyle name="Note 2 7 3 2 5" xfId="456" xr:uid="{00000000-0005-0000-0000-0000E43B0000}"/>
    <cellStyle name="Note 2 7 3 2 5 2" xfId="2234" xr:uid="{00000000-0005-0000-0000-0000E53B0000}"/>
    <cellStyle name="Note 2 7 3 2 5 3" xfId="349" xr:uid="{00000000-0005-0000-0000-0000E63B0000}"/>
    <cellStyle name="Note 2 7 3 2 5 4" xfId="7" xr:uid="{00000000-0005-0000-0000-0000E73B0000}"/>
    <cellStyle name="Note 2 7 3 2 6" xfId="476" xr:uid="{00000000-0005-0000-0000-0000E83B0000}"/>
    <cellStyle name="Note 2 7 3 2 7" xfId="499" xr:uid="{00000000-0005-0000-0000-0000E93B0000}"/>
    <cellStyle name="Note 2 7 3 2 8" xfId="555" xr:uid="{00000000-0005-0000-0000-0000EA3B0000}"/>
    <cellStyle name="Note 2 7 3 3" xfId="21556" xr:uid="{00000000-0005-0000-0000-0000EB3B0000}"/>
    <cellStyle name="Note 2 7 3 3 2" xfId="9238" xr:uid="{00000000-0005-0000-0000-0000EC3B0000}"/>
    <cellStyle name="Note 2 7 3 3 2 2" xfId="21557" xr:uid="{00000000-0005-0000-0000-0000ED3B0000}"/>
    <cellStyle name="Note 2 7 3 3 2 2 2" xfId="21108" xr:uid="{00000000-0005-0000-0000-0000EE3B0000}"/>
    <cellStyle name="Note 2 7 3 3 2 2 2 2" xfId="21559" xr:uid="{00000000-0005-0000-0000-0000EF3B0000}"/>
    <cellStyle name="Note 2 7 3 3 2 2 2 3" xfId="21561" xr:uid="{00000000-0005-0000-0000-0000F03B0000}"/>
    <cellStyle name="Note 2 7 3 3 2 2 2 4" xfId="21563" xr:uid="{00000000-0005-0000-0000-0000F13B0000}"/>
    <cellStyle name="Note 2 7 3 3 2 2 3" xfId="21110" xr:uid="{00000000-0005-0000-0000-0000F23B0000}"/>
    <cellStyle name="Note 2 7 3 3 2 2 4" xfId="21114" xr:uid="{00000000-0005-0000-0000-0000F33B0000}"/>
    <cellStyle name="Note 2 7 3 3 2 2 5" xfId="21565" xr:uid="{00000000-0005-0000-0000-0000F43B0000}"/>
    <cellStyle name="Note 2 7 3 3 2 3" xfId="21566" xr:uid="{00000000-0005-0000-0000-0000F53B0000}"/>
    <cellStyle name="Note 2 7 3 3 2 3 2" xfId="21121" xr:uid="{00000000-0005-0000-0000-0000F63B0000}"/>
    <cellStyle name="Note 2 7 3 3 2 3 3" xfId="21125" xr:uid="{00000000-0005-0000-0000-0000F73B0000}"/>
    <cellStyle name="Note 2 7 3 3 2 3 4" xfId="21569" xr:uid="{00000000-0005-0000-0000-0000F83B0000}"/>
    <cellStyle name="Note 2 7 3 3 2 4" xfId="21570" xr:uid="{00000000-0005-0000-0000-0000F93B0000}"/>
    <cellStyle name="Note 2 7 3 3 2 5" xfId="21571" xr:uid="{00000000-0005-0000-0000-0000FA3B0000}"/>
    <cellStyle name="Note 2 7 3 3 2 6" xfId="17021" xr:uid="{00000000-0005-0000-0000-0000FB3B0000}"/>
    <cellStyle name="Note 2 7 3 3 3" xfId="9245" xr:uid="{00000000-0005-0000-0000-0000FC3B0000}"/>
    <cellStyle name="Note 2 7 3 3 3 2" xfId="10604" xr:uid="{00000000-0005-0000-0000-0000FD3B0000}"/>
    <cellStyle name="Note 2 7 3 3 3 2 2" xfId="14405" xr:uid="{00000000-0005-0000-0000-0000FE3B0000}"/>
    <cellStyle name="Note 2 7 3 3 3 2 3" xfId="14409" xr:uid="{00000000-0005-0000-0000-0000FF3B0000}"/>
    <cellStyle name="Note 2 7 3 3 3 2 4" xfId="21573" xr:uid="{00000000-0005-0000-0000-0000003C0000}"/>
    <cellStyle name="Note 2 7 3 3 3 3" xfId="10610" xr:uid="{00000000-0005-0000-0000-0000013C0000}"/>
    <cellStyle name="Note 2 7 3 3 3 4" xfId="11029" xr:uid="{00000000-0005-0000-0000-0000023C0000}"/>
    <cellStyle name="Note 2 7 3 3 3 5" xfId="21574" xr:uid="{00000000-0005-0000-0000-0000033C0000}"/>
    <cellStyle name="Note 2 7 3 3 4" xfId="11034" xr:uid="{00000000-0005-0000-0000-0000043C0000}"/>
    <cellStyle name="Note 2 7 3 3 4 2" xfId="10620" xr:uid="{00000000-0005-0000-0000-0000053C0000}"/>
    <cellStyle name="Note 2 7 3 3 4 3" xfId="21575" xr:uid="{00000000-0005-0000-0000-0000063C0000}"/>
    <cellStyle name="Note 2 7 3 3 4 4" xfId="21576" xr:uid="{00000000-0005-0000-0000-0000073C0000}"/>
    <cellStyle name="Note 2 7 3 3 5" xfId="2979" xr:uid="{00000000-0005-0000-0000-0000083C0000}"/>
    <cellStyle name="Note 2 7 3 3 6" xfId="1517" xr:uid="{00000000-0005-0000-0000-0000093C0000}"/>
    <cellStyle name="Note 2 7 3 3 7" xfId="1536" xr:uid="{00000000-0005-0000-0000-00000A3C0000}"/>
    <cellStyle name="Note 2 7 3 4" xfId="21577" xr:uid="{00000000-0005-0000-0000-00000B3C0000}"/>
    <cellStyle name="Note 2 7 3 4 2" xfId="15610" xr:uid="{00000000-0005-0000-0000-00000C3C0000}"/>
    <cellStyle name="Note 2 7 3 4 2 2" xfId="21578" xr:uid="{00000000-0005-0000-0000-00000D3C0000}"/>
    <cellStyle name="Note 2 7 3 4 2 2 2" xfId="20663" xr:uid="{00000000-0005-0000-0000-00000E3C0000}"/>
    <cellStyle name="Note 2 7 3 4 2 2 3" xfId="21156" xr:uid="{00000000-0005-0000-0000-00000F3C0000}"/>
    <cellStyle name="Note 2 7 3 4 2 2 4" xfId="21580" xr:uid="{00000000-0005-0000-0000-0000103C0000}"/>
    <cellStyle name="Note 2 7 3 4 2 3" xfId="21581" xr:uid="{00000000-0005-0000-0000-0000113C0000}"/>
    <cellStyle name="Note 2 7 3 4 2 4" xfId="21583" xr:uid="{00000000-0005-0000-0000-0000123C0000}"/>
    <cellStyle name="Note 2 7 3 4 2 5" xfId="21585" xr:uid="{00000000-0005-0000-0000-0000133C0000}"/>
    <cellStyle name="Note 2 7 3 4 3" xfId="11041" xr:uid="{00000000-0005-0000-0000-0000143C0000}"/>
    <cellStyle name="Note 2 7 3 4 3 2" xfId="10653" xr:uid="{00000000-0005-0000-0000-0000153C0000}"/>
    <cellStyle name="Note 2 7 3 4 3 3" xfId="21587" xr:uid="{00000000-0005-0000-0000-0000163C0000}"/>
    <cellStyle name="Note 2 7 3 4 3 4" xfId="21590" xr:uid="{00000000-0005-0000-0000-0000173C0000}"/>
    <cellStyle name="Note 2 7 3 4 4" xfId="11046" xr:uid="{00000000-0005-0000-0000-0000183C0000}"/>
    <cellStyle name="Note 2 7 3 4 5" xfId="613" xr:uid="{00000000-0005-0000-0000-0000193C0000}"/>
    <cellStyle name="Note 2 7 3 4 6" xfId="717" xr:uid="{00000000-0005-0000-0000-00001A3C0000}"/>
    <cellStyle name="Note 2 7 3 5" xfId="18726" xr:uid="{00000000-0005-0000-0000-00001B3C0000}"/>
    <cellStyle name="Note 2 7 3 5 2" xfId="21591" xr:uid="{00000000-0005-0000-0000-00001C3C0000}"/>
    <cellStyle name="Note 2 7 3 5 2 2" xfId="21592" xr:uid="{00000000-0005-0000-0000-00001D3C0000}"/>
    <cellStyle name="Note 2 7 3 5 2 3" xfId="21593" xr:uid="{00000000-0005-0000-0000-00001E3C0000}"/>
    <cellStyle name="Note 2 7 3 5 2 4" xfId="21595" xr:uid="{00000000-0005-0000-0000-00001F3C0000}"/>
    <cellStyle name="Note 2 7 3 5 3" xfId="20209" xr:uid="{00000000-0005-0000-0000-0000203C0000}"/>
    <cellStyle name="Note 2 7 3 5 4" xfId="20213" xr:uid="{00000000-0005-0000-0000-0000213C0000}"/>
    <cellStyle name="Note 2 7 3 5 5" xfId="9499" xr:uid="{00000000-0005-0000-0000-0000223C0000}"/>
    <cellStyle name="Note 2 7 3 6" xfId="18728" xr:uid="{00000000-0005-0000-0000-0000233C0000}"/>
    <cellStyle name="Note 2 7 3 6 2" xfId="6417" xr:uid="{00000000-0005-0000-0000-0000243C0000}"/>
    <cellStyle name="Note 2 7 3 6 3" xfId="6428" xr:uid="{00000000-0005-0000-0000-0000253C0000}"/>
    <cellStyle name="Note 2 7 3 6 4" xfId="1331" xr:uid="{00000000-0005-0000-0000-0000263C0000}"/>
    <cellStyle name="Note 2 7 3 7" xfId="18730" xr:uid="{00000000-0005-0000-0000-0000273C0000}"/>
    <cellStyle name="Note 2 7 3 8" xfId="21596" xr:uid="{00000000-0005-0000-0000-0000283C0000}"/>
    <cellStyle name="Note 2 7 3 9" xfId="21597" xr:uid="{00000000-0005-0000-0000-0000293C0000}"/>
    <cellStyle name="Note 2 7 4" xfId="21598" xr:uid="{00000000-0005-0000-0000-00002A3C0000}"/>
    <cellStyle name="Note 2 7 4 2" xfId="21600" xr:uid="{00000000-0005-0000-0000-00002B3C0000}"/>
    <cellStyle name="Note 2 7 4 2 2" xfId="9281" xr:uid="{00000000-0005-0000-0000-00002C3C0000}"/>
    <cellStyle name="Note 2 7 4 2 2 2" xfId="21601" xr:uid="{00000000-0005-0000-0000-00002D3C0000}"/>
    <cellStyle name="Note 2 7 4 2 2 2 2" xfId="17775" xr:uid="{00000000-0005-0000-0000-00002E3C0000}"/>
    <cellStyle name="Note 2 7 4 2 2 2 2 2" xfId="17777" xr:uid="{00000000-0005-0000-0000-00002F3C0000}"/>
    <cellStyle name="Note 2 7 4 2 2 2 2 2 2" xfId="17779" xr:uid="{00000000-0005-0000-0000-0000303C0000}"/>
    <cellStyle name="Note 2 7 4 2 2 2 2 2 3" xfId="17781" xr:uid="{00000000-0005-0000-0000-0000313C0000}"/>
    <cellStyle name="Note 2 7 4 2 2 2 2 2 4" xfId="17783" xr:uid="{00000000-0005-0000-0000-0000323C0000}"/>
    <cellStyle name="Note 2 7 4 2 2 2 2 3" xfId="17477" xr:uid="{00000000-0005-0000-0000-0000333C0000}"/>
    <cellStyle name="Note 2 7 4 2 2 2 2 4" xfId="17480" xr:uid="{00000000-0005-0000-0000-0000343C0000}"/>
    <cellStyle name="Note 2 7 4 2 2 2 2 5" xfId="17785" xr:uid="{00000000-0005-0000-0000-0000353C0000}"/>
    <cellStyle name="Note 2 7 4 2 2 2 3" xfId="17789" xr:uid="{00000000-0005-0000-0000-0000363C0000}"/>
    <cellStyle name="Note 2 7 4 2 2 2 3 2" xfId="17791" xr:uid="{00000000-0005-0000-0000-0000373C0000}"/>
    <cellStyle name="Note 2 7 4 2 2 2 3 3" xfId="17793" xr:uid="{00000000-0005-0000-0000-0000383C0000}"/>
    <cellStyle name="Note 2 7 4 2 2 2 3 4" xfId="17795" xr:uid="{00000000-0005-0000-0000-0000393C0000}"/>
    <cellStyle name="Note 2 7 4 2 2 2 4" xfId="17800" xr:uid="{00000000-0005-0000-0000-00003A3C0000}"/>
    <cellStyle name="Note 2 7 4 2 2 2 5" xfId="17805" xr:uid="{00000000-0005-0000-0000-00003B3C0000}"/>
    <cellStyle name="Note 2 7 4 2 2 2 6" xfId="17811" xr:uid="{00000000-0005-0000-0000-00003C3C0000}"/>
    <cellStyle name="Note 2 7 4 2 2 3" xfId="21365" xr:uid="{00000000-0005-0000-0000-00003D3C0000}"/>
    <cellStyle name="Note 2 7 4 2 2 3 2" xfId="17828" xr:uid="{00000000-0005-0000-0000-00003E3C0000}"/>
    <cellStyle name="Note 2 7 4 2 2 3 2 2" xfId="6273" xr:uid="{00000000-0005-0000-0000-00003F3C0000}"/>
    <cellStyle name="Note 2 7 4 2 2 3 2 3" xfId="1883" xr:uid="{00000000-0005-0000-0000-0000403C0000}"/>
    <cellStyle name="Note 2 7 4 2 2 3 2 4" xfId="17830" xr:uid="{00000000-0005-0000-0000-0000413C0000}"/>
    <cellStyle name="Note 2 7 4 2 2 3 3" xfId="13348" xr:uid="{00000000-0005-0000-0000-0000423C0000}"/>
    <cellStyle name="Note 2 7 4 2 2 3 4" xfId="13352" xr:uid="{00000000-0005-0000-0000-0000433C0000}"/>
    <cellStyle name="Note 2 7 4 2 2 3 5" xfId="13357" xr:uid="{00000000-0005-0000-0000-0000443C0000}"/>
    <cellStyle name="Note 2 7 4 2 2 4" xfId="21368" xr:uid="{00000000-0005-0000-0000-0000453C0000}"/>
    <cellStyle name="Note 2 7 4 2 2 4 2" xfId="17840" xr:uid="{00000000-0005-0000-0000-0000463C0000}"/>
    <cellStyle name="Note 2 7 4 2 2 4 3" xfId="17845" xr:uid="{00000000-0005-0000-0000-0000473C0000}"/>
    <cellStyle name="Note 2 7 4 2 2 4 4" xfId="17849" xr:uid="{00000000-0005-0000-0000-0000483C0000}"/>
    <cellStyle name="Note 2 7 4 2 2 5" xfId="21371" xr:uid="{00000000-0005-0000-0000-0000493C0000}"/>
    <cellStyle name="Note 2 7 4 2 2 6" xfId="21375" xr:uid="{00000000-0005-0000-0000-00004A3C0000}"/>
    <cellStyle name="Note 2 7 4 2 2 7" xfId="19079" xr:uid="{00000000-0005-0000-0000-00004B3C0000}"/>
    <cellStyle name="Note 2 7 4 2 3" xfId="9288" xr:uid="{00000000-0005-0000-0000-00004C3C0000}"/>
    <cellStyle name="Note 2 7 4 2 3 2" xfId="11780" xr:uid="{00000000-0005-0000-0000-00004D3C0000}"/>
    <cellStyle name="Note 2 7 4 2 3 2 2" xfId="14872" xr:uid="{00000000-0005-0000-0000-00004E3C0000}"/>
    <cellStyle name="Note 2 7 4 2 3 2 2 2" xfId="13577" xr:uid="{00000000-0005-0000-0000-00004F3C0000}"/>
    <cellStyle name="Note 2 7 4 2 3 2 2 3" xfId="13586" xr:uid="{00000000-0005-0000-0000-0000503C0000}"/>
    <cellStyle name="Note 2 7 4 2 3 2 2 4" xfId="13596" xr:uid="{00000000-0005-0000-0000-0000513C0000}"/>
    <cellStyle name="Note 2 7 4 2 3 2 3" xfId="14879" xr:uid="{00000000-0005-0000-0000-0000523C0000}"/>
    <cellStyle name="Note 2 7 4 2 3 2 4" xfId="14882" xr:uid="{00000000-0005-0000-0000-0000533C0000}"/>
    <cellStyle name="Note 2 7 4 2 3 2 5" xfId="17856" xr:uid="{00000000-0005-0000-0000-0000543C0000}"/>
    <cellStyle name="Note 2 7 4 2 3 3" xfId="21379" xr:uid="{00000000-0005-0000-0000-0000553C0000}"/>
    <cellStyle name="Note 2 7 4 2 3 3 2" xfId="14898" xr:uid="{00000000-0005-0000-0000-0000563C0000}"/>
    <cellStyle name="Note 2 7 4 2 3 3 3" xfId="14904" xr:uid="{00000000-0005-0000-0000-0000573C0000}"/>
    <cellStyle name="Note 2 7 4 2 3 3 4" xfId="17859" xr:uid="{00000000-0005-0000-0000-0000583C0000}"/>
    <cellStyle name="Note 2 7 4 2 3 4" xfId="21382" xr:uid="{00000000-0005-0000-0000-0000593C0000}"/>
    <cellStyle name="Note 2 7 4 2 3 5" xfId="21385" xr:uid="{00000000-0005-0000-0000-00005A3C0000}"/>
    <cellStyle name="Note 2 7 4 2 3 6" xfId="7390" xr:uid="{00000000-0005-0000-0000-00005B3C0000}"/>
    <cellStyle name="Note 2 7 4 2 4" xfId="15615" xr:uid="{00000000-0005-0000-0000-00005C3C0000}"/>
    <cellStyle name="Note 2 7 4 2 4 2" xfId="21602" xr:uid="{00000000-0005-0000-0000-00005D3C0000}"/>
    <cellStyle name="Note 2 7 4 2 4 2 2" xfId="7961" xr:uid="{00000000-0005-0000-0000-00005E3C0000}"/>
    <cellStyle name="Note 2 7 4 2 4 2 3" xfId="7966" xr:uid="{00000000-0005-0000-0000-00005F3C0000}"/>
    <cellStyle name="Note 2 7 4 2 4 2 4" xfId="8738" xr:uid="{00000000-0005-0000-0000-0000603C0000}"/>
    <cellStyle name="Note 2 7 4 2 4 3" xfId="21389" xr:uid="{00000000-0005-0000-0000-0000613C0000}"/>
    <cellStyle name="Note 2 7 4 2 4 4" xfId="14041" xr:uid="{00000000-0005-0000-0000-0000623C0000}"/>
    <cellStyle name="Note 2 7 4 2 4 5" xfId="14045" xr:uid="{00000000-0005-0000-0000-0000633C0000}"/>
    <cellStyle name="Note 2 7 4 2 5" xfId="9528" xr:uid="{00000000-0005-0000-0000-0000643C0000}"/>
    <cellStyle name="Note 2 7 4 2 5 2" xfId="5345" xr:uid="{00000000-0005-0000-0000-0000653C0000}"/>
    <cellStyle name="Note 2 7 4 2 5 3" xfId="5247" xr:uid="{00000000-0005-0000-0000-0000663C0000}"/>
    <cellStyle name="Note 2 7 4 2 5 4" xfId="5259" xr:uid="{00000000-0005-0000-0000-0000673C0000}"/>
    <cellStyle name="Note 2 7 4 2 6" xfId="9532" xr:uid="{00000000-0005-0000-0000-0000683C0000}"/>
    <cellStyle name="Note 2 7 4 2 7" xfId="9540" xr:uid="{00000000-0005-0000-0000-0000693C0000}"/>
    <cellStyle name="Note 2 7 4 2 8" xfId="9545" xr:uid="{00000000-0005-0000-0000-00006A3C0000}"/>
    <cellStyle name="Note 2 7 4 3" xfId="21604" xr:uid="{00000000-0005-0000-0000-00006B3C0000}"/>
    <cellStyle name="Note 2 7 4 3 2" xfId="13219" xr:uid="{00000000-0005-0000-0000-00006C3C0000}"/>
    <cellStyle name="Note 2 7 4 3 2 2" xfId="13221" xr:uid="{00000000-0005-0000-0000-00006D3C0000}"/>
    <cellStyle name="Note 2 7 4 3 2 2 2" xfId="21185" xr:uid="{00000000-0005-0000-0000-00006E3C0000}"/>
    <cellStyle name="Note 2 7 4 3 2 2 2 2" xfId="21605" xr:uid="{00000000-0005-0000-0000-00006F3C0000}"/>
    <cellStyle name="Note 2 7 4 3 2 2 2 3" xfId="21606" xr:uid="{00000000-0005-0000-0000-0000703C0000}"/>
    <cellStyle name="Note 2 7 4 3 2 2 2 4" xfId="21607" xr:uid="{00000000-0005-0000-0000-0000713C0000}"/>
    <cellStyle name="Note 2 7 4 3 2 2 3" xfId="21189" xr:uid="{00000000-0005-0000-0000-0000723C0000}"/>
    <cellStyle name="Note 2 7 4 3 2 2 4" xfId="21193" xr:uid="{00000000-0005-0000-0000-0000733C0000}"/>
    <cellStyle name="Note 2 7 4 3 2 2 5" xfId="21608" xr:uid="{00000000-0005-0000-0000-0000743C0000}"/>
    <cellStyle name="Note 2 7 4 3 2 3" xfId="13225" xr:uid="{00000000-0005-0000-0000-0000753C0000}"/>
    <cellStyle name="Note 2 7 4 3 2 3 2" xfId="21200" xr:uid="{00000000-0005-0000-0000-0000763C0000}"/>
    <cellStyle name="Note 2 7 4 3 2 3 3" xfId="21206" xr:uid="{00000000-0005-0000-0000-0000773C0000}"/>
    <cellStyle name="Note 2 7 4 3 2 3 4" xfId="21398" xr:uid="{00000000-0005-0000-0000-0000783C0000}"/>
    <cellStyle name="Note 2 7 4 3 2 4" xfId="13230" xr:uid="{00000000-0005-0000-0000-0000793C0000}"/>
    <cellStyle name="Note 2 7 4 3 2 5" xfId="21401" xr:uid="{00000000-0005-0000-0000-00007A3C0000}"/>
    <cellStyle name="Note 2 7 4 3 2 6" xfId="17139" xr:uid="{00000000-0005-0000-0000-00007B3C0000}"/>
    <cellStyle name="Note 2 7 4 3 3" xfId="11060" xr:uid="{00000000-0005-0000-0000-00007C3C0000}"/>
    <cellStyle name="Note 2 7 4 3 3 2" xfId="10716" xr:uid="{00000000-0005-0000-0000-00007D3C0000}"/>
    <cellStyle name="Note 2 7 4 3 3 2 2" xfId="15174" xr:uid="{00000000-0005-0000-0000-00007E3C0000}"/>
    <cellStyle name="Note 2 7 4 3 3 2 3" xfId="15179" xr:uid="{00000000-0005-0000-0000-00007F3C0000}"/>
    <cellStyle name="Note 2 7 4 3 3 2 4" xfId="21609" xr:uid="{00000000-0005-0000-0000-0000803C0000}"/>
    <cellStyle name="Note 2 7 4 3 3 3" xfId="21404" xr:uid="{00000000-0005-0000-0000-0000813C0000}"/>
    <cellStyle name="Note 2 7 4 3 3 4" xfId="21407" xr:uid="{00000000-0005-0000-0000-0000823C0000}"/>
    <cellStyle name="Note 2 7 4 3 3 5" xfId="21410" xr:uid="{00000000-0005-0000-0000-0000833C0000}"/>
    <cellStyle name="Note 2 7 4 3 4" xfId="11064" xr:uid="{00000000-0005-0000-0000-0000843C0000}"/>
    <cellStyle name="Note 2 7 4 3 4 2" xfId="21610" xr:uid="{00000000-0005-0000-0000-0000853C0000}"/>
    <cellStyle name="Note 2 7 4 3 4 3" xfId="21611" xr:uid="{00000000-0005-0000-0000-0000863C0000}"/>
    <cellStyle name="Note 2 7 4 3 4 4" xfId="21612" xr:uid="{00000000-0005-0000-0000-0000873C0000}"/>
    <cellStyle name="Note 2 7 4 3 5" xfId="2997" xr:uid="{00000000-0005-0000-0000-0000883C0000}"/>
    <cellStyle name="Note 2 7 4 3 6" xfId="3012" xr:uid="{00000000-0005-0000-0000-0000893C0000}"/>
    <cellStyle name="Note 2 7 4 3 7" xfId="3382" xr:uid="{00000000-0005-0000-0000-00008A3C0000}"/>
    <cellStyle name="Note 2 7 4 4" xfId="21614" xr:uid="{00000000-0005-0000-0000-00008B3C0000}"/>
    <cellStyle name="Note 2 7 4 4 2" xfId="13416" xr:uid="{00000000-0005-0000-0000-00008C3C0000}"/>
    <cellStyle name="Note 2 7 4 4 2 2" xfId="324" xr:uid="{00000000-0005-0000-0000-00008D3C0000}"/>
    <cellStyle name="Note 2 7 4 4 2 2 2" xfId="1396" xr:uid="{00000000-0005-0000-0000-00008E3C0000}"/>
    <cellStyle name="Note 2 7 4 4 2 2 3" xfId="5107" xr:uid="{00000000-0005-0000-0000-00008F3C0000}"/>
    <cellStyle name="Note 2 7 4 4 2 2 4" xfId="7077" xr:uid="{00000000-0005-0000-0000-0000903C0000}"/>
    <cellStyle name="Note 2 7 4 4 2 3" xfId="3210" xr:uid="{00000000-0005-0000-0000-0000913C0000}"/>
    <cellStyle name="Note 2 7 4 4 2 4" xfId="13425" xr:uid="{00000000-0005-0000-0000-0000923C0000}"/>
    <cellStyle name="Note 2 7 4 4 2 5" xfId="17406" xr:uid="{00000000-0005-0000-0000-0000933C0000}"/>
    <cellStyle name="Note 2 7 4 4 3" xfId="13431" xr:uid="{00000000-0005-0000-0000-0000943C0000}"/>
    <cellStyle name="Note 2 7 4 4 3 2" xfId="21615" xr:uid="{00000000-0005-0000-0000-0000953C0000}"/>
    <cellStyle name="Note 2 7 4 4 3 3" xfId="21616" xr:uid="{00000000-0005-0000-0000-0000963C0000}"/>
    <cellStyle name="Note 2 7 4 4 3 4" xfId="21617" xr:uid="{00000000-0005-0000-0000-0000973C0000}"/>
    <cellStyle name="Note 2 7 4 4 4" xfId="13436" xr:uid="{00000000-0005-0000-0000-0000983C0000}"/>
    <cellStyle name="Note 2 7 4 4 5" xfId="9559" xr:uid="{00000000-0005-0000-0000-0000993C0000}"/>
    <cellStyle name="Note 2 7 4 4 6" xfId="9567" xr:uid="{00000000-0005-0000-0000-00009A3C0000}"/>
    <cellStyle name="Note 2 7 4 5" xfId="19198" xr:uid="{00000000-0005-0000-0000-00009B3C0000}"/>
    <cellStyle name="Note 2 7 4 5 2" xfId="13479" xr:uid="{00000000-0005-0000-0000-00009C3C0000}"/>
    <cellStyle name="Note 2 7 4 5 2 2" xfId="12926" xr:uid="{00000000-0005-0000-0000-00009D3C0000}"/>
    <cellStyle name="Note 2 7 4 5 2 3" xfId="9217" xr:uid="{00000000-0005-0000-0000-00009E3C0000}"/>
    <cellStyle name="Note 2 7 4 5 2 4" xfId="9226" xr:uid="{00000000-0005-0000-0000-00009F3C0000}"/>
    <cellStyle name="Note 2 7 4 5 3" xfId="362" xr:uid="{00000000-0005-0000-0000-0000A03C0000}"/>
    <cellStyle name="Note 2 7 4 5 4" xfId="2257" xr:uid="{00000000-0005-0000-0000-0000A13C0000}"/>
    <cellStyle name="Note 2 7 4 5 5" xfId="2678" xr:uid="{00000000-0005-0000-0000-0000A23C0000}"/>
    <cellStyle name="Note 2 7 4 6" xfId="19201" xr:uid="{00000000-0005-0000-0000-0000A33C0000}"/>
    <cellStyle name="Note 2 7 4 6 2" xfId="6497" xr:uid="{00000000-0005-0000-0000-0000A43C0000}"/>
    <cellStyle name="Note 2 7 4 6 3" xfId="2272" xr:uid="{00000000-0005-0000-0000-0000A53C0000}"/>
    <cellStyle name="Note 2 7 4 6 4" xfId="2277" xr:uid="{00000000-0005-0000-0000-0000A63C0000}"/>
    <cellStyle name="Note 2 7 4 7" xfId="3871" xr:uid="{00000000-0005-0000-0000-0000A73C0000}"/>
    <cellStyle name="Note 2 7 4 8" xfId="3896" xr:uid="{00000000-0005-0000-0000-0000A83C0000}"/>
    <cellStyle name="Note 2 7 4 9" xfId="3922" xr:uid="{00000000-0005-0000-0000-0000A93C0000}"/>
    <cellStyle name="Note 2 7 5" xfId="21618" xr:uid="{00000000-0005-0000-0000-0000AA3C0000}"/>
    <cellStyle name="Note 2 7 5 2" xfId="21619" xr:uid="{00000000-0005-0000-0000-0000AB3C0000}"/>
    <cellStyle name="Note 2 7 5 2 2" xfId="15621" xr:uid="{00000000-0005-0000-0000-0000AC3C0000}"/>
    <cellStyle name="Note 2 7 5 2 2 2" xfId="20913" xr:uid="{00000000-0005-0000-0000-0000AD3C0000}"/>
    <cellStyle name="Note 2 7 5 2 2 2 2" xfId="20915" xr:uid="{00000000-0005-0000-0000-0000AE3C0000}"/>
    <cellStyle name="Note 2 7 5 2 2 2 2 2" xfId="17662" xr:uid="{00000000-0005-0000-0000-0000AF3C0000}"/>
    <cellStyle name="Note 2 7 5 2 2 2 2 3" xfId="17666" xr:uid="{00000000-0005-0000-0000-0000B03C0000}"/>
    <cellStyle name="Note 2 7 5 2 2 2 2 4" xfId="17671" xr:uid="{00000000-0005-0000-0000-0000B13C0000}"/>
    <cellStyle name="Note 2 7 5 2 2 2 3" xfId="13934" xr:uid="{00000000-0005-0000-0000-0000B23C0000}"/>
    <cellStyle name="Note 2 7 5 2 2 2 4" xfId="13962" xr:uid="{00000000-0005-0000-0000-0000B33C0000}"/>
    <cellStyle name="Note 2 7 5 2 2 2 5" xfId="13972" xr:uid="{00000000-0005-0000-0000-0000B43C0000}"/>
    <cellStyle name="Note 2 7 5 2 2 3" xfId="20917" xr:uid="{00000000-0005-0000-0000-0000B53C0000}"/>
    <cellStyle name="Note 2 7 5 2 2 3 2" xfId="21426" xr:uid="{00000000-0005-0000-0000-0000B63C0000}"/>
    <cellStyle name="Note 2 7 5 2 2 3 3" xfId="21430" xr:uid="{00000000-0005-0000-0000-0000B73C0000}"/>
    <cellStyle name="Note 2 7 5 2 2 3 4" xfId="21434" xr:uid="{00000000-0005-0000-0000-0000B83C0000}"/>
    <cellStyle name="Note 2 7 5 2 2 4" xfId="20921" xr:uid="{00000000-0005-0000-0000-0000B93C0000}"/>
    <cellStyle name="Note 2 7 5 2 2 5" xfId="20925" xr:uid="{00000000-0005-0000-0000-0000BA3C0000}"/>
    <cellStyle name="Note 2 7 5 2 2 6" xfId="21444" xr:uid="{00000000-0005-0000-0000-0000BB3C0000}"/>
    <cellStyle name="Note 2 7 5 2 3" xfId="15627" xr:uid="{00000000-0005-0000-0000-0000BC3C0000}"/>
    <cellStyle name="Note 2 7 5 2 3 2" xfId="20930" xr:uid="{00000000-0005-0000-0000-0000BD3C0000}"/>
    <cellStyle name="Note 2 7 5 2 3 2 2" xfId="15515" xr:uid="{00000000-0005-0000-0000-0000BE3C0000}"/>
    <cellStyle name="Note 2 7 5 2 3 2 3" xfId="15517" xr:uid="{00000000-0005-0000-0000-0000BF3C0000}"/>
    <cellStyle name="Note 2 7 5 2 3 2 4" xfId="15519" xr:uid="{00000000-0005-0000-0000-0000C03C0000}"/>
    <cellStyle name="Note 2 7 5 2 3 3" xfId="20933" xr:uid="{00000000-0005-0000-0000-0000C13C0000}"/>
    <cellStyle name="Note 2 7 5 2 3 4" xfId="20938" xr:uid="{00000000-0005-0000-0000-0000C23C0000}"/>
    <cellStyle name="Note 2 7 5 2 3 5" xfId="21450" xr:uid="{00000000-0005-0000-0000-0000C33C0000}"/>
    <cellStyle name="Note 2 7 5 2 4" xfId="21620" xr:uid="{00000000-0005-0000-0000-0000C43C0000}"/>
    <cellStyle name="Note 2 7 5 2 4 2" xfId="20943" xr:uid="{00000000-0005-0000-0000-0000C53C0000}"/>
    <cellStyle name="Note 2 7 5 2 4 3" xfId="20945" xr:uid="{00000000-0005-0000-0000-0000C63C0000}"/>
    <cellStyle name="Note 2 7 5 2 4 4" xfId="21455" xr:uid="{00000000-0005-0000-0000-0000C73C0000}"/>
    <cellStyle name="Note 2 7 5 2 5" xfId="9580" xr:uid="{00000000-0005-0000-0000-0000C83C0000}"/>
    <cellStyle name="Note 2 7 5 2 6" xfId="9585" xr:uid="{00000000-0005-0000-0000-0000C93C0000}"/>
    <cellStyle name="Note 2 7 5 2 7" xfId="9588" xr:uid="{00000000-0005-0000-0000-0000CA3C0000}"/>
    <cellStyle name="Note 2 7 5 3" xfId="21621" xr:uid="{00000000-0005-0000-0000-0000CB3C0000}"/>
    <cellStyle name="Note 2 7 5 3 2" xfId="13597" xr:uid="{00000000-0005-0000-0000-0000CC3C0000}"/>
    <cellStyle name="Note 2 7 5 3 2 2" xfId="16287" xr:uid="{00000000-0005-0000-0000-0000CD3C0000}"/>
    <cellStyle name="Note 2 7 5 3 2 2 2" xfId="21266" xr:uid="{00000000-0005-0000-0000-0000CE3C0000}"/>
    <cellStyle name="Note 2 7 5 3 2 2 3" xfId="16398" xr:uid="{00000000-0005-0000-0000-0000CF3C0000}"/>
    <cellStyle name="Note 2 7 5 3 2 2 4" xfId="16402" xr:uid="{00000000-0005-0000-0000-0000D03C0000}"/>
    <cellStyle name="Note 2 7 5 3 2 3" xfId="16292" xr:uid="{00000000-0005-0000-0000-0000D13C0000}"/>
    <cellStyle name="Note 2 7 5 3 2 4" xfId="20963" xr:uid="{00000000-0005-0000-0000-0000D23C0000}"/>
    <cellStyle name="Note 2 7 5 3 2 5" xfId="21473" xr:uid="{00000000-0005-0000-0000-0000D33C0000}"/>
    <cellStyle name="Note 2 7 5 3 3" xfId="13599" xr:uid="{00000000-0005-0000-0000-0000D43C0000}"/>
    <cellStyle name="Note 2 7 5 3 3 2" xfId="20968" xr:uid="{00000000-0005-0000-0000-0000D53C0000}"/>
    <cellStyle name="Note 2 7 5 3 3 3" xfId="20970" xr:uid="{00000000-0005-0000-0000-0000D63C0000}"/>
    <cellStyle name="Note 2 7 5 3 3 4" xfId="21476" xr:uid="{00000000-0005-0000-0000-0000D73C0000}"/>
    <cellStyle name="Note 2 7 5 3 4" xfId="13601" xr:uid="{00000000-0005-0000-0000-0000D83C0000}"/>
    <cellStyle name="Note 2 7 5 3 5" xfId="9593" xr:uid="{00000000-0005-0000-0000-0000D93C0000}"/>
    <cellStyle name="Note 2 7 5 3 6" xfId="9595" xr:uid="{00000000-0005-0000-0000-0000DA3C0000}"/>
    <cellStyle name="Note 2 7 5 4" xfId="21622" xr:uid="{00000000-0005-0000-0000-0000DB3C0000}"/>
    <cellStyle name="Note 2 7 5 4 2" xfId="13618" xr:uid="{00000000-0005-0000-0000-0000DC3C0000}"/>
    <cellStyle name="Note 2 7 5 4 2 2" xfId="16267" xr:uid="{00000000-0005-0000-0000-0000DD3C0000}"/>
    <cellStyle name="Note 2 7 5 4 2 3" xfId="16408" xr:uid="{00000000-0005-0000-0000-0000DE3C0000}"/>
    <cellStyle name="Note 2 7 5 4 2 4" xfId="16470" xr:uid="{00000000-0005-0000-0000-0000DF3C0000}"/>
    <cellStyle name="Note 2 7 5 4 3" xfId="13622" xr:uid="{00000000-0005-0000-0000-0000E03C0000}"/>
    <cellStyle name="Note 2 7 5 4 4" xfId="16956" xr:uid="{00000000-0005-0000-0000-0000E13C0000}"/>
    <cellStyle name="Note 2 7 5 4 5" xfId="17285" xr:uid="{00000000-0005-0000-0000-0000E23C0000}"/>
    <cellStyle name="Note 2 7 5 5" xfId="19204" xr:uid="{00000000-0005-0000-0000-0000E33C0000}"/>
    <cellStyle name="Note 2 7 5 5 2" xfId="13634" xr:uid="{00000000-0005-0000-0000-0000E43C0000}"/>
    <cellStyle name="Note 2 7 5 5 3" xfId="21623" xr:uid="{00000000-0005-0000-0000-0000E53C0000}"/>
    <cellStyle name="Note 2 7 5 5 4" xfId="21624" xr:uid="{00000000-0005-0000-0000-0000E63C0000}"/>
    <cellStyle name="Note 2 7 5 6" xfId="19207" xr:uid="{00000000-0005-0000-0000-0000E73C0000}"/>
    <cellStyle name="Note 2 7 5 7" xfId="19210" xr:uid="{00000000-0005-0000-0000-0000E83C0000}"/>
    <cellStyle name="Note 2 7 5 8" xfId="21626" xr:uid="{00000000-0005-0000-0000-0000E93C0000}"/>
    <cellStyle name="Note 2 7 6" xfId="1604" xr:uid="{00000000-0005-0000-0000-0000EA3C0000}"/>
    <cellStyle name="Note 2 7 6 2" xfId="14820" xr:uid="{00000000-0005-0000-0000-0000EB3C0000}"/>
    <cellStyle name="Note 2 7 6 2 2" xfId="21628" xr:uid="{00000000-0005-0000-0000-0000EC3C0000}"/>
    <cellStyle name="Note 2 7 6 2 2 2" xfId="20370" xr:uid="{00000000-0005-0000-0000-0000ED3C0000}"/>
    <cellStyle name="Note 2 7 6 2 2 2 2" xfId="2416" xr:uid="{00000000-0005-0000-0000-0000EE3C0000}"/>
    <cellStyle name="Note 2 7 6 2 2 2 3" xfId="157" xr:uid="{00000000-0005-0000-0000-0000EF3C0000}"/>
    <cellStyle name="Note 2 7 6 2 2 2 4" xfId="12062" xr:uid="{00000000-0005-0000-0000-0000F03C0000}"/>
    <cellStyle name="Note 2 7 6 2 2 3" xfId="20374" xr:uid="{00000000-0005-0000-0000-0000F13C0000}"/>
    <cellStyle name="Note 2 7 6 2 2 4" xfId="20995" xr:uid="{00000000-0005-0000-0000-0000F23C0000}"/>
    <cellStyle name="Note 2 7 6 2 2 5" xfId="20999" xr:uid="{00000000-0005-0000-0000-0000F33C0000}"/>
    <cellStyle name="Note 2 7 6 2 3" xfId="21629" xr:uid="{00000000-0005-0000-0000-0000F43C0000}"/>
    <cellStyle name="Note 2 7 6 2 3 2" xfId="20389" xr:uid="{00000000-0005-0000-0000-0000F53C0000}"/>
    <cellStyle name="Note 2 7 6 2 3 3" xfId="21003" xr:uid="{00000000-0005-0000-0000-0000F63C0000}"/>
    <cellStyle name="Note 2 7 6 2 3 4" xfId="13264" xr:uid="{00000000-0005-0000-0000-0000F73C0000}"/>
    <cellStyle name="Note 2 7 6 2 4" xfId="21630" xr:uid="{00000000-0005-0000-0000-0000F83C0000}"/>
    <cellStyle name="Note 2 7 6 2 5" xfId="583" xr:uid="{00000000-0005-0000-0000-0000F93C0000}"/>
    <cellStyle name="Note 2 7 6 2 6" xfId="9604" xr:uid="{00000000-0005-0000-0000-0000FA3C0000}"/>
    <cellStyle name="Note 2 7 6 3" xfId="14822" xr:uid="{00000000-0005-0000-0000-0000FB3C0000}"/>
    <cellStyle name="Note 2 7 6 3 2" xfId="13753" xr:uid="{00000000-0005-0000-0000-0000FC3C0000}"/>
    <cellStyle name="Note 2 7 6 3 2 2" xfId="20412" xr:uid="{00000000-0005-0000-0000-0000FD3C0000}"/>
    <cellStyle name="Note 2 7 6 3 2 3" xfId="21026" xr:uid="{00000000-0005-0000-0000-0000FE3C0000}"/>
    <cellStyle name="Note 2 7 6 3 2 4" xfId="21030" xr:uid="{00000000-0005-0000-0000-0000FF3C0000}"/>
    <cellStyle name="Note 2 7 6 3 3" xfId="13755" xr:uid="{00000000-0005-0000-0000-0000003D0000}"/>
    <cellStyle name="Note 2 7 6 3 4" xfId="13757" xr:uid="{00000000-0005-0000-0000-0000013D0000}"/>
    <cellStyle name="Note 2 7 6 3 5" xfId="21631" xr:uid="{00000000-0005-0000-0000-0000023D0000}"/>
    <cellStyle name="Note 2 7 6 4" xfId="21632" xr:uid="{00000000-0005-0000-0000-0000033D0000}"/>
    <cellStyle name="Note 2 7 6 4 2" xfId="13781" xr:uid="{00000000-0005-0000-0000-0000043D0000}"/>
    <cellStyle name="Note 2 7 6 4 3" xfId="13784" xr:uid="{00000000-0005-0000-0000-0000053D0000}"/>
    <cellStyle name="Note 2 7 6 4 4" xfId="21633" xr:uid="{00000000-0005-0000-0000-0000063D0000}"/>
    <cellStyle name="Note 2 7 6 5" xfId="20000" xr:uid="{00000000-0005-0000-0000-0000073D0000}"/>
    <cellStyle name="Note 2 7 6 6" xfId="20004" xr:uid="{00000000-0005-0000-0000-0000083D0000}"/>
    <cellStyle name="Note 2 7 6 7" xfId="20007" xr:uid="{00000000-0005-0000-0000-0000093D0000}"/>
    <cellStyle name="Note 2 7 7" xfId="15162" xr:uid="{00000000-0005-0000-0000-00000A3D0000}"/>
    <cellStyle name="Note 2 7 7 2" xfId="14826" xr:uid="{00000000-0005-0000-0000-00000B3D0000}"/>
    <cellStyle name="Note 2 7 7 2 2" xfId="21634" xr:uid="{00000000-0005-0000-0000-00000C3D0000}"/>
    <cellStyle name="Note 2 7 7 2 2 2" xfId="20480" xr:uid="{00000000-0005-0000-0000-00000D3D0000}"/>
    <cellStyle name="Note 2 7 7 2 2 3" xfId="20485" xr:uid="{00000000-0005-0000-0000-00000E3D0000}"/>
    <cellStyle name="Note 2 7 7 2 2 4" xfId="17731" xr:uid="{00000000-0005-0000-0000-00000F3D0000}"/>
    <cellStyle name="Note 2 7 7 2 3" xfId="13048" xr:uid="{00000000-0005-0000-0000-0000103D0000}"/>
    <cellStyle name="Note 2 7 7 2 4" xfId="13059" xr:uid="{00000000-0005-0000-0000-0000113D0000}"/>
    <cellStyle name="Note 2 7 7 2 5" xfId="13061" xr:uid="{00000000-0005-0000-0000-0000123D0000}"/>
    <cellStyle name="Note 2 7 7 3" xfId="21635" xr:uid="{00000000-0005-0000-0000-0000133D0000}"/>
    <cellStyle name="Note 2 7 7 3 2" xfId="13851" xr:uid="{00000000-0005-0000-0000-0000143D0000}"/>
    <cellStyle name="Note 2 7 7 3 3" xfId="13068" xr:uid="{00000000-0005-0000-0000-0000153D0000}"/>
    <cellStyle name="Note 2 7 7 3 4" xfId="13072" xr:uid="{00000000-0005-0000-0000-0000163D0000}"/>
    <cellStyle name="Note 2 7 7 4" xfId="21636" xr:uid="{00000000-0005-0000-0000-0000173D0000}"/>
    <cellStyle name="Note 2 7 7 5" xfId="20011" xr:uid="{00000000-0005-0000-0000-0000183D0000}"/>
    <cellStyle name="Note 2 7 7 6" xfId="20014" xr:uid="{00000000-0005-0000-0000-0000193D0000}"/>
    <cellStyle name="Note 2 7 8" xfId="15166" xr:uid="{00000000-0005-0000-0000-00001A3D0000}"/>
    <cellStyle name="Note 2 7 8 2" xfId="4096" xr:uid="{00000000-0005-0000-0000-00001B3D0000}"/>
    <cellStyle name="Note 2 7 8 2 2" xfId="21637" xr:uid="{00000000-0005-0000-0000-00001C3D0000}"/>
    <cellStyle name="Note 2 7 8 2 3" xfId="13090" xr:uid="{00000000-0005-0000-0000-00001D3D0000}"/>
    <cellStyle name="Note 2 7 8 2 4" xfId="13092" xr:uid="{00000000-0005-0000-0000-00001E3D0000}"/>
    <cellStyle name="Note 2 7 8 3" xfId="15595" xr:uid="{00000000-0005-0000-0000-00001F3D0000}"/>
    <cellStyle name="Note 2 7 8 4" xfId="4126" xr:uid="{00000000-0005-0000-0000-0000203D0000}"/>
    <cellStyle name="Note 2 7 8 5" xfId="4137" xr:uid="{00000000-0005-0000-0000-0000213D0000}"/>
    <cellStyle name="Note 2 7 9" xfId="21639" xr:uid="{00000000-0005-0000-0000-0000223D0000}"/>
    <cellStyle name="Note 2 7 9 2" xfId="15602" xr:uid="{00000000-0005-0000-0000-0000233D0000}"/>
    <cellStyle name="Note 2 7 9 3" xfId="21547" xr:uid="{00000000-0005-0000-0000-0000243D0000}"/>
    <cellStyle name="Note 2 7 9 4" xfId="4156" xr:uid="{00000000-0005-0000-0000-0000253D0000}"/>
    <cellStyle name="Note 2 8" xfId="21641" xr:uid="{00000000-0005-0000-0000-0000263D0000}"/>
    <cellStyle name="Note 2 8 10" xfId="20731" xr:uid="{00000000-0005-0000-0000-0000273D0000}"/>
    <cellStyle name="Note 2 8 11" xfId="21643" xr:uid="{00000000-0005-0000-0000-0000283D0000}"/>
    <cellStyle name="Note 2 8 12" xfId="21645" xr:uid="{00000000-0005-0000-0000-0000293D0000}"/>
    <cellStyle name="Note 2 8 2" xfId="21647" xr:uid="{00000000-0005-0000-0000-00002A3D0000}"/>
    <cellStyle name="Note 2 8 2 2" xfId="21650" xr:uid="{00000000-0005-0000-0000-00002B3D0000}"/>
    <cellStyle name="Note 2 8 2 2 2" xfId="14009" xr:uid="{00000000-0005-0000-0000-00002C3D0000}"/>
    <cellStyle name="Note 2 8 2 2 2 2" xfId="15637" xr:uid="{00000000-0005-0000-0000-00002D3D0000}"/>
    <cellStyle name="Note 2 8 2 2 2 2 2" xfId="15594" xr:uid="{00000000-0005-0000-0000-00002E3D0000}"/>
    <cellStyle name="Note 2 8 2 2 2 2 2 2" xfId="13903" xr:uid="{00000000-0005-0000-0000-00002F3D0000}"/>
    <cellStyle name="Note 2 8 2 2 2 2 2 2 2" xfId="19092" xr:uid="{00000000-0005-0000-0000-0000303D0000}"/>
    <cellStyle name="Note 2 8 2 2 2 2 2 2 3" xfId="19095" xr:uid="{00000000-0005-0000-0000-0000313D0000}"/>
    <cellStyle name="Note 2 8 2 2 2 2 2 2 4" xfId="17544" xr:uid="{00000000-0005-0000-0000-0000323D0000}"/>
    <cellStyle name="Note 2 8 2 2 2 2 2 3" xfId="14188" xr:uid="{00000000-0005-0000-0000-0000333D0000}"/>
    <cellStyle name="Note 2 8 2 2 2 2 2 4" xfId="14192" xr:uid="{00000000-0005-0000-0000-0000343D0000}"/>
    <cellStyle name="Note 2 8 2 2 2 2 2 5" xfId="14195" xr:uid="{00000000-0005-0000-0000-0000353D0000}"/>
    <cellStyle name="Note 2 8 2 2 2 2 3" xfId="4125" xr:uid="{00000000-0005-0000-0000-0000363D0000}"/>
    <cellStyle name="Note 2 8 2 2 2 2 3 2" xfId="1384" xr:uid="{00000000-0005-0000-0000-0000373D0000}"/>
    <cellStyle name="Note 2 8 2 2 2 2 3 3" xfId="5439" xr:uid="{00000000-0005-0000-0000-0000383D0000}"/>
    <cellStyle name="Note 2 8 2 2 2 2 3 4" xfId="5449" xr:uid="{00000000-0005-0000-0000-0000393D0000}"/>
    <cellStyle name="Note 2 8 2 2 2 2 4" xfId="4141" xr:uid="{00000000-0005-0000-0000-00003A3D0000}"/>
    <cellStyle name="Note 2 8 2 2 2 2 5" xfId="5333" xr:uid="{00000000-0005-0000-0000-00003B3D0000}"/>
    <cellStyle name="Note 2 8 2 2 2 2 6" xfId="5341" xr:uid="{00000000-0005-0000-0000-00003C3D0000}"/>
    <cellStyle name="Note 2 8 2 2 2 3" xfId="15640" xr:uid="{00000000-0005-0000-0000-00003D3D0000}"/>
    <cellStyle name="Note 2 8 2 2 2 3 2" xfId="21546" xr:uid="{00000000-0005-0000-0000-00003E3D0000}"/>
    <cellStyle name="Note 2 8 2 2 2 3 2 2" xfId="21653" xr:uid="{00000000-0005-0000-0000-00003F3D0000}"/>
    <cellStyle name="Note 2 8 2 2 2 3 2 3" xfId="14212" xr:uid="{00000000-0005-0000-0000-0000403D0000}"/>
    <cellStyle name="Note 2 8 2 2 2 3 2 4" xfId="14213" xr:uid="{00000000-0005-0000-0000-0000413D0000}"/>
    <cellStyle name="Note 2 8 2 2 2 3 3" xfId="4155" xr:uid="{00000000-0005-0000-0000-0000423D0000}"/>
    <cellStyle name="Note 2 8 2 2 2 3 4" xfId="5474" xr:uid="{00000000-0005-0000-0000-0000433D0000}"/>
    <cellStyle name="Note 2 8 2 2 2 3 5" xfId="5484" xr:uid="{00000000-0005-0000-0000-0000443D0000}"/>
    <cellStyle name="Note 2 8 2 2 2 4" xfId="15643" xr:uid="{00000000-0005-0000-0000-0000453D0000}"/>
    <cellStyle name="Note 2 8 2 2 2 4 2" xfId="21552" xr:uid="{00000000-0005-0000-0000-0000463D0000}"/>
    <cellStyle name="Note 2 8 2 2 2 4 3" xfId="7359" xr:uid="{00000000-0005-0000-0000-0000473D0000}"/>
    <cellStyle name="Note 2 8 2 2 2 4 4" xfId="7273" xr:uid="{00000000-0005-0000-0000-0000483D0000}"/>
    <cellStyle name="Note 2 8 2 2 2 5" xfId="21654" xr:uid="{00000000-0005-0000-0000-0000493D0000}"/>
    <cellStyle name="Note 2 8 2 2 2 6" xfId="5805" xr:uid="{00000000-0005-0000-0000-00004A3D0000}"/>
    <cellStyle name="Note 2 8 2 2 2 7" xfId="5828" xr:uid="{00000000-0005-0000-0000-00004B3D0000}"/>
    <cellStyle name="Note 2 8 2 2 3" xfId="9762" xr:uid="{00000000-0005-0000-0000-00004C3D0000}"/>
    <cellStyle name="Note 2 8 2 2 3 2" xfId="16388" xr:uid="{00000000-0005-0000-0000-00004D3D0000}"/>
    <cellStyle name="Note 2 8 2 2 3 2 2" xfId="9632" xr:uid="{00000000-0005-0000-0000-00004E3D0000}"/>
    <cellStyle name="Note 2 8 2 2 3 2 2 2" xfId="14673" xr:uid="{00000000-0005-0000-0000-00004F3D0000}"/>
    <cellStyle name="Note 2 8 2 2 3 2 2 3" xfId="14238" xr:uid="{00000000-0005-0000-0000-0000503D0000}"/>
    <cellStyle name="Note 2 8 2 2 3 2 2 4" xfId="14240" xr:uid="{00000000-0005-0000-0000-0000513D0000}"/>
    <cellStyle name="Note 2 8 2 2 3 2 3" xfId="4201" xr:uid="{00000000-0005-0000-0000-0000523D0000}"/>
    <cellStyle name="Note 2 8 2 2 3 2 4" xfId="5530" xr:uid="{00000000-0005-0000-0000-0000533D0000}"/>
    <cellStyle name="Note 2 8 2 2 3 2 5" xfId="5536" xr:uid="{00000000-0005-0000-0000-0000543D0000}"/>
    <cellStyle name="Note 2 8 2 2 3 3" xfId="16390" xr:uid="{00000000-0005-0000-0000-0000553D0000}"/>
    <cellStyle name="Note 2 8 2 2 3 3 2" xfId="21572" xr:uid="{00000000-0005-0000-0000-0000563D0000}"/>
    <cellStyle name="Note 2 8 2 2 3 3 3" xfId="17022" xr:uid="{00000000-0005-0000-0000-0000573D0000}"/>
    <cellStyle name="Note 2 8 2 2 3 3 4" xfId="17032" xr:uid="{00000000-0005-0000-0000-0000583D0000}"/>
    <cellStyle name="Note 2 8 2 2 3 4" xfId="16392" xr:uid="{00000000-0005-0000-0000-0000593D0000}"/>
    <cellStyle name="Note 2 8 2 2 3 5" xfId="21655" xr:uid="{00000000-0005-0000-0000-00005A3D0000}"/>
    <cellStyle name="Note 2 8 2 2 3 6" xfId="1859" xr:uid="{00000000-0005-0000-0000-00005B3D0000}"/>
    <cellStyle name="Note 2 8 2 2 4" xfId="9772" xr:uid="{00000000-0005-0000-0000-00005C3D0000}"/>
    <cellStyle name="Note 2 8 2 2 4 2" xfId="21657" xr:uid="{00000000-0005-0000-0000-00005D3D0000}"/>
    <cellStyle name="Note 2 8 2 2 4 2 2" xfId="21658" xr:uid="{00000000-0005-0000-0000-00005E3D0000}"/>
    <cellStyle name="Note 2 8 2 2 4 2 3" xfId="17059" xr:uid="{00000000-0005-0000-0000-00005F3D0000}"/>
    <cellStyle name="Note 2 8 2 2 4 2 4" xfId="17061" xr:uid="{00000000-0005-0000-0000-0000603D0000}"/>
    <cellStyle name="Note 2 8 2 2 4 3" xfId="21660" xr:uid="{00000000-0005-0000-0000-0000613D0000}"/>
    <cellStyle name="Note 2 8 2 2 4 4" xfId="21661" xr:uid="{00000000-0005-0000-0000-0000623D0000}"/>
    <cellStyle name="Note 2 8 2 2 4 5" xfId="21662" xr:uid="{00000000-0005-0000-0000-0000633D0000}"/>
    <cellStyle name="Note 2 8 2 2 5" xfId="3678" xr:uid="{00000000-0005-0000-0000-0000643D0000}"/>
    <cellStyle name="Note 2 8 2 2 5 2" xfId="3683" xr:uid="{00000000-0005-0000-0000-0000653D0000}"/>
    <cellStyle name="Note 2 8 2 2 5 3" xfId="3691" xr:uid="{00000000-0005-0000-0000-0000663D0000}"/>
    <cellStyle name="Note 2 8 2 2 5 4" xfId="3700" xr:uid="{00000000-0005-0000-0000-0000673D0000}"/>
    <cellStyle name="Note 2 8 2 2 6" xfId="3708" xr:uid="{00000000-0005-0000-0000-0000683D0000}"/>
    <cellStyle name="Note 2 8 2 2 7" xfId="3717" xr:uid="{00000000-0005-0000-0000-0000693D0000}"/>
    <cellStyle name="Note 2 8 2 2 8" xfId="272" xr:uid="{00000000-0005-0000-0000-00006A3D0000}"/>
    <cellStyle name="Note 2 8 2 3" xfId="21665" xr:uid="{00000000-0005-0000-0000-00006B3D0000}"/>
    <cellStyle name="Note 2 8 2 3 2" xfId="14929" xr:uid="{00000000-0005-0000-0000-00006C3D0000}"/>
    <cellStyle name="Note 2 8 2 3 2 2" xfId="21666" xr:uid="{00000000-0005-0000-0000-00006D3D0000}"/>
    <cellStyle name="Note 2 8 2 3 2 2 2" xfId="15560" xr:uid="{00000000-0005-0000-0000-00006E3D0000}"/>
    <cellStyle name="Note 2 8 2 3 2 2 2 2" xfId="17751" xr:uid="{00000000-0005-0000-0000-00006F3D0000}"/>
    <cellStyle name="Note 2 8 2 3 2 2 2 3" xfId="14278" xr:uid="{00000000-0005-0000-0000-0000703D0000}"/>
    <cellStyle name="Note 2 8 2 3 2 2 2 4" xfId="14282" xr:uid="{00000000-0005-0000-0000-0000713D0000}"/>
    <cellStyle name="Note 2 8 2 3 2 2 3" xfId="984" xr:uid="{00000000-0005-0000-0000-0000723D0000}"/>
    <cellStyle name="Note 2 8 2 3 2 2 4" xfId="1873" xr:uid="{00000000-0005-0000-0000-0000733D0000}"/>
    <cellStyle name="Note 2 8 2 3 2 2 5" xfId="130" xr:uid="{00000000-0005-0000-0000-0000743D0000}"/>
    <cellStyle name="Note 2 8 2 3 2 3" xfId="21667" xr:uid="{00000000-0005-0000-0000-0000753D0000}"/>
    <cellStyle name="Note 2 8 2 3 2 3 2" xfId="21372" xr:uid="{00000000-0005-0000-0000-0000763D0000}"/>
    <cellStyle name="Note 2 8 2 3 2 3 3" xfId="21376" xr:uid="{00000000-0005-0000-0000-0000773D0000}"/>
    <cellStyle name="Note 2 8 2 3 2 3 4" xfId="19080" xr:uid="{00000000-0005-0000-0000-0000783D0000}"/>
    <cellStyle name="Note 2 8 2 3 2 4" xfId="21668" xr:uid="{00000000-0005-0000-0000-0000793D0000}"/>
    <cellStyle name="Note 2 8 2 3 2 5" xfId="17531" xr:uid="{00000000-0005-0000-0000-00007A3D0000}"/>
    <cellStyle name="Note 2 8 2 3 2 6" xfId="2285" xr:uid="{00000000-0005-0000-0000-00007B3D0000}"/>
    <cellStyle name="Note 2 8 2 3 3" xfId="11101" xr:uid="{00000000-0005-0000-0000-00007C3D0000}"/>
    <cellStyle name="Note 2 8 2 3 3 2" xfId="11106" xr:uid="{00000000-0005-0000-0000-00007D3D0000}"/>
    <cellStyle name="Note 2 8 2 3 3 2 2" xfId="13213" xr:uid="{00000000-0005-0000-0000-00007E3D0000}"/>
    <cellStyle name="Note 2 8 2 3 3 2 3" xfId="17091" xr:uid="{00000000-0005-0000-0000-00007F3D0000}"/>
    <cellStyle name="Note 2 8 2 3 3 2 4" xfId="17109" xr:uid="{00000000-0005-0000-0000-0000803D0000}"/>
    <cellStyle name="Note 2 8 2 3 3 3" xfId="11112" xr:uid="{00000000-0005-0000-0000-0000813D0000}"/>
    <cellStyle name="Note 2 8 2 3 3 4" xfId="11117" xr:uid="{00000000-0005-0000-0000-0000823D0000}"/>
    <cellStyle name="Note 2 8 2 3 3 5" xfId="21669" xr:uid="{00000000-0005-0000-0000-0000833D0000}"/>
    <cellStyle name="Note 2 8 2 3 4" xfId="513" xr:uid="{00000000-0005-0000-0000-0000843D0000}"/>
    <cellStyle name="Note 2 8 2 3 4 2" xfId="21670" xr:uid="{00000000-0005-0000-0000-0000853D0000}"/>
    <cellStyle name="Note 2 8 2 3 4 3" xfId="21671" xr:uid="{00000000-0005-0000-0000-0000863D0000}"/>
    <cellStyle name="Note 2 8 2 3 4 4" xfId="21672" xr:uid="{00000000-0005-0000-0000-0000873D0000}"/>
    <cellStyle name="Note 2 8 2 3 5" xfId="571" xr:uid="{00000000-0005-0000-0000-0000883D0000}"/>
    <cellStyle name="Note 2 8 2 3 6" xfId="3185" xr:uid="{00000000-0005-0000-0000-0000893D0000}"/>
    <cellStyle name="Note 2 8 2 3 7" xfId="742" xr:uid="{00000000-0005-0000-0000-00008A3D0000}"/>
    <cellStyle name="Note 2 8 2 4" xfId="21673" xr:uid="{00000000-0005-0000-0000-00008B3D0000}"/>
    <cellStyle name="Note 2 8 2 4 2" xfId="14939" xr:uid="{00000000-0005-0000-0000-00008C3D0000}"/>
    <cellStyle name="Note 2 8 2 4 2 2" xfId="21674" xr:uid="{00000000-0005-0000-0000-00008D3D0000}"/>
    <cellStyle name="Note 2 8 2 4 2 2 2" xfId="20903" xr:uid="{00000000-0005-0000-0000-00008E3D0000}"/>
    <cellStyle name="Note 2 8 2 4 2 2 3" xfId="20906" xr:uid="{00000000-0005-0000-0000-00008F3D0000}"/>
    <cellStyle name="Note 2 8 2 4 2 2 4" xfId="19753" xr:uid="{00000000-0005-0000-0000-0000903D0000}"/>
    <cellStyle name="Note 2 8 2 4 2 3" xfId="21675" xr:uid="{00000000-0005-0000-0000-0000913D0000}"/>
    <cellStyle name="Note 2 8 2 4 2 4" xfId="21676" xr:uid="{00000000-0005-0000-0000-0000923D0000}"/>
    <cellStyle name="Note 2 8 2 4 2 5" xfId="21677" xr:uid="{00000000-0005-0000-0000-0000933D0000}"/>
    <cellStyle name="Note 2 8 2 4 3" xfId="11124" xr:uid="{00000000-0005-0000-0000-0000943D0000}"/>
    <cellStyle name="Note 2 8 2 4 3 2" xfId="21679" xr:uid="{00000000-0005-0000-0000-0000953D0000}"/>
    <cellStyle name="Note 2 8 2 4 3 3" xfId="21681" xr:uid="{00000000-0005-0000-0000-0000963D0000}"/>
    <cellStyle name="Note 2 8 2 4 3 4" xfId="21683" xr:uid="{00000000-0005-0000-0000-0000973D0000}"/>
    <cellStyle name="Note 2 8 2 4 4" xfId="3199" xr:uid="{00000000-0005-0000-0000-0000983D0000}"/>
    <cellStyle name="Note 2 8 2 4 5" xfId="3234" xr:uid="{00000000-0005-0000-0000-0000993D0000}"/>
    <cellStyle name="Note 2 8 2 4 6" xfId="3245" xr:uid="{00000000-0005-0000-0000-00009A3D0000}"/>
    <cellStyle name="Note 2 8 2 5" xfId="18742" xr:uid="{00000000-0005-0000-0000-00009B3D0000}"/>
    <cellStyle name="Note 2 8 2 5 2" xfId="19633" xr:uid="{00000000-0005-0000-0000-00009C3D0000}"/>
    <cellStyle name="Note 2 8 2 5 2 2" xfId="19529" xr:uid="{00000000-0005-0000-0000-00009D3D0000}"/>
    <cellStyle name="Note 2 8 2 5 2 3" xfId="21684" xr:uid="{00000000-0005-0000-0000-00009E3D0000}"/>
    <cellStyle name="Note 2 8 2 5 2 4" xfId="21685" xr:uid="{00000000-0005-0000-0000-00009F3D0000}"/>
    <cellStyle name="Note 2 8 2 5 3" xfId="19636" xr:uid="{00000000-0005-0000-0000-0000A03D0000}"/>
    <cellStyle name="Note 2 8 2 5 4" xfId="19641" xr:uid="{00000000-0005-0000-0000-0000A13D0000}"/>
    <cellStyle name="Note 2 8 2 5 5" xfId="3257" xr:uid="{00000000-0005-0000-0000-0000A23D0000}"/>
    <cellStyle name="Note 2 8 2 6" xfId="8709" xr:uid="{00000000-0005-0000-0000-0000A33D0000}"/>
    <cellStyle name="Note 2 8 2 6 2" xfId="6661" xr:uid="{00000000-0005-0000-0000-0000A43D0000}"/>
    <cellStyle name="Note 2 8 2 6 3" xfId="6666" xr:uid="{00000000-0005-0000-0000-0000A53D0000}"/>
    <cellStyle name="Note 2 8 2 6 4" xfId="6670" xr:uid="{00000000-0005-0000-0000-0000A63D0000}"/>
    <cellStyle name="Note 2 8 2 7" xfId="8714" xr:uid="{00000000-0005-0000-0000-0000A73D0000}"/>
    <cellStyle name="Note 2 8 2 8" xfId="6686" xr:uid="{00000000-0005-0000-0000-0000A83D0000}"/>
    <cellStyle name="Note 2 8 2 9" xfId="21686" xr:uid="{00000000-0005-0000-0000-0000A93D0000}"/>
    <cellStyle name="Note 2 8 3" xfId="21688" xr:uid="{00000000-0005-0000-0000-0000AA3D0000}"/>
    <cellStyle name="Note 2 8 3 2" xfId="21689" xr:uid="{00000000-0005-0000-0000-0000AB3D0000}"/>
    <cellStyle name="Note 2 8 3 2 2" xfId="7849" xr:uid="{00000000-0005-0000-0000-0000AC3D0000}"/>
    <cellStyle name="Note 2 8 3 2 2 2" xfId="21690" xr:uid="{00000000-0005-0000-0000-0000AD3D0000}"/>
    <cellStyle name="Note 2 8 3 2 2 2 2" xfId="21691" xr:uid="{00000000-0005-0000-0000-0000AE3D0000}"/>
    <cellStyle name="Note 2 8 3 2 2 2 2 2" xfId="17576" xr:uid="{00000000-0005-0000-0000-0000AF3D0000}"/>
    <cellStyle name="Note 2 8 3 2 2 2 2 2 2" xfId="21692" xr:uid="{00000000-0005-0000-0000-0000B03D0000}"/>
    <cellStyle name="Note 2 8 3 2 2 2 2 2 3" xfId="21693" xr:uid="{00000000-0005-0000-0000-0000B13D0000}"/>
    <cellStyle name="Note 2 8 3 2 2 2 2 2 4" xfId="21694" xr:uid="{00000000-0005-0000-0000-0000B23D0000}"/>
    <cellStyle name="Note 2 8 3 2 2 2 2 3" xfId="21695" xr:uid="{00000000-0005-0000-0000-0000B33D0000}"/>
    <cellStyle name="Note 2 8 3 2 2 2 2 4" xfId="21696" xr:uid="{00000000-0005-0000-0000-0000B43D0000}"/>
    <cellStyle name="Note 2 8 3 2 2 2 2 5" xfId="21697" xr:uid="{00000000-0005-0000-0000-0000B53D0000}"/>
    <cellStyle name="Note 2 8 3 2 2 2 3" xfId="4672" xr:uid="{00000000-0005-0000-0000-0000B63D0000}"/>
    <cellStyle name="Note 2 8 3 2 2 2 3 2" xfId="5971" xr:uid="{00000000-0005-0000-0000-0000B73D0000}"/>
    <cellStyle name="Note 2 8 3 2 2 2 3 3" xfId="5977" xr:uid="{00000000-0005-0000-0000-0000B83D0000}"/>
    <cellStyle name="Note 2 8 3 2 2 2 3 4" xfId="5980" xr:uid="{00000000-0005-0000-0000-0000B93D0000}"/>
    <cellStyle name="Note 2 8 3 2 2 2 4" xfId="35" xr:uid="{00000000-0005-0000-0000-0000BA3D0000}"/>
    <cellStyle name="Note 2 8 3 2 2 2 5" xfId="5988" xr:uid="{00000000-0005-0000-0000-0000BB3D0000}"/>
    <cellStyle name="Note 2 8 3 2 2 2 6" xfId="5995" xr:uid="{00000000-0005-0000-0000-0000BC3D0000}"/>
    <cellStyle name="Note 2 8 3 2 2 3" xfId="21698" xr:uid="{00000000-0005-0000-0000-0000BD3D0000}"/>
    <cellStyle name="Note 2 8 3 2 2 3 2" xfId="21699" xr:uid="{00000000-0005-0000-0000-0000BE3D0000}"/>
    <cellStyle name="Note 2 8 3 2 2 3 2 2" xfId="21701" xr:uid="{00000000-0005-0000-0000-0000BF3D0000}"/>
    <cellStyle name="Note 2 8 3 2 2 3 2 3" xfId="21703" xr:uid="{00000000-0005-0000-0000-0000C03D0000}"/>
    <cellStyle name="Note 2 8 3 2 2 3 2 4" xfId="21704" xr:uid="{00000000-0005-0000-0000-0000C13D0000}"/>
    <cellStyle name="Note 2 8 3 2 2 3 3" xfId="4686" xr:uid="{00000000-0005-0000-0000-0000C23D0000}"/>
    <cellStyle name="Note 2 8 3 2 2 3 4" xfId="6000" xr:uid="{00000000-0005-0000-0000-0000C33D0000}"/>
    <cellStyle name="Note 2 8 3 2 2 3 5" xfId="6006" xr:uid="{00000000-0005-0000-0000-0000C43D0000}"/>
    <cellStyle name="Note 2 8 3 2 2 4" xfId="21705" xr:uid="{00000000-0005-0000-0000-0000C53D0000}"/>
    <cellStyle name="Note 2 8 3 2 2 4 2" xfId="21707" xr:uid="{00000000-0005-0000-0000-0000C63D0000}"/>
    <cellStyle name="Note 2 8 3 2 2 4 3" xfId="7486" xr:uid="{00000000-0005-0000-0000-0000C73D0000}"/>
    <cellStyle name="Note 2 8 3 2 2 4 4" xfId="7490" xr:uid="{00000000-0005-0000-0000-0000C83D0000}"/>
    <cellStyle name="Note 2 8 3 2 2 5" xfId="21700" xr:uid="{00000000-0005-0000-0000-0000C93D0000}"/>
    <cellStyle name="Note 2 8 3 2 2 6" xfId="4687" xr:uid="{00000000-0005-0000-0000-0000CA3D0000}"/>
    <cellStyle name="Note 2 8 3 2 2 7" xfId="6001" xr:uid="{00000000-0005-0000-0000-0000CB3D0000}"/>
    <cellStyle name="Note 2 8 3 2 3" xfId="9368" xr:uid="{00000000-0005-0000-0000-0000CC3D0000}"/>
    <cellStyle name="Note 2 8 3 2 3 2" xfId="11806" xr:uid="{00000000-0005-0000-0000-0000CD3D0000}"/>
    <cellStyle name="Note 2 8 3 2 3 2 2" xfId="21709" xr:uid="{00000000-0005-0000-0000-0000CE3D0000}"/>
    <cellStyle name="Note 2 8 3 2 3 2 2 2" xfId="14191" xr:uid="{00000000-0005-0000-0000-0000CF3D0000}"/>
    <cellStyle name="Note 2 8 3 2 3 2 2 3" xfId="14194" xr:uid="{00000000-0005-0000-0000-0000D03D0000}"/>
    <cellStyle name="Note 2 8 3 2 3 2 2 4" xfId="14197" xr:uid="{00000000-0005-0000-0000-0000D13D0000}"/>
    <cellStyle name="Note 2 8 3 2 3 2 3" xfId="4729" xr:uid="{00000000-0005-0000-0000-0000D23D0000}"/>
    <cellStyle name="Note 2 8 3 2 3 2 4" xfId="6042" xr:uid="{00000000-0005-0000-0000-0000D33D0000}"/>
    <cellStyle name="Note 2 8 3 2 3 2 5" xfId="6051" xr:uid="{00000000-0005-0000-0000-0000D43D0000}"/>
    <cellStyle name="Note 2 8 3 2 3 3" xfId="21710" xr:uid="{00000000-0005-0000-0000-0000D53D0000}"/>
    <cellStyle name="Note 2 8 3 2 3 3 2" xfId="21711" xr:uid="{00000000-0005-0000-0000-0000D63D0000}"/>
    <cellStyle name="Note 2 8 3 2 3 3 3" xfId="17296" xr:uid="{00000000-0005-0000-0000-0000D73D0000}"/>
    <cellStyle name="Note 2 8 3 2 3 3 4" xfId="17302" xr:uid="{00000000-0005-0000-0000-0000D83D0000}"/>
    <cellStyle name="Note 2 8 3 2 3 4" xfId="21714" xr:uid="{00000000-0005-0000-0000-0000D93D0000}"/>
    <cellStyle name="Note 2 8 3 2 3 5" xfId="21708" xr:uid="{00000000-0005-0000-0000-0000DA3D0000}"/>
    <cellStyle name="Note 2 8 3 2 3 6" xfId="7487" xr:uid="{00000000-0005-0000-0000-0000DB3D0000}"/>
    <cellStyle name="Note 2 8 3 2 4" xfId="15673" xr:uid="{00000000-0005-0000-0000-0000DC3D0000}"/>
    <cellStyle name="Note 2 8 3 2 4 2" xfId="21715" xr:uid="{00000000-0005-0000-0000-0000DD3D0000}"/>
    <cellStyle name="Note 2 8 3 2 4 2 2" xfId="21716" xr:uid="{00000000-0005-0000-0000-0000DE3D0000}"/>
    <cellStyle name="Note 2 8 3 2 4 2 3" xfId="17312" xr:uid="{00000000-0005-0000-0000-0000DF3D0000}"/>
    <cellStyle name="Note 2 8 3 2 4 2 4" xfId="17314" xr:uid="{00000000-0005-0000-0000-0000E03D0000}"/>
    <cellStyle name="Note 2 8 3 2 4 3" xfId="21717" xr:uid="{00000000-0005-0000-0000-0000E13D0000}"/>
    <cellStyle name="Note 2 8 3 2 4 4" xfId="21718" xr:uid="{00000000-0005-0000-0000-0000E23D0000}"/>
    <cellStyle name="Note 2 8 3 2 4 5" xfId="21702" xr:uid="{00000000-0005-0000-0000-0000E33D0000}"/>
    <cellStyle name="Note 2 8 3 2 5" xfId="3779" xr:uid="{00000000-0005-0000-0000-0000E43D0000}"/>
    <cellStyle name="Note 2 8 3 2 5 2" xfId="10289" xr:uid="{00000000-0005-0000-0000-0000E53D0000}"/>
    <cellStyle name="Note 2 8 3 2 5 3" xfId="7936" xr:uid="{00000000-0005-0000-0000-0000E63D0000}"/>
    <cellStyle name="Note 2 8 3 2 5 4" xfId="7942" xr:uid="{00000000-0005-0000-0000-0000E73D0000}"/>
    <cellStyle name="Note 2 8 3 2 6" xfId="3789" xr:uid="{00000000-0005-0000-0000-0000E83D0000}"/>
    <cellStyle name="Note 2 8 3 2 7" xfId="3802" xr:uid="{00000000-0005-0000-0000-0000E93D0000}"/>
    <cellStyle name="Note 2 8 3 2 8" xfId="4266" xr:uid="{00000000-0005-0000-0000-0000EA3D0000}"/>
    <cellStyle name="Note 2 8 3 3" xfId="21719" xr:uid="{00000000-0005-0000-0000-0000EB3D0000}"/>
    <cellStyle name="Note 2 8 3 3 2" xfId="14995" xr:uid="{00000000-0005-0000-0000-0000EC3D0000}"/>
    <cellStyle name="Note 2 8 3 3 2 2" xfId="21721" xr:uid="{00000000-0005-0000-0000-0000ED3D0000}"/>
    <cellStyle name="Note 2 8 3 3 2 2 2" xfId="21527" xr:uid="{00000000-0005-0000-0000-0000EE3D0000}"/>
    <cellStyle name="Note 2 8 3 3 2 2 2 2" xfId="21722" xr:uid="{00000000-0005-0000-0000-0000EF3D0000}"/>
    <cellStyle name="Note 2 8 3 3 2 2 2 3" xfId="13627" xr:uid="{00000000-0005-0000-0000-0000F03D0000}"/>
    <cellStyle name="Note 2 8 3 3 2 2 2 4" xfId="13631" xr:uid="{00000000-0005-0000-0000-0000F13D0000}"/>
    <cellStyle name="Note 2 8 3 3 2 2 3" xfId="4494" xr:uid="{00000000-0005-0000-0000-0000F23D0000}"/>
    <cellStyle name="Note 2 8 3 3 2 2 4" xfId="4646" xr:uid="{00000000-0005-0000-0000-0000F33D0000}"/>
    <cellStyle name="Note 2 8 3 3 2 2 5" xfId="4710" xr:uid="{00000000-0005-0000-0000-0000F43D0000}"/>
    <cellStyle name="Note 2 8 3 3 2 3" xfId="21724" xr:uid="{00000000-0005-0000-0000-0000F53D0000}"/>
    <cellStyle name="Note 2 8 3 3 2 3 2" xfId="13109" xr:uid="{00000000-0005-0000-0000-0000F63D0000}"/>
    <cellStyle name="Note 2 8 3 3 2 3 3" xfId="13114" xr:uid="{00000000-0005-0000-0000-0000F73D0000}"/>
    <cellStyle name="Note 2 8 3 3 2 3 4" xfId="21725" xr:uid="{00000000-0005-0000-0000-0000F83D0000}"/>
    <cellStyle name="Note 2 8 3 3 2 4" xfId="21727" xr:uid="{00000000-0005-0000-0000-0000F93D0000}"/>
    <cellStyle name="Note 2 8 3 3 2 5" xfId="21712" xr:uid="{00000000-0005-0000-0000-0000FA3D0000}"/>
    <cellStyle name="Note 2 8 3 3 2 6" xfId="17297" xr:uid="{00000000-0005-0000-0000-0000FB3D0000}"/>
    <cellStyle name="Note 2 8 3 3 3" xfId="11142" xr:uid="{00000000-0005-0000-0000-0000FC3D0000}"/>
    <cellStyle name="Note 2 8 3 3 3 2" xfId="10791" xr:uid="{00000000-0005-0000-0000-0000FD3D0000}"/>
    <cellStyle name="Note 2 8 3 3 3 2 2" xfId="14116" xr:uid="{00000000-0005-0000-0000-0000FE3D0000}"/>
    <cellStyle name="Note 2 8 3 3 3 2 3" xfId="17333" xr:uid="{00000000-0005-0000-0000-0000FF3D0000}"/>
    <cellStyle name="Note 2 8 3 3 3 2 4" xfId="17337" xr:uid="{00000000-0005-0000-0000-0000003E0000}"/>
    <cellStyle name="Note 2 8 3 3 3 3" xfId="21729" xr:uid="{00000000-0005-0000-0000-0000013E0000}"/>
    <cellStyle name="Note 2 8 3 3 3 4" xfId="21730" xr:uid="{00000000-0005-0000-0000-0000023E0000}"/>
    <cellStyle name="Note 2 8 3 3 3 5" xfId="21731" xr:uid="{00000000-0005-0000-0000-0000033E0000}"/>
    <cellStyle name="Note 2 8 3 3 4" xfId="3283" xr:uid="{00000000-0005-0000-0000-0000043E0000}"/>
    <cellStyle name="Note 2 8 3 3 4 2" xfId="21734" xr:uid="{00000000-0005-0000-0000-0000053E0000}"/>
    <cellStyle name="Note 2 8 3 3 4 3" xfId="21735" xr:uid="{00000000-0005-0000-0000-0000063E0000}"/>
    <cellStyle name="Note 2 8 3 3 4 4" xfId="21736" xr:uid="{00000000-0005-0000-0000-0000073E0000}"/>
    <cellStyle name="Note 2 8 3 3 5" xfId="3308" xr:uid="{00000000-0005-0000-0000-0000083E0000}"/>
    <cellStyle name="Note 2 8 3 3 6" xfId="1684" xr:uid="{00000000-0005-0000-0000-0000093E0000}"/>
    <cellStyle name="Note 2 8 3 3 7" xfId="1690" xr:uid="{00000000-0005-0000-0000-00000A3E0000}"/>
    <cellStyle name="Note 2 8 3 4" xfId="21737" xr:uid="{00000000-0005-0000-0000-00000B3E0000}"/>
    <cellStyle name="Note 2 8 3 4 2" xfId="21739" xr:uid="{00000000-0005-0000-0000-00000C3E0000}"/>
    <cellStyle name="Note 2 8 3 4 2 2" xfId="21741" xr:uid="{00000000-0005-0000-0000-00000D3E0000}"/>
    <cellStyle name="Note 2 8 3 4 2 2 2" xfId="21113" xr:uid="{00000000-0005-0000-0000-00000E3E0000}"/>
    <cellStyle name="Note 2 8 3 4 2 2 3" xfId="21564" xr:uid="{00000000-0005-0000-0000-00000F3E0000}"/>
    <cellStyle name="Note 2 8 3 4 2 2 4" xfId="21742" xr:uid="{00000000-0005-0000-0000-0000103E0000}"/>
    <cellStyle name="Note 2 8 3 4 2 3" xfId="21743" xr:uid="{00000000-0005-0000-0000-0000113E0000}"/>
    <cellStyle name="Note 2 8 3 4 2 4" xfId="21745" xr:uid="{00000000-0005-0000-0000-0000123E0000}"/>
    <cellStyle name="Note 2 8 3 4 2 5" xfId="21747" xr:uid="{00000000-0005-0000-0000-0000133E0000}"/>
    <cellStyle name="Note 2 8 3 4 3" xfId="21749" xr:uid="{00000000-0005-0000-0000-0000143E0000}"/>
    <cellStyle name="Note 2 8 3 4 3 2" xfId="21751" xr:uid="{00000000-0005-0000-0000-0000153E0000}"/>
    <cellStyle name="Note 2 8 3 4 3 3" xfId="21753" xr:uid="{00000000-0005-0000-0000-0000163E0000}"/>
    <cellStyle name="Note 2 8 3 4 3 4" xfId="21755" xr:uid="{00000000-0005-0000-0000-0000173E0000}"/>
    <cellStyle name="Note 2 8 3 4 4" xfId="21758" xr:uid="{00000000-0005-0000-0000-0000183E0000}"/>
    <cellStyle name="Note 2 8 3 4 5" xfId="2658" xr:uid="{00000000-0005-0000-0000-0000193E0000}"/>
    <cellStyle name="Note 2 8 3 4 6" xfId="1737" xr:uid="{00000000-0005-0000-0000-00001A3E0000}"/>
    <cellStyle name="Note 2 8 3 5" xfId="21759" xr:uid="{00000000-0005-0000-0000-00001B3E0000}"/>
    <cellStyle name="Note 2 8 3 5 2" xfId="19648" xr:uid="{00000000-0005-0000-0000-00001C3E0000}"/>
    <cellStyle name="Note 2 8 3 5 2 2" xfId="21761" xr:uid="{00000000-0005-0000-0000-00001D3E0000}"/>
    <cellStyle name="Note 2 8 3 5 2 3" xfId="21762" xr:uid="{00000000-0005-0000-0000-00001E3E0000}"/>
    <cellStyle name="Note 2 8 3 5 2 4" xfId="21763" xr:uid="{00000000-0005-0000-0000-00001F3E0000}"/>
    <cellStyle name="Note 2 8 3 5 3" xfId="19651" xr:uid="{00000000-0005-0000-0000-0000203E0000}"/>
    <cellStyle name="Note 2 8 3 5 4" xfId="21765" xr:uid="{00000000-0005-0000-0000-0000213E0000}"/>
    <cellStyle name="Note 2 8 3 5 5" xfId="10041" xr:uid="{00000000-0005-0000-0000-0000223E0000}"/>
    <cellStyle name="Note 2 8 3 6" xfId="21766" xr:uid="{00000000-0005-0000-0000-0000233E0000}"/>
    <cellStyle name="Note 2 8 3 6 2" xfId="6688" xr:uid="{00000000-0005-0000-0000-0000243E0000}"/>
    <cellStyle name="Note 2 8 3 6 3" xfId="6691" xr:uid="{00000000-0005-0000-0000-0000253E0000}"/>
    <cellStyle name="Note 2 8 3 6 4" xfId="21767" xr:uid="{00000000-0005-0000-0000-0000263E0000}"/>
    <cellStyle name="Note 2 8 3 7" xfId="21768" xr:uid="{00000000-0005-0000-0000-0000273E0000}"/>
    <cellStyle name="Note 2 8 3 8" xfId="21769" xr:uid="{00000000-0005-0000-0000-0000283E0000}"/>
    <cellStyle name="Note 2 8 3 9" xfId="21770" xr:uid="{00000000-0005-0000-0000-0000293E0000}"/>
    <cellStyle name="Note 2 8 4" xfId="21772" xr:uid="{00000000-0005-0000-0000-00002A3E0000}"/>
    <cellStyle name="Note 2 8 4 2" xfId="21773" xr:uid="{00000000-0005-0000-0000-00002B3E0000}"/>
    <cellStyle name="Note 2 8 4 2 2" xfId="15017" xr:uid="{00000000-0005-0000-0000-00002C3E0000}"/>
    <cellStyle name="Note 2 8 4 2 2 2" xfId="21774" xr:uid="{00000000-0005-0000-0000-00002D3E0000}"/>
    <cellStyle name="Note 2 8 4 2 2 2 2" xfId="21775" xr:uid="{00000000-0005-0000-0000-00002E3E0000}"/>
    <cellStyle name="Note 2 8 4 2 2 2 2 2" xfId="21776" xr:uid="{00000000-0005-0000-0000-00002F3E0000}"/>
    <cellStyle name="Note 2 8 4 2 2 2 2 3" xfId="21777" xr:uid="{00000000-0005-0000-0000-0000303E0000}"/>
    <cellStyle name="Note 2 8 4 2 2 2 2 4" xfId="21778" xr:uid="{00000000-0005-0000-0000-0000313E0000}"/>
    <cellStyle name="Note 2 8 4 2 2 2 3" xfId="4888" xr:uid="{00000000-0005-0000-0000-0000323E0000}"/>
    <cellStyle name="Note 2 8 4 2 2 2 4" xfId="6350" xr:uid="{00000000-0005-0000-0000-0000333E0000}"/>
    <cellStyle name="Note 2 8 4 2 2 2 5" xfId="415" xr:uid="{00000000-0005-0000-0000-0000343E0000}"/>
    <cellStyle name="Note 2 8 4 2 2 3" xfId="21529" xr:uid="{00000000-0005-0000-0000-0000353E0000}"/>
    <cellStyle name="Note 2 8 4 2 2 3 2" xfId="21532" xr:uid="{00000000-0005-0000-0000-0000363E0000}"/>
    <cellStyle name="Note 2 8 4 2 2 3 3" xfId="13654" xr:uid="{00000000-0005-0000-0000-0000373E0000}"/>
    <cellStyle name="Note 2 8 4 2 2 3 4" xfId="13701" xr:uid="{00000000-0005-0000-0000-0000383E0000}"/>
    <cellStyle name="Note 2 8 4 2 2 4" xfId="13105" xr:uid="{00000000-0005-0000-0000-0000393E0000}"/>
    <cellStyle name="Note 2 8 4 2 2 5" xfId="13110" xr:uid="{00000000-0005-0000-0000-00003A3E0000}"/>
    <cellStyle name="Note 2 8 4 2 2 6" xfId="13115" xr:uid="{00000000-0005-0000-0000-00003B3E0000}"/>
    <cellStyle name="Note 2 8 4 2 3" xfId="15680" xr:uid="{00000000-0005-0000-0000-00003C3E0000}"/>
    <cellStyle name="Note 2 8 4 2 3 2" xfId="21779" xr:uid="{00000000-0005-0000-0000-00003D3E0000}"/>
    <cellStyle name="Note 2 8 4 2 3 2 2" xfId="20617" xr:uid="{00000000-0005-0000-0000-00003E3E0000}"/>
    <cellStyle name="Note 2 8 4 2 3 2 3" xfId="21074" xr:uid="{00000000-0005-0000-0000-00003F3E0000}"/>
    <cellStyle name="Note 2 8 4 2 3 2 4" xfId="17460" xr:uid="{00000000-0005-0000-0000-0000403E0000}"/>
    <cellStyle name="Note 2 8 4 2 3 3" xfId="21536" xr:uid="{00000000-0005-0000-0000-0000413E0000}"/>
    <cellStyle name="Note 2 8 4 2 3 4" xfId="21539" xr:uid="{00000000-0005-0000-0000-0000423E0000}"/>
    <cellStyle name="Note 2 8 4 2 3 5" xfId="21542" xr:uid="{00000000-0005-0000-0000-0000433E0000}"/>
    <cellStyle name="Note 2 8 4 2 4" xfId="21780" xr:uid="{00000000-0005-0000-0000-0000443E0000}"/>
    <cellStyle name="Note 2 8 4 2 4 2" xfId="13946" xr:uid="{00000000-0005-0000-0000-0000453E0000}"/>
    <cellStyle name="Note 2 8 4 2 4 3" xfId="21651" xr:uid="{00000000-0005-0000-0000-0000463E0000}"/>
    <cellStyle name="Note 2 8 4 2 4 4" xfId="14210" xr:uid="{00000000-0005-0000-0000-0000473E0000}"/>
    <cellStyle name="Note 2 8 4 2 5" xfId="10488" xr:uid="{00000000-0005-0000-0000-0000483E0000}"/>
    <cellStyle name="Note 2 8 4 2 6" xfId="10496" xr:uid="{00000000-0005-0000-0000-0000493E0000}"/>
    <cellStyle name="Note 2 8 4 2 7" xfId="10498" xr:uid="{00000000-0005-0000-0000-00004A3E0000}"/>
    <cellStyle name="Note 2 8 4 3" xfId="21781" xr:uid="{00000000-0005-0000-0000-00004B3E0000}"/>
    <cellStyle name="Note 2 8 4 3 2" xfId="14120" xr:uid="{00000000-0005-0000-0000-00004C3E0000}"/>
    <cellStyle name="Note 2 8 4 3 2 2" xfId="14123" xr:uid="{00000000-0005-0000-0000-00004D3E0000}"/>
    <cellStyle name="Note 2 8 4 3 2 2 2" xfId="17797" xr:uid="{00000000-0005-0000-0000-00004E3E0000}"/>
    <cellStyle name="Note 2 8 4 3 2 2 3" xfId="17802" xr:uid="{00000000-0005-0000-0000-00004F3E0000}"/>
    <cellStyle name="Note 2 8 4 3 2 2 4" xfId="17807" xr:uid="{00000000-0005-0000-0000-0000503E0000}"/>
    <cellStyle name="Note 2 8 4 3 2 3" xfId="14128" xr:uid="{00000000-0005-0000-0000-0000513E0000}"/>
    <cellStyle name="Note 2 8 4 3 2 4" xfId="14134" xr:uid="{00000000-0005-0000-0000-0000523E0000}"/>
    <cellStyle name="Note 2 8 4 3 2 5" xfId="21548" xr:uid="{00000000-0005-0000-0000-0000533E0000}"/>
    <cellStyle name="Note 2 8 4 3 3" xfId="14138" xr:uid="{00000000-0005-0000-0000-0000543E0000}"/>
    <cellStyle name="Note 2 8 4 3 3 2" xfId="21783" xr:uid="{00000000-0005-0000-0000-0000553E0000}"/>
    <cellStyle name="Note 2 8 4 3 3 3" xfId="21785" xr:uid="{00000000-0005-0000-0000-0000563E0000}"/>
    <cellStyle name="Note 2 8 4 3 3 4" xfId="21786" xr:uid="{00000000-0005-0000-0000-0000573E0000}"/>
    <cellStyle name="Note 2 8 4 3 4" xfId="2182" xr:uid="{00000000-0005-0000-0000-0000583E0000}"/>
    <cellStyle name="Note 2 8 4 3 5" xfId="2750" xr:uid="{00000000-0005-0000-0000-0000593E0000}"/>
    <cellStyle name="Note 2 8 4 3 6" xfId="2915" xr:uid="{00000000-0005-0000-0000-00005A3E0000}"/>
    <cellStyle name="Note 2 8 4 4" xfId="21787" xr:uid="{00000000-0005-0000-0000-00005B3E0000}"/>
    <cellStyle name="Note 2 8 4 4 2" xfId="12990" xr:uid="{00000000-0005-0000-0000-00005C3E0000}"/>
    <cellStyle name="Note 2 8 4 4 2 2" xfId="2726" xr:uid="{00000000-0005-0000-0000-00005D3E0000}"/>
    <cellStyle name="Note 2 8 4 4 2 3" xfId="5928" xr:uid="{00000000-0005-0000-0000-00005E3E0000}"/>
    <cellStyle name="Note 2 8 4 4 2 4" xfId="14258" xr:uid="{00000000-0005-0000-0000-00005F3E0000}"/>
    <cellStyle name="Note 2 8 4 4 3" xfId="12996" xr:uid="{00000000-0005-0000-0000-0000603E0000}"/>
    <cellStyle name="Note 2 8 4 4 4" xfId="10100" xr:uid="{00000000-0005-0000-0000-0000613E0000}"/>
    <cellStyle name="Note 2 8 4 4 5" xfId="10115" xr:uid="{00000000-0005-0000-0000-0000623E0000}"/>
    <cellStyle name="Note 2 8 4 5" xfId="19224" xr:uid="{00000000-0005-0000-0000-0000633E0000}"/>
    <cellStyle name="Note 2 8 4 5 2" xfId="14293" xr:uid="{00000000-0005-0000-0000-0000643E0000}"/>
    <cellStyle name="Note 2 8 4 5 3" xfId="14296" xr:uid="{00000000-0005-0000-0000-0000653E0000}"/>
    <cellStyle name="Note 2 8 4 5 4" xfId="10124" xr:uid="{00000000-0005-0000-0000-0000663E0000}"/>
    <cellStyle name="Note 2 8 4 6" xfId="19227" xr:uid="{00000000-0005-0000-0000-0000673E0000}"/>
    <cellStyle name="Note 2 8 4 7" xfId="19230" xr:uid="{00000000-0005-0000-0000-0000683E0000}"/>
    <cellStyle name="Note 2 8 4 8" xfId="21788" xr:uid="{00000000-0005-0000-0000-0000693E0000}"/>
    <cellStyle name="Note 2 8 5" xfId="21789" xr:uid="{00000000-0005-0000-0000-00006A3E0000}"/>
    <cellStyle name="Note 2 8 5 2" xfId="21790" xr:uid="{00000000-0005-0000-0000-00006B3E0000}"/>
    <cellStyle name="Note 2 8 5 2 2" xfId="21792" xr:uid="{00000000-0005-0000-0000-00006C3E0000}"/>
    <cellStyle name="Note 2 8 5 2 2 2" xfId="21117" xr:uid="{00000000-0005-0000-0000-00006D3E0000}"/>
    <cellStyle name="Note 2 8 5 2 2 2 2" xfId="13376" xr:uid="{00000000-0005-0000-0000-00006E3E0000}"/>
    <cellStyle name="Note 2 8 5 2 2 2 3" xfId="15122" xr:uid="{00000000-0005-0000-0000-00006F3E0000}"/>
    <cellStyle name="Note 2 8 5 2 2 2 4" xfId="21793" xr:uid="{00000000-0005-0000-0000-0000703E0000}"/>
    <cellStyle name="Note 2 8 5 2 2 3" xfId="21119" xr:uid="{00000000-0005-0000-0000-0000713E0000}"/>
    <cellStyle name="Note 2 8 5 2 2 4" xfId="21123" xr:uid="{00000000-0005-0000-0000-0000723E0000}"/>
    <cellStyle name="Note 2 8 5 2 2 5" xfId="21567" xr:uid="{00000000-0005-0000-0000-0000733E0000}"/>
    <cellStyle name="Note 2 8 5 2 3" xfId="21794" xr:uid="{00000000-0005-0000-0000-0000743E0000}"/>
    <cellStyle name="Note 2 8 5 2 3 2" xfId="21128" xr:uid="{00000000-0005-0000-0000-0000753E0000}"/>
    <cellStyle name="Note 2 8 5 2 3 3" xfId="21130" xr:uid="{00000000-0005-0000-0000-0000763E0000}"/>
    <cellStyle name="Note 2 8 5 2 3 4" xfId="21795" xr:uid="{00000000-0005-0000-0000-0000773E0000}"/>
    <cellStyle name="Note 2 8 5 2 4" xfId="21796" xr:uid="{00000000-0005-0000-0000-0000783E0000}"/>
    <cellStyle name="Note 2 8 5 2 5" xfId="10518" xr:uid="{00000000-0005-0000-0000-0000793E0000}"/>
    <cellStyle name="Note 2 8 5 2 6" xfId="10531" xr:uid="{00000000-0005-0000-0000-00007A3E0000}"/>
    <cellStyle name="Note 2 8 5 3" xfId="21797" xr:uid="{00000000-0005-0000-0000-00007B3E0000}"/>
    <cellStyle name="Note 2 8 5 3 2" xfId="14412" xr:uid="{00000000-0005-0000-0000-00007C3E0000}"/>
    <cellStyle name="Note 2 8 5 3 2 2" xfId="21137" xr:uid="{00000000-0005-0000-0000-00007D3E0000}"/>
    <cellStyle name="Note 2 8 5 3 2 3" xfId="21140" xr:uid="{00000000-0005-0000-0000-00007E3E0000}"/>
    <cellStyle name="Note 2 8 5 3 2 4" xfId="21799" xr:uid="{00000000-0005-0000-0000-00007F3E0000}"/>
    <cellStyle name="Note 2 8 5 3 3" xfId="14414" xr:uid="{00000000-0005-0000-0000-0000803E0000}"/>
    <cellStyle name="Note 2 8 5 3 4" xfId="10136" xr:uid="{00000000-0005-0000-0000-0000813E0000}"/>
    <cellStyle name="Note 2 8 5 3 5" xfId="10144" xr:uid="{00000000-0005-0000-0000-0000823E0000}"/>
    <cellStyle name="Note 2 8 5 4" xfId="21800" xr:uid="{00000000-0005-0000-0000-0000833E0000}"/>
    <cellStyle name="Note 2 8 5 4 2" xfId="14427" xr:uid="{00000000-0005-0000-0000-0000843E0000}"/>
    <cellStyle name="Note 2 8 5 4 3" xfId="14430" xr:uid="{00000000-0005-0000-0000-0000853E0000}"/>
    <cellStyle name="Note 2 8 5 4 4" xfId="21801" xr:uid="{00000000-0005-0000-0000-0000863E0000}"/>
    <cellStyle name="Note 2 8 5 5" xfId="21802" xr:uid="{00000000-0005-0000-0000-0000873E0000}"/>
    <cellStyle name="Note 2 8 5 6" xfId="21803" xr:uid="{00000000-0005-0000-0000-0000883E0000}"/>
    <cellStyle name="Note 2 8 5 7" xfId="21804" xr:uid="{00000000-0005-0000-0000-0000893E0000}"/>
    <cellStyle name="Note 2 8 6" xfId="21806" xr:uid="{00000000-0005-0000-0000-00008A3E0000}"/>
    <cellStyle name="Note 2 8 6 2" xfId="14834" xr:uid="{00000000-0005-0000-0000-00008B3E0000}"/>
    <cellStyle name="Note 2 8 6 2 2" xfId="21808" xr:uid="{00000000-0005-0000-0000-00008C3E0000}"/>
    <cellStyle name="Note 2 8 6 2 2 2" xfId="20677" xr:uid="{00000000-0005-0000-0000-00008D3E0000}"/>
    <cellStyle name="Note 2 8 6 2 2 3" xfId="21159" xr:uid="{00000000-0005-0000-0000-00008E3E0000}"/>
    <cellStyle name="Note 2 8 6 2 2 4" xfId="21809" xr:uid="{00000000-0005-0000-0000-00008F3E0000}"/>
    <cellStyle name="Note 2 8 6 2 3" xfId="21811" xr:uid="{00000000-0005-0000-0000-0000903E0000}"/>
    <cellStyle name="Note 2 8 6 2 4" xfId="21813" xr:uid="{00000000-0005-0000-0000-0000913E0000}"/>
    <cellStyle name="Note 2 8 6 2 5" xfId="10545" xr:uid="{00000000-0005-0000-0000-0000923E0000}"/>
    <cellStyle name="Note 2 8 6 3" xfId="21815" xr:uid="{00000000-0005-0000-0000-0000933E0000}"/>
    <cellStyle name="Note 2 8 6 3 2" xfId="14535" xr:uid="{00000000-0005-0000-0000-0000943E0000}"/>
    <cellStyle name="Note 2 8 6 3 3" xfId="6719" xr:uid="{00000000-0005-0000-0000-0000953E0000}"/>
    <cellStyle name="Note 2 8 6 3 4" xfId="6735" xr:uid="{00000000-0005-0000-0000-0000963E0000}"/>
    <cellStyle name="Note 2 8 6 4" xfId="21817" xr:uid="{00000000-0005-0000-0000-0000973E0000}"/>
    <cellStyle name="Note 2 8 6 5" xfId="20030" xr:uid="{00000000-0005-0000-0000-0000983E0000}"/>
    <cellStyle name="Note 2 8 6 6" xfId="20032" xr:uid="{00000000-0005-0000-0000-0000993E0000}"/>
    <cellStyle name="Note 2 8 7" xfId="21819" xr:uid="{00000000-0005-0000-0000-00009A3E0000}"/>
    <cellStyle name="Note 2 8 7 2" xfId="21820" xr:uid="{00000000-0005-0000-0000-00009B3E0000}"/>
    <cellStyle name="Note 2 8 7 2 2" xfId="19781" xr:uid="{00000000-0005-0000-0000-00009C3E0000}"/>
    <cellStyle name="Note 2 8 7 2 3" xfId="13151" xr:uid="{00000000-0005-0000-0000-00009D3E0000}"/>
    <cellStyle name="Note 2 8 7 2 4" xfId="13155" xr:uid="{00000000-0005-0000-0000-00009E3E0000}"/>
    <cellStyle name="Note 2 8 7 3" xfId="21821" xr:uid="{00000000-0005-0000-0000-00009F3E0000}"/>
    <cellStyle name="Note 2 8 7 4" xfId="21822" xr:uid="{00000000-0005-0000-0000-0000A03E0000}"/>
    <cellStyle name="Note 2 8 7 5" xfId="21823" xr:uid="{00000000-0005-0000-0000-0000A13E0000}"/>
    <cellStyle name="Note 2 8 8" xfId="21825" xr:uid="{00000000-0005-0000-0000-0000A23E0000}"/>
    <cellStyle name="Note 2 8 8 2" xfId="9625" xr:uid="{00000000-0005-0000-0000-0000A33E0000}"/>
    <cellStyle name="Note 2 8 8 3" xfId="9631" xr:uid="{00000000-0005-0000-0000-0000A43E0000}"/>
    <cellStyle name="Note 2 8 8 4" xfId="4199" xr:uid="{00000000-0005-0000-0000-0000A53E0000}"/>
    <cellStyle name="Note 2 8 9" xfId="21828" xr:uid="{00000000-0005-0000-0000-0000A63E0000}"/>
    <cellStyle name="Note 2 9" xfId="21830" xr:uid="{00000000-0005-0000-0000-0000A73E0000}"/>
    <cellStyle name="Note 2 9 2" xfId="21831" xr:uid="{00000000-0005-0000-0000-0000A83E0000}"/>
    <cellStyle name="Note 2 9 2 2" xfId="21276" xr:uid="{00000000-0005-0000-0000-0000A93E0000}"/>
    <cellStyle name="Note 2 9 2 2 2" xfId="14186" xr:uid="{00000000-0005-0000-0000-0000AA3E0000}"/>
    <cellStyle name="Note 2 9 2 2 2 2" xfId="21833" xr:uid="{00000000-0005-0000-0000-0000AB3E0000}"/>
    <cellStyle name="Note 2 9 2 2 2 2 2" xfId="5202" xr:uid="{00000000-0005-0000-0000-0000AC3E0000}"/>
    <cellStyle name="Note 2 9 2 2 2 2 2 2" xfId="5206" xr:uid="{00000000-0005-0000-0000-0000AD3E0000}"/>
    <cellStyle name="Note 2 9 2 2 2 2 2 3" xfId="5225" xr:uid="{00000000-0005-0000-0000-0000AE3E0000}"/>
    <cellStyle name="Note 2 9 2 2 2 2 2 4" xfId="5235" xr:uid="{00000000-0005-0000-0000-0000AF3E0000}"/>
    <cellStyle name="Note 2 9 2 2 2 2 3" xfId="5168" xr:uid="{00000000-0005-0000-0000-0000B03E0000}"/>
    <cellStyle name="Note 2 9 2 2 2 2 4" xfId="5186" xr:uid="{00000000-0005-0000-0000-0000B13E0000}"/>
    <cellStyle name="Note 2 9 2 2 2 2 5" xfId="5189" xr:uid="{00000000-0005-0000-0000-0000B23E0000}"/>
    <cellStyle name="Note 2 9 2 2 2 3" xfId="21834" xr:uid="{00000000-0005-0000-0000-0000B33E0000}"/>
    <cellStyle name="Note 2 9 2 2 2 3 2" xfId="5131" xr:uid="{00000000-0005-0000-0000-0000B43E0000}"/>
    <cellStyle name="Note 2 9 2 2 2 3 3" xfId="5212" xr:uid="{00000000-0005-0000-0000-0000B53E0000}"/>
    <cellStyle name="Note 2 9 2 2 2 3 4" xfId="5218" xr:uid="{00000000-0005-0000-0000-0000B63E0000}"/>
    <cellStyle name="Note 2 9 2 2 2 4" xfId="21835" xr:uid="{00000000-0005-0000-0000-0000B73E0000}"/>
    <cellStyle name="Note 2 9 2 2 2 5" xfId="21836" xr:uid="{00000000-0005-0000-0000-0000B83E0000}"/>
    <cellStyle name="Note 2 9 2 2 2 6" xfId="6265" xr:uid="{00000000-0005-0000-0000-0000B93E0000}"/>
    <cellStyle name="Note 2 9 2 2 3" xfId="15058" xr:uid="{00000000-0005-0000-0000-0000BA3E0000}"/>
    <cellStyle name="Note 2 9 2 2 3 2" xfId="21837" xr:uid="{00000000-0005-0000-0000-0000BB3E0000}"/>
    <cellStyle name="Note 2 9 2 2 3 2 2" xfId="5349" xr:uid="{00000000-0005-0000-0000-0000BC3E0000}"/>
    <cellStyle name="Note 2 9 2 2 3 2 3" xfId="5253" xr:uid="{00000000-0005-0000-0000-0000BD3E0000}"/>
    <cellStyle name="Note 2 9 2 2 3 2 4" xfId="5256" xr:uid="{00000000-0005-0000-0000-0000BE3E0000}"/>
    <cellStyle name="Note 2 9 2 2 3 3" xfId="21838" xr:uid="{00000000-0005-0000-0000-0000BF3E0000}"/>
    <cellStyle name="Note 2 9 2 2 3 4" xfId="21839" xr:uid="{00000000-0005-0000-0000-0000C03E0000}"/>
    <cellStyle name="Note 2 9 2 2 3 5" xfId="6651" xr:uid="{00000000-0005-0000-0000-0000C13E0000}"/>
    <cellStyle name="Note 2 9 2 2 4" xfId="15703" xr:uid="{00000000-0005-0000-0000-0000C23E0000}"/>
    <cellStyle name="Note 2 9 2 2 4 2" xfId="17102" xr:uid="{00000000-0005-0000-0000-0000C33E0000}"/>
    <cellStyle name="Note 2 9 2 2 4 3" xfId="17104" xr:uid="{00000000-0005-0000-0000-0000C43E0000}"/>
    <cellStyle name="Note 2 9 2 2 4 4" xfId="21840" xr:uid="{00000000-0005-0000-0000-0000C53E0000}"/>
    <cellStyle name="Note 2 9 2 2 5" xfId="11640" xr:uid="{00000000-0005-0000-0000-0000C63E0000}"/>
    <cellStyle name="Note 2 9 2 2 6" xfId="11663" xr:uid="{00000000-0005-0000-0000-0000C73E0000}"/>
    <cellStyle name="Note 2 9 2 2 7" xfId="11674" xr:uid="{00000000-0005-0000-0000-0000C83E0000}"/>
    <cellStyle name="Note 2 9 2 3" xfId="21841" xr:uid="{00000000-0005-0000-0000-0000C93E0000}"/>
    <cellStyle name="Note 2 9 2 3 2" xfId="15074" xr:uid="{00000000-0005-0000-0000-0000CA3E0000}"/>
    <cellStyle name="Note 2 9 2 3 2 2" xfId="19219" xr:uid="{00000000-0005-0000-0000-0000CB3E0000}"/>
    <cellStyle name="Note 2 9 2 3 2 2 2" xfId="4138" xr:uid="{00000000-0005-0000-0000-0000CC3E0000}"/>
    <cellStyle name="Note 2 9 2 3 2 2 3" xfId="5330" xr:uid="{00000000-0005-0000-0000-0000CD3E0000}"/>
    <cellStyle name="Note 2 9 2 3 2 2 4" xfId="5337" xr:uid="{00000000-0005-0000-0000-0000CE3E0000}"/>
    <cellStyle name="Note 2 9 2 3 2 3" xfId="20018" xr:uid="{00000000-0005-0000-0000-0000CF3E0000}"/>
    <cellStyle name="Note 2 9 2 3 2 4" xfId="20024" xr:uid="{00000000-0005-0000-0000-0000D03E0000}"/>
    <cellStyle name="Note 2 9 2 3 2 5" xfId="20603" xr:uid="{00000000-0005-0000-0000-0000D13E0000}"/>
    <cellStyle name="Note 2 9 2 3 3" xfId="11164" xr:uid="{00000000-0005-0000-0000-0000D23E0000}"/>
    <cellStyle name="Note 2 9 2 3 3 2" xfId="20035" xr:uid="{00000000-0005-0000-0000-0000D33E0000}"/>
    <cellStyle name="Note 2 9 2 3 3 3" xfId="20040" xr:uid="{00000000-0005-0000-0000-0000D43E0000}"/>
    <cellStyle name="Note 2 9 2 3 3 4" xfId="20606" xr:uid="{00000000-0005-0000-0000-0000D53E0000}"/>
    <cellStyle name="Note 2 9 2 3 4" xfId="2314" xr:uid="{00000000-0005-0000-0000-0000D63E0000}"/>
    <cellStyle name="Note 2 9 2 3 5" xfId="3527" xr:uid="{00000000-0005-0000-0000-0000D73E0000}"/>
    <cellStyle name="Note 2 9 2 3 6" xfId="3534" xr:uid="{00000000-0005-0000-0000-0000D83E0000}"/>
    <cellStyle name="Note 2 9 2 4" xfId="21842" xr:uid="{00000000-0005-0000-0000-0000D93E0000}"/>
    <cellStyle name="Note 2 9 2 4 2" xfId="12245" xr:uid="{00000000-0005-0000-0000-0000DA3E0000}"/>
    <cellStyle name="Note 2 9 2 4 2 2" xfId="19055" xr:uid="{00000000-0005-0000-0000-0000DB3E0000}"/>
    <cellStyle name="Note 2 9 2 4 2 3" xfId="19075" xr:uid="{00000000-0005-0000-0000-0000DC3E0000}"/>
    <cellStyle name="Note 2 9 2 4 2 4" xfId="19087" xr:uid="{00000000-0005-0000-0000-0000DD3E0000}"/>
    <cellStyle name="Note 2 9 2 4 3" xfId="12253" xr:uid="{00000000-0005-0000-0000-0000DE3E0000}"/>
    <cellStyle name="Note 2 9 2 4 4" xfId="19102" xr:uid="{00000000-0005-0000-0000-0000DF3E0000}"/>
    <cellStyle name="Note 2 9 2 4 5" xfId="3561" xr:uid="{00000000-0005-0000-0000-0000E03E0000}"/>
    <cellStyle name="Note 2 9 2 5" xfId="21843" xr:uid="{00000000-0005-0000-0000-0000E13E0000}"/>
    <cellStyle name="Note 2 9 2 5 2" xfId="18887" xr:uid="{00000000-0005-0000-0000-0000E23E0000}"/>
    <cellStyle name="Note 2 9 2 5 3" xfId="19676" xr:uid="{00000000-0005-0000-0000-0000E33E0000}"/>
    <cellStyle name="Note 2 9 2 5 4" xfId="19772" xr:uid="{00000000-0005-0000-0000-0000E43E0000}"/>
    <cellStyle name="Note 2 9 2 6" xfId="21844" xr:uid="{00000000-0005-0000-0000-0000E53E0000}"/>
    <cellStyle name="Note 2 9 2 7" xfId="21845" xr:uid="{00000000-0005-0000-0000-0000E63E0000}"/>
    <cellStyle name="Note 2 9 2 8" xfId="21846" xr:uid="{00000000-0005-0000-0000-0000E73E0000}"/>
    <cellStyle name="Note 2 9 3" xfId="6464" xr:uid="{00000000-0005-0000-0000-0000E83E0000}"/>
    <cellStyle name="Note 2 9 3 2" xfId="21848" xr:uid="{00000000-0005-0000-0000-0000E93E0000}"/>
    <cellStyle name="Note 2 9 3 2 2" xfId="15081" xr:uid="{00000000-0005-0000-0000-0000EA3E0000}"/>
    <cellStyle name="Note 2 9 3 2 2 2" xfId="21850" xr:uid="{00000000-0005-0000-0000-0000EB3E0000}"/>
    <cellStyle name="Note 2 9 3 2 2 2 2" xfId="1339" xr:uid="{00000000-0005-0000-0000-0000EC3E0000}"/>
    <cellStyle name="Note 2 9 3 2 2 2 3" xfId="1389" xr:uid="{00000000-0005-0000-0000-0000ED3E0000}"/>
    <cellStyle name="Note 2 9 3 2 2 2 4" xfId="5442" xr:uid="{00000000-0005-0000-0000-0000EE3E0000}"/>
    <cellStyle name="Note 2 9 3 2 2 3" xfId="21851" xr:uid="{00000000-0005-0000-0000-0000EF3E0000}"/>
    <cellStyle name="Note 2 9 3 2 2 4" xfId="21852" xr:uid="{00000000-0005-0000-0000-0000F03E0000}"/>
    <cellStyle name="Note 2 9 3 2 2 5" xfId="21533" xr:uid="{00000000-0005-0000-0000-0000F13E0000}"/>
    <cellStyle name="Note 2 9 3 2 3" xfId="15712" xr:uid="{00000000-0005-0000-0000-0000F23E0000}"/>
    <cellStyle name="Note 2 9 3 2 3 2" xfId="21853" xr:uid="{00000000-0005-0000-0000-0000F33E0000}"/>
    <cellStyle name="Note 2 9 3 2 3 3" xfId="21854" xr:uid="{00000000-0005-0000-0000-0000F43E0000}"/>
    <cellStyle name="Note 2 9 3 2 3 4" xfId="21855" xr:uid="{00000000-0005-0000-0000-0000F53E0000}"/>
    <cellStyle name="Note 2 9 3 2 4" xfId="21856" xr:uid="{00000000-0005-0000-0000-0000F63E0000}"/>
    <cellStyle name="Note 2 9 3 2 5" xfId="11746" xr:uid="{00000000-0005-0000-0000-0000F73E0000}"/>
    <cellStyle name="Note 2 9 3 2 6" xfId="10581" xr:uid="{00000000-0005-0000-0000-0000F83E0000}"/>
    <cellStyle name="Note 2 9 3 3" xfId="21858" xr:uid="{00000000-0005-0000-0000-0000F93E0000}"/>
    <cellStyle name="Note 2 9 3 3 2" xfId="18528" xr:uid="{00000000-0005-0000-0000-0000FA3E0000}"/>
    <cellStyle name="Note 2 9 3 3 2 2" xfId="19382" xr:uid="{00000000-0005-0000-0000-0000FB3E0000}"/>
    <cellStyle name="Note 2 9 3 3 2 3" xfId="20092" xr:uid="{00000000-0005-0000-0000-0000FC3E0000}"/>
    <cellStyle name="Note 2 9 3 3 2 4" xfId="20621" xr:uid="{00000000-0005-0000-0000-0000FD3E0000}"/>
    <cellStyle name="Note 2 9 3 3 3" xfId="18531" xr:uid="{00000000-0005-0000-0000-0000FE3E0000}"/>
    <cellStyle name="Note 2 9 3 3 4" xfId="18534" xr:uid="{00000000-0005-0000-0000-0000FF3E0000}"/>
    <cellStyle name="Note 2 9 3 3 5" xfId="3060" xr:uid="{00000000-0005-0000-0000-0000003F0000}"/>
    <cellStyle name="Note 2 9 3 4" xfId="21859" xr:uid="{00000000-0005-0000-0000-0000013F0000}"/>
    <cellStyle name="Note 2 9 3 4 2" xfId="18544" xr:uid="{00000000-0005-0000-0000-0000023F0000}"/>
    <cellStyle name="Note 2 9 3 4 3" xfId="18550" xr:uid="{00000000-0005-0000-0000-0000033F0000}"/>
    <cellStyle name="Note 2 9 3 4 4" xfId="20630" xr:uid="{00000000-0005-0000-0000-0000043F0000}"/>
    <cellStyle name="Note 2 9 3 5" xfId="21860" xr:uid="{00000000-0005-0000-0000-0000053F0000}"/>
    <cellStyle name="Note 2 9 3 6" xfId="21861" xr:uid="{00000000-0005-0000-0000-0000063F0000}"/>
    <cellStyle name="Note 2 9 3 7" xfId="21862" xr:uid="{00000000-0005-0000-0000-0000073F0000}"/>
    <cellStyle name="Note 2 9 4" xfId="6471" xr:uid="{00000000-0005-0000-0000-0000083F0000}"/>
    <cellStyle name="Note 2 9 4 2" xfId="21863" xr:uid="{00000000-0005-0000-0000-0000093F0000}"/>
    <cellStyle name="Note 2 9 4 2 2" xfId="17812" xr:uid="{00000000-0005-0000-0000-00000A3F0000}"/>
    <cellStyle name="Note 2 9 4 2 2 2" xfId="606" xr:uid="{00000000-0005-0000-0000-00000B3F0000}"/>
    <cellStyle name="Note 2 9 4 2 2 3" xfId="17825" xr:uid="{00000000-0005-0000-0000-00000C3F0000}"/>
    <cellStyle name="Note 2 9 4 2 2 4" xfId="13344" xr:uid="{00000000-0005-0000-0000-00000D3F0000}"/>
    <cellStyle name="Note 2 9 4 2 3" xfId="17833" xr:uid="{00000000-0005-0000-0000-00000E3F0000}"/>
    <cellStyle name="Note 2 9 4 2 4" xfId="17493" xr:uid="{00000000-0005-0000-0000-00000F3F0000}"/>
    <cellStyle name="Note 2 9 4 2 5" xfId="11798" xr:uid="{00000000-0005-0000-0000-0000103F0000}"/>
    <cellStyle name="Note 2 9 4 3" xfId="21864" xr:uid="{00000000-0005-0000-0000-0000113F0000}"/>
    <cellStyle name="Note 2 9 4 3 2" xfId="14884" xr:uid="{00000000-0005-0000-0000-0000123F0000}"/>
    <cellStyle name="Note 2 9 4 3 3" xfId="14908" xr:uid="{00000000-0005-0000-0000-0000133F0000}"/>
    <cellStyle name="Note 2 9 4 3 4" xfId="250" xr:uid="{00000000-0005-0000-0000-0000143F0000}"/>
    <cellStyle name="Note 2 9 4 4" xfId="21865" xr:uid="{00000000-0005-0000-0000-0000153F0000}"/>
    <cellStyle name="Note 2 9 4 5" xfId="21866" xr:uid="{00000000-0005-0000-0000-0000163F0000}"/>
    <cellStyle name="Note 2 9 4 6" xfId="21867" xr:uid="{00000000-0005-0000-0000-0000173F0000}"/>
    <cellStyle name="Note 2 9 5" xfId="7249" xr:uid="{00000000-0005-0000-0000-0000183F0000}"/>
    <cellStyle name="Note 2 9 5 2" xfId="21868" xr:uid="{00000000-0005-0000-0000-0000193F0000}"/>
    <cellStyle name="Note 2 9 5 2 2" xfId="21869" xr:uid="{00000000-0005-0000-0000-00001A3F0000}"/>
    <cellStyle name="Note 2 9 5 2 3" xfId="330" xr:uid="{00000000-0005-0000-0000-00001B3F0000}"/>
    <cellStyle name="Note 2 9 5 2 4" xfId="21870" xr:uid="{00000000-0005-0000-0000-00001C3F0000}"/>
    <cellStyle name="Note 2 9 5 3" xfId="21871" xr:uid="{00000000-0005-0000-0000-00001D3F0000}"/>
    <cellStyle name="Note 2 9 5 4" xfId="21872" xr:uid="{00000000-0005-0000-0000-00001E3F0000}"/>
    <cellStyle name="Note 2 9 5 5" xfId="21873" xr:uid="{00000000-0005-0000-0000-00001F3F0000}"/>
    <cellStyle name="Note 2 9 6" xfId="1634" xr:uid="{00000000-0005-0000-0000-0000203F0000}"/>
    <cellStyle name="Note 2 9 6 2" xfId="21874" xr:uid="{00000000-0005-0000-0000-0000213F0000}"/>
    <cellStyle name="Note 2 9 6 3" xfId="21875" xr:uid="{00000000-0005-0000-0000-0000223F0000}"/>
    <cellStyle name="Note 2 9 6 4" xfId="21876" xr:uid="{00000000-0005-0000-0000-0000233F0000}"/>
    <cellStyle name="Note 2 9 7" xfId="5095" xr:uid="{00000000-0005-0000-0000-0000243F0000}"/>
    <cellStyle name="Note 2 9 8" xfId="21878" xr:uid="{00000000-0005-0000-0000-0000253F0000}"/>
    <cellStyle name="Note 2 9 9" xfId="21880" xr:uid="{00000000-0005-0000-0000-0000263F0000}"/>
    <cellStyle name="Note 3" xfId="21881" xr:uid="{00000000-0005-0000-0000-0000273F0000}"/>
    <cellStyle name="Note 3 10" xfId="21807" xr:uid="{00000000-0005-0000-0000-0000283F0000}"/>
    <cellStyle name="Note 3 11" xfId="21810" xr:uid="{00000000-0005-0000-0000-0000293F0000}"/>
    <cellStyle name="Note 3 12" xfId="21812" xr:uid="{00000000-0005-0000-0000-00002A3F0000}"/>
    <cellStyle name="Note 3 13" xfId="10543" xr:uid="{00000000-0005-0000-0000-00002B3F0000}"/>
    <cellStyle name="Note 3 2" xfId="6819" xr:uid="{00000000-0005-0000-0000-00002C3F0000}"/>
    <cellStyle name="Note 3 2 10" xfId="8314" xr:uid="{00000000-0005-0000-0000-00002D3F0000}"/>
    <cellStyle name="Note 3 2 11" xfId="8317" xr:uid="{00000000-0005-0000-0000-00002E3F0000}"/>
    <cellStyle name="Note 3 2 12" xfId="15294" xr:uid="{00000000-0005-0000-0000-00002F3F0000}"/>
    <cellStyle name="Note 3 2 2" xfId="4542" xr:uid="{00000000-0005-0000-0000-0000303F0000}"/>
    <cellStyle name="Note 3 2 2 2" xfId="21882" xr:uid="{00000000-0005-0000-0000-0000313F0000}"/>
    <cellStyle name="Note 3 2 2 2 2" xfId="21883" xr:uid="{00000000-0005-0000-0000-0000323F0000}"/>
    <cellStyle name="Note 3 2 2 2 2 2" xfId="21884" xr:uid="{00000000-0005-0000-0000-0000333F0000}"/>
    <cellStyle name="Note 3 2 2 2 2 2 2" xfId="2344" xr:uid="{00000000-0005-0000-0000-0000343F0000}"/>
    <cellStyle name="Note 3 2 2 2 2 2 2 2" xfId="20294" xr:uid="{00000000-0005-0000-0000-0000353F0000}"/>
    <cellStyle name="Note 3 2 2 2 2 2 2 2 2" xfId="4091" xr:uid="{00000000-0005-0000-0000-0000363F0000}"/>
    <cellStyle name="Note 3 2 2 2 2 2 2 2 3" xfId="4109" xr:uid="{00000000-0005-0000-0000-0000373F0000}"/>
    <cellStyle name="Note 3 2 2 2 2 2 2 2 4" xfId="11234" xr:uid="{00000000-0005-0000-0000-0000383F0000}"/>
    <cellStyle name="Note 3 2 2 2 2 2 2 3" xfId="20297" xr:uid="{00000000-0005-0000-0000-0000393F0000}"/>
    <cellStyle name="Note 3 2 2 2 2 2 2 4" xfId="20300" xr:uid="{00000000-0005-0000-0000-00003A3F0000}"/>
    <cellStyle name="Note 3 2 2 2 2 2 2 5" xfId="20304" xr:uid="{00000000-0005-0000-0000-00003B3F0000}"/>
    <cellStyle name="Note 3 2 2 2 2 2 3" xfId="4191" xr:uid="{00000000-0005-0000-0000-00003C3F0000}"/>
    <cellStyle name="Note 3 2 2 2 2 2 3 2" xfId="1455" xr:uid="{00000000-0005-0000-0000-00003D3F0000}"/>
    <cellStyle name="Note 3 2 2 2 2 2 3 3" xfId="696" xr:uid="{00000000-0005-0000-0000-00003E3F0000}"/>
    <cellStyle name="Note 3 2 2 2 2 2 3 4" xfId="707" xr:uid="{00000000-0005-0000-0000-00003F3F0000}"/>
    <cellStyle name="Note 3 2 2 2 2 2 4" xfId="18491" xr:uid="{00000000-0005-0000-0000-0000403F0000}"/>
    <cellStyle name="Note 3 2 2 2 2 2 5" xfId="18496" xr:uid="{00000000-0005-0000-0000-0000413F0000}"/>
    <cellStyle name="Note 3 2 2 2 2 2 6" xfId="10782" xr:uid="{00000000-0005-0000-0000-0000423F0000}"/>
    <cellStyle name="Note 3 2 2 2 2 3" xfId="21885" xr:uid="{00000000-0005-0000-0000-0000433F0000}"/>
    <cellStyle name="Note 3 2 2 2 2 3 2" xfId="20314" xr:uid="{00000000-0005-0000-0000-0000443F0000}"/>
    <cellStyle name="Note 3 2 2 2 2 3 2 2" xfId="20316" xr:uid="{00000000-0005-0000-0000-0000453F0000}"/>
    <cellStyle name="Note 3 2 2 2 2 3 2 3" xfId="20319" xr:uid="{00000000-0005-0000-0000-0000463F0000}"/>
    <cellStyle name="Note 3 2 2 2 2 3 2 4" xfId="20322" xr:uid="{00000000-0005-0000-0000-0000473F0000}"/>
    <cellStyle name="Note 3 2 2 2 2 3 3" xfId="20324" xr:uid="{00000000-0005-0000-0000-0000483F0000}"/>
    <cellStyle name="Note 3 2 2 2 2 3 4" xfId="20326" xr:uid="{00000000-0005-0000-0000-0000493F0000}"/>
    <cellStyle name="Note 3 2 2 2 2 3 5" xfId="20328" xr:uid="{00000000-0005-0000-0000-00004A3F0000}"/>
    <cellStyle name="Note 3 2 2 2 2 4" xfId="11371" xr:uid="{00000000-0005-0000-0000-00004B3F0000}"/>
    <cellStyle name="Note 3 2 2 2 2 4 2" xfId="11380" xr:uid="{00000000-0005-0000-0000-00004C3F0000}"/>
    <cellStyle name="Note 3 2 2 2 2 4 3" xfId="11525" xr:uid="{00000000-0005-0000-0000-00004D3F0000}"/>
    <cellStyle name="Note 3 2 2 2 2 4 4" xfId="11565" xr:uid="{00000000-0005-0000-0000-00004E3F0000}"/>
    <cellStyle name="Note 3 2 2 2 2 5" xfId="11629" xr:uid="{00000000-0005-0000-0000-00004F3F0000}"/>
    <cellStyle name="Note 3 2 2 2 2 6" xfId="11738" xr:uid="{00000000-0005-0000-0000-0000503F0000}"/>
    <cellStyle name="Note 3 2 2 2 2 7" xfId="11792" xr:uid="{00000000-0005-0000-0000-0000513F0000}"/>
    <cellStyle name="Note 3 2 2 2 3" xfId="21886" xr:uid="{00000000-0005-0000-0000-0000523F0000}"/>
    <cellStyle name="Note 3 2 2 2 3 2" xfId="13855" xr:uid="{00000000-0005-0000-0000-0000533F0000}"/>
    <cellStyle name="Note 3 2 2 2 3 2 2" xfId="20814" xr:uid="{00000000-0005-0000-0000-0000543F0000}"/>
    <cellStyle name="Note 3 2 2 2 3 2 2 2" xfId="17711" xr:uid="{00000000-0005-0000-0000-0000553F0000}"/>
    <cellStyle name="Note 3 2 2 2 3 2 2 3" xfId="20818" xr:uid="{00000000-0005-0000-0000-0000563F0000}"/>
    <cellStyle name="Note 3 2 2 2 3 2 2 4" xfId="20822" xr:uid="{00000000-0005-0000-0000-0000573F0000}"/>
    <cellStyle name="Note 3 2 2 2 3 2 3" xfId="20826" xr:uid="{00000000-0005-0000-0000-0000583F0000}"/>
    <cellStyle name="Note 3 2 2 2 3 2 4" xfId="20831" xr:uid="{00000000-0005-0000-0000-0000593F0000}"/>
    <cellStyle name="Note 3 2 2 2 3 2 5" xfId="20833" xr:uid="{00000000-0005-0000-0000-00005A3F0000}"/>
    <cellStyle name="Note 3 2 2 2 3 3" xfId="11835" xr:uid="{00000000-0005-0000-0000-00005B3F0000}"/>
    <cellStyle name="Note 3 2 2 2 3 3 2" xfId="20846" xr:uid="{00000000-0005-0000-0000-00005C3F0000}"/>
    <cellStyle name="Note 3 2 2 2 3 3 3" xfId="20852" xr:uid="{00000000-0005-0000-0000-00005D3F0000}"/>
    <cellStyle name="Note 3 2 2 2 3 3 4" xfId="20855" xr:uid="{00000000-0005-0000-0000-00005E3F0000}"/>
    <cellStyle name="Note 3 2 2 2 3 4" xfId="12065" xr:uid="{00000000-0005-0000-0000-00005F3F0000}"/>
    <cellStyle name="Note 3 2 2 2 3 5" xfId="12437" xr:uid="{00000000-0005-0000-0000-0000603F0000}"/>
    <cellStyle name="Note 3 2 2 2 3 6" xfId="12541" xr:uid="{00000000-0005-0000-0000-0000613F0000}"/>
    <cellStyle name="Note 3 2 2 2 4" xfId="21887" xr:uid="{00000000-0005-0000-0000-0000623F0000}"/>
    <cellStyle name="Note 3 2 2 2 4 2" xfId="13859" xr:uid="{00000000-0005-0000-0000-0000633F0000}"/>
    <cellStyle name="Note 3 2 2 2 4 2 2" xfId="21328" xr:uid="{00000000-0005-0000-0000-0000643F0000}"/>
    <cellStyle name="Note 3 2 2 2 4 2 3" xfId="21339" xr:uid="{00000000-0005-0000-0000-0000653F0000}"/>
    <cellStyle name="Note 3 2 2 2 4 2 4" xfId="19171" xr:uid="{00000000-0005-0000-0000-0000663F0000}"/>
    <cellStyle name="Note 3 2 2 2 4 3" xfId="21889" xr:uid="{00000000-0005-0000-0000-0000673F0000}"/>
    <cellStyle name="Note 3 2 2 2 4 4" xfId="12736" xr:uid="{00000000-0005-0000-0000-0000683F0000}"/>
    <cellStyle name="Note 3 2 2 2 4 5" xfId="12837" xr:uid="{00000000-0005-0000-0000-0000693F0000}"/>
    <cellStyle name="Note 3 2 2 2 5" xfId="21890" xr:uid="{00000000-0005-0000-0000-00006A3F0000}"/>
    <cellStyle name="Note 3 2 2 2 5 2" xfId="21891" xr:uid="{00000000-0005-0000-0000-00006B3F0000}"/>
    <cellStyle name="Note 3 2 2 2 5 3" xfId="21892" xr:uid="{00000000-0005-0000-0000-00006C3F0000}"/>
    <cellStyle name="Note 3 2 2 2 5 4" xfId="15634" xr:uid="{00000000-0005-0000-0000-00006D3F0000}"/>
    <cellStyle name="Note 3 2 2 2 6" xfId="17755" xr:uid="{00000000-0005-0000-0000-00006E3F0000}"/>
    <cellStyle name="Note 3 2 2 2 7" xfId="17757" xr:uid="{00000000-0005-0000-0000-00006F3F0000}"/>
    <cellStyle name="Note 3 2 2 2 8" xfId="17759" xr:uid="{00000000-0005-0000-0000-0000703F0000}"/>
    <cellStyle name="Note 3 2 2 3" xfId="21893" xr:uid="{00000000-0005-0000-0000-0000713F0000}"/>
    <cellStyle name="Note 3 2 2 3 2" xfId="21894" xr:uid="{00000000-0005-0000-0000-0000723F0000}"/>
    <cellStyle name="Note 3 2 2 3 2 2" xfId="21896" xr:uid="{00000000-0005-0000-0000-0000733F0000}"/>
    <cellStyle name="Note 3 2 2 3 2 2 2" xfId="21899" xr:uid="{00000000-0005-0000-0000-0000743F0000}"/>
    <cellStyle name="Note 3 2 2 3 2 2 2 2" xfId="21461" xr:uid="{00000000-0005-0000-0000-0000753F0000}"/>
    <cellStyle name="Note 3 2 2 3 2 2 2 3" xfId="21463" xr:uid="{00000000-0005-0000-0000-0000763F0000}"/>
    <cellStyle name="Note 3 2 2 3 2 2 2 4" xfId="21901" xr:uid="{00000000-0005-0000-0000-0000773F0000}"/>
    <cellStyle name="Note 3 2 2 3 2 2 3" xfId="21904" xr:uid="{00000000-0005-0000-0000-0000783F0000}"/>
    <cellStyle name="Note 3 2 2 3 2 2 4" xfId="21906" xr:uid="{00000000-0005-0000-0000-0000793F0000}"/>
    <cellStyle name="Note 3 2 2 3 2 2 5" xfId="21907" xr:uid="{00000000-0005-0000-0000-00007A3F0000}"/>
    <cellStyle name="Note 3 2 2 3 2 3" xfId="5205" xr:uid="{00000000-0005-0000-0000-00007B3F0000}"/>
    <cellStyle name="Note 3 2 2 3 2 3 2" xfId="21908" xr:uid="{00000000-0005-0000-0000-00007C3F0000}"/>
    <cellStyle name="Note 3 2 2 3 2 3 3" xfId="21909" xr:uid="{00000000-0005-0000-0000-00007D3F0000}"/>
    <cellStyle name="Note 3 2 2 3 2 3 4" xfId="21910" xr:uid="{00000000-0005-0000-0000-00007E3F0000}"/>
    <cellStyle name="Note 3 2 2 3 2 4" xfId="5223" xr:uid="{00000000-0005-0000-0000-00007F3F0000}"/>
    <cellStyle name="Note 3 2 2 3 2 5" xfId="5233" xr:uid="{00000000-0005-0000-0000-0000803F0000}"/>
    <cellStyle name="Note 3 2 2 3 2 6" xfId="14916" xr:uid="{00000000-0005-0000-0000-0000813F0000}"/>
    <cellStyle name="Note 3 2 2 3 3" xfId="21911" xr:uid="{00000000-0005-0000-0000-0000823F0000}"/>
    <cellStyle name="Note 3 2 2 3 3 2" xfId="13867" xr:uid="{00000000-0005-0000-0000-0000833F0000}"/>
    <cellStyle name="Note 3 2 2 3 3 2 2" xfId="21913" xr:uid="{00000000-0005-0000-0000-0000843F0000}"/>
    <cellStyle name="Note 3 2 2 3 3 2 3" xfId="21915" xr:uid="{00000000-0005-0000-0000-0000853F0000}"/>
    <cellStyle name="Note 3 2 2 3 3 2 4" xfId="21917" xr:uid="{00000000-0005-0000-0000-0000863F0000}"/>
    <cellStyle name="Note 3 2 2 3 3 3" xfId="21918" xr:uid="{00000000-0005-0000-0000-0000873F0000}"/>
    <cellStyle name="Note 3 2 2 3 3 4" xfId="14922" xr:uid="{00000000-0005-0000-0000-0000883F0000}"/>
    <cellStyle name="Note 3 2 2 3 3 5" xfId="14924" xr:uid="{00000000-0005-0000-0000-0000893F0000}"/>
    <cellStyle name="Note 3 2 2 3 4" xfId="21920" xr:uid="{00000000-0005-0000-0000-00008A3F0000}"/>
    <cellStyle name="Note 3 2 2 3 4 2" xfId="21923" xr:uid="{00000000-0005-0000-0000-00008B3F0000}"/>
    <cellStyle name="Note 3 2 2 3 4 3" xfId="21925" xr:uid="{00000000-0005-0000-0000-00008C3F0000}"/>
    <cellStyle name="Note 3 2 2 3 4 4" xfId="15645" xr:uid="{00000000-0005-0000-0000-00008D3F0000}"/>
    <cellStyle name="Note 3 2 2 3 5" xfId="20503" xr:uid="{00000000-0005-0000-0000-00008E3F0000}"/>
    <cellStyle name="Note 3 2 2 3 6" xfId="20510" xr:uid="{00000000-0005-0000-0000-00008F3F0000}"/>
    <cellStyle name="Note 3 2 2 3 7" xfId="19062" xr:uid="{00000000-0005-0000-0000-0000903F0000}"/>
    <cellStyle name="Note 3 2 2 4" xfId="21926" xr:uid="{00000000-0005-0000-0000-0000913F0000}"/>
    <cellStyle name="Note 3 2 2 4 2" xfId="9530" xr:uid="{00000000-0005-0000-0000-0000923F0000}"/>
    <cellStyle name="Note 3 2 2 4 2 2" xfId="9536" xr:uid="{00000000-0005-0000-0000-0000933F0000}"/>
    <cellStyle name="Note 3 2 2 4 2 2 2" xfId="21928" xr:uid="{00000000-0005-0000-0000-0000943F0000}"/>
    <cellStyle name="Note 3 2 2 4 2 2 3" xfId="21931" xr:uid="{00000000-0005-0000-0000-0000953F0000}"/>
    <cellStyle name="Note 3 2 2 4 2 2 4" xfId="18769" xr:uid="{00000000-0005-0000-0000-0000963F0000}"/>
    <cellStyle name="Note 3 2 2 4 2 3" xfId="5147" xr:uid="{00000000-0005-0000-0000-0000973F0000}"/>
    <cellStyle name="Note 3 2 2 4 2 4" xfId="5303" xr:uid="{00000000-0005-0000-0000-0000983F0000}"/>
    <cellStyle name="Note 3 2 2 4 2 5" xfId="5378" xr:uid="{00000000-0005-0000-0000-0000993F0000}"/>
    <cellStyle name="Note 3 2 2 4 3" xfId="9538" xr:uid="{00000000-0005-0000-0000-00009A3F0000}"/>
    <cellStyle name="Note 3 2 2 4 3 2" xfId="21932" xr:uid="{00000000-0005-0000-0000-00009B3F0000}"/>
    <cellStyle name="Note 3 2 2 4 3 3" xfId="21933" xr:uid="{00000000-0005-0000-0000-00009C3F0000}"/>
    <cellStyle name="Note 3 2 2 4 3 4" xfId="21934" xr:uid="{00000000-0005-0000-0000-00009D3F0000}"/>
    <cellStyle name="Note 3 2 2 4 4" xfId="9542" xr:uid="{00000000-0005-0000-0000-00009E3F0000}"/>
    <cellStyle name="Note 3 2 2 4 5" xfId="9547" xr:uid="{00000000-0005-0000-0000-00009F3F0000}"/>
    <cellStyle name="Note 3 2 2 4 6" xfId="12646" xr:uid="{00000000-0005-0000-0000-0000A03F0000}"/>
    <cellStyle name="Note 3 2 2 5" xfId="21935" xr:uid="{00000000-0005-0000-0000-0000A13F0000}"/>
    <cellStyle name="Note 3 2 2 5 2" xfId="3010" xr:uid="{00000000-0005-0000-0000-0000A23F0000}"/>
    <cellStyle name="Note 3 2 2 5 2 2" xfId="21937" xr:uid="{00000000-0005-0000-0000-0000A33F0000}"/>
    <cellStyle name="Note 3 2 2 5 2 3" xfId="5750" xr:uid="{00000000-0005-0000-0000-0000A43F0000}"/>
    <cellStyle name="Note 3 2 2 5 2 4" xfId="5854" xr:uid="{00000000-0005-0000-0000-0000A53F0000}"/>
    <cellStyle name="Note 3 2 2 5 3" xfId="3380" xr:uid="{00000000-0005-0000-0000-0000A63F0000}"/>
    <cellStyle name="Note 3 2 2 5 4" xfId="3397" xr:uid="{00000000-0005-0000-0000-0000A73F0000}"/>
    <cellStyle name="Note 3 2 2 5 5" xfId="19522" xr:uid="{00000000-0005-0000-0000-0000A83F0000}"/>
    <cellStyle name="Note 3 2 2 6" xfId="21938" xr:uid="{00000000-0005-0000-0000-0000A93F0000}"/>
    <cellStyle name="Note 3 2 2 6 2" xfId="9565" xr:uid="{00000000-0005-0000-0000-0000AA3F0000}"/>
    <cellStyle name="Note 3 2 2 6 3" xfId="9569" xr:uid="{00000000-0005-0000-0000-0000AB3F0000}"/>
    <cellStyle name="Note 3 2 2 6 4" xfId="4233" xr:uid="{00000000-0005-0000-0000-0000AC3F0000}"/>
    <cellStyle name="Note 3 2 2 7" xfId="21939" xr:uid="{00000000-0005-0000-0000-0000AD3F0000}"/>
    <cellStyle name="Note 3 2 2 8" xfId="21940" xr:uid="{00000000-0005-0000-0000-0000AE3F0000}"/>
    <cellStyle name="Note 3 2 2 9" xfId="21942" xr:uid="{00000000-0005-0000-0000-0000AF3F0000}"/>
    <cellStyle name="Note 3 2 3" xfId="4552" xr:uid="{00000000-0005-0000-0000-0000B03F0000}"/>
    <cellStyle name="Note 3 2 3 2" xfId="10528" xr:uid="{00000000-0005-0000-0000-0000B13F0000}"/>
    <cellStyle name="Note 3 2 3 2 2" xfId="21943" xr:uid="{00000000-0005-0000-0000-0000B23F0000}"/>
    <cellStyle name="Note 3 2 3 2 2 2" xfId="18037" xr:uid="{00000000-0005-0000-0000-0000B33F0000}"/>
    <cellStyle name="Note 3 2 3 2 2 2 2" xfId="18041" xr:uid="{00000000-0005-0000-0000-0000B43F0000}"/>
    <cellStyle name="Note 3 2 3 2 2 2 2 2" xfId="18045" xr:uid="{00000000-0005-0000-0000-0000B53F0000}"/>
    <cellStyle name="Note 3 2 3 2 2 2 2 2 2" xfId="11015" xr:uid="{00000000-0005-0000-0000-0000B63F0000}"/>
    <cellStyle name="Note 3 2 3 2 2 2 2 2 3" xfId="2890" xr:uid="{00000000-0005-0000-0000-0000B73F0000}"/>
    <cellStyle name="Note 3 2 3 2 2 2 2 2 4" xfId="2903" xr:uid="{00000000-0005-0000-0000-0000B83F0000}"/>
    <cellStyle name="Note 3 2 3 2 2 2 2 3" xfId="18051" xr:uid="{00000000-0005-0000-0000-0000B93F0000}"/>
    <cellStyle name="Note 3 2 3 2 2 2 2 4" xfId="18057" xr:uid="{00000000-0005-0000-0000-0000BA3F0000}"/>
    <cellStyle name="Note 3 2 3 2 2 2 2 5" xfId="21944" xr:uid="{00000000-0005-0000-0000-0000BB3F0000}"/>
    <cellStyle name="Note 3 2 3 2 2 2 3" xfId="18061" xr:uid="{00000000-0005-0000-0000-0000BC3F0000}"/>
    <cellStyle name="Note 3 2 3 2 2 2 3 2" xfId="19749" xr:uid="{00000000-0005-0000-0000-0000BD3F0000}"/>
    <cellStyle name="Note 3 2 3 2 2 2 3 3" xfId="21945" xr:uid="{00000000-0005-0000-0000-0000BE3F0000}"/>
    <cellStyle name="Note 3 2 3 2 2 2 3 4" xfId="21946" xr:uid="{00000000-0005-0000-0000-0000BF3F0000}"/>
    <cellStyle name="Note 3 2 3 2 2 2 4" xfId="18066" xr:uid="{00000000-0005-0000-0000-0000C03F0000}"/>
    <cellStyle name="Note 3 2 3 2 2 2 5" xfId="18072" xr:uid="{00000000-0005-0000-0000-0000C13F0000}"/>
    <cellStyle name="Note 3 2 3 2 2 2 6" xfId="19396" xr:uid="{00000000-0005-0000-0000-0000C23F0000}"/>
    <cellStyle name="Note 3 2 3 2 2 3" xfId="18076" xr:uid="{00000000-0005-0000-0000-0000C33F0000}"/>
    <cellStyle name="Note 3 2 3 2 2 3 2" xfId="18080" xr:uid="{00000000-0005-0000-0000-0000C43F0000}"/>
    <cellStyle name="Note 3 2 3 2 2 3 2 2" xfId="17483" xr:uid="{00000000-0005-0000-0000-0000C53F0000}"/>
    <cellStyle name="Note 3 2 3 2 2 3 2 3" xfId="21947" xr:uid="{00000000-0005-0000-0000-0000C63F0000}"/>
    <cellStyle name="Note 3 2 3 2 2 3 2 4" xfId="21948" xr:uid="{00000000-0005-0000-0000-0000C73F0000}"/>
    <cellStyle name="Note 3 2 3 2 2 3 3" xfId="18084" xr:uid="{00000000-0005-0000-0000-0000C83F0000}"/>
    <cellStyle name="Note 3 2 3 2 2 3 4" xfId="16993" xr:uid="{00000000-0005-0000-0000-0000C93F0000}"/>
    <cellStyle name="Note 3 2 3 2 2 3 5" xfId="16997" xr:uid="{00000000-0005-0000-0000-0000CA3F0000}"/>
    <cellStyle name="Note 3 2 3 2 2 4" xfId="7814" xr:uid="{00000000-0005-0000-0000-0000CB3F0000}"/>
    <cellStyle name="Note 3 2 3 2 2 4 2" xfId="14946" xr:uid="{00000000-0005-0000-0000-0000CC3F0000}"/>
    <cellStyle name="Note 3 2 3 2 2 4 3" xfId="14950" xr:uid="{00000000-0005-0000-0000-0000CD3F0000}"/>
    <cellStyle name="Note 3 2 3 2 2 4 4" xfId="14953" xr:uid="{00000000-0005-0000-0000-0000CE3F0000}"/>
    <cellStyle name="Note 3 2 3 2 2 5" xfId="7821" xr:uid="{00000000-0005-0000-0000-0000CF3F0000}"/>
    <cellStyle name="Note 3 2 3 2 2 6" xfId="7829" xr:uid="{00000000-0005-0000-0000-0000D03F0000}"/>
    <cellStyle name="Note 3 2 3 2 2 7" xfId="14956" xr:uid="{00000000-0005-0000-0000-0000D13F0000}"/>
    <cellStyle name="Note 3 2 3 2 3" xfId="21949" xr:uid="{00000000-0005-0000-0000-0000D23F0000}"/>
    <cellStyle name="Note 3 2 3 2 3 2" xfId="13913" xr:uid="{00000000-0005-0000-0000-0000D33F0000}"/>
    <cellStyle name="Note 3 2 3 2 3 2 2" xfId="21951" xr:uid="{00000000-0005-0000-0000-0000D43F0000}"/>
    <cellStyle name="Note 3 2 3 2 3 2 2 2" xfId="20301" xr:uid="{00000000-0005-0000-0000-0000D53F0000}"/>
    <cellStyle name="Note 3 2 3 2 3 2 2 3" xfId="21952" xr:uid="{00000000-0005-0000-0000-0000D63F0000}"/>
    <cellStyle name="Note 3 2 3 2 3 2 2 4" xfId="21953" xr:uid="{00000000-0005-0000-0000-0000D73F0000}"/>
    <cellStyle name="Note 3 2 3 2 3 2 3" xfId="2037" xr:uid="{00000000-0005-0000-0000-0000D83F0000}"/>
    <cellStyle name="Note 3 2 3 2 3 2 4" xfId="18117" xr:uid="{00000000-0005-0000-0000-0000D93F0000}"/>
    <cellStyle name="Note 3 2 3 2 3 2 5" xfId="19455" xr:uid="{00000000-0005-0000-0000-0000DA3F0000}"/>
    <cellStyle name="Note 3 2 3 2 3 3" xfId="18120" xr:uid="{00000000-0005-0000-0000-0000DB3F0000}"/>
    <cellStyle name="Note 3 2 3 2 3 3 2" xfId="21955" xr:uid="{00000000-0005-0000-0000-0000DC3F0000}"/>
    <cellStyle name="Note 3 2 3 2 3 3 3" xfId="2049" xr:uid="{00000000-0005-0000-0000-0000DD3F0000}"/>
    <cellStyle name="Note 3 2 3 2 3 3 4" xfId="21956" xr:uid="{00000000-0005-0000-0000-0000DE3F0000}"/>
    <cellStyle name="Note 3 2 3 2 3 4" xfId="14959" xr:uid="{00000000-0005-0000-0000-0000DF3F0000}"/>
    <cellStyle name="Note 3 2 3 2 3 5" xfId="14967" xr:uid="{00000000-0005-0000-0000-0000E03F0000}"/>
    <cellStyle name="Note 3 2 3 2 3 6" xfId="14971" xr:uid="{00000000-0005-0000-0000-0000E13F0000}"/>
    <cellStyle name="Note 3 2 3 2 4" xfId="749" xr:uid="{00000000-0005-0000-0000-0000E23F0000}"/>
    <cellStyle name="Note 3 2 3 2 4 2" xfId="18134" xr:uid="{00000000-0005-0000-0000-0000E33F0000}"/>
    <cellStyle name="Note 3 2 3 2 4 2 2" xfId="21958" xr:uid="{00000000-0005-0000-0000-0000E43F0000}"/>
    <cellStyle name="Note 3 2 3 2 4 2 3" xfId="21960" xr:uid="{00000000-0005-0000-0000-0000E53F0000}"/>
    <cellStyle name="Note 3 2 3 2 4 2 4" xfId="19358" xr:uid="{00000000-0005-0000-0000-0000E63F0000}"/>
    <cellStyle name="Note 3 2 3 2 4 3" xfId="18137" xr:uid="{00000000-0005-0000-0000-0000E73F0000}"/>
    <cellStyle name="Note 3 2 3 2 4 4" xfId="15658" xr:uid="{00000000-0005-0000-0000-0000E83F0000}"/>
    <cellStyle name="Note 3 2 3 2 4 5" xfId="21961" xr:uid="{00000000-0005-0000-0000-0000E93F0000}"/>
    <cellStyle name="Note 3 2 3 2 5" xfId="21962" xr:uid="{00000000-0005-0000-0000-0000EA3F0000}"/>
    <cellStyle name="Note 3 2 3 2 5 2" xfId="18150" xr:uid="{00000000-0005-0000-0000-0000EB3F0000}"/>
    <cellStyle name="Note 3 2 3 2 5 3" xfId="18153" xr:uid="{00000000-0005-0000-0000-0000EC3F0000}"/>
    <cellStyle name="Note 3 2 3 2 5 4" xfId="21963" xr:uid="{00000000-0005-0000-0000-0000ED3F0000}"/>
    <cellStyle name="Note 3 2 3 2 6" xfId="21964" xr:uid="{00000000-0005-0000-0000-0000EE3F0000}"/>
    <cellStyle name="Note 3 2 3 2 7" xfId="21965" xr:uid="{00000000-0005-0000-0000-0000EF3F0000}"/>
    <cellStyle name="Note 3 2 3 2 8" xfId="21966" xr:uid="{00000000-0005-0000-0000-0000F03F0000}"/>
    <cellStyle name="Note 3 2 3 3" xfId="17028" xr:uid="{00000000-0005-0000-0000-0000F13F0000}"/>
    <cellStyle name="Note 3 2 3 3 2" xfId="21967" xr:uid="{00000000-0005-0000-0000-0000F23F0000}"/>
    <cellStyle name="Note 3 2 3 3 2 2" xfId="18267" xr:uid="{00000000-0005-0000-0000-0000F33F0000}"/>
    <cellStyle name="Note 3 2 3 3 2 2 2" xfId="18272" xr:uid="{00000000-0005-0000-0000-0000F43F0000}"/>
    <cellStyle name="Note 3 2 3 3 2 2 2 2" xfId="18276" xr:uid="{00000000-0005-0000-0000-0000F53F0000}"/>
    <cellStyle name="Note 3 2 3 3 2 2 2 3" xfId="18280" xr:uid="{00000000-0005-0000-0000-0000F63F0000}"/>
    <cellStyle name="Note 3 2 3 3 2 2 2 4" xfId="18284" xr:uid="{00000000-0005-0000-0000-0000F73F0000}"/>
    <cellStyle name="Note 3 2 3 3 2 2 3" xfId="18289" xr:uid="{00000000-0005-0000-0000-0000F83F0000}"/>
    <cellStyle name="Note 3 2 3 3 2 2 4" xfId="18294" xr:uid="{00000000-0005-0000-0000-0000F93F0000}"/>
    <cellStyle name="Note 3 2 3 3 2 2 5" xfId="18299" xr:uid="{00000000-0005-0000-0000-0000FA3F0000}"/>
    <cellStyle name="Note 3 2 3 3 2 3" xfId="18304" xr:uid="{00000000-0005-0000-0000-0000FB3F0000}"/>
    <cellStyle name="Note 3 2 3 3 2 3 2" xfId="18309" xr:uid="{00000000-0005-0000-0000-0000FC3F0000}"/>
    <cellStyle name="Note 3 2 3 3 2 3 3" xfId="18314" xr:uid="{00000000-0005-0000-0000-0000FD3F0000}"/>
    <cellStyle name="Note 3 2 3 3 2 3 4" xfId="18318" xr:uid="{00000000-0005-0000-0000-0000FE3F0000}"/>
    <cellStyle name="Note 3 2 3 3 2 4" xfId="14974" xr:uid="{00000000-0005-0000-0000-0000FF3F0000}"/>
    <cellStyle name="Note 3 2 3 3 2 5" xfId="14983" xr:uid="{00000000-0005-0000-0000-000000400000}"/>
    <cellStyle name="Note 3 2 3 3 2 6" xfId="14989" xr:uid="{00000000-0005-0000-0000-000001400000}"/>
    <cellStyle name="Note 3 2 3 3 3" xfId="21968" xr:uid="{00000000-0005-0000-0000-000002400000}"/>
    <cellStyle name="Note 3 2 3 3 3 2" xfId="18386" xr:uid="{00000000-0005-0000-0000-000003400000}"/>
    <cellStyle name="Note 3 2 3 3 3 2 2" xfId="21970" xr:uid="{00000000-0005-0000-0000-000004400000}"/>
    <cellStyle name="Note 3 2 3 3 3 2 3" xfId="2169" xr:uid="{00000000-0005-0000-0000-000005400000}"/>
    <cellStyle name="Note 3 2 3 3 3 2 4" xfId="21971" xr:uid="{00000000-0005-0000-0000-000006400000}"/>
    <cellStyle name="Note 3 2 3 3 3 3" xfId="18394" xr:uid="{00000000-0005-0000-0000-000007400000}"/>
    <cellStyle name="Note 3 2 3 3 3 4" xfId="18398" xr:uid="{00000000-0005-0000-0000-000008400000}"/>
    <cellStyle name="Note 3 2 3 3 3 5" xfId="21972" xr:uid="{00000000-0005-0000-0000-000009400000}"/>
    <cellStyle name="Note 3 2 3 3 4" xfId="636" xr:uid="{00000000-0005-0000-0000-00000A400000}"/>
    <cellStyle name="Note 3 2 3 3 4 2" xfId="18445" xr:uid="{00000000-0005-0000-0000-00000B400000}"/>
    <cellStyle name="Note 3 2 3 3 4 3" xfId="18450" xr:uid="{00000000-0005-0000-0000-00000C400000}"/>
    <cellStyle name="Note 3 2 3 3 4 4" xfId="18455" xr:uid="{00000000-0005-0000-0000-00000D400000}"/>
    <cellStyle name="Note 3 2 3 3 5" xfId="21974" xr:uid="{00000000-0005-0000-0000-00000E400000}"/>
    <cellStyle name="Note 3 2 3 3 6" xfId="21978" xr:uid="{00000000-0005-0000-0000-00000F400000}"/>
    <cellStyle name="Note 3 2 3 3 7" xfId="21982" xr:uid="{00000000-0005-0000-0000-000010400000}"/>
    <cellStyle name="Note 3 2 3 4" xfId="17030" xr:uid="{00000000-0005-0000-0000-000011400000}"/>
    <cellStyle name="Note 3 2 3 4 2" xfId="21983" xr:uid="{00000000-0005-0000-0000-000012400000}"/>
    <cellStyle name="Note 3 2 3 4 2 2" xfId="18555" xr:uid="{00000000-0005-0000-0000-000013400000}"/>
    <cellStyle name="Note 3 2 3 4 2 2 2" xfId="18559" xr:uid="{00000000-0005-0000-0000-000014400000}"/>
    <cellStyle name="Note 3 2 3 4 2 2 3" xfId="18563" xr:uid="{00000000-0005-0000-0000-000015400000}"/>
    <cellStyle name="Note 3 2 3 4 2 2 4" xfId="18567" xr:uid="{00000000-0005-0000-0000-000016400000}"/>
    <cellStyle name="Note 3 2 3 4 2 3" xfId="18570" xr:uid="{00000000-0005-0000-0000-000017400000}"/>
    <cellStyle name="Note 3 2 3 4 2 4" xfId="18573" xr:uid="{00000000-0005-0000-0000-000018400000}"/>
    <cellStyle name="Note 3 2 3 4 2 5" xfId="21984" xr:uid="{00000000-0005-0000-0000-000019400000}"/>
    <cellStyle name="Note 3 2 3 4 3" xfId="21985" xr:uid="{00000000-0005-0000-0000-00001A400000}"/>
    <cellStyle name="Note 3 2 3 4 3 2" xfId="18602" xr:uid="{00000000-0005-0000-0000-00001B400000}"/>
    <cellStyle name="Note 3 2 3 4 3 3" xfId="18605" xr:uid="{00000000-0005-0000-0000-00001C400000}"/>
    <cellStyle name="Note 3 2 3 4 3 4" xfId="18608" xr:uid="{00000000-0005-0000-0000-00001D400000}"/>
    <cellStyle name="Note 3 2 3 4 4" xfId="21987" xr:uid="{00000000-0005-0000-0000-00001E400000}"/>
    <cellStyle name="Note 3 2 3 4 5" xfId="21989" xr:uid="{00000000-0005-0000-0000-00001F400000}"/>
    <cellStyle name="Note 3 2 3 4 6" xfId="21992" xr:uid="{00000000-0005-0000-0000-000020400000}"/>
    <cellStyle name="Note 3 2 3 5" xfId="21993" xr:uid="{00000000-0005-0000-0000-000021400000}"/>
    <cellStyle name="Note 3 2 3 5 2" xfId="21994" xr:uid="{00000000-0005-0000-0000-000022400000}"/>
    <cellStyle name="Note 3 2 3 5 2 2" xfId="7088" xr:uid="{00000000-0005-0000-0000-000023400000}"/>
    <cellStyle name="Note 3 2 3 5 2 3" xfId="6628" xr:uid="{00000000-0005-0000-0000-000024400000}"/>
    <cellStyle name="Note 3 2 3 5 2 4" xfId="18667" xr:uid="{00000000-0005-0000-0000-000025400000}"/>
    <cellStyle name="Note 3 2 3 5 3" xfId="21995" xr:uid="{00000000-0005-0000-0000-000026400000}"/>
    <cellStyle name="Note 3 2 3 5 4" xfId="19551" xr:uid="{00000000-0005-0000-0000-000027400000}"/>
    <cellStyle name="Note 3 2 3 5 5" xfId="19554" xr:uid="{00000000-0005-0000-0000-000028400000}"/>
    <cellStyle name="Note 3 2 3 6" xfId="21996" xr:uid="{00000000-0005-0000-0000-000029400000}"/>
    <cellStyle name="Note 3 2 3 6 2" xfId="21997" xr:uid="{00000000-0005-0000-0000-00002A400000}"/>
    <cellStyle name="Note 3 2 3 6 3" xfId="21998" xr:uid="{00000000-0005-0000-0000-00002B400000}"/>
    <cellStyle name="Note 3 2 3 6 4" xfId="3862" xr:uid="{00000000-0005-0000-0000-00002C400000}"/>
    <cellStyle name="Note 3 2 3 7" xfId="21999" xr:uid="{00000000-0005-0000-0000-00002D400000}"/>
    <cellStyle name="Note 3 2 3 8" xfId="22000" xr:uid="{00000000-0005-0000-0000-00002E400000}"/>
    <cellStyle name="Note 3 2 3 9" xfId="22002" xr:uid="{00000000-0005-0000-0000-00002F400000}"/>
    <cellStyle name="Note 3 2 4" xfId="14247" xr:uid="{00000000-0005-0000-0000-000030400000}"/>
    <cellStyle name="Note 3 2 4 2" xfId="17038" xr:uid="{00000000-0005-0000-0000-000031400000}"/>
    <cellStyle name="Note 3 2 4 2 2" xfId="22003" xr:uid="{00000000-0005-0000-0000-000032400000}"/>
    <cellStyle name="Note 3 2 4 2 2 2" xfId="22005" xr:uid="{00000000-0005-0000-0000-000033400000}"/>
    <cellStyle name="Note 3 2 4 2 2 2 2" xfId="22006" xr:uid="{00000000-0005-0000-0000-000034400000}"/>
    <cellStyle name="Note 3 2 4 2 2 2 2 2" xfId="22007" xr:uid="{00000000-0005-0000-0000-000035400000}"/>
    <cellStyle name="Note 3 2 4 2 2 2 2 3" xfId="22008" xr:uid="{00000000-0005-0000-0000-000036400000}"/>
    <cellStyle name="Note 3 2 4 2 2 2 2 4" xfId="22009" xr:uid="{00000000-0005-0000-0000-000037400000}"/>
    <cellStyle name="Note 3 2 4 2 2 2 3" xfId="22010" xr:uid="{00000000-0005-0000-0000-000038400000}"/>
    <cellStyle name="Note 3 2 4 2 2 2 4" xfId="22012" xr:uid="{00000000-0005-0000-0000-000039400000}"/>
    <cellStyle name="Note 3 2 4 2 2 2 5" xfId="22014" xr:uid="{00000000-0005-0000-0000-00003A400000}"/>
    <cellStyle name="Note 3 2 4 2 2 3" xfId="22016" xr:uid="{00000000-0005-0000-0000-00003B400000}"/>
    <cellStyle name="Note 3 2 4 2 2 3 2" xfId="22017" xr:uid="{00000000-0005-0000-0000-00003C400000}"/>
    <cellStyle name="Note 3 2 4 2 2 3 3" xfId="22018" xr:uid="{00000000-0005-0000-0000-00003D400000}"/>
    <cellStyle name="Note 3 2 4 2 2 3 4" xfId="22019" xr:uid="{00000000-0005-0000-0000-00003E400000}"/>
    <cellStyle name="Note 3 2 4 2 2 4" xfId="7634" xr:uid="{00000000-0005-0000-0000-00003F400000}"/>
    <cellStyle name="Note 3 2 4 2 2 5" xfId="15008" xr:uid="{00000000-0005-0000-0000-000040400000}"/>
    <cellStyle name="Note 3 2 4 2 2 6" xfId="15012" xr:uid="{00000000-0005-0000-0000-000041400000}"/>
    <cellStyle name="Note 3 2 4 2 3" xfId="22020" xr:uid="{00000000-0005-0000-0000-000042400000}"/>
    <cellStyle name="Note 3 2 4 2 3 2" xfId="22022" xr:uid="{00000000-0005-0000-0000-000043400000}"/>
    <cellStyle name="Note 3 2 4 2 3 2 2" xfId="22023" xr:uid="{00000000-0005-0000-0000-000044400000}"/>
    <cellStyle name="Note 3 2 4 2 3 2 3" xfId="22024" xr:uid="{00000000-0005-0000-0000-000045400000}"/>
    <cellStyle name="Note 3 2 4 2 3 2 4" xfId="22026" xr:uid="{00000000-0005-0000-0000-000046400000}"/>
    <cellStyle name="Note 3 2 4 2 3 3" xfId="22027" xr:uid="{00000000-0005-0000-0000-000047400000}"/>
    <cellStyle name="Note 3 2 4 2 3 4" xfId="22028" xr:uid="{00000000-0005-0000-0000-000048400000}"/>
    <cellStyle name="Note 3 2 4 2 3 5" xfId="22029" xr:uid="{00000000-0005-0000-0000-000049400000}"/>
    <cellStyle name="Note 3 2 4 2 4" xfId="22031" xr:uid="{00000000-0005-0000-0000-00004A400000}"/>
    <cellStyle name="Note 3 2 4 2 4 2" xfId="22033" xr:uid="{00000000-0005-0000-0000-00004B400000}"/>
    <cellStyle name="Note 3 2 4 2 4 3" xfId="22035" xr:uid="{00000000-0005-0000-0000-00004C400000}"/>
    <cellStyle name="Note 3 2 4 2 4 4" xfId="22037" xr:uid="{00000000-0005-0000-0000-00004D400000}"/>
    <cellStyle name="Note 3 2 4 2 5" xfId="22039" xr:uid="{00000000-0005-0000-0000-00004E400000}"/>
    <cellStyle name="Note 3 2 4 2 6" xfId="22041" xr:uid="{00000000-0005-0000-0000-00004F400000}"/>
    <cellStyle name="Note 3 2 4 2 7" xfId="22043" xr:uid="{00000000-0005-0000-0000-000050400000}"/>
    <cellStyle name="Note 3 2 4 3" xfId="17042" xr:uid="{00000000-0005-0000-0000-000051400000}"/>
    <cellStyle name="Note 3 2 4 3 2" xfId="22044" xr:uid="{00000000-0005-0000-0000-000052400000}"/>
    <cellStyle name="Note 3 2 4 3 2 2" xfId="22047" xr:uid="{00000000-0005-0000-0000-000053400000}"/>
    <cellStyle name="Note 3 2 4 3 2 2 2" xfId="22048" xr:uid="{00000000-0005-0000-0000-000054400000}"/>
    <cellStyle name="Note 3 2 4 3 2 2 3" xfId="22049" xr:uid="{00000000-0005-0000-0000-000055400000}"/>
    <cellStyle name="Note 3 2 4 3 2 2 4" xfId="22051" xr:uid="{00000000-0005-0000-0000-000056400000}"/>
    <cellStyle name="Note 3 2 4 3 2 3" xfId="22054" xr:uid="{00000000-0005-0000-0000-000057400000}"/>
    <cellStyle name="Note 3 2 4 3 2 4" xfId="10860" xr:uid="{00000000-0005-0000-0000-000058400000}"/>
    <cellStyle name="Note 3 2 4 3 2 5" xfId="11749" xr:uid="{00000000-0005-0000-0000-000059400000}"/>
    <cellStyle name="Note 3 2 4 3 3" xfId="22055" xr:uid="{00000000-0005-0000-0000-00005A400000}"/>
    <cellStyle name="Note 3 2 4 3 3 2" xfId="22058" xr:uid="{00000000-0005-0000-0000-00005B400000}"/>
    <cellStyle name="Note 3 2 4 3 3 3" xfId="22060" xr:uid="{00000000-0005-0000-0000-00005C400000}"/>
    <cellStyle name="Note 3 2 4 3 3 4" xfId="14089" xr:uid="{00000000-0005-0000-0000-00005D400000}"/>
    <cellStyle name="Note 3 2 4 3 4" xfId="22063" xr:uid="{00000000-0005-0000-0000-00005E400000}"/>
    <cellStyle name="Note 3 2 4 3 5" xfId="22066" xr:uid="{00000000-0005-0000-0000-00005F400000}"/>
    <cellStyle name="Note 3 2 4 3 6" xfId="22070" xr:uid="{00000000-0005-0000-0000-000060400000}"/>
    <cellStyle name="Note 3 2 4 4" xfId="22072" xr:uid="{00000000-0005-0000-0000-000061400000}"/>
    <cellStyle name="Note 3 2 4 4 2" xfId="22073" xr:uid="{00000000-0005-0000-0000-000062400000}"/>
    <cellStyle name="Note 3 2 4 4 2 2" xfId="22076" xr:uid="{00000000-0005-0000-0000-000063400000}"/>
    <cellStyle name="Note 3 2 4 4 2 3" xfId="22078" xr:uid="{00000000-0005-0000-0000-000064400000}"/>
    <cellStyle name="Note 3 2 4 4 2 4" xfId="6767" xr:uid="{00000000-0005-0000-0000-000065400000}"/>
    <cellStyle name="Note 3 2 4 4 3" xfId="22079" xr:uid="{00000000-0005-0000-0000-000066400000}"/>
    <cellStyle name="Note 3 2 4 4 4" xfId="22081" xr:uid="{00000000-0005-0000-0000-000067400000}"/>
    <cellStyle name="Note 3 2 4 4 5" xfId="22083" xr:uid="{00000000-0005-0000-0000-000068400000}"/>
    <cellStyle name="Note 3 2 4 5" xfId="22084" xr:uid="{00000000-0005-0000-0000-000069400000}"/>
    <cellStyle name="Note 3 2 4 5 2" xfId="22085" xr:uid="{00000000-0005-0000-0000-00006A400000}"/>
    <cellStyle name="Note 3 2 4 5 3" xfId="22086" xr:uid="{00000000-0005-0000-0000-00006B400000}"/>
    <cellStyle name="Note 3 2 4 5 4" xfId="19570" xr:uid="{00000000-0005-0000-0000-00006C400000}"/>
    <cellStyle name="Note 3 2 4 6" xfId="22087" xr:uid="{00000000-0005-0000-0000-00006D400000}"/>
    <cellStyle name="Note 3 2 4 7" xfId="22088" xr:uid="{00000000-0005-0000-0000-00006E400000}"/>
    <cellStyle name="Note 3 2 4 8" xfId="22089" xr:uid="{00000000-0005-0000-0000-00006F400000}"/>
    <cellStyle name="Note 3 2 5" xfId="22091" xr:uid="{00000000-0005-0000-0000-000070400000}"/>
    <cellStyle name="Note 3 2 5 2" xfId="19499" xr:uid="{00000000-0005-0000-0000-000071400000}"/>
    <cellStyle name="Note 3 2 5 2 2" xfId="22092" xr:uid="{00000000-0005-0000-0000-000072400000}"/>
    <cellStyle name="Note 3 2 5 2 2 2" xfId="22096" xr:uid="{00000000-0005-0000-0000-000073400000}"/>
    <cellStyle name="Note 3 2 5 2 2 2 2" xfId="22098" xr:uid="{00000000-0005-0000-0000-000074400000}"/>
    <cellStyle name="Note 3 2 5 2 2 2 3" xfId="22100" xr:uid="{00000000-0005-0000-0000-000075400000}"/>
    <cellStyle name="Note 3 2 5 2 2 2 4" xfId="22102" xr:uid="{00000000-0005-0000-0000-000076400000}"/>
    <cellStyle name="Note 3 2 5 2 2 3" xfId="22105" xr:uid="{00000000-0005-0000-0000-000077400000}"/>
    <cellStyle name="Note 3 2 5 2 2 4" xfId="22107" xr:uid="{00000000-0005-0000-0000-000078400000}"/>
    <cellStyle name="Note 3 2 5 2 2 5" xfId="22109" xr:uid="{00000000-0005-0000-0000-000079400000}"/>
    <cellStyle name="Note 3 2 5 2 3" xfId="22110" xr:uid="{00000000-0005-0000-0000-00007A400000}"/>
    <cellStyle name="Note 3 2 5 2 3 2" xfId="22113" xr:uid="{00000000-0005-0000-0000-00007B400000}"/>
    <cellStyle name="Note 3 2 5 2 3 3" xfId="22115" xr:uid="{00000000-0005-0000-0000-00007C400000}"/>
    <cellStyle name="Note 3 2 5 2 3 4" xfId="22117" xr:uid="{00000000-0005-0000-0000-00007D400000}"/>
    <cellStyle name="Note 3 2 5 2 4" xfId="22119" xr:uid="{00000000-0005-0000-0000-00007E400000}"/>
    <cellStyle name="Note 3 2 5 2 5" xfId="22121" xr:uid="{00000000-0005-0000-0000-00007F400000}"/>
    <cellStyle name="Note 3 2 5 2 6" xfId="22123" xr:uid="{00000000-0005-0000-0000-000080400000}"/>
    <cellStyle name="Note 3 2 5 3" xfId="22124" xr:uid="{00000000-0005-0000-0000-000081400000}"/>
    <cellStyle name="Note 3 2 5 3 2" xfId="13041" xr:uid="{00000000-0005-0000-0000-000082400000}"/>
    <cellStyle name="Note 3 2 5 3 2 2" xfId="22127" xr:uid="{00000000-0005-0000-0000-000083400000}"/>
    <cellStyle name="Note 3 2 5 3 2 3" xfId="22130" xr:uid="{00000000-0005-0000-0000-000084400000}"/>
    <cellStyle name="Note 3 2 5 3 2 4" xfId="11652" xr:uid="{00000000-0005-0000-0000-000085400000}"/>
    <cellStyle name="Note 3 2 5 3 3" xfId="13044" xr:uid="{00000000-0005-0000-0000-000086400000}"/>
    <cellStyle name="Note 3 2 5 3 4" xfId="22132" xr:uid="{00000000-0005-0000-0000-000087400000}"/>
    <cellStyle name="Note 3 2 5 3 5" xfId="22134" xr:uid="{00000000-0005-0000-0000-000088400000}"/>
    <cellStyle name="Note 3 2 5 4" xfId="22135" xr:uid="{00000000-0005-0000-0000-000089400000}"/>
    <cellStyle name="Note 3 2 5 4 2" xfId="13063" xr:uid="{00000000-0005-0000-0000-00008A400000}"/>
    <cellStyle name="Note 3 2 5 4 3" xfId="22136" xr:uid="{00000000-0005-0000-0000-00008B400000}"/>
    <cellStyle name="Note 3 2 5 4 4" xfId="22138" xr:uid="{00000000-0005-0000-0000-00008C400000}"/>
    <cellStyle name="Note 3 2 5 5" xfId="22139" xr:uid="{00000000-0005-0000-0000-00008D400000}"/>
    <cellStyle name="Note 3 2 5 6" xfId="22140" xr:uid="{00000000-0005-0000-0000-00008E400000}"/>
    <cellStyle name="Note 3 2 5 7" xfId="22141" xr:uid="{00000000-0005-0000-0000-00008F400000}"/>
    <cellStyle name="Note 3 2 6" xfId="18539" xr:uid="{00000000-0005-0000-0000-000090400000}"/>
    <cellStyle name="Note 3 2 6 2" xfId="19435" xr:uid="{00000000-0005-0000-0000-000091400000}"/>
    <cellStyle name="Note 3 2 6 2 2" xfId="22143" xr:uid="{00000000-0005-0000-0000-000092400000}"/>
    <cellStyle name="Note 3 2 6 2 2 2" xfId="22146" xr:uid="{00000000-0005-0000-0000-000093400000}"/>
    <cellStyle name="Note 3 2 6 2 2 3" xfId="22150" xr:uid="{00000000-0005-0000-0000-000094400000}"/>
    <cellStyle name="Note 3 2 6 2 2 4" xfId="22153" xr:uid="{00000000-0005-0000-0000-000095400000}"/>
    <cellStyle name="Note 3 2 6 2 3" xfId="22154" xr:uid="{00000000-0005-0000-0000-000096400000}"/>
    <cellStyle name="Note 3 2 6 2 4" xfId="22155" xr:uid="{00000000-0005-0000-0000-000097400000}"/>
    <cellStyle name="Note 3 2 6 2 5" xfId="22156" xr:uid="{00000000-0005-0000-0000-000098400000}"/>
    <cellStyle name="Note 3 2 6 3" xfId="20103" xr:uid="{00000000-0005-0000-0000-000099400000}"/>
    <cellStyle name="Note 3 2 6 3 2" xfId="2374" xr:uid="{00000000-0005-0000-0000-00009A400000}"/>
    <cellStyle name="Note 3 2 6 3 3" xfId="22157" xr:uid="{00000000-0005-0000-0000-00009B400000}"/>
    <cellStyle name="Note 3 2 6 3 4" xfId="22159" xr:uid="{00000000-0005-0000-0000-00009C400000}"/>
    <cellStyle name="Note 3 2 6 4" xfId="22160" xr:uid="{00000000-0005-0000-0000-00009D400000}"/>
    <cellStyle name="Note 3 2 6 5" xfId="22161" xr:uid="{00000000-0005-0000-0000-00009E400000}"/>
    <cellStyle name="Note 3 2 6 6" xfId="22162" xr:uid="{00000000-0005-0000-0000-00009F400000}"/>
    <cellStyle name="Note 3 2 7" xfId="18542" xr:uid="{00000000-0005-0000-0000-0000A0400000}"/>
    <cellStyle name="Note 3 2 7 2" xfId="20105" xr:uid="{00000000-0005-0000-0000-0000A1400000}"/>
    <cellStyle name="Note 3 2 7 2 2" xfId="4647" xr:uid="{00000000-0005-0000-0000-0000A2400000}"/>
    <cellStyle name="Note 3 2 7 2 3" xfId="22163" xr:uid="{00000000-0005-0000-0000-0000A3400000}"/>
    <cellStyle name="Note 3 2 7 2 4" xfId="22164" xr:uid="{00000000-0005-0000-0000-0000A4400000}"/>
    <cellStyle name="Note 3 2 7 3" xfId="22165" xr:uid="{00000000-0005-0000-0000-0000A5400000}"/>
    <cellStyle name="Note 3 2 7 4" xfId="22166" xr:uid="{00000000-0005-0000-0000-0000A6400000}"/>
    <cellStyle name="Note 3 2 7 5" xfId="22167" xr:uid="{00000000-0005-0000-0000-0000A7400000}"/>
    <cellStyle name="Note 3 2 8" xfId="18548" xr:uid="{00000000-0005-0000-0000-0000A8400000}"/>
    <cellStyle name="Note 3 2 8 2" xfId="22168" xr:uid="{00000000-0005-0000-0000-0000A9400000}"/>
    <cellStyle name="Note 3 2 8 3" xfId="22169" xr:uid="{00000000-0005-0000-0000-0000AA400000}"/>
    <cellStyle name="Note 3 2 8 4" xfId="22170" xr:uid="{00000000-0005-0000-0000-0000AB400000}"/>
    <cellStyle name="Note 3 2 9" xfId="20629" xr:uid="{00000000-0005-0000-0000-0000AC400000}"/>
    <cellStyle name="Note 3 3" xfId="6823" xr:uid="{00000000-0005-0000-0000-0000AD400000}"/>
    <cellStyle name="Note 3 3 2" xfId="22171" xr:uid="{00000000-0005-0000-0000-0000AE400000}"/>
    <cellStyle name="Note 3 3 2 2" xfId="22172" xr:uid="{00000000-0005-0000-0000-0000AF400000}"/>
    <cellStyle name="Note 3 3 2 2 2" xfId="22173" xr:uid="{00000000-0005-0000-0000-0000B0400000}"/>
    <cellStyle name="Note 3 3 2 2 2 2" xfId="13872" xr:uid="{00000000-0005-0000-0000-0000B1400000}"/>
    <cellStyle name="Note 3 3 2 2 2 2 2" xfId="6860" xr:uid="{00000000-0005-0000-0000-0000B2400000}"/>
    <cellStyle name="Note 3 3 2 2 2 2 2 2" xfId="22174" xr:uid="{00000000-0005-0000-0000-0000B3400000}"/>
    <cellStyle name="Note 3 3 2 2 2 2 2 3" xfId="22176" xr:uid="{00000000-0005-0000-0000-0000B4400000}"/>
    <cellStyle name="Note 3 3 2 2 2 2 2 4" xfId="22178" xr:uid="{00000000-0005-0000-0000-0000B5400000}"/>
    <cellStyle name="Note 3 3 2 2 2 2 3" xfId="22180" xr:uid="{00000000-0005-0000-0000-0000B6400000}"/>
    <cellStyle name="Note 3 3 2 2 2 2 4" xfId="22181" xr:uid="{00000000-0005-0000-0000-0000B7400000}"/>
    <cellStyle name="Note 3 3 2 2 2 2 5" xfId="22182" xr:uid="{00000000-0005-0000-0000-0000B8400000}"/>
    <cellStyle name="Note 3 3 2 2 2 3" xfId="19814" xr:uid="{00000000-0005-0000-0000-0000B9400000}"/>
    <cellStyle name="Note 3 3 2 2 2 3 2" xfId="221" xr:uid="{00000000-0005-0000-0000-0000BA400000}"/>
    <cellStyle name="Note 3 3 2 2 2 3 3" xfId="241" xr:uid="{00000000-0005-0000-0000-0000BB400000}"/>
    <cellStyle name="Note 3 3 2 2 2 3 4" xfId="22183" xr:uid="{00000000-0005-0000-0000-0000BC400000}"/>
    <cellStyle name="Note 3 3 2 2 2 4" xfId="14168" xr:uid="{00000000-0005-0000-0000-0000BD400000}"/>
    <cellStyle name="Note 3 3 2 2 2 5" xfId="14172" xr:uid="{00000000-0005-0000-0000-0000BE400000}"/>
    <cellStyle name="Note 3 3 2 2 2 6" xfId="14177" xr:uid="{00000000-0005-0000-0000-0000BF400000}"/>
    <cellStyle name="Note 3 3 2 2 3" xfId="22184" xr:uid="{00000000-0005-0000-0000-0000C0400000}"/>
    <cellStyle name="Note 3 3 2 2 3 2" xfId="22185" xr:uid="{00000000-0005-0000-0000-0000C1400000}"/>
    <cellStyle name="Note 3 3 2 2 3 2 2" xfId="22186" xr:uid="{00000000-0005-0000-0000-0000C2400000}"/>
    <cellStyle name="Note 3 3 2 2 3 2 3" xfId="22187" xr:uid="{00000000-0005-0000-0000-0000C3400000}"/>
    <cellStyle name="Note 3 3 2 2 3 2 4" xfId="22188" xr:uid="{00000000-0005-0000-0000-0000C4400000}"/>
    <cellStyle name="Note 3 3 2 2 3 3" xfId="22189" xr:uid="{00000000-0005-0000-0000-0000C5400000}"/>
    <cellStyle name="Note 3 3 2 2 3 4" xfId="15051" xr:uid="{00000000-0005-0000-0000-0000C6400000}"/>
    <cellStyle name="Note 3 3 2 2 3 5" xfId="15053" xr:uid="{00000000-0005-0000-0000-0000C7400000}"/>
    <cellStyle name="Note 3 3 2 2 4" xfId="22190" xr:uid="{00000000-0005-0000-0000-0000C8400000}"/>
    <cellStyle name="Note 3 3 2 2 4 2" xfId="22191" xr:uid="{00000000-0005-0000-0000-0000C9400000}"/>
    <cellStyle name="Note 3 3 2 2 4 3" xfId="22193" xr:uid="{00000000-0005-0000-0000-0000CA400000}"/>
    <cellStyle name="Note 3 3 2 2 4 4" xfId="22195" xr:uid="{00000000-0005-0000-0000-0000CB400000}"/>
    <cellStyle name="Note 3 3 2 2 5" xfId="22196" xr:uid="{00000000-0005-0000-0000-0000CC400000}"/>
    <cellStyle name="Note 3 3 2 2 6" xfId="22197" xr:uid="{00000000-0005-0000-0000-0000CD400000}"/>
    <cellStyle name="Note 3 3 2 2 7" xfId="22198" xr:uid="{00000000-0005-0000-0000-0000CE400000}"/>
    <cellStyle name="Note 3 3 2 3" xfId="22199" xr:uid="{00000000-0005-0000-0000-0000CF400000}"/>
    <cellStyle name="Note 3 3 2 3 2" xfId="22200" xr:uid="{00000000-0005-0000-0000-0000D0400000}"/>
    <cellStyle name="Note 3 3 2 3 2 2" xfId="18488" xr:uid="{00000000-0005-0000-0000-0000D1400000}"/>
    <cellStyle name="Note 3 3 2 3 2 2 2" xfId="18493" xr:uid="{00000000-0005-0000-0000-0000D2400000}"/>
    <cellStyle name="Note 3 3 2 3 2 2 3" xfId="18498" xr:uid="{00000000-0005-0000-0000-0000D3400000}"/>
    <cellStyle name="Note 3 3 2 3 2 2 4" xfId="10784" xr:uid="{00000000-0005-0000-0000-0000D4400000}"/>
    <cellStyle name="Note 3 3 2 3 2 3" xfId="18502" xr:uid="{00000000-0005-0000-0000-0000D5400000}"/>
    <cellStyle name="Note 3 3 2 3 2 4" xfId="15063" xr:uid="{00000000-0005-0000-0000-0000D6400000}"/>
    <cellStyle name="Note 3 3 2 3 2 5" xfId="15066" xr:uid="{00000000-0005-0000-0000-0000D7400000}"/>
    <cellStyle name="Note 3 3 2 3 3" xfId="20403" xr:uid="{00000000-0005-0000-0000-0000D8400000}"/>
    <cellStyle name="Note 3 3 2 3 3 2" xfId="14647" xr:uid="{00000000-0005-0000-0000-0000D9400000}"/>
    <cellStyle name="Note 3 3 2 3 3 3" xfId="18649" xr:uid="{00000000-0005-0000-0000-0000DA400000}"/>
    <cellStyle name="Note 3 3 2 3 3 4" xfId="18651" xr:uid="{00000000-0005-0000-0000-0000DB400000}"/>
    <cellStyle name="Note 3 3 2 3 4" xfId="19944" xr:uid="{00000000-0005-0000-0000-0000DC400000}"/>
    <cellStyle name="Note 3 3 2 3 5" xfId="19996" xr:uid="{00000000-0005-0000-0000-0000DD400000}"/>
    <cellStyle name="Note 3 3 2 3 6" xfId="22204" xr:uid="{00000000-0005-0000-0000-0000DE400000}"/>
    <cellStyle name="Note 3 3 2 4" xfId="22205" xr:uid="{00000000-0005-0000-0000-0000DF400000}"/>
    <cellStyle name="Note 3 3 2 4 2" xfId="22206" xr:uid="{00000000-0005-0000-0000-0000E0400000}"/>
    <cellStyle name="Note 3 3 2 4 2 2" xfId="2296" xr:uid="{00000000-0005-0000-0000-0000E1400000}"/>
    <cellStyle name="Note 3 3 2 4 2 3" xfId="5892" xr:uid="{00000000-0005-0000-0000-0000E2400000}"/>
    <cellStyle name="Note 3 3 2 4 2 4" xfId="22207" xr:uid="{00000000-0005-0000-0000-0000E3400000}"/>
    <cellStyle name="Note 3 3 2 4 3" xfId="22208" xr:uid="{00000000-0005-0000-0000-0000E4400000}"/>
    <cellStyle name="Note 3 3 2 4 4" xfId="10502" xr:uid="{00000000-0005-0000-0000-0000E5400000}"/>
    <cellStyle name="Note 3 3 2 4 5" xfId="10507" xr:uid="{00000000-0005-0000-0000-0000E6400000}"/>
    <cellStyle name="Note 3 3 2 5" xfId="22209" xr:uid="{00000000-0005-0000-0000-0000E7400000}"/>
    <cellStyle name="Note 3 3 2 5 2" xfId="22210" xr:uid="{00000000-0005-0000-0000-0000E8400000}"/>
    <cellStyle name="Note 3 3 2 5 3" xfId="22212" xr:uid="{00000000-0005-0000-0000-0000E9400000}"/>
    <cellStyle name="Note 3 3 2 5 4" xfId="10087" xr:uid="{00000000-0005-0000-0000-0000EA400000}"/>
    <cellStyle name="Note 3 3 2 6" xfId="22213" xr:uid="{00000000-0005-0000-0000-0000EB400000}"/>
    <cellStyle name="Note 3 3 2 7" xfId="22004" xr:uid="{00000000-0005-0000-0000-0000EC400000}"/>
    <cellStyle name="Note 3 3 2 8" xfId="22015" xr:uid="{00000000-0005-0000-0000-0000ED400000}"/>
    <cellStyle name="Note 3 3 3" xfId="22214" xr:uid="{00000000-0005-0000-0000-0000EE400000}"/>
    <cellStyle name="Note 3 3 3 2" xfId="17049" xr:uid="{00000000-0005-0000-0000-0000EF400000}"/>
    <cellStyle name="Note 3 3 3 2 2" xfId="22215" xr:uid="{00000000-0005-0000-0000-0000F0400000}"/>
    <cellStyle name="Note 3 3 3 2 2 2" xfId="14656" xr:uid="{00000000-0005-0000-0000-0000F1400000}"/>
    <cellStyle name="Note 3 3 3 2 2 2 2" xfId="22216" xr:uid="{00000000-0005-0000-0000-0000F2400000}"/>
    <cellStyle name="Note 3 3 3 2 2 2 3" xfId="22217" xr:uid="{00000000-0005-0000-0000-0000F3400000}"/>
    <cellStyle name="Note 3 3 3 2 2 2 4" xfId="19233" xr:uid="{00000000-0005-0000-0000-0000F4400000}"/>
    <cellStyle name="Note 3 3 3 2 2 3" xfId="22218" xr:uid="{00000000-0005-0000-0000-0000F5400000}"/>
    <cellStyle name="Note 3 3 3 2 2 4" xfId="224" xr:uid="{00000000-0005-0000-0000-0000F6400000}"/>
    <cellStyle name="Note 3 3 3 2 2 5" xfId="244" xr:uid="{00000000-0005-0000-0000-0000F7400000}"/>
    <cellStyle name="Note 3 3 3 2 3" xfId="22219" xr:uid="{00000000-0005-0000-0000-0000F8400000}"/>
    <cellStyle name="Note 3 3 3 2 3 2" xfId="22220" xr:uid="{00000000-0005-0000-0000-0000F9400000}"/>
    <cellStyle name="Note 3 3 3 2 3 3" xfId="22221" xr:uid="{00000000-0005-0000-0000-0000FA400000}"/>
    <cellStyle name="Note 3 3 3 2 3 4" xfId="22222" xr:uid="{00000000-0005-0000-0000-0000FB400000}"/>
    <cellStyle name="Note 3 3 3 2 4" xfId="866" xr:uid="{00000000-0005-0000-0000-0000FC400000}"/>
    <cellStyle name="Note 3 3 3 2 5" xfId="22223" xr:uid="{00000000-0005-0000-0000-0000FD400000}"/>
    <cellStyle name="Note 3 3 3 2 6" xfId="22224" xr:uid="{00000000-0005-0000-0000-0000FE400000}"/>
    <cellStyle name="Note 3 3 3 3" xfId="17051" xr:uid="{00000000-0005-0000-0000-0000FF400000}"/>
    <cellStyle name="Note 3 3 3 3 2" xfId="22225" xr:uid="{00000000-0005-0000-0000-000000410000}"/>
    <cellStyle name="Note 3 3 3 3 2 2" xfId="19388" xr:uid="{00000000-0005-0000-0000-000001410000}"/>
    <cellStyle name="Note 3 3 3 3 2 3" xfId="16987" xr:uid="{00000000-0005-0000-0000-000002410000}"/>
    <cellStyle name="Note 3 3 3 3 2 4" xfId="17001" xr:uid="{00000000-0005-0000-0000-000003410000}"/>
    <cellStyle name="Note 3 3 3 3 3" xfId="22226" xr:uid="{00000000-0005-0000-0000-000004410000}"/>
    <cellStyle name="Note 3 3 3 3 4" xfId="890" xr:uid="{00000000-0005-0000-0000-000005410000}"/>
    <cellStyle name="Note 3 3 3 3 5" xfId="22228" xr:uid="{00000000-0005-0000-0000-000006410000}"/>
    <cellStyle name="Note 3 3 3 4" xfId="22229" xr:uid="{00000000-0005-0000-0000-000007410000}"/>
    <cellStyle name="Note 3 3 3 4 2" xfId="22230" xr:uid="{00000000-0005-0000-0000-000008410000}"/>
    <cellStyle name="Note 3 3 3 4 3" xfId="22231" xr:uid="{00000000-0005-0000-0000-000009410000}"/>
    <cellStyle name="Note 3 3 3 4 4" xfId="10536" xr:uid="{00000000-0005-0000-0000-00000A410000}"/>
    <cellStyle name="Note 3 3 3 5" xfId="22232" xr:uid="{00000000-0005-0000-0000-00000B410000}"/>
    <cellStyle name="Note 3 3 3 6" xfId="22233" xr:uid="{00000000-0005-0000-0000-00000C410000}"/>
    <cellStyle name="Note 3 3 3 7" xfId="22021" xr:uid="{00000000-0005-0000-0000-00000D410000}"/>
    <cellStyle name="Note 3 3 4" xfId="22235" xr:uid="{00000000-0005-0000-0000-00000E410000}"/>
    <cellStyle name="Note 3 3 4 2" xfId="17928" xr:uid="{00000000-0005-0000-0000-00000F410000}"/>
    <cellStyle name="Note 3 3 4 2 2" xfId="22236" xr:uid="{00000000-0005-0000-0000-000010410000}"/>
    <cellStyle name="Note 3 3 4 2 2 2" xfId="2382" xr:uid="{00000000-0005-0000-0000-000011410000}"/>
    <cellStyle name="Note 3 3 4 2 2 3" xfId="4451" xr:uid="{00000000-0005-0000-0000-000012410000}"/>
    <cellStyle name="Note 3 3 4 2 2 4" xfId="4479" xr:uid="{00000000-0005-0000-0000-000013410000}"/>
    <cellStyle name="Note 3 3 4 2 3" xfId="22237" xr:uid="{00000000-0005-0000-0000-000014410000}"/>
    <cellStyle name="Note 3 3 4 2 4" xfId="22239" xr:uid="{00000000-0005-0000-0000-000015410000}"/>
    <cellStyle name="Note 3 3 4 2 5" xfId="600" xr:uid="{00000000-0005-0000-0000-000016410000}"/>
    <cellStyle name="Note 3 3 4 3" xfId="22240" xr:uid="{00000000-0005-0000-0000-000017410000}"/>
    <cellStyle name="Note 3 3 4 3 2" xfId="22241" xr:uid="{00000000-0005-0000-0000-000018410000}"/>
    <cellStyle name="Note 3 3 4 3 3" xfId="22242" xr:uid="{00000000-0005-0000-0000-000019410000}"/>
    <cellStyle name="Note 3 3 4 3 4" xfId="18171" xr:uid="{00000000-0005-0000-0000-00001A410000}"/>
    <cellStyle name="Note 3 3 4 4" xfId="22243" xr:uid="{00000000-0005-0000-0000-00001B410000}"/>
    <cellStyle name="Note 3 3 4 5" xfId="22244" xr:uid="{00000000-0005-0000-0000-00001C410000}"/>
    <cellStyle name="Note 3 3 4 6" xfId="22245" xr:uid="{00000000-0005-0000-0000-00001D410000}"/>
    <cellStyle name="Note 3 3 5" xfId="22247" xr:uid="{00000000-0005-0000-0000-00001E410000}"/>
    <cellStyle name="Note 3 3 5 2" xfId="22248" xr:uid="{00000000-0005-0000-0000-00001F410000}"/>
    <cellStyle name="Note 3 3 5 2 2" xfId="22249" xr:uid="{00000000-0005-0000-0000-000020410000}"/>
    <cellStyle name="Note 3 3 5 2 3" xfId="22250" xr:uid="{00000000-0005-0000-0000-000021410000}"/>
    <cellStyle name="Note 3 3 5 2 4" xfId="22251" xr:uid="{00000000-0005-0000-0000-000022410000}"/>
    <cellStyle name="Note 3 3 5 3" xfId="22252" xr:uid="{00000000-0005-0000-0000-000023410000}"/>
    <cellStyle name="Note 3 3 5 4" xfId="22253" xr:uid="{00000000-0005-0000-0000-000024410000}"/>
    <cellStyle name="Note 3 3 5 5" xfId="22254" xr:uid="{00000000-0005-0000-0000-000025410000}"/>
    <cellStyle name="Note 3 3 6" xfId="17899" xr:uid="{00000000-0005-0000-0000-000026410000}"/>
    <cellStyle name="Note 3 3 6 2" xfId="19343" xr:uid="{00000000-0005-0000-0000-000027410000}"/>
    <cellStyle name="Note 3 3 6 3" xfId="22255" xr:uid="{00000000-0005-0000-0000-000028410000}"/>
    <cellStyle name="Note 3 3 6 4" xfId="22256" xr:uid="{00000000-0005-0000-0000-000029410000}"/>
    <cellStyle name="Note 3 3 7" xfId="17904" xr:uid="{00000000-0005-0000-0000-00002A410000}"/>
    <cellStyle name="Note 3 3 8" xfId="17910" xr:uid="{00000000-0005-0000-0000-00002B410000}"/>
    <cellStyle name="Note 3 3 9" xfId="22258" xr:uid="{00000000-0005-0000-0000-00002C410000}"/>
    <cellStyle name="Note 3 4" xfId="6829" xr:uid="{00000000-0005-0000-0000-00002D410000}"/>
    <cellStyle name="Note 3 4 2" xfId="22259" xr:uid="{00000000-0005-0000-0000-00002E410000}"/>
    <cellStyle name="Note 3 4 2 2" xfId="22260" xr:uid="{00000000-0005-0000-0000-00002F410000}"/>
    <cellStyle name="Note 3 4 2 2 2" xfId="22261" xr:uid="{00000000-0005-0000-0000-000030410000}"/>
    <cellStyle name="Note 3 4 2 2 2 2" xfId="22263" xr:uid="{00000000-0005-0000-0000-000031410000}"/>
    <cellStyle name="Note 3 4 2 2 2 2 2" xfId="8015" xr:uid="{00000000-0005-0000-0000-000032410000}"/>
    <cellStyle name="Note 3 4 2 2 2 2 2 2" xfId="22266" xr:uid="{00000000-0005-0000-0000-000033410000}"/>
    <cellStyle name="Note 3 4 2 2 2 2 2 3" xfId="22269" xr:uid="{00000000-0005-0000-0000-000034410000}"/>
    <cellStyle name="Note 3 4 2 2 2 2 2 4" xfId="22271" xr:uid="{00000000-0005-0000-0000-000035410000}"/>
    <cellStyle name="Note 3 4 2 2 2 2 3" xfId="22274" xr:uid="{00000000-0005-0000-0000-000036410000}"/>
    <cellStyle name="Note 3 4 2 2 2 2 4" xfId="22276" xr:uid="{00000000-0005-0000-0000-000037410000}"/>
    <cellStyle name="Note 3 4 2 2 2 2 5" xfId="22278" xr:uid="{00000000-0005-0000-0000-000038410000}"/>
    <cellStyle name="Note 3 4 2 2 2 3" xfId="22280" xr:uid="{00000000-0005-0000-0000-000039410000}"/>
    <cellStyle name="Note 3 4 2 2 2 3 2" xfId="22282" xr:uid="{00000000-0005-0000-0000-00003A410000}"/>
    <cellStyle name="Note 3 4 2 2 2 3 3" xfId="22284" xr:uid="{00000000-0005-0000-0000-00003B410000}"/>
    <cellStyle name="Note 3 4 2 2 2 3 4" xfId="22286" xr:uid="{00000000-0005-0000-0000-00003C410000}"/>
    <cellStyle name="Note 3 4 2 2 2 4" xfId="15094" xr:uid="{00000000-0005-0000-0000-00003D410000}"/>
    <cellStyle name="Note 3 4 2 2 2 5" xfId="15097" xr:uid="{00000000-0005-0000-0000-00003E410000}"/>
    <cellStyle name="Note 3 4 2 2 2 6" xfId="14322" xr:uid="{00000000-0005-0000-0000-00003F410000}"/>
    <cellStyle name="Note 3 4 2 2 3" xfId="22287" xr:uid="{00000000-0005-0000-0000-000040410000}"/>
    <cellStyle name="Note 3 4 2 2 3 2" xfId="22289" xr:uid="{00000000-0005-0000-0000-000041410000}"/>
    <cellStyle name="Note 3 4 2 2 3 2 2" xfId="22291" xr:uid="{00000000-0005-0000-0000-000042410000}"/>
    <cellStyle name="Note 3 4 2 2 3 2 3" xfId="22293" xr:uid="{00000000-0005-0000-0000-000043410000}"/>
    <cellStyle name="Note 3 4 2 2 3 2 4" xfId="22296" xr:uid="{00000000-0005-0000-0000-000044410000}"/>
    <cellStyle name="Note 3 4 2 2 3 3" xfId="22298" xr:uid="{00000000-0005-0000-0000-000045410000}"/>
    <cellStyle name="Note 3 4 2 2 3 4" xfId="22300" xr:uid="{00000000-0005-0000-0000-000046410000}"/>
    <cellStyle name="Note 3 4 2 2 3 5" xfId="22302" xr:uid="{00000000-0005-0000-0000-000047410000}"/>
    <cellStyle name="Note 3 4 2 2 4" xfId="22303" xr:uid="{00000000-0005-0000-0000-000048410000}"/>
    <cellStyle name="Note 3 4 2 2 4 2" xfId="22305" xr:uid="{00000000-0005-0000-0000-000049410000}"/>
    <cellStyle name="Note 3 4 2 2 4 3" xfId="22308" xr:uid="{00000000-0005-0000-0000-00004A410000}"/>
    <cellStyle name="Note 3 4 2 2 4 4" xfId="22311" xr:uid="{00000000-0005-0000-0000-00004B410000}"/>
    <cellStyle name="Note 3 4 2 2 5" xfId="12631" xr:uid="{00000000-0005-0000-0000-00004C410000}"/>
    <cellStyle name="Note 3 4 2 2 6" xfId="12634" xr:uid="{00000000-0005-0000-0000-00004D410000}"/>
    <cellStyle name="Note 3 4 2 2 7" xfId="2031" xr:uid="{00000000-0005-0000-0000-00004E410000}"/>
    <cellStyle name="Note 3 4 2 3" xfId="22313" xr:uid="{00000000-0005-0000-0000-00004F410000}"/>
    <cellStyle name="Note 3 4 2 3 2" xfId="17761" xr:uid="{00000000-0005-0000-0000-000050410000}"/>
    <cellStyle name="Note 3 4 2 3 2 2" xfId="20509" xr:uid="{00000000-0005-0000-0000-000051410000}"/>
    <cellStyle name="Note 3 4 2 3 2 2 2" xfId="22317" xr:uid="{00000000-0005-0000-0000-000052410000}"/>
    <cellStyle name="Note 3 4 2 3 2 2 3" xfId="22320" xr:uid="{00000000-0005-0000-0000-000053410000}"/>
    <cellStyle name="Note 3 4 2 3 2 2 4" xfId="11109" xr:uid="{00000000-0005-0000-0000-000054410000}"/>
    <cellStyle name="Note 3 4 2 3 2 3" xfId="19061" xr:uid="{00000000-0005-0000-0000-000055410000}"/>
    <cellStyle name="Note 3 4 2 3 2 4" xfId="22323" xr:uid="{00000000-0005-0000-0000-000056410000}"/>
    <cellStyle name="Note 3 4 2 3 2 5" xfId="22326" xr:uid="{00000000-0005-0000-0000-000057410000}"/>
    <cellStyle name="Note 3 4 2 3 3" xfId="12640" xr:uid="{00000000-0005-0000-0000-000058410000}"/>
    <cellStyle name="Note 3 4 2 3 3 2" xfId="12645" xr:uid="{00000000-0005-0000-0000-000059410000}"/>
    <cellStyle name="Note 3 4 2 3 3 3" xfId="22329" xr:uid="{00000000-0005-0000-0000-00005A410000}"/>
    <cellStyle name="Note 3 4 2 3 3 4" xfId="22332" xr:uid="{00000000-0005-0000-0000-00005B410000}"/>
    <cellStyle name="Note 3 4 2 3 4" xfId="12655" xr:uid="{00000000-0005-0000-0000-00005C410000}"/>
    <cellStyle name="Note 3 4 2 3 5" xfId="12661" xr:uid="{00000000-0005-0000-0000-00005D410000}"/>
    <cellStyle name="Note 3 4 2 3 6" xfId="12668" xr:uid="{00000000-0005-0000-0000-00005E410000}"/>
    <cellStyle name="Note 3 4 2 4" xfId="22334" xr:uid="{00000000-0005-0000-0000-00005F410000}"/>
    <cellStyle name="Note 3 4 2 4 2" xfId="10773" xr:uid="{00000000-0005-0000-0000-000060410000}"/>
    <cellStyle name="Note 3 4 2 4 2 2" xfId="21977" xr:uid="{00000000-0005-0000-0000-000061410000}"/>
    <cellStyle name="Note 3 4 2 4 2 3" xfId="21981" xr:uid="{00000000-0005-0000-0000-000062410000}"/>
    <cellStyle name="Note 3 4 2 4 2 4" xfId="22337" xr:uid="{00000000-0005-0000-0000-000063410000}"/>
    <cellStyle name="Note 3 4 2 4 3" xfId="10793" xr:uid="{00000000-0005-0000-0000-000064410000}"/>
    <cellStyle name="Note 3 4 2 4 4" xfId="10806" xr:uid="{00000000-0005-0000-0000-000065410000}"/>
    <cellStyle name="Note 3 4 2 4 5" xfId="10815" xr:uid="{00000000-0005-0000-0000-000066410000}"/>
    <cellStyle name="Note 3 4 2 5" xfId="22339" xr:uid="{00000000-0005-0000-0000-000067410000}"/>
    <cellStyle name="Note 3 4 2 5 2" xfId="2515" xr:uid="{00000000-0005-0000-0000-000068410000}"/>
    <cellStyle name="Note 3 4 2 5 3" xfId="22341" xr:uid="{00000000-0005-0000-0000-000069410000}"/>
    <cellStyle name="Note 3 4 2 5 4" xfId="10836" xr:uid="{00000000-0005-0000-0000-00006A410000}"/>
    <cellStyle name="Note 3 4 2 6" xfId="22343" xr:uid="{00000000-0005-0000-0000-00006B410000}"/>
    <cellStyle name="Note 3 4 2 7" xfId="22046" xr:uid="{00000000-0005-0000-0000-00006C410000}"/>
    <cellStyle name="Note 3 4 2 8" xfId="22053" xr:uid="{00000000-0005-0000-0000-00006D410000}"/>
    <cellStyle name="Note 3 4 3" xfId="22344" xr:uid="{00000000-0005-0000-0000-00006E410000}"/>
    <cellStyle name="Note 3 4 3 2" xfId="22345" xr:uid="{00000000-0005-0000-0000-00006F410000}"/>
    <cellStyle name="Note 3 4 3 2 2" xfId="22346" xr:uid="{00000000-0005-0000-0000-000070410000}"/>
    <cellStyle name="Note 3 4 3 2 2 2" xfId="22348" xr:uid="{00000000-0005-0000-0000-000071410000}"/>
    <cellStyle name="Note 3 4 3 2 2 2 2" xfId="22350" xr:uid="{00000000-0005-0000-0000-000072410000}"/>
    <cellStyle name="Note 3 4 3 2 2 2 3" xfId="22352" xr:uid="{00000000-0005-0000-0000-000073410000}"/>
    <cellStyle name="Note 3 4 3 2 2 2 4" xfId="19875" xr:uid="{00000000-0005-0000-0000-000074410000}"/>
    <cellStyle name="Note 3 4 3 2 2 3" xfId="22354" xr:uid="{00000000-0005-0000-0000-000075410000}"/>
    <cellStyle name="Note 3 4 3 2 2 4" xfId="22356" xr:uid="{00000000-0005-0000-0000-000076410000}"/>
    <cellStyle name="Note 3 4 3 2 2 5" xfId="22359" xr:uid="{00000000-0005-0000-0000-000077410000}"/>
    <cellStyle name="Note 3 4 3 2 3" xfId="22360" xr:uid="{00000000-0005-0000-0000-000078410000}"/>
    <cellStyle name="Note 3 4 3 2 3 2" xfId="7768" xr:uid="{00000000-0005-0000-0000-000079410000}"/>
    <cellStyle name="Note 3 4 3 2 3 3" xfId="11905" xr:uid="{00000000-0005-0000-0000-00007A410000}"/>
    <cellStyle name="Note 3 4 3 2 3 4" xfId="11911" xr:uid="{00000000-0005-0000-0000-00007B410000}"/>
    <cellStyle name="Note 3 4 3 2 4" xfId="1016" xr:uid="{00000000-0005-0000-0000-00007C410000}"/>
    <cellStyle name="Note 3 4 3 2 5" xfId="12682" xr:uid="{00000000-0005-0000-0000-00007D410000}"/>
    <cellStyle name="Note 3 4 3 2 6" xfId="12685" xr:uid="{00000000-0005-0000-0000-00007E410000}"/>
    <cellStyle name="Note 3 4 3 3" xfId="22362" xr:uid="{00000000-0005-0000-0000-00007F410000}"/>
    <cellStyle name="Note 3 4 3 3 2" xfId="22364" xr:uid="{00000000-0005-0000-0000-000080410000}"/>
    <cellStyle name="Note 3 4 3 3 2 2" xfId="22203" xr:uid="{00000000-0005-0000-0000-000081410000}"/>
    <cellStyle name="Note 3 4 3 3 2 3" xfId="22367" xr:uid="{00000000-0005-0000-0000-000082410000}"/>
    <cellStyle name="Note 3 4 3 3 2 4" xfId="22370" xr:uid="{00000000-0005-0000-0000-000083410000}"/>
    <cellStyle name="Note 3 4 3 3 3" xfId="22372" xr:uid="{00000000-0005-0000-0000-000084410000}"/>
    <cellStyle name="Note 3 4 3 3 4" xfId="1024" xr:uid="{00000000-0005-0000-0000-000085410000}"/>
    <cellStyle name="Note 3 4 3 3 5" xfId="12696" xr:uid="{00000000-0005-0000-0000-000086410000}"/>
    <cellStyle name="Note 3 4 3 4" xfId="22374" xr:uid="{00000000-0005-0000-0000-000087410000}"/>
    <cellStyle name="Note 3 4 3 4 2" xfId="22376" xr:uid="{00000000-0005-0000-0000-000088410000}"/>
    <cellStyle name="Note 3 4 3 4 3" xfId="22378" xr:uid="{00000000-0005-0000-0000-000089410000}"/>
    <cellStyle name="Note 3 4 3 4 4" xfId="22381" xr:uid="{00000000-0005-0000-0000-00008A410000}"/>
    <cellStyle name="Note 3 4 3 5" xfId="22383" xr:uid="{00000000-0005-0000-0000-00008B410000}"/>
    <cellStyle name="Note 3 4 3 6" xfId="22385" xr:uid="{00000000-0005-0000-0000-00008C410000}"/>
    <cellStyle name="Note 3 4 3 7" xfId="22057" xr:uid="{00000000-0005-0000-0000-00008D410000}"/>
    <cellStyle name="Note 3 4 4" xfId="22386" xr:uid="{00000000-0005-0000-0000-00008E410000}"/>
    <cellStyle name="Note 3 4 4 2" xfId="22387" xr:uid="{00000000-0005-0000-0000-00008F410000}"/>
    <cellStyle name="Note 3 4 4 2 2" xfId="22388" xr:uid="{00000000-0005-0000-0000-000090410000}"/>
    <cellStyle name="Note 3 4 4 2 2 2" xfId="22391" xr:uid="{00000000-0005-0000-0000-000091410000}"/>
    <cellStyle name="Note 3 4 4 2 2 3" xfId="22394" xr:uid="{00000000-0005-0000-0000-000092410000}"/>
    <cellStyle name="Note 3 4 4 2 2 4" xfId="22397" xr:uid="{00000000-0005-0000-0000-000093410000}"/>
    <cellStyle name="Note 3 4 4 2 3" xfId="22398" xr:uid="{00000000-0005-0000-0000-000094410000}"/>
    <cellStyle name="Note 3 4 4 2 4" xfId="22399" xr:uid="{00000000-0005-0000-0000-000095410000}"/>
    <cellStyle name="Note 3 4 4 2 5" xfId="12707" xr:uid="{00000000-0005-0000-0000-000096410000}"/>
    <cellStyle name="Note 3 4 4 3" xfId="22401" xr:uid="{00000000-0005-0000-0000-000097410000}"/>
    <cellStyle name="Note 3 4 4 3 2" xfId="20953" xr:uid="{00000000-0005-0000-0000-000098410000}"/>
    <cellStyle name="Note 3 4 4 3 3" xfId="20957" xr:uid="{00000000-0005-0000-0000-000099410000}"/>
    <cellStyle name="Note 3 4 4 3 4" xfId="18333" xr:uid="{00000000-0005-0000-0000-00009A410000}"/>
    <cellStyle name="Note 3 4 4 4" xfId="22403" xr:uid="{00000000-0005-0000-0000-00009B410000}"/>
    <cellStyle name="Note 3 4 4 5" xfId="22405" xr:uid="{00000000-0005-0000-0000-00009C410000}"/>
    <cellStyle name="Note 3 4 4 6" xfId="22407" xr:uid="{00000000-0005-0000-0000-00009D410000}"/>
    <cellStyle name="Note 3 4 5" xfId="22408" xr:uid="{00000000-0005-0000-0000-00009E410000}"/>
    <cellStyle name="Note 3 4 5 2" xfId="22410" xr:uid="{00000000-0005-0000-0000-00009F410000}"/>
    <cellStyle name="Note 3 4 5 2 2" xfId="22411" xr:uid="{00000000-0005-0000-0000-0000A0410000}"/>
    <cellStyle name="Note 3 4 5 2 3" xfId="22412" xr:uid="{00000000-0005-0000-0000-0000A1410000}"/>
    <cellStyle name="Note 3 4 5 2 4" xfId="22413" xr:uid="{00000000-0005-0000-0000-0000A2410000}"/>
    <cellStyle name="Note 3 4 5 3" xfId="22416" xr:uid="{00000000-0005-0000-0000-0000A3410000}"/>
    <cellStyle name="Note 3 4 5 4" xfId="22418" xr:uid="{00000000-0005-0000-0000-0000A4410000}"/>
    <cellStyle name="Note 3 4 5 5" xfId="22420" xr:uid="{00000000-0005-0000-0000-0000A5410000}"/>
    <cellStyle name="Note 3 4 6" xfId="22421" xr:uid="{00000000-0005-0000-0000-0000A6410000}"/>
    <cellStyle name="Note 3 4 6 2" xfId="4255" xr:uid="{00000000-0005-0000-0000-0000A7410000}"/>
    <cellStyle name="Note 3 4 6 3" xfId="21898" xr:uid="{00000000-0005-0000-0000-0000A8410000}"/>
    <cellStyle name="Note 3 4 6 4" xfId="21903" xr:uid="{00000000-0005-0000-0000-0000A9410000}"/>
    <cellStyle name="Note 3 4 7" xfId="22422" xr:uid="{00000000-0005-0000-0000-0000AA410000}"/>
    <cellStyle name="Note 3 4 8" xfId="22423" xr:uid="{00000000-0005-0000-0000-0000AB410000}"/>
    <cellStyle name="Note 3 4 9" xfId="22424" xr:uid="{00000000-0005-0000-0000-0000AC410000}"/>
    <cellStyle name="Note 3 5" xfId="8405" xr:uid="{00000000-0005-0000-0000-0000AD410000}"/>
    <cellStyle name="Note 3 5 2" xfId="22425" xr:uid="{00000000-0005-0000-0000-0000AE410000}"/>
    <cellStyle name="Note 3 5 2 2" xfId="22427" xr:uid="{00000000-0005-0000-0000-0000AF410000}"/>
    <cellStyle name="Note 3 5 2 2 2" xfId="5745" xr:uid="{00000000-0005-0000-0000-0000B0410000}"/>
    <cellStyle name="Note 3 5 2 2 2 2" xfId="17239" xr:uid="{00000000-0005-0000-0000-0000B1410000}"/>
    <cellStyle name="Note 3 5 2 2 2 2 2" xfId="9359" xr:uid="{00000000-0005-0000-0000-0000B2410000}"/>
    <cellStyle name="Note 3 5 2 2 2 2 3" xfId="1267" xr:uid="{00000000-0005-0000-0000-0000B3410000}"/>
    <cellStyle name="Note 3 5 2 2 2 2 4" xfId="17241" xr:uid="{00000000-0005-0000-0000-0000B4410000}"/>
    <cellStyle name="Note 3 5 2 2 2 3" xfId="17243" xr:uid="{00000000-0005-0000-0000-0000B5410000}"/>
    <cellStyle name="Note 3 5 2 2 2 4" xfId="3278" xr:uid="{00000000-0005-0000-0000-0000B6410000}"/>
    <cellStyle name="Note 3 5 2 2 2 5" xfId="305" xr:uid="{00000000-0005-0000-0000-0000B7410000}"/>
    <cellStyle name="Note 3 5 2 2 3" xfId="12741" xr:uid="{00000000-0005-0000-0000-0000B8410000}"/>
    <cellStyle name="Note 3 5 2 2 3 2" xfId="12745" xr:uid="{00000000-0005-0000-0000-0000B9410000}"/>
    <cellStyle name="Note 3 5 2 2 3 3" xfId="12750" xr:uid="{00000000-0005-0000-0000-0000BA410000}"/>
    <cellStyle name="Note 3 5 2 2 3 4" xfId="3324" xr:uid="{00000000-0005-0000-0000-0000BB410000}"/>
    <cellStyle name="Note 3 5 2 2 4" xfId="12759" xr:uid="{00000000-0005-0000-0000-0000BC410000}"/>
    <cellStyle name="Note 3 5 2 2 5" xfId="12765" xr:uid="{00000000-0005-0000-0000-0000BD410000}"/>
    <cellStyle name="Note 3 5 2 2 6" xfId="12772" xr:uid="{00000000-0005-0000-0000-0000BE410000}"/>
    <cellStyle name="Note 3 5 2 3" xfId="22429" xr:uid="{00000000-0005-0000-0000-0000BF410000}"/>
    <cellStyle name="Note 3 5 2 3 2" xfId="17274" xr:uid="{00000000-0005-0000-0000-0000C0410000}"/>
    <cellStyle name="Note 3 5 2 3 2 2" xfId="17278" xr:uid="{00000000-0005-0000-0000-0000C1410000}"/>
    <cellStyle name="Note 3 5 2 3 2 3" xfId="17283" xr:uid="{00000000-0005-0000-0000-0000C2410000}"/>
    <cellStyle name="Note 3 5 2 3 2 4" xfId="2008" xr:uid="{00000000-0005-0000-0000-0000C3410000}"/>
    <cellStyle name="Note 3 5 2 3 3" xfId="12779" xr:uid="{00000000-0005-0000-0000-0000C4410000}"/>
    <cellStyle name="Note 3 5 2 3 4" xfId="12788" xr:uid="{00000000-0005-0000-0000-0000C5410000}"/>
    <cellStyle name="Note 3 5 2 3 5" xfId="12795" xr:uid="{00000000-0005-0000-0000-0000C6410000}"/>
    <cellStyle name="Note 3 5 2 4" xfId="22431" xr:uid="{00000000-0005-0000-0000-0000C7410000}"/>
    <cellStyle name="Note 3 5 2 4 2" xfId="3224" xr:uid="{00000000-0005-0000-0000-0000C8410000}"/>
    <cellStyle name="Note 3 5 2 4 3" xfId="9778" xr:uid="{00000000-0005-0000-0000-0000C9410000}"/>
    <cellStyle name="Note 3 5 2 4 4" xfId="9793" xr:uid="{00000000-0005-0000-0000-0000CA410000}"/>
    <cellStyle name="Note 3 5 2 5" xfId="22433" xr:uid="{00000000-0005-0000-0000-0000CB410000}"/>
    <cellStyle name="Note 3 5 2 6" xfId="22435" xr:uid="{00000000-0005-0000-0000-0000CC410000}"/>
    <cellStyle name="Note 3 5 2 7" xfId="22075" xr:uid="{00000000-0005-0000-0000-0000CD410000}"/>
    <cellStyle name="Note 3 5 3" xfId="22436" xr:uid="{00000000-0005-0000-0000-0000CE410000}"/>
    <cellStyle name="Note 3 5 3 2" xfId="22437" xr:uid="{00000000-0005-0000-0000-0000CF410000}"/>
    <cellStyle name="Note 3 5 3 2 2" xfId="6183" xr:uid="{00000000-0005-0000-0000-0000D0410000}"/>
    <cellStyle name="Note 3 5 3 2 2 2" xfId="22438" xr:uid="{00000000-0005-0000-0000-0000D1410000}"/>
    <cellStyle name="Note 3 5 3 2 2 3" xfId="22439" xr:uid="{00000000-0005-0000-0000-0000D2410000}"/>
    <cellStyle name="Note 3 5 3 2 2 4" xfId="10931" xr:uid="{00000000-0005-0000-0000-0000D3410000}"/>
    <cellStyle name="Note 3 5 3 2 3" xfId="12810" xr:uid="{00000000-0005-0000-0000-0000D4410000}"/>
    <cellStyle name="Note 3 5 3 2 4" xfId="1124" xr:uid="{00000000-0005-0000-0000-0000D5410000}"/>
    <cellStyle name="Note 3 5 3 2 5" xfId="11765" xr:uid="{00000000-0005-0000-0000-0000D6410000}"/>
    <cellStyle name="Note 3 5 3 3" xfId="22441" xr:uid="{00000000-0005-0000-0000-0000D7410000}"/>
    <cellStyle name="Note 3 5 3 3 2" xfId="17382" xr:uid="{00000000-0005-0000-0000-0000D8410000}"/>
    <cellStyle name="Note 3 5 3 3 3" xfId="16436" xr:uid="{00000000-0005-0000-0000-0000D9410000}"/>
    <cellStyle name="Note 3 5 3 3 4" xfId="1134" xr:uid="{00000000-0005-0000-0000-0000DA410000}"/>
    <cellStyle name="Note 3 5 3 4" xfId="22443" xr:uid="{00000000-0005-0000-0000-0000DB410000}"/>
    <cellStyle name="Note 3 5 3 5" xfId="22445" xr:uid="{00000000-0005-0000-0000-0000DC410000}"/>
    <cellStyle name="Note 3 5 3 6" xfId="22447" xr:uid="{00000000-0005-0000-0000-0000DD410000}"/>
    <cellStyle name="Note 3 5 4" xfId="22448" xr:uid="{00000000-0005-0000-0000-0000DE410000}"/>
    <cellStyle name="Note 3 5 4 2" xfId="22449" xr:uid="{00000000-0005-0000-0000-0000DF410000}"/>
    <cellStyle name="Note 3 5 4 2 2" xfId="22451" xr:uid="{00000000-0005-0000-0000-0000E0410000}"/>
    <cellStyle name="Note 3 5 4 2 3" xfId="22453" xr:uid="{00000000-0005-0000-0000-0000E1410000}"/>
    <cellStyle name="Note 3 5 4 2 4" xfId="22454" xr:uid="{00000000-0005-0000-0000-0000E2410000}"/>
    <cellStyle name="Note 3 5 4 3" xfId="22456" xr:uid="{00000000-0005-0000-0000-0000E3410000}"/>
    <cellStyle name="Note 3 5 4 4" xfId="22459" xr:uid="{00000000-0005-0000-0000-0000E4410000}"/>
    <cellStyle name="Note 3 5 4 5" xfId="22462" xr:uid="{00000000-0005-0000-0000-0000E5410000}"/>
    <cellStyle name="Note 3 5 5" xfId="22463" xr:uid="{00000000-0005-0000-0000-0000E6410000}"/>
    <cellStyle name="Note 3 5 5 2" xfId="22464" xr:uid="{00000000-0005-0000-0000-0000E7410000}"/>
    <cellStyle name="Note 3 5 5 3" xfId="22466" xr:uid="{00000000-0005-0000-0000-0000E8410000}"/>
    <cellStyle name="Note 3 5 5 4" xfId="22468" xr:uid="{00000000-0005-0000-0000-0000E9410000}"/>
    <cellStyle name="Note 3 5 6" xfId="22469" xr:uid="{00000000-0005-0000-0000-0000EA410000}"/>
    <cellStyle name="Note 3 5 7" xfId="22470" xr:uid="{00000000-0005-0000-0000-0000EB410000}"/>
    <cellStyle name="Note 3 5 8" xfId="22471" xr:uid="{00000000-0005-0000-0000-0000EC410000}"/>
    <cellStyle name="Note 3 6" xfId="8410" xr:uid="{00000000-0005-0000-0000-0000ED410000}"/>
    <cellStyle name="Note 3 6 2" xfId="15358" xr:uid="{00000000-0005-0000-0000-0000EE410000}"/>
    <cellStyle name="Note 3 6 2 2" xfId="22472" xr:uid="{00000000-0005-0000-0000-0000EF410000}"/>
    <cellStyle name="Note 3 6 2 2 2" xfId="15767" xr:uid="{00000000-0005-0000-0000-0000F0410000}"/>
    <cellStyle name="Note 3 6 2 2 2 2" xfId="15770" xr:uid="{00000000-0005-0000-0000-0000F1410000}"/>
    <cellStyle name="Note 3 6 2 2 2 3" xfId="15773" xr:uid="{00000000-0005-0000-0000-0000F2410000}"/>
    <cellStyle name="Note 3 6 2 2 2 4" xfId="15776" xr:uid="{00000000-0005-0000-0000-0000F3410000}"/>
    <cellStyle name="Note 3 6 2 2 3" xfId="12846" xr:uid="{00000000-0005-0000-0000-0000F4410000}"/>
    <cellStyle name="Note 3 6 2 2 4" xfId="12850" xr:uid="{00000000-0005-0000-0000-0000F5410000}"/>
    <cellStyle name="Note 3 6 2 2 5" xfId="12852" xr:uid="{00000000-0005-0000-0000-0000F6410000}"/>
    <cellStyle name="Note 3 6 2 3" xfId="22474" xr:uid="{00000000-0005-0000-0000-0000F7410000}"/>
    <cellStyle name="Note 3 6 2 3 2" xfId="15788" xr:uid="{00000000-0005-0000-0000-0000F8410000}"/>
    <cellStyle name="Note 3 6 2 3 3" xfId="15793" xr:uid="{00000000-0005-0000-0000-0000F9410000}"/>
    <cellStyle name="Note 3 6 2 3 4" xfId="15799" xr:uid="{00000000-0005-0000-0000-0000FA410000}"/>
    <cellStyle name="Note 3 6 2 4" xfId="22476" xr:uid="{00000000-0005-0000-0000-0000FB410000}"/>
    <cellStyle name="Note 3 6 2 5" xfId="22478" xr:uid="{00000000-0005-0000-0000-0000FC410000}"/>
    <cellStyle name="Note 3 6 2 6" xfId="22480" xr:uid="{00000000-0005-0000-0000-0000FD410000}"/>
    <cellStyle name="Note 3 6 3" xfId="15360" xr:uid="{00000000-0005-0000-0000-0000FE410000}"/>
    <cellStyle name="Note 3 6 3 2" xfId="22481" xr:uid="{00000000-0005-0000-0000-0000FF410000}"/>
    <cellStyle name="Note 3 6 3 2 2" xfId="15807" xr:uid="{00000000-0005-0000-0000-000000420000}"/>
    <cellStyle name="Note 3 6 3 2 3" xfId="15810" xr:uid="{00000000-0005-0000-0000-000001420000}"/>
    <cellStyle name="Note 3 6 3 2 4" xfId="1255" xr:uid="{00000000-0005-0000-0000-000002420000}"/>
    <cellStyle name="Note 3 6 3 3" xfId="22483" xr:uid="{00000000-0005-0000-0000-000003420000}"/>
    <cellStyle name="Note 3 6 3 4" xfId="22485" xr:uid="{00000000-0005-0000-0000-000004420000}"/>
    <cellStyle name="Note 3 6 3 5" xfId="22487" xr:uid="{00000000-0005-0000-0000-000005420000}"/>
    <cellStyle name="Note 3 6 4" xfId="15363" xr:uid="{00000000-0005-0000-0000-000006420000}"/>
    <cellStyle name="Note 3 6 4 2" xfId="22488" xr:uid="{00000000-0005-0000-0000-000007420000}"/>
    <cellStyle name="Note 3 6 4 3" xfId="22490" xr:uid="{00000000-0005-0000-0000-000008420000}"/>
    <cellStyle name="Note 3 6 4 4" xfId="22492" xr:uid="{00000000-0005-0000-0000-000009420000}"/>
    <cellStyle name="Note 3 6 5" xfId="22493" xr:uid="{00000000-0005-0000-0000-00000A420000}"/>
    <cellStyle name="Note 3 6 6" xfId="21096" xr:uid="{00000000-0005-0000-0000-00000B420000}"/>
    <cellStyle name="Note 3 6 7" xfId="21100" xr:uid="{00000000-0005-0000-0000-00000C420000}"/>
    <cellStyle name="Note 3 7" xfId="8416" xr:uid="{00000000-0005-0000-0000-00000D420000}"/>
    <cellStyle name="Note 3 7 2" xfId="22495" xr:uid="{00000000-0005-0000-0000-00000E420000}"/>
    <cellStyle name="Note 3 7 2 2" xfId="22496" xr:uid="{00000000-0005-0000-0000-00000F420000}"/>
    <cellStyle name="Note 3 7 2 2 2" xfId="14255" xr:uid="{00000000-0005-0000-0000-000010420000}"/>
    <cellStyle name="Note 3 7 2 2 3" xfId="9920" xr:uid="{00000000-0005-0000-0000-000011420000}"/>
    <cellStyle name="Note 3 7 2 2 4" xfId="9930" xr:uid="{00000000-0005-0000-0000-000012420000}"/>
    <cellStyle name="Note 3 7 2 3" xfId="22498" xr:uid="{00000000-0005-0000-0000-000013420000}"/>
    <cellStyle name="Note 3 7 2 4" xfId="22500" xr:uid="{00000000-0005-0000-0000-000014420000}"/>
    <cellStyle name="Note 3 7 2 5" xfId="22502" xr:uid="{00000000-0005-0000-0000-000015420000}"/>
    <cellStyle name="Note 3 7 3" xfId="22503" xr:uid="{00000000-0005-0000-0000-000016420000}"/>
    <cellStyle name="Note 3 7 3 2" xfId="22504" xr:uid="{00000000-0005-0000-0000-000017420000}"/>
    <cellStyle name="Note 3 7 3 3" xfId="22506" xr:uid="{00000000-0005-0000-0000-000018420000}"/>
    <cellStyle name="Note 3 7 3 4" xfId="22508" xr:uid="{00000000-0005-0000-0000-000019420000}"/>
    <cellStyle name="Note 3 7 4" xfId="22509" xr:uid="{00000000-0005-0000-0000-00001A420000}"/>
    <cellStyle name="Note 3 7 5" xfId="22510" xr:uid="{00000000-0005-0000-0000-00001B420000}"/>
    <cellStyle name="Note 3 7 6" xfId="22511" xr:uid="{00000000-0005-0000-0000-00001C420000}"/>
    <cellStyle name="Note 3 8" xfId="15366" xr:uid="{00000000-0005-0000-0000-00001D420000}"/>
    <cellStyle name="Note 3 8 2" xfId="22512" xr:uid="{00000000-0005-0000-0000-00001E420000}"/>
    <cellStyle name="Note 3 8 2 2" xfId="22513" xr:uid="{00000000-0005-0000-0000-00001F420000}"/>
    <cellStyle name="Note 3 8 2 3" xfId="22515" xr:uid="{00000000-0005-0000-0000-000020420000}"/>
    <cellStyle name="Note 3 8 2 4" xfId="8396" xr:uid="{00000000-0005-0000-0000-000021420000}"/>
    <cellStyle name="Note 3 8 3" xfId="22516" xr:uid="{00000000-0005-0000-0000-000022420000}"/>
    <cellStyle name="Note 3 8 4" xfId="21558" xr:uid="{00000000-0005-0000-0000-000023420000}"/>
    <cellStyle name="Note 3 8 5" xfId="21560" xr:uid="{00000000-0005-0000-0000-000024420000}"/>
    <cellStyle name="Note 3 9" xfId="15372" xr:uid="{00000000-0005-0000-0000-000025420000}"/>
    <cellStyle name="Note 3 9 2" xfId="22517" xr:uid="{00000000-0005-0000-0000-000026420000}"/>
    <cellStyle name="Note 3 9 3" xfId="22518" xr:uid="{00000000-0005-0000-0000-000027420000}"/>
    <cellStyle name="Note 3 9 4" xfId="22519" xr:uid="{00000000-0005-0000-0000-000028420000}"/>
    <cellStyle name="Note 4" xfId="22520" xr:uid="{00000000-0005-0000-0000-000029420000}"/>
    <cellStyle name="Note 4 10" xfId="22523" xr:uid="{00000000-0005-0000-0000-00002A420000}"/>
    <cellStyle name="Note 4 11" xfId="22526" xr:uid="{00000000-0005-0000-0000-00002B420000}"/>
    <cellStyle name="Note 4 12" xfId="22528" xr:uid="{00000000-0005-0000-0000-00002C420000}"/>
    <cellStyle name="Note 4 13" xfId="22530" xr:uid="{00000000-0005-0000-0000-00002D420000}"/>
    <cellStyle name="Note 4 2" xfId="2663" xr:uid="{00000000-0005-0000-0000-00002E420000}"/>
    <cellStyle name="Note 4 2 10" xfId="22531" xr:uid="{00000000-0005-0000-0000-00002F420000}"/>
    <cellStyle name="Note 4 2 11" xfId="22532" xr:uid="{00000000-0005-0000-0000-000030420000}"/>
    <cellStyle name="Note 4 2 12" xfId="22533" xr:uid="{00000000-0005-0000-0000-000031420000}"/>
    <cellStyle name="Note 4 2 2" xfId="13387" xr:uid="{00000000-0005-0000-0000-000032420000}"/>
    <cellStyle name="Note 4 2 2 2" xfId="22534" xr:uid="{00000000-0005-0000-0000-000033420000}"/>
    <cellStyle name="Note 4 2 2 2 2" xfId="22535" xr:uid="{00000000-0005-0000-0000-000034420000}"/>
    <cellStyle name="Note 4 2 2 2 2 2" xfId="22536" xr:uid="{00000000-0005-0000-0000-000035420000}"/>
    <cellStyle name="Note 4 2 2 2 2 2 2" xfId="22538" xr:uid="{00000000-0005-0000-0000-000036420000}"/>
    <cellStyle name="Note 4 2 2 2 2 2 2 2" xfId="22539" xr:uid="{00000000-0005-0000-0000-000037420000}"/>
    <cellStyle name="Note 4 2 2 2 2 2 2 2 2" xfId="22540" xr:uid="{00000000-0005-0000-0000-000038420000}"/>
    <cellStyle name="Note 4 2 2 2 2 2 2 2 3" xfId="22541" xr:uid="{00000000-0005-0000-0000-000039420000}"/>
    <cellStyle name="Note 4 2 2 2 2 2 2 2 4" xfId="22542" xr:uid="{00000000-0005-0000-0000-00003A420000}"/>
    <cellStyle name="Note 4 2 2 2 2 2 2 3" xfId="22543" xr:uid="{00000000-0005-0000-0000-00003B420000}"/>
    <cellStyle name="Note 4 2 2 2 2 2 2 4" xfId="22544" xr:uid="{00000000-0005-0000-0000-00003C420000}"/>
    <cellStyle name="Note 4 2 2 2 2 2 2 5" xfId="22545" xr:uid="{00000000-0005-0000-0000-00003D420000}"/>
    <cellStyle name="Note 4 2 2 2 2 2 3" xfId="22546" xr:uid="{00000000-0005-0000-0000-00003E420000}"/>
    <cellStyle name="Note 4 2 2 2 2 2 3 2" xfId="22547" xr:uid="{00000000-0005-0000-0000-00003F420000}"/>
    <cellStyle name="Note 4 2 2 2 2 2 3 3" xfId="22548" xr:uid="{00000000-0005-0000-0000-000040420000}"/>
    <cellStyle name="Note 4 2 2 2 2 2 3 4" xfId="22549" xr:uid="{00000000-0005-0000-0000-000041420000}"/>
    <cellStyle name="Note 4 2 2 2 2 2 4" xfId="22550" xr:uid="{00000000-0005-0000-0000-000042420000}"/>
    <cellStyle name="Note 4 2 2 2 2 2 5" xfId="22551" xr:uid="{00000000-0005-0000-0000-000043420000}"/>
    <cellStyle name="Note 4 2 2 2 2 2 6" xfId="22553" xr:uid="{00000000-0005-0000-0000-000044420000}"/>
    <cellStyle name="Note 4 2 2 2 2 3" xfId="22554" xr:uid="{00000000-0005-0000-0000-000045420000}"/>
    <cellStyle name="Note 4 2 2 2 2 3 2" xfId="22555" xr:uid="{00000000-0005-0000-0000-000046420000}"/>
    <cellStyle name="Note 4 2 2 2 2 3 2 2" xfId="22556" xr:uid="{00000000-0005-0000-0000-000047420000}"/>
    <cellStyle name="Note 4 2 2 2 2 3 2 3" xfId="21656" xr:uid="{00000000-0005-0000-0000-000048420000}"/>
    <cellStyle name="Note 4 2 2 2 2 3 2 4" xfId="21659" xr:uid="{00000000-0005-0000-0000-000049420000}"/>
    <cellStyle name="Note 4 2 2 2 2 3 3" xfId="22557" xr:uid="{00000000-0005-0000-0000-00004A420000}"/>
    <cellStyle name="Note 4 2 2 2 2 3 4" xfId="22558" xr:uid="{00000000-0005-0000-0000-00004B420000}"/>
    <cellStyle name="Note 4 2 2 2 2 3 5" xfId="22559" xr:uid="{00000000-0005-0000-0000-00004C420000}"/>
    <cellStyle name="Note 4 2 2 2 2 4" xfId="12594" xr:uid="{00000000-0005-0000-0000-00004D420000}"/>
    <cellStyle name="Note 4 2 2 2 2 4 2" xfId="22560" xr:uid="{00000000-0005-0000-0000-00004E420000}"/>
    <cellStyle name="Note 4 2 2 2 2 4 3" xfId="22561" xr:uid="{00000000-0005-0000-0000-00004F420000}"/>
    <cellStyle name="Note 4 2 2 2 2 4 4" xfId="22562" xr:uid="{00000000-0005-0000-0000-000050420000}"/>
    <cellStyle name="Note 4 2 2 2 2 5" xfId="12602" xr:uid="{00000000-0005-0000-0000-000051420000}"/>
    <cellStyle name="Note 4 2 2 2 2 6" xfId="15189" xr:uid="{00000000-0005-0000-0000-000052420000}"/>
    <cellStyle name="Note 4 2 2 2 2 7" xfId="22564" xr:uid="{00000000-0005-0000-0000-000053420000}"/>
    <cellStyle name="Note 4 2 2 2 3" xfId="22565" xr:uid="{00000000-0005-0000-0000-000054420000}"/>
    <cellStyle name="Note 4 2 2 2 3 2" xfId="13772" xr:uid="{00000000-0005-0000-0000-000055420000}"/>
    <cellStyle name="Note 4 2 2 2 3 2 2" xfId="22566" xr:uid="{00000000-0005-0000-0000-000056420000}"/>
    <cellStyle name="Note 4 2 2 2 3 2 2 2" xfId="17563" xr:uid="{00000000-0005-0000-0000-000057420000}"/>
    <cellStyle name="Note 4 2 2 2 3 2 2 3" xfId="17569" xr:uid="{00000000-0005-0000-0000-000058420000}"/>
    <cellStyle name="Note 4 2 2 2 3 2 2 4" xfId="17572" xr:uid="{00000000-0005-0000-0000-000059420000}"/>
    <cellStyle name="Note 4 2 2 2 3 2 3" xfId="22567" xr:uid="{00000000-0005-0000-0000-00005A420000}"/>
    <cellStyle name="Note 4 2 2 2 3 2 4" xfId="22568" xr:uid="{00000000-0005-0000-0000-00005B420000}"/>
    <cellStyle name="Note 4 2 2 2 3 2 5" xfId="22569" xr:uid="{00000000-0005-0000-0000-00005C420000}"/>
    <cellStyle name="Note 4 2 2 2 3 3" xfId="22570" xr:uid="{00000000-0005-0000-0000-00005D420000}"/>
    <cellStyle name="Note 4 2 2 2 3 3 2" xfId="22571" xr:uid="{00000000-0005-0000-0000-00005E420000}"/>
    <cellStyle name="Note 4 2 2 2 3 3 3" xfId="22572" xr:uid="{00000000-0005-0000-0000-00005F420000}"/>
    <cellStyle name="Note 4 2 2 2 3 3 4" xfId="22573" xr:uid="{00000000-0005-0000-0000-000060420000}"/>
    <cellStyle name="Note 4 2 2 2 3 4" xfId="22574" xr:uid="{00000000-0005-0000-0000-000061420000}"/>
    <cellStyle name="Note 4 2 2 2 3 5" xfId="22575" xr:uid="{00000000-0005-0000-0000-000062420000}"/>
    <cellStyle name="Note 4 2 2 2 3 6" xfId="22577" xr:uid="{00000000-0005-0000-0000-000063420000}"/>
    <cellStyle name="Note 4 2 2 2 4" xfId="22578" xr:uid="{00000000-0005-0000-0000-000064420000}"/>
    <cellStyle name="Note 4 2 2 2 4 2" xfId="22580" xr:uid="{00000000-0005-0000-0000-000065420000}"/>
    <cellStyle name="Note 4 2 2 2 4 2 2" xfId="22581" xr:uid="{00000000-0005-0000-0000-000066420000}"/>
    <cellStyle name="Note 4 2 2 2 4 2 3" xfId="22582" xr:uid="{00000000-0005-0000-0000-000067420000}"/>
    <cellStyle name="Note 4 2 2 2 4 2 4" xfId="19827" xr:uid="{00000000-0005-0000-0000-000068420000}"/>
    <cellStyle name="Note 4 2 2 2 4 3" xfId="22584" xr:uid="{00000000-0005-0000-0000-000069420000}"/>
    <cellStyle name="Note 4 2 2 2 4 4" xfId="22585" xr:uid="{00000000-0005-0000-0000-00006A420000}"/>
    <cellStyle name="Note 4 2 2 2 4 5" xfId="22586" xr:uid="{00000000-0005-0000-0000-00006B420000}"/>
    <cellStyle name="Note 4 2 2 2 5" xfId="22587" xr:uid="{00000000-0005-0000-0000-00006C420000}"/>
    <cellStyle name="Note 4 2 2 2 5 2" xfId="22588" xr:uid="{00000000-0005-0000-0000-00006D420000}"/>
    <cellStyle name="Note 4 2 2 2 5 3" xfId="22589" xr:uid="{00000000-0005-0000-0000-00006E420000}"/>
    <cellStyle name="Note 4 2 2 2 5 4" xfId="22590" xr:uid="{00000000-0005-0000-0000-00006F420000}"/>
    <cellStyle name="Note 4 2 2 2 6" xfId="17266" xr:uid="{00000000-0005-0000-0000-000070420000}"/>
    <cellStyle name="Note 4 2 2 2 7" xfId="17271" xr:uid="{00000000-0005-0000-0000-000071420000}"/>
    <cellStyle name="Note 4 2 2 2 8" xfId="3500" xr:uid="{00000000-0005-0000-0000-000072420000}"/>
    <cellStyle name="Note 4 2 2 3" xfId="22591" xr:uid="{00000000-0005-0000-0000-000073420000}"/>
    <cellStyle name="Note 4 2 2 3 2" xfId="22592" xr:uid="{00000000-0005-0000-0000-000074420000}"/>
    <cellStyle name="Note 4 2 2 3 2 2" xfId="22593" xr:uid="{00000000-0005-0000-0000-000075420000}"/>
    <cellStyle name="Note 4 2 2 3 2 2 2" xfId="22594" xr:uid="{00000000-0005-0000-0000-000076420000}"/>
    <cellStyle name="Note 4 2 2 3 2 2 2 2" xfId="22596" xr:uid="{00000000-0005-0000-0000-000077420000}"/>
    <cellStyle name="Note 4 2 2 3 2 2 2 3" xfId="22597" xr:uid="{00000000-0005-0000-0000-000078420000}"/>
    <cellStyle name="Note 4 2 2 3 2 2 2 4" xfId="22598" xr:uid="{00000000-0005-0000-0000-000079420000}"/>
    <cellStyle name="Note 4 2 2 3 2 2 3" xfId="22599" xr:uid="{00000000-0005-0000-0000-00007A420000}"/>
    <cellStyle name="Note 4 2 2 3 2 2 4" xfId="22600" xr:uid="{00000000-0005-0000-0000-00007B420000}"/>
    <cellStyle name="Note 4 2 2 3 2 2 5" xfId="22601" xr:uid="{00000000-0005-0000-0000-00007C420000}"/>
    <cellStyle name="Note 4 2 2 3 2 3" xfId="1355" xr:uid="{00000000-0005-0000-0000-00007D420000}"/>
    <cellStyle name="Note 4 2 2 3 2 3 2" xfId="22602" xr:uid="{00000000-0005-0000-0000-00007E420000}"/>
    <cellStyle name="Note 4 2 2 3 2 3 3" xfId="22603" xr:uid="{00000000-0005-0000-0000-00007F420000}"/>
    <cellStyle name="Note 4 2 2 3 2 3 4" xfId="22604" xr:uid="{00000000-0005-0000-0000-000080420000}"/>
    <cellStyle name="Note 4 2 2 3 2 4" xfId="1362" xr:uid="{00000000-0005-0000-0000-000081420000}"/>
    <cellStyle name="Note 4 2 2 3 2 5" xfId="1371" xr:uid="{00000000-0005-0000-0000-000082420000}"/>
    <cellStyle name="Note 4 2 2 3 2 6" xfId="22606" xr:uid="{00000000-0005-0000-0000-000083420000}"/>
    <cellStyle name="Note 4 2 2 3 3" xfId="22607" xr:uid="{00000000-0005-0000-0000-000084420000}"/>
    <cellStyle name="Note 4 2 2 3 3 2" xfId="22608" xr:uid="{00000000-0005-0000-0000-000085420000}"/>
    <cellStyle name="Note 4 2 2 3 3 2 2" xfId="22609" xr:uid="{00000000-0005-0000-0000-000086420000}"/>
    <cellStyle name="Note 4 2 2 3 3 2 3" xfId="22610" xr:uid="{00000000-0005-0000-0000-000087420000}"/>
    <cellStyle name="Note 4 2 2 3 3 2 4" xfId="22611" xr:uid="{00000000-0005-0000-0000-000088420000}"/>
    <cellStyle name="Note 4 2 2 3 3 3" xfId="22612" xr:uid="{00000000-0005-0000-0000-000089420000}"/>
    <cellStyle name="Note 4 2 2 3 3 4" xfId="22613" xr:uid="{00000000-0005-0000-0000-00008A420000}"/>
    <cellStyle name="Note 4 2 2 3 3 5" xfId="22614" xr:uid="{00000000-0005-0000-0000-00008B420000}"/>
    <cellStyle name="Note 4 2 2 3 4" xfId="22615" xr:uid="{00000000-0005-0000-0000-00008C420000}"/>
    <cellStyle name="Note 4 2 2 3 4 2" xfId="22616" xr:uid="{00000000-0005-0000-0000-00008D420000}"/>
    <cellStyle name="Note 4 2 2 3 4 3" xfId="22617" xr:uid="{00000000-0005-0000-0000-00008E420000}"/>
    <cellStyle name="Note 4 2 2 3 4 4" xfId="22618" xr:uid="{00000000-0005-0000-0000-00008F420000}"/>
    <cellStyle name="Note 4 2 2 3 5" xfId="22619" xr:uid="{00000000-0005-0000-0000-000090420000}"/>
    <cellStyle name="Note 4 2 2 3 6" xfId="17277" xr:uid="{00000000-0005-0000-0000-000091420000}"/>
    <cellStyle name="Note 4 2 2 3 7" xfId="17282" xr:uid="{00000000-0005-0000-0000-000092420000}"/>
    <cellStyle name="Note 4 2 2 4" xfId="22620" xr:uid="{00000000-0005-0000-0000-000093420000}"/>
    <cellStyle name="Note 4 2 2 4 2" xfId="22621" xr:uid="{00000000-0005-0000-0000-000094420000}"/>
    <cellStyle name="Note 4 2 2 4 2 2" xfId="9457" xr:uid="{00000000-0005-0000-0000-000095420000}"/>
    <cellStyle name="Note 4 2 2 4 2 2 2" xfId="22622" xr:uid="{00000000-0005-0000-0000-000096420000}"/>
    <cellStyle name="Note 4 2 2 4 2 2 3" xfId="22623" xr:uid="{00000000-0005-0000-0000-000097420000}"/>
    <cellStyle name="Note 4 2 2 4 2 2 4" xfId="18844" xr:uid="{00000000-0005-0000-0000-000098420000}"/>
    <cellStyle name="Note 4 2 2 4 2 3" xfId="9459" xr:uid="{00000000-0005-0000-0000-000099420000}"/>
    <cellStyle name="Note 4 2 2 4 2 4" xfId="22624" xr:uid="{00000000-0005-0000-0000-00009A420000}"/>
    <cellStyle name="Note 4 2 2 4 2 5" xfId="22625" xr:uid="{00000000-0005-0000-0000-00009B420000}"/>
    <cellStyle name="Note 4 2 2 4 3" xfId="22626" xr:uid="{00000000-0005-0000-0000-00009C420000}"/>
    <cellStyle name="Note 4 2 2 4 3 2" xfId="9461" xr:uid="{00000000-0005-0000-0000-00009D420000}"/>
    <cellStyle name="Note 4 2 2 4 3 3" xfId="22627" xr:uid="{00000000-0005-0000-0000-00009E420000}"/>
    <cellStyle name="Note 4 2 2 4 3 4" xfId="22628" xr:uid="{00000000-0005-0000-0000-00009F420000}"/>
    <cellStyle name="Note 4 2 2 4 4" xfId="22629" xr:uid="{00000000-0005-0000-0000-0000A0420000}"/>
    <cellStyle name="Note 4 2 2 4 5" xfId="22630" xr:uid="{00000000-0005-0000-0000-0000A1420000}"/>
    <cellStyle name="Note 4 2 2 4 6" xfId="22633" xr:uid="{00000000-0005-0000-0000-0000A2420000}"/>
    <cellStyle name="Note 4 2 2 5" xfId="22635" xr:uid="{00000000-0005-0000-0000-0000A3420000}"/>
    <cellStyle name="Note 4 2 2 5 2" xfId="5114" xr:uid="{00000000-0005-0000-0000-0000A4420000}"/>
    <cellStyle name="Note 4 2 2 5 2 2" xfId="4707" xr:uid="{00000000-0005-0000-0000-0000A5420000}"/>
    <cellStyle name="Note 4 2 2 5 2 3" xfId="22636" xr:uid="{00000000-0005-0000-0000-0000A6420000}"/>
    <cellStyle name="Note 4 2 2 5 2 4" xfId="22637" xr:uid="{00000000-0005-0000-0000-0000A7420000}"/>
    <cellStyle name="Note 4 2 2 5 3" xfId="5118" xr:uid="{00000000-0005-0000-0000-0000A8420000}"/>
    <cellStyle name="Note 4 2 2 5 4" xfId="5123" xr:uid="{00000000-0005-0000-0000-0000A9420000}"/>
    <cellStyle name="Note 4 2 2 5 5" xfId="19611" xr:uid="{00000000-0005-0000-0000-0000AA420000}"/>
    <cellStyle name="Note 4 2 2 6" xfId="22639" xr:uid="{00000000-0005-0000-0000-0000AB420000}"/>
    <cellStyle name="Note 4 2 2 6 2" xfId="22641" xr:uid="{00000000-0005-0000-0000-0000AC420000}"/>
    <cellStyle name="Note 4 2 2 6 3" xfId="22642" xr:uid="{00000000-0005-0000-0000-0000AD420000}"/>
    <cellStyle name="Note 4 2 2 6 4" xfId="6632" xr:uid="{00000000-0005-0000-0000-0000AE420000}"/>
    <cellStyle name="Note 4 2 2 7" xfId="22644" xr:uid="{00000000-0005-0000-0000-0000AF420000}"/>
    <cellStyle name="Note 4 2 2 8" xfId="22646" xr:uid="{00000000-0005-0000-0000-0000B0420000}"/>
    <cellStyle name="Note 4 2 2 9" xfId="22647" xr:uid="{00000000-0005-0000-0000-0000B1420000}"/>
    <cellStyle name="Note 4 2 3" xfId="13389" xr:uid="{00000000-0005-0000-0000-0000B2420000}"/>
    <cellStyle name="Note 4 2 3 2" xfId="4918" xr:uid="{00000000-0005-0000-0000-0000B3420000}"/>
    <cellStyle name="Note 4 2 3 2 2" xfId="13992" xr:uid="{00000000-0005-0000-0000-0000B4420000}"/>
    <cellStyle name="Note 4 2 3 2 2 2" xfId="11372" xr:uid="{00000000-0005-0000-0000-0000B5420000}"/>
    <cellStyle name="Note 4 2 3 2 2 2 2" xfId="22648" xr:uid="{00000000-0005-0000-0000-0000B6420000}"/>
    <cellStyle name="Note 4 2 3 2 2 2 2 2" xfId="22649" xr:uid="{00000000-0005-0000-0000-0000B7420000}"/>
    <cellStyle name="Note 4 2 3 2 2 2 2 2 2" xfId="22652" xr:uid="{00000000-0005-0000-0000-0000B8420000}"/>
    <cellStyle name="Note 4 2 3 2 2 2 2 2 3" xfId="22656" xr:uid="{00000000-0005-0000-0000-0000B9420000}"/>
    <cellStyle name="Note 4 2 3 2 2 2 2 2 4" xfId="22659" xr:uid="{00000000-0005-0000-0000-0000BA420000}"/>
    <cellStyle name="Note 4 2 3 2 2 2 2 3" xfId="22660" xr:uid="{00000000-0005-0000-0000-0000BB420000}"/>
    <cellStyle name="Note 4 2 3 2 2 2 2 4" xfId="22661" xr:uid="{00000000-0005-0000-0000-0000BC420000}"/>
    <cellStyle name="Note 4 2 3 2 2 2 2 5" xfId="22662" xr:uid="{00000000-0005-0000-0000-0000BD420000}"/>
    <cellStyle name="Note 4 2 3 2 2 2 3" xfId="22664" xr:uid="{00000000-0005-0000-0000-0000BE420000}"/>
    <cellStyle name="Note 4 2 3 2 2 2 3 2" xfId="22666" xr:uid="{00000000-0005-0000-0000-0000BF420000}"/>
    <cellStyle name="Note 4 2 3 2 2 2 3 3" xfId="22668" xr:uid="{00000000-0005-0000-0000-0000C0420000}"/>
    <cellStyle name="Note 4 2 3 2 2 2 3 4" xfId="22670" xr:uid="{00000000-0005-0000-0000-0000C1420000}"/>
    <cellStyle name="Note 4 2 3 2 2 2 4" xfId="22672" xr:uid="{00000000-0005-0000-0000-0000C2420000}"/>
    <cellStyle name="Note 4 2 3 2 2 2 5" xfId="22675" xr:uid="{00000000-0005-0000-0000-0000C3420000}"/>
    <cellStyle name="Note 4 2 3 2 2 2 6" xfId="22679" xr:uid="{00000000-0005-0000-0000-0000C4420000}"/>
    <cellStyle name="Note 4 2 3 2 2 3" xfId="11630" xr:uid="{00000000-0005-0000-0000-0000C5420000}"/>
    <cellStyle name="Note 4 2 3 2 2 3 2" xfId="22680" xr:uid="{00000000-0005-0000-0000-0000C6420000}"/>
    <cellStyle name="Note 4 2 3 2 2 3 2 2" xfId="22681" xr:uid="{00000000-0005-0000-0000-0000C7420000}"/>
    <cellStyle name="Note 4 2 3 2 2 3 2 3" xfId="22682" xr:uid="{00000000-0005-0000-0000-0000C8420000}"/>
    <cellStyle name="Note 4 2 3 2 2 3 2 4" xfId="22683" xr:uid="{00000000-0005-0000-0000-0000C9420000}"/>
    <cellStyle name="Note 4 2 3 2 2 3 3" xfId="22685" xr:uid="{00000000-0005-0000-0000-0000CA420000}"/>
    <cellStyle name="Note 4 2 3 2 2 3 4" xfId="22687" xr:uid="{00000000-0005-0000-0000-0000CB420000}"/>
    <cellStyle name="Note 4 2 3 2 2 3 5" xfId="22689" xr:uid="{00000000-0005-0000-0000-0000CC420000}"/>
    <cellStyle name="Note 4 2 3 2 2 4" xfId="11739" xr:uid="{00000000-0005-0000-0000-0000CD420000}"/>
    <cellStyle name="Note 4 2 3 2 2 4 2" xfId="22690" xr:uid="{00000000-0005-0000-0000-0000CE420000}"/>
    <cellStyle name="Note 4 2 3 2 2 4 3" xfId="22692" xr:uid="{00000000-0005-0000-0000-0000CF420000}"/>
    <cellStyle name="Note 4 2 3 2 2 4 4" xfId="22694" xr:uid="{00000000-0005-0000-0000-0000D0420000}"/>
    <cellStyle name="Note 4 2 3 2 2 5" xfId="22695" xr:uid="{00000000-0005-0000-0000-0000D1420000}"/>
    <cellStyle name="Note 4 2 3 2 2 6" xfId="22697" xr:uid="{00000000-0005-0000-0000-0000D2420000}"/>
    <cellStyle name="Note 4 2 3 2 2 7" xfId="22699" xr:uid="{00000000-0005-0000-0000-0000D3420000}"/>
    <cellStyle name="Note 4 2 3 2 3" xfId="13996" xr:uid="{00000000-0005-0000-0000-0000D4420000}"/>
    <cellStyle name="Note 4 2 3 2 3 2" xfId="22700" xr:uid="{00000000-0005-0000-0000-0000D5420000}"/>
    <cellStyle name="Note 4 2 3 2 3 2 2" xfId="22702" xr:uid="{00000000-0005-0000-0000-0000D6420000}"/>
    <cellStyle name="Note 4 2 3 2 3 2 2 2" xfId="22703" xr:uid="{00000000-0005-0000-0000-0000D7420000}"/>
    <cellStyle name="Note 4 2 3 2 3 2 2 3" xfId="22704" xr:uid="{00000000-0005-0000-0000-0000D8420000}"/>
    <cellStyle name="Note 4 2 3 2 3 2 2 4" xfId="22705" xr:uid="{00000000-0005-0000-0000-0000D9420000}"/>
    <cellStyle name="Note 4 2 3 2 3 2 3" xfId="22708" xr:uid="{00000000-0005-0000-0000-0000DA420000}"/>
    <cellStyle name="Note 4 2 3 2 3 2 4" xfId="22710" xr:uid="{00000000-0005-0000-0000-0000DB420000}"/>
    <cellStyle name="Note 4 2 3 2 3 2 5" xfId="22712" xr:uid="{00000000-0005-0000-0000-0000DC420000}"/>
    <cellStyle name="Note 4 2 3 2 3 3" xfId="22713" xr:uid="{00000000-0005-0000-0000-0000DD420000}"/>
    <cellStyle name="Note 4 2 3 2 3 3 2" xfId="22714" xr:uid="{00000000-0005-0000-0000-0000DE420000}"/>
    <cellStyle name="Note 4 2 3 2 3 3 3" xfId="22715" xr:uid="{00000000-0005-0000-0000-0000DF420000}"/>
    <cellStyle name="Note 4 2 3 2 3 3 4" xfId="22716" xr:uid="{00000000-0005-0000-0000-0000E0420000}"/>
    <cellStyle name="Note 4 2 3 2 3 4" xfId="22717" xr:uid="{00000000-0005-0000-0000-0000E1420000}"/>
    <cellStyle name="Note 4 2 3 2 3 5" xfId="22718" xr:uid="{00000000-0005-0000-0000-0000E2420000}"/>
    <cellStyle name="Note 4 2 3 2 3 6" xfId="22720" xr:uid="{00000000-0005-0000-0000-0000E3420000}"/>
    <cellStyle name="Note 4 2 3 2 4" xfId="14000" xr:uid="{00000000-0005-0000-0000-0000E4420000}"/>
    <cellStyle name="Note 4 2 3 2 4 2" xfId="12737" xr:uid="{00000000-0005-0000-0000-0000E5420000}"/>
    <cellStyle name="Note 4 2 3 2 4 2 2" xfId="3927" xr:uid="{00000000-0005-0000-0000-0000E6420000}"/>
    <cellStyle name="Note 4 2 3 2 4 2 3" xfId="12806" xr:uid="{00000000-0005-0000-0000-0000E7420000}"/>
    <cellStyle name="Note 4 2 3 2 4 2 4" xfId="12821" xr:uid="{00000000-0005-0000-0000-0000E8420000}"/>
    <cellStyle name="Note 4 2 3 2 4 3" xfId="12838" xr:uid="{00000000-0005-0000-0000-0000E9420000}"/>
    <cellStyle name="Note 4 2 3 2 4 4" xfId="12879" xr:uid="{00000000-0005-0000-0000-0000EA420000}"/>
    <cellStyle name="Note 4 2 3 2 4 5" xfId="12894" xr:uid="{00000000-0005-0000-0000-0000EB420000}"/>
    <cellStyle name="Note 4 2 3 2 5" xfId="14005" xr:uid="{00000000-0005-0000-0000-0000EC420000}"/>
    <cellStyle name="Note 4 2 3 2 5 2" xfId="15635" xr:uid="{00000000-0005-0000-0000-0000ED420000}"/>
    <cellStyle name="Note 4 2 3 2 5 3" xfId="15638" xr:uid="{00000000-0005-0000-0000-0000EE420000}"/>
    <cellStyle name="Note 4 2 3 2 5 4" xfId="15641" xr:uid="{00000000-0005-0000-0000-0000EF420000}"/>
    <cellStyle name="Note 4 2 3 2 6" xfId="9757" xr:uid="{00000000-0005-0000-0000-0000F0420000}"/>
    <cellStyle name="Note 4 2 3 2 7" xfId="9767" xr:uid="{00000000-0005-0000-0000-0000F1420000}"/>
    <cellStyle name="Note 4 2 3 2 8" xfId="3672" xr:uid="{00000000-0005-0000-0000-0000F2420000}"/>
    <cellStyle name="Note 4 2 3 3" xfId="4926" xr:uid="{00000000-0005-0000-0000-0000F3420000}"/>
    <cellStyle name="Note 4 2 3 3 2" xfId="14025" xr:uid="{00000000-0005-0000-0000-0000F4420000}"/>
    <cellStyle name="Note 4 2 3 3 2 2" xfId="5224" xr:uid="{00000000-0005-0000-0000-0000F5420000}"/>
    <cellStyle name="Note 4 2 3 3 2 2 2" xfId="14750" xr:uid="{00000000-0005-0000-0000-0000F6420000}"/>
    <cellStyle name="Note 4 2 3 3 2 2 2 2" xfId="22722" xr:uid="{00000000-0005-0000-0000-0000F7420000}"/>
    <cellStyle name="Note 4 2 3 3 2 2 2 3" xfId="22723" xr:uid="{00000000-0005-0000-0000-0000F8420000}"/>
    <cellStyle name="Note 4 2 3 3 2 2 2 4" xfId="22724" xr:uid="{00000000-0005-0000-0000-0000F9420000}"/>
    <cellStyle name="Note 4 2 3 3 2 2 3" xfId="14755" xr:uid="{00000000-0005-0000-0000-0000FA420000}"/>
    <cellStyle name="Note 4 2 3 3 2 2 4" xfId="22726" xr:uid="{00000000-0005-0000-0000-0000FB420000}"/>
    <cellStyle name="Note 4 2 3 3 2 2 5" xfId="22728" xr:uid="{00000000-0005-0000-0000-0000FC420000}"/>
    <cellStyle name="Note 4 2 3 3 2 3" xfId="5234" xr:uid="{00000000-0005-0000-0000-0000FD420000}"/>
    <cellStyle name="Note 4 2 3 3 2 3 2" xfId="14763" xr:uid="{00000000-0005-0000-0000-0000FE420000}"/>
    <cellStyle name="Note 4 2 3 3 2 3 3" xfId="22730" xr:uid="{00000000-0005-0000-0000-0000FF420000}"/>
    <cellStyle name="Note 4 2 3 3 2 3 4" xfId="22732" xr:uid="{00000000-0005-0000-0000-000000430000}"/>
    <cellStyle name="Note 4 2 3 3 2 4" xfId="22733" xr:uid="{00000000-0005-0000-0000-000001430000}"/>
    <cellStyle name="Note 4 2 3 3 2 5" xfId="14917" xr:uid="{00000000-0005-0000-0000-000002430000}"/>
    <cellStyle name="Note 4 2 3 3 2 6" xfId="835" xr:uid="{00000000-0005-0000-0000-000003430000}"/>
    <cellStyle name="Note 4 2 3 3 3" xfId="14029" xr:uid="{00000000-0005-0000-0000-000004430000}"/>
    <cellStyle name="Note 4 2 3 3 3 2" xfId="22734" xr:uid="{00000000-0005-0000-0000-000005430000}"/>
    <cellStyle name="Note 4 2 3 3 3 2 2" xfId="1492" xr:uid="{00000000-0005-0000-0000-000006430000}"/>
    <cellStyle name="Note 4 2 3 3 3 2 3" xfId="22736" xr:uid="{00000000-0005-0000-0000-000007430000}"/>
    <cellStyle name="Note 4 2 3 3 3 2 4" xfId="22738" xr:uid="{00000000-0005-0000-0000-000008430000}"/>
    <cellStyle name="Note 4 2 3 3 3 3" xfId="22739" xr:uid="{00000000-0005-0000-0000-000009430000}"/>
    <cellStyle name="Note 4 2 3 3 3 4" xfId="22740" xr:uid="{00000000-0005-0000-0000-00000A430000}"/>
    <cellStyle name="Note 4 2 3 3 3 5" xfId="17522" xr:uid="{00000000-0005-0000-0000-00000B430000}"/>
    <cellStyle name="Note 4 2 3 3 4" xfId="14033" xr:uid="{00000000-0005-0000-0000-00000C430000}"/>
    <cellStyle name="Note 4 2 3 3 4 2" xfId="15646" xr:uid="{00000000-0005-0000-0000-00000D430000}"/>
    <cellStyle name="Note 4 2 3 3 4 3" xfId="15648" xr:uid="{00000000-0005-0000-0000-00000E430000}"/>
    <cellStyle name="Note 4 2 3 3 4 4" xfId="15651" xr:uid="{00000000-0005-0000-0000-00000F430000}"/>
    <cellStyle name="Note 4 2 3 3 5" xfId="14927" xr:uid="{00000000-0005-0000-0000-000010430000}"/>
    <cellStyle name="Note 4 2 3 3 6" xfId="11099" xr:uid="{00000000-0005-0000-0000-000011430000}"/>
    <cellStyle name="Note 4 2 3 3 7" xfId="511" xr:uid="{00000000-0005-0000-0000-000012430000}"/>
    <cellStyle name="Note 4 2 3 4" xfId="22741" xr:uid="{00000000-0005-0000-0000-000013430000}"/>
    <cellStyle name="Note 4 2 3 4 2" xfId="14050" xr:uid="{00000000-0005-0000-0000-000014430000}"/>
    <cellStyle name="Note 4 2 3 4 2 2" xfId="5304" xr:uid="{00000000-0005-0000-0000-000015430000}"/>
    <cellStyle name="Note 4 2 3 4 2 2 2" xfId="5314" xr:uid="{00000000-0005-0000-0000-000016430000}"/>
    <cellStyle name="Note 4 2 3 4 2 2 3" xfId="22743" xr:uid="{00000000-0005-0000-0000-000017430000}"/>
    <cellStyle name="Note 4 2 3 4 2 2 4" xfId="22745" xr:uid="{00000000-0005-0000-0000-000018430000}"/>
    <cellStyle name="Note 4 2 3 4 2 3" xfId="22746" xr:uid="{00000000-0005-0000-0000-000019430000}"/>
    <cellStyle name="Note 4 2 3 4 2 4" xfId="22747" xr:uid="{00000000-0005-0000-0000-00001A430000}"/>
    <cellStyle name="Note 4 2 3 4 2 5" xfId="17545" xr:uid="{00000000-0005-0000-0000-00001B430000}"/>
    <cellStyle name="Note 4 2 3 4 3" xfId="14054" xr:uid="{00000000-0005-0000-0000-00001C430000}"/>
    <cellStyle name="Note 4 2 3 4 3 2" xfId="22748" xr:uid="{00000000-0005-0000-0000-00001D430000}"/>
    <cellStyle name="Note 4 2 3 4 3 3" xfId="22749" xr:uid="{00000000-0005-0000-0000-00001E430000}"/>
    <cellStyle name="Note 4 2 3 4 3 4" xfId="22750" xr:uid="{00000000-0005-0000-0000-00001F430000}"/>
    <cellStyle name="Note 4 2 3 4 4" xfId="14935" xr:uid="{00000000-0005-0000-0000-000020430000}"/>
    <cellStyle name="Note 4 2 3 4 5" xfId="14937" xr:uid="{00000000-0005-0000-0000-000021430000}"/>
    <cellStyle name="Note 4 2 3 4 6" xfId="11122" xr:uid="{00000000-0005-0000-0000-000022430000}"/>
    <cellStyle name="Note 4 2 3 5" xfId="22752" xr:uid="{00000000-0005-0000-0000-000023430000}"/>
    <cellStyle name="Note 4 2 3 5 2" xfId="7096" xr:uid="{00000000-0005-0000-0000-000024430000}"/>
    <cellStyle name="Note 4 2 3 5 2 2" xfId="5855" xr:uid="{00000000-0005-0000-0000-000025430000}"/>
    <cellStyle name="Note 4 2 3 5 2 3" xfId="5913" xr:uid="{00000000-0005-0000-0000-000026430000}"/>
    <cellStyle name="Note 4 2 3 5 2 4" xfId="22753" xr:uid="{00000000-0005-0000-0000-000027430000}"/>
    <cellStyle name="Note 4 2 3 5 3" xfId="22754" xr:uid="{00000000-0005-0000-0000-000028430000}"/>
    <cellStyle name="Note 4 2 3 5 4" xfId="7104" xr:uid="{00000000-0005-0000-0000-000029430000}"/>
    <cellStyle name="Note 4 2 3 5 5" xfId="19631" xr:uid="{00000000-0005-0000-0000-00002A430000}"/>
    <cellStyle name="Note 4 2 3 6" xfId="22756" xr:uid="{00000000-0005-0000-0000-00002B430000}"/>
    <cellStyle name="Note 4 2 3 6 2" xfId="22757" xr:uid="{00000000-0005-0000-0000-00002C430000}"/>
    <cellStyle name="Note 4 2 3 6 3" xfId="22758" xr:uid="{00000000-0005-0000-0000-00002D430000}"/>
    <cellStyle name="Note 4 2 3 6 4" xfId="6656" xr:uid="{00000000-0005-0000-0000-00002E430000}"/>
    <cellStyle name="Note 4 2 3 7" xfId="22760" xr:uid="{00000000-0005-0000-0000-00002F430000}"/>
    <cellStyle name="Note 4 2 3 8" xfId="22761" xr:uid="{00000000-0005-0000-0000-000030430000}"/>
    <cellStyle name="Note 4 2 3 9" xfId="22762" xr:uid="{00000000-0005-0000-0000-000031430000}"/>
    <cellStyle name="Note 4 2 4" xfId="22764" xr:uid="{00000000-0005-0000-0000-000032430000}"/>
    <cellStyle name="Note 4 2 4 2" xfId="22766" xr:uid="{00000000-0005-0000-0000-000033430000}"/>
    <cellStyle name="Note 4 2 4 2 2" xfId="7806" xr:uid="{00000000-0005-0000-0000-000034430000}"/>
    <cellStyle name="Note 4 2 4 2 2 2" xfId="7815" xr:uid="{00000000-0005-0000-0000-000035430000}"/>
    <cellStyle name="Note 4 2 4 2 2 2 2" xfId="22767" xr:uid="{00000000-0005-0000-0000-000036430000}"/>
    <cellStyle name="Note 4 2 4 2 2 2 2 2" xfId="17229" xr:uid="{00000000-0005-0000-0000-000037430000}"/>
    <cellStyle name="Note 4 2 4 2 2 2 2 3" xfId="22768" xr:uid="{00000000-0005-0000-0000-000038430000}"/>
    <cellStyle name="Note 4 2 4 2 2 2 2 4" xfId="22769" xr:uid="{00000000-0005-0000-0000-000039430000}"/>
    <cellStyle name="Note 4 2 4 2 2 2 3" xfId="22770" xr:uid="{00000000-0005-0000-0000-00003A430000}"/>
    <cellStyle name="Note 4 2 4 2 2 2 4" xfId="22771" xr:uid="{00000000-0005-0000-0000-00003B430000}"/>
    <cellStyle name="Note 4 2 4 2 2 2 5" xfId="22772" xr:uid="{00000000-0005-0000-0000-00003C430000}"/>
    <cellStyle name="Note 4 2 4 2 2 3" xfId="7822" xr:uid="{00000000-0005-0000-0000-00003D430000}"/>
    <cellStyle name="Note 4 2 4 2 2 3 2" xfId="22773" xr:uid="{00000000-0005-0000-0000-00003E430000}"/>
    <cellStyle name="Note 4 2 4 2 2 3 3" xfId="22774" xr:uid="{00000000-0005-0000-0000-00003F430000}"/>
    <cellStyle name="Note 4 2 4 2 2 3 4" xfId="22775" xr:uid="{00000000-0005-0000-0000-000040430000}"/>
    <cellStyle name="Note 4 2 4 2 2 4" xfId="7825" xr:uid="{00000000-0005-0000-0000-000041430000}"/>
    <cellStyle name="Note 4 2 4 2 2 5" xfId="22776" xr:uid="{00000000-0005-0000-0000-000042430000}"/>
    <cellStyle name="Note 4 2 4 2 2 6" xfId="22778" xr:uid="{00000000-0005-0000-0000-000043430000}"/>
    <cellStyle name="Note 4 2 4 2 3" xfId="7832" xr:uid="{00000000-0005-0000-0000-000044430000}"/>
    <cellStyle name="Note 4 2 4 2 3 2" xfId="14962" xr:uid="{00000000-0005-0000-0000-000045430000}"/>
    <cellStyle name="Note 4 2 4 2 3 2 2" xfId="22779" xr:uid="{00000000-0005-0000-0000-000046430000}"/>
    <cellStyle name="Note 4 2 4 2 3 2 3" xfId="22780" xr:uid="{00000000-0005-0000-0000-000047430000}"/>
    <cellStyle name="Note 4 2 4 2 3 2 4" xfId="22781" xr:uid="{00000000-0005-0000-0000-000048430000}"/>
    <cellStyle name="Note 4 2 4 2 3 3" xfId="14964" xr:uid="{00000000-0005-0000-0000-000049430000}"/>
    <cellStyle name="Note 4 2 4 2 3 4" xfId="22782" xr:uid="{00000000-0005-0000-0000-00004A430000}"/>
    <cellStyle name="Note 4 2 4 2 3 5" xfId="22783" xr:uid="{00000000-0005-0000-0000-00004B430000}"/>
    <cellStyle name="Note 4 2 4 2 4" xfId="7838" xr:uid="{00000000-0005-0000-0000-00004C430000}"/>
    <cellStyle name="Note 4 2 4 2 4 2" xfId="15661" xr:uid="{00000000-0005-0000-0000-00004D430000}"/>
    <cellStyle name="Note 4 2 4 2 4 3" xfId="15665" xr:uid="{00000000-0005-0000-0000-00004E430000}"/>
    <cellStyle name="Note 4 2 4 2 4 4" xfId="15668" xr:uid="{00000000-0005-0000-0000-00004F430000}"/>
    <cellStyle name="Note 4 2 4 2 5" xfId="7847" xr:uid="{00000000-0005-0000-0000-000050430000}"/>
    <cellStyle name="Note 4 2 4 2 6" xfId="9366" xr:uid="{00000000-0005-0000-0000-000051430000}"/>
    <cellStyle name="Note 4 2 4 2 7" xfId="15671" xr:uid="{00000000-0005-0000-0000-000052430000}"/>
    <cellStyle name="Note 4 2 4 3" xfId="22785" xr:uid="{00000000-0005-0000-0000-000053430000}"/>
    <cellStyle name="Note 4 2 4 3 2" xfId="4810" xr:uid="{00000000-0005-0000-0000-000054430000}"/>
    <cellStyle name="Note 4 2 4 3 2 2" xfId="14978" xr:uid="{00000000-0005-0000-0000-000055430000}"/>
    <cellStyle name="Note 4 2 4 3 2 2 2" xfId="14816" xr:uid="{00000000-0005-0000-0000-000056430000}"/>
    <cellStyle name="Note 4 2 4 3 2 2 3" xfId="22787" xr:uid="{00000000-0005-0000-0000-000057430000}"/>
    <cellStyle name="Note 4 2 4 3 2 2 4" xfId="22789" xr:uid="{00000000-0005-0000-0000-000058430000}"/>
    <cellStyle name="Note 4 2 4 3 2 3" xfId="14980" xr:uid="{00000000-0005-0000-0000-000059430000}"/>
    <cellStyle name="Note 4 2 4 3 2 4" xfId="14985" xr:uid="{00000000-0005-0000-0000-00005A430000}"/>
    <cellStyle name="Note 4 2 4 3 2 5" xfId="22790" xr:uid="{00000000-0005-0000-0000-00005B430000}"/>
    <cellStyle name="Note 4 2 4 3 3" xfId="4818" xr:uid="{00000000-0005-0000-0000-00005C430000}"/>
    <cellStyle name="Note 4 2 4 3 3 2" xfId="18401" xr:uid="{00000000-0005-0000-0000-00005D430000}"/>
    <cellStyle name="Note 4 2 4 3 3 3" xfId="18403" xr:uid="{00000000-0005-0000-0000-00005E430000}"/>
    <cellStyle name="Note 4 2 4 3 3 4" xfId="22791" xr:uid="{00000000-0005-0000-0000-00005F430000}"/>
    <cellStyle name="Note 4 2 4 3 4" xfId="7855" xr:uid="{00000000-0005-0000-0000-000060430000}"/>
    <cellStyle name="Note 4 2 4 3 5" xfId="14992" xr:uid="{00000000-0005-0000-0000-000061430000}"/>
    <cellStyle name="Note 4 2 4 3 6" xfId="11139" xr:uid="{00000000-0005-0000-0000-000062430000}"/>
    <cellStyle name="Note 4 2 4 4" xfId="22792" xr:uid="{00000000-0005-0000-0000-000063430000}"/>
    <cellStyle name="Note 4 2 4 4 2" xfId="14081" xr:uid="{00000000-0005-0000-0000-000064430000}"/>
    <cellStyle name="Note 4 2 4 4 2 2" xfId="18575" xr:uid="{00000000-0005-0000-0000-000065430000}"/>
    <cellStyle name="Note 4 2 4 4 2 3" xfId="18577" xr:uid="{00000000-0005-0000-0000-000066430000}"/>
    <cellStyle name="Note 4 2 4 4 2 4" xfId="22793" xr:uid="{00000000-0005-0000-0000-000067430000}"/>
    <cellStyle name="Note 4 2 4 4 3" xfId="22794" xr:uid="{00000000-0005-0000-0000-000068430000}"/>
    <cellStyle name="Note 4 2 4 4 4" xfId="22795" xr:uid="{00000000-0005-0000-0000-000069430000}"/>
    <cellStyle name="Note 4 2 4 4 5" xfId="21738" xr:uid="{00000000-0005-0000-0000-00006A430000}"/>
    <cellStyle name="Note 4 2 4 5" xfId="22796" xr:uid="{00000000-0005-0000-0000-00006B430000}"/>
    <cellStyle name="Note 4 2 4 5 2" xfId="22797" xr:uid="{00000000-0005-0000-0000-00006C430000}"/>
    <cellStyle name="Note 4 2 4 5 3" xfId="22798" xr:uid="{00000000-0005-0000-0000-00006D430000}"/>
    <cellStyle name="Note 4 2 4 5 4" xfId="19645" xr:uid="{00000000-0005-0000-0000-00006E430000}"/>
    <cellStyle name="Note 4 2 4 6" xfId="22799" xr:uid="{00000000-0005-0000-0000-00006F430000}"/>
    <cellStyle name="Note 4 2 4 7" xfId="22800" xr:uid="{00000000-0005-0000-0000-000070430000}"/>
    <cellStyle name="Note 4 2 4 8" xfId="22801" xr:uid="{00000000-0005-0000-0000-000071430000}"/>
    <cellStyle name="Note 4 2 5" xfId="22803" xr:uid="{00000000-0005-0000-0000-000072430000}"/>
    <cellStyle name="Note 4 2 5 2" xfId="22805" xr:uid="{00000000-0005-0000-0000-000073430000}"/>
    <cellStyle name="Note 4 2 5 2 2" xfId="7886" xr:uid="{00000000-0005-0000-0000-000074430000}"/>
    <cellStyle name="Note 4 2 5 2 2 2" xfId="7631" xr:uid="{00000000-0005-0000-0000-000075430000}"/>
    <cellStyle name="Note 4 2 5 2 2 2 2" xfId="22806" xr:uid="{00000000-0005-0000-0000-000076430000}"/>
    <cellStyle name="Note 4 2 5 2 2 2 3" xfId="22807" xr:uid="{00000000-0005-0000-0000-000077430000}"/>
    <cellStyle name="Note 4 2 5 2 2 2 4" xfId="12921" xr:uid="{00000000-0005-0000-0000-000078430000}"/>
    <cellStyle name="Note 4 2 5 2 2 3" xfId="15005" xr:uid="{00000000-0005-0000-0000-000079430000}"/>
    <cellStyle name="Note 4 2 5 2 2 4" xfId="22808" xr:uid="{00000000-0005-0000-0000-00007A430000}"/>
    <cellStyle name="Note 4 2 5 2 2 5" xfId="22810" xr:uid="{00000000-0005-0000-0000-00007B430000}"/>
    <cellStyle name="Note 4 2 5 2 3" xfId="7891" xr:uid="{00000000-0005-0000-0000-00007C430000}"/>
    <cellStyle name="Note 4 2 5 2 3 2" xfId="18815" xr:uid="{00000000-0005-0000-0000-00007D430000}"/>
    <cellStyle name="Note 4 2 5 2 3 3" xfId="22811" xr:uid="{00000000-0005-0000-0000-00007E430000}"/>
    <cellStyle name="Note 4 2 5 2 3 4" xfId="22812" xr:uid="{00000000-0005-0000-0000-00007F430000}"/>
    <cellStyle name="Note 4 2 5 2 4" xfId="7899" xr:uid="{00000000-0005-0000-0000-000080430000}"/>
    <cellStyle name="Note 4 2 5 2 5" xfId="15015" xr:uid="{00000000-0005-0000-0000-000081430000}"/>
    <cellStyle name="Note 4 2 5 2 6" xfId="15678" xr:uid="{00000000-0005-0000-0000-000082430000}"/>
    <cellStyle name="Note 4 2 5 3" xfId="22814" xr:uid="{00000000-0005-0000-0000-000083430000}"/>
    <cellStyle name="Note 4 2 5 3 2" xfId="13248" xr:uid="{00000000-0005-0000-0000-000084430000}"/>
    <cellStyle name="Note 4 2 5 3 2 2" xfId="10856" xr:uid="{00000000-0005-0000-0000-000085430000}"/>
    <cellStyle name="Note 4 2 5 3 2 3" xfId="22815" xr:uid="{00000000-0005-0000-0000-000086430000}"/>
    <cellStyle name="Note 4 2 5 3 2 4" xfId="22816" xr:uid="{00000000-0005-0000-0000-000087430000}"/>
    <cellStyle name="Note 4 2 5 3 3" xfId="13255" xr:uid="{00000000-0005-0000-0000-000088430000}"/>
    <cellStyle name="Note 4 2 5 3 4" xfId="22818" xr:uid="{00000000-0005-0000-0000-000089430000}"/>
    <cellStyle name="Note 4 2 5 3 5" xfId="14119" xr:uid="{00000000-0005-0000-0000-00008A430000}"/>
    <cellStyle name="Note 4 2 5 4" xfId="22820" xr:uid="{00000000-0005-0000-0000-00008B430000}"/>
    <cellStyle name="Note 4 2 5 4 2" xfId="13276" xr:uid="{00000000-0005-0000-0000-00008C430000}"/>
    <cellStyle name="Note 4 2 5 4 3" xfId="22821" xr:uid="{00000000-0005-0000-0000-00008D430000}"/>
    <cellStyle name="Note 4 2 5 4 4" xfId="22822" xr:uid="{00000000-0005-0000-0000-00008E430000}"/>
    <cellStyle name="Note 4 2 5 5" xfId="22824" xr:uid="{00000000-0005-0000-0000-00008F430000}"/>
    <cellStyle name="Note 4 2 5 6" xfId="22826" xr:uid="{00000000-0005-0000-0000-000090430000}"/>
    <cellStyle name="Note 4 2 5 7" xfId="22827" xr:uid="{00000000-0005-0000-0000-000091430000}"/>
    <cellStyle name="Note 4 2 6" xfId="22829" xr:uid="{00000000-0005-0000-0000-000092430000}"/>
    <cellStyle name="Note 4 2 6 2" xfId="7949" xr:uid="{00000000-0005-0000-0000-000093430000}"/>
    <cellStyle name="Note 4 2 6 2 2" xfId="14110" xr:uid="{00000000-0005-0000-0000-000094430000}"/>
    <cellStyle name="Note 4 2 6 2 2 2" xfId="18865" xr:uid="{00000000-0005-0000-0000-000095430000}"/>
    <cellStyle name="Note 4 2 6 2 2 3" xfId="18868" xr:uid="{00000000-0005-0000-0000-000096430000}"/>
    <cellStyle name="Note 4 2 6 2 2 4" xfId="22831" xr:uid="{00000000-0005-0000-0000-000097430000}"/>
    <cellStyle name="Note 4 2 6 2 3" xfId="15026" xr:uid="{00000000-0005-0000-0000-000098430000}"/>
    <cellStyle name="Note 4 2 6 2 4" xfId="22832" xr:uid="{00000000-0005-0000-0000-000099430000}"/>
    <cellStyle name="Note 4 2 6 2 5" xfId="21791" xr:uid="{00000000-0005-0000-0000-00009A430000}"/>
    <cellStyle name="Note 4 2 6 3" xfId="22834" xr:uid="{00000000-0005-0000-0000-00009B430000}"/>
    <cellStyle name="Note 4 2 6 3 2" xfId="13316" xr:uid="{00000000-0005-0000-0000-00009C430000}"/>
    <cellStyle name="Note 4 2 6 3 3" xfId="22835" xr:uid="{00000000-0005-0000-0000-00009D430000}"/>
    <cellStyle name="Note 4 2 6 3 4" xfId="22836" xr:uid="{00000000-0005-0000-0000-00009E430000}"/>
    <cellStyle name="Note 4 2 6 4" xfId="22838" xr:uid="{00000000-0005-0000-0000-00009F430000}"/>
    <cellStyle name="Note 4 2 6 5" xfId="22840" xr:uid="{00000000-0005-0000-0000-0000A0430000}"/>
    <cellStyle name="Note 4 2 6 6" xfId="22841" xr:uid="{00000000-0005-0000-0000-0000A1430000}"/>
    <cellStyle name="Note 4 2 7" xfId="22842" xr:uid="{00000000-0005-0000-0000-0000A2430000}"/>
    <cellStyle name="Note 4 2 7 2" xfId="22843" xr:uid="{00000000-0005-0000-0000-0000A3430000}"/>
    <cellStyle name="Note 4 2 7 2 2" xfId="17809" xr:uid="{00000000-0005-0000-0000-0000A4430000}"/>
    <cellStyle name="Note 4 2 7 2 3" xfId="22844" xr:uid="{00000000-0005-0000-0000-0000A5430000}"/>
    <cellStyle name="Note 4 2 7 2 4" xfId="22845" xr:uid="{00000000-0005-0000-0000-0000A6430000}"/>
    <cellStyle name="Note 4 2 7 3" xfId="22846" xr:uid="{00000000-0005-0000-0000-0000A7430000}"/>
    <cellStyle name="Note 4 2 7 4" xfId="22847" xr:uid="{00000000-0005-0000-0000-0000A8430000}"/>
    <cellStyle name="Note 4 2 7 5" xfId="22848" xr:uid="{00000000-0005-0000-0000-0000A9430000}"/>
    <cellStyle name="Note 4 2 8" xfId="22849" xr:uid="{00000000-0005-0000-0000-0000AA430000}"/>
    <cellStyle name="Note 4 2 8 2" xfId="22850" xr:uid="{00000000-0005-0000-0000-0000AB430000}"/>
    <cellStyle name="Note 4 2 8 3" xfId="22851" xr:uid="{00000000-0005-0000-0000-0000AC430000}"/>
    <cellStyle name="Note 4 2 8 4" xfId="22852" xr:uid="{00000000-0005-0000-0000-0000AD430000}"/>
    <cellStyle name="Note 4 2 9" xfId="22853" xr:uid="{00000000-0005-0000-0000-0000AE430000}"/>
    <cellStyle name="Note 4 3" xfId="5838" xr:uid="{00000000-0005-0000-0000-0000AF430000}"/>
    <cellStyle name="Note 4 3 2" xfId="22854" xr:uid="{00000000-0005-0000-0000-0000B0430000}"/>
    <cellStyle name="Note 4 3 2 2" xfId="22855" xr:uid="{00000000-0005-0000-0000-0000B1430000}"/>
    <cellStyle name="Note 4 3 2 2 2" xfId="22856" xr:uid="{00000000-0005-0000-0000-0000B2430000}"/>
    <cellStyle name="Note 4 3 2 2 2 2" xfId="19963" xr:uid="{00000000-0005-0000-0000-0000B3430000}"/>
    <cellStyle name="Note 4 3 2 2 2 2 2" xfId="22858" xr:uid="{00000000-0005-0000-0000-0000B4430000}"/>
    <cellStyle name="Note 4 3 2 2 2 2 2 2" xfId="22859" xr:uid="{00000000-0005-0000-0000-0000B5430000}"/>
    <cellStyle name="Note 4 3 2 2 2 2 2 3" xfId="22860" xr:uid="{00000000-0005-0000-0000-0000B6430000}"/>
    <cellStyle name="Note 4 3 2 2 2 2 2 4" xfId="22861" xr:uid="{00000000-0005-0000-0000-0000B7430000}"/>
    <cellStyle name="Note 4 3 2 2 2 2 3" xfId="22863" xr:uid="{00000000-0005-0000-0000-0000B8430000}"/>
    <cellStyle name="Note 4 3 2 2 2 2 4" xfId="22865" xr:uid="{00000000-0005-0000-0000-0000B9430000}"/>
    <cellStyle name="Note 4 3 2 2 2 2 5" xfId="22867" xr:uid="{00000000-0005-0000-0000-0000BA430000}"/>
    <cellStyle name="Note 4 3 2 2 2 3" xfId="19965" xr:uid="{00000000-0005-0000-0000-0000BB430000}"/>
    <cellStyle name="Note 4 3 2 2 2 3 2" xfId="22869" xr:uid="{00000000-0005-0000-0000-0000BC430000}"/>
    <cellStyle name="Note 4 3 2 2 2 3 3" xfId="22870" xr:uid="{00000000-0005-0000-0000-0000BD430000}"/>
    <cellStyle name="Note 4 3 2 2 2 3 4" xfId="22871" xr:uid="{00000000-0005-0000-0000-0000BE430000}"/>
    <cellStyle name="Note 4 3 2 2 2 4" xfId="22872" xr:uid="{00000000-0005-0000-0000-0000BF430000}"/>
    <cellStyle name="Note 4 3 2 2 2 5" xfId="22873" xr:uid="{00000000-0005-0000-0000-0000C0430000}"/>
    <cellStyle name="Note 4 3 2 2 2 6" xfId="22875" xr:uid="{00000000-0005-0000-0000-0000C1430000}"/>
    <cellStyle name="Note 4 3 2 2 3" xfId="22876" xr:uid="{00000000-0005-0000-0000-0000C2430000}"/>
    <cellStyle name="Note 4 3 2 2 3 2" xfId="12727" xr:uid="{00000000-0005-0000-0000-0000C3430000}"/>
    <cellStyle name="Note 4 3 2 2 3 2 2" xfId="22878" xr:uid="{00000000-0005-0000-0000-0000C4430000}"/>
    <cellStyle name="Note 4 3 2 2 3 2 3" xfId="22879" xr:uid="{00000000-0005-0000-0000-0000C5430000}"/>
    <cellStyle name="Note 4 3 2 2 3 2 4" xfId="22880" xr:uid="{00000000-0005-0000-0000-0000C6430000}"/>
    <cellStyle name="Note 4 3 2 2 3 3" xfId="22882" xr:uid="{00000000-0005-0000-0000-0000C7430000}"/>
    <cellStyle name="Note 4 3 2 2 3 4" xfId="22883" xr:uid="{00000000-0005-0000-0000-0000C8430000}"/>
    <cellStyle name="Note 4 3 2 2 3 5" xfId="22884" xr:uid="{00000000-0005-0000-0000-0000C9430000}"/>
    <cellStyle name="Note 4 3 2 2 4" xfId="22885" xr:uid="{00000000-0005-0000-0000-0000CA430000}"/>
    <cellStyle name="Note 4 3 2 2 4 2" xfId="22886" xr:uid="{00000000-0005-0000-0000-0000CB430000}"/>
    <cellStyle name="Note 4 3 2 2 4 3" xfId="22888" xr:uid="{00000000-0005-0000-0000-0000CC430000}"/>
    <cellStyle name="Note 4 3 2 2 4 4" xfId="22890" xr:uid="{00000000-0005-0000-0000-0000CD430000}"/>
    <cellStyle name="Note 4 3 2 2 5" xfId="22891" xr:uid="{00000000-0005-0000-0000-0000CE430000}"/>
    <cellStyle name="Note 4 3 2 2 6" xfId="22892" xr:uid="{00000000-0005-0000-0000-0000CF430000}"/>
    <cellStyle name="Note 4 3 2 2 7" xfId="22893" xr:uid="{00000000-0005-0000-0000-0000D0430000}"/>
    <cellStyle name="Note 4 3 2 3" xfId="22894" xr:uid="{00000000-0005-0000-0000-0000D1430000}"/>
    <cellStyle name="Note 4 3 2 3 2" xfId="22895" xr:uid="{00000000-0005-0000-0000-0000D2430000}"/>
    <cellStyle name="Note 4 3 2 3 2 2" xfId="22896" xr:uid="{00000000-0005-0000-0000-0000D3430000}"/>
    <cellStyle name="Note 4 3 2 3 2 2 2" xfId="22898" xr:uid="{00000000-0005-0000-0000-0000D4430000}"/>
    <cellStyle name="Note 4 3 2 3 2 2 3" xfId="22899" xr:uid="{00000000-0005-0000-0000-0000D5430000}"/>
    <cellStyle name="Note 4 3 2 3 2 2 4" xfId="22900" xr:uid="{00000000-0005-0000-0000-0000D6430000}"/>
    <cellStyle name="Note 4 3 2 3 2 3" xfId="22901" xr:uid="{00000000-0005-0000-0000-0000D7430000}"/>
    <cellStyle name="Note 4 3 2 3 2 4" xfId="22902" xr:uid="{00000000-0005-0000-0000-0000D8430000}"/>
    <cellStyle name="Note 4 3 2 3 2 5" xfId="22903" xr:uid="{00000000-0005-0000-0000-0000D9430000}"/>
    <cellStyle name="Note 4 3 2 3 3" xfId="22904" xr:uid="{00000000-0005-0000-0000-0000DA430000}"/>
    <cellStyle name="Note 4 3 2 3 3 2" xfId="22905" xr:uid="{00000000-0005-0000-0000-0000DB430000}"/>
    <cellStyle name="Note 4 3 2 3 3 3" xfId="22906" xr:uid="{00000000-0005-0000-0000-0000DC430000}"/>
    <cellStyle name="Note 4 3 2 3 3 4" xfId="22907" xr:uid="{00000000-0005-0000-0000-0000DD430000}"/>
    <cellStyle name="Note 4 3 2 3 4" xfId="22908" xr:uid="{00000000-0005-0000-0000-0000DE430000}"/>
    <cellStyle name="Note 4 3 2 3 5" xfId="22909" xr:uid="{00000000-0005-0000-0000-0000DF430000}"/>
    <cellStyle name="Note 4 3 2 3 6" xfId="22911" xr:uid="{00000000-0005-0000-0000-0000E0430000}"/>
    <cellStyle name="Note 4 3 2 4" xfId="22913" xr:uid="{00000000-0005-0000-0000-0000E1430000}"/>
    <cellStyle name="Note 4 3 2 4 2" xfId="22915" xr:uid="{00000000-0005-0000-0000-0000E2430000}"/>
    <cellStyle name="Note 4 3 2 4 2 2" xfId="10472" xr:uid="{00000000-0005-0000-0000-0000E3430000}"/>
    <cellStyle name="Note 4 3 2 4 2 3" xfId="10475" xr:uid="{00000000-0005-0000-0000-0000E4430000}"/>
    <cellStyle name="Note 4 3 2 4 2 4" xfId="22917" xr:uid="{00000000-0005-0000-0000-0000E5430000}"/>
    <cellStyle name="Note 4 3 2 4 3" xfId="22919" xr:uid="{00000000-0005-0000-0000-0000E6430000}"/>
    <cellStyle name="Note 4 3 2 4 4" xfId="12179" xr:uid="{00000000-0005-0000-0000-0000E7430000}"/>
    <cellStyle name="Note 4 3 2 4 5" xfId="12194" xr:uid="{00000000-0005-0000-0000-0000E8430000}"/>
    <cellStyle name="Note 4 3 2 5" xfId="22922" xr:uid="{00000000-0005-0000-0000-0000E9430000}"/>
    <cellStyle name="Note 4 3 2 5 2" xfId="22924" xr:uid="{00000000-0005-0000-0000-0000EA430000}"/>
    <cellStyle name="Note 4 3 2 5 3" xfId="22927" xr:uid="{00000000-0005-0000-0000-0000EB430000}"/>
    <cellStyle name="Note 4 3 2 5 4" xfId="2057" xr:uid="{00000000-0005-0000-0000-0000EC430000}"/>
    <cellStyle name="Note 4 3 2 6" xfId="22930" xr:uid="{00000000-0005-0000-0000-0000ED430000}"/>
    <cellStyle name="Note 4 3 2 7" xfId="22095" xr:uid="{00000000-0005-0000-0000-0000EE430000}"/>
    <cellStyle name="Note 4 3 2 8" xfId="22104" xr:uid="{00000000-0005-0000-0000-0000EF430000}"/>
    <cellStyle name="Note 4 3 3" xfId="22931" xr:uid="{00000000-0005-0000-0000-0000F0430000}"/>
    <cellStyle name="Note 4 3 3 2" xfId="22932" xr:uid="{00000000-0005-0000-0000-0000F1430000}"/>
    <cellStyle name="Note 4 3 3 2 2" xfId="13080" xr:uid="{00000000-0005-0000-0000-0000F2430000}"/>
    <cellStyle name="Note 4 3 3 2 2 2" xfId="14166" xr:uid="{00000000-0005-0000-0000-0000F3430000}"/>
    <cellStyle name="Note 4 3 3 2 2 2 2" xfId="22935" xr:uid="{00000000-0005-0000-0000-0000F4430000}"/>
    <cellStyle name="Note 4 3 3 2 2 2 3" xfId="22938" xr:uid="{00000000-0005-0000-0000-0000F5430000}"/>
    <cellStyle name="Note 4 3 3 2 2 2 4" xfId="22940" xr:uid="{00000000-0005-0000-0000-0000F6430000}"/>
    <cellStyle name="Note 4 3 3 2 2 3" xfId="14170" xr:uid="{00000000-0005-0000-0000-0000F7430000}"/>
    <cellStyle name="Note 4 3 3 2 2 4" xfId="14174" xr:uid="{00000000-0005-0000-0000-0000F8430000}"/>
    <cellStyle name="Note 4 3 3 2 2 5" xfId="22941" xr:uid="{00000000-0005-0000-0000-0000F9430000}"/>
    <cellStyle name="Note 4 3 3 2 3" xfId="13084" xr:uid="{00000000-0005-0000-0000-0000FA430000}"/>
    <cellStyle name="Note 4 3 3 2 3 2" xfId="22942" xr:uid="{00000000-0005-0000-0000-0000FB430000}"/>
    <cellStyle name="Note 4 3 3 2 3 3" xfId="22943" xr:uid="{00000000-0005-0000-0000-0000FC430000}"/>
    <cellStyle name="Note 4 3 3 2 3 4" xfId="22944" xr:uid="{00000000-0005-0000-0000-0000FD430000}"/>
    <cellStyle name="Note 4 3 3 2 4" xfId="14179" xr:uid="{00000000-0005-0000-0000-0000FE430000}"/>
    <cellStyle name="Note 4 3 3 2 5" xfId="14183" xr:uid="{00000000-0005-0000-0000-0000FF430000}"/>
    <cellStyle name="Note 4 3 3 2 6" xfId="15056" xr:uid="{00000000-0005-0000-0000-000000440000}"/>
    <cellStyle name="Note 4 3 3 3" xfId="22945" xr:uid="{00000000-0005-0000-0000-000001440000}"/>
    <cellStyle name="Note 4 3 3 3 2" xfId="13100" xr:uid="{00000000-0005-0000-0000-000002440000}"/>
    <cellStyle name="Note 4 3 3 3 2 2" xfId="15061" xr:uid="{00000000-0005-0000-0000-000003440000}"/>
    <cellStyle name="Note 4 3 3 3 2 3" xfId="22946" xr:uid="{00000000-0005-0000-0000-000004440000}"/>
    <cellStyle name="Note 4 3 3 3 2 4" xfId="22947" xr:uid="{00000000-0005-0000-0000-000005440000}"/>
    <cellStyle name="Note 4 3 3 3 3" xfId="14200" xr:uid="{00000000-0005-0000-0000-000006440000}"/>
    <cellStyle name="Note 4 3 3 3 4" xfId="14205" xr:uid="{00000000-0005-0000-0000-000007440000}"/>
    <cellStyle name="Note 4 3 3 3 5" xfId="15072" xr:uid="{00000000-0005-0000-0000-000008440000}"/>
    <cellStyle name="Note 4 3 3 4" xfId="22949" xr:uid="{00000000-0005-0000-0000-000009440000}"/>
    <cellStyle name="Note 4 3 3 4 2" xfId="14219" xr:uid="{00000000-0005-0000-0000-00000A440000}"/>
    <cellStyle name="Note 4 3 3 4 3" xfId="14224" xr:uid="{00000000-0005-0000-0000-00000B440000}"/>
    <cellStyle name="Note 4 3 3 4 4" xfId="12237" xr:uid="{00000000-0005-0000-0000-00000C440000}"/>
    <cellStyle name="Note 4 3 3 5" xfId="22951" xr:uid="{00000000-0005-0000-0000-00000D440000}"/>
    <cellStyle name="Note 4 3 3 6" xfId="22953" xr:uid="{00000000-0005-0000-0000-00000E440000}"/>
    <cellStyle name="Note 4 3 3 7" xfId="22112" xr:uid="{00000000-0005-0000-0000-00000F440000}"/>
    <cellStyle name="Note 4 3 4" xfId="22954" xr:uid="{00000000-0005-0000-0000-000010440000}"/>
    <cellStyle name="Note 4 3 4 2" xfId="22955" xr:uid="{00000000-0005-0000-0000-000011440000}"/>
    <cellStyle name="Note 4 3 4 2 2" xfId="6800" xr:uid="{00000000-0005-0000-0000-000012440000}"/>
    <cellStyle name="Note 4 3 4 2 2 2" xfId="222" xr:uid="{00000000-0005-0000-0000-000013440000}"/>
    <cellStyle name="Note 4 3 4 2 2 3" xfId="242" xr:uid="{00000000-0005-0000-0000-000014440000}"/>
    <cellStyle name="Note 4 3 4 2 2 4" xfId="1033" xr:uid="{00000000-0005-0000-0000-000015440000}"/>
    <cellStyle name="Note 4 3 4 2 3" xfId="6806" xr:uid="{00000000-0005-0000-0000-000016440000}"/>
    <cellStyle name="Note 4 3 4 2 4" xfId="8018" xr:uid="{00000000-0005-0000-0000-000017440000}"/>
    <cellStyle name="Note 4 3 4 2 5" xfId="15079" xr:uid="{00000000-0005-0000-0000-000018440000}"/>
    <cellStyle name="Note 4 3 4 3" xfId="22956" xr:uid="{00000000-0005-0000-0000-000019440000}"/>
    <cellStyle name="Note 4 3 4 3 2" xfId="1791" xr:uid="{00000000-0005-0000-0000-00001A440000}"/>
    <cellStyle name="Note 4 3 4 3 3" xfId="14243" xr:uid="{00000000-0005-0000-0000-00001B440000}"/>
    <cellStyle name="Note 4 3 4 3 4" xfId="15085" xr:uid="{00000000-0005-0000-0000-00001C440000}"/>
    <cellStyle name="Note 4 3 4 4" xfId="22958" xr:uid="{00000000-0005-0000-0000-00001D440000}"/>
    <cellStyle name="Note 4 3 4 5" xfId="22960" xr:uid="{00000000-0005-0000-0000-00001E440000}"/>
    <cellStyle name="Note 4 3 4 6" xfId="22962" xr:uid="{00000000-0005-0000-0000-00001F440000}"/>
    <cellStyle name="Note 4 3 5" xfId="22963" xr:uid="{00000000-0005-0000-0000-000020440000}"/>
    <cellStyle name="Note 4 3 5 2" xfId="22965" xr:uid="{00000000-0005-0000-0000-000021440000}"/>
    <cellStyle name="Note 4 3 5 2 2" xfId="5829" xr:uid="{00000000-0005-0000-0000-000022440000}"/>
    <cellStyle name="Note 4 3 5 2 3" xfId="14251" xr:uid="{00000000-0005-0000-0000-000023440000}"/>
    <cellStyle name="Note 4 3 5 2 4" xfId="22966" xr:uid="{00000000-0005-0000-0000-000024440000}"/>
    <cellStyle name="Note 4 3 5 3" xfId="22968" xr:uid="{00000000-0005-0000-0000-000025440000}"/>
    <cellStyle name="Note 4 3 5 4" xfId="22971" xr:uid="{00000000-0005-0000-0000-000026440000}"/>
    <cellStyle name="Note 4 3 5 5" xfId="22974" xr:uid="{00000000-0005-0000-0000-000027440000}"/>
    <cellStyle name="Note 4 3 6" xfId="22975" xr:uid="{00000000-0005-0000-0000-000028440000}"/>
    <cellStyle name="Note 4 3 6 2" xfId="5463" xr:uid="{00000000-0005-0000-0000-000029440000}"/>
    <cellStyle name="Note 4 3 6 3" xfId="22976" xr:uid="{00000000-0005-0000-0000-00002A440000}"/>
    <cellStyle name="Note 4 3 6 4" xfId="22978" xr:uid="{00000000-0005-0000-0000-00002B440000}"/>
    <cellStyle name="Note 4 3 7" xfId="22979" xr:uid="{00000000-0005-0000-0000-00002C440000}"/>
    <cellStyle name="Note 4 3 8" xfId="22980" xr:uid="{00000000-0005-0000-0000-00002D440000}"/>
    <cellStyle name="Note 4 3 9" xfId="22981" xr:uid="{00000000-0005-0000-0000-00002E440000}"/>
    <cellStyle name="Note 4 4" xfId="8437" xr:uid="{00000000-0005-0000-0000-00002F440000}"/>
    <cellStyle name="Note 4 4 2" xfId="22982" xr:uid="{00000000-0005-0000-0000-000030440000}"/>
    <cellStyle name="Note 4 4 2 2" xfId="22983" xr:uid="{00000000-0005-0000-0000-000031440000}"/>
    <cellStyle name="Note 4 4 2 2 2" xfId="22984" xr:uid="{00000000-0005-0000-0000-000032440000}"/>
    <cellStyle name="Note 4 4 2 2 2 2" xfId="22985" xr:uid="{00000000-0005-0000-0000-000033440000}"/>
    <cellStyle name="Note 4 4 2 2 2 2 2" xfId="22986" xr:uid="{00000000-0005-0000-0000-000034440000}"/>
    <cellStyle name="Note 4 4 2 2 2 2 2 2" xfId="22987" xr:uid="{00000000-0005-0000-0000-000035440000}"/>
    <cellStyle name="Note 4 4 2 2 2 2 2 3" xfId="22988" xr:uid="{00000000-0005-0000-0000-000036440000}"/>
    <cellStyle name="Note 4 4 2 2 2 2 2 4" xfId="22989" xr:uid="{00000000-0005-0000-0000-000037440000}"/>
    <cellStyle name="Note 4 4 2 2 2 2 3" xfId="22990" xr:uid="{00000000-0005-0000-0000-000038440000}"/>
    <cellStyle name="Note 4 4 2 2 2 2 4" xfId="2559" xr:uid="{00000000-0005-0000-0000-000039440000}"/>
    <cellStyle name="Note 4 4 2 2 2 2 5" xfId="2592" xr:uid="{00000000-0005-0000-0000-00003A440000}"/>
    <cellStyle name="Note 4 4 2 2 2 3" xfId="22991" xr:uid="{00000000-0005-0000-0000-00003B440000}"/>
    <cellStyle name="Note 4 4 2 2 2 3 2" xfId="22992" xr:uid="{00000000-0005-0000-0000-00003C440000}"/>
    <cellStyle name="Note 4 4 2 2 2 3 3" xfId="22993" xr:uid="{00000000-0005-0000-0000-00003D440000}"/>
    <cellStyle name="Note 4 4 2 2 2 3 4" xfId="2618" xr:uid="{00000000-0005-0000-0000-00003E440000}"/>
    <cellStyle name="Note 4 4 2 2 2 4" xfId="13513" xr:uid="{00000000-0005-0000-0000-00003F440000}"/>
    <cellStyle name="Note 4 4 2 2 2 5" xfId="13522" xr:uid="{00000000-0005-0000-0000-000040440000}"/>
    <cellStyle name="Note 4 4 2 2 2 6" xfId="13526" xr:uid="{00000000-0005-0000-0000-000041440000}"/>
    <cellStyle name="Note 4 4 2 2 3" xfId="22994" xr:uid="{00000000-0005-0000-0000-000042440000}"/>
    <cellStyle name="Note 4 4 2 2 3 2" xfId="910" xr:uid="{00000000-0005-0000-0000-000043440000}"/>
    <cellStyle name="Note 4 4 2 2 3 2 2" xfId="1659" xr:uid="{00000000-0005-0000-0000-000044440000}"/>
    <cellStyle name="Note 4 4 2 2 3 2 3" xfId="22995" xr:uid="{00000000-0005-0000-0000-000045440000}"/>
    <cellStyle name="Note 4 4 2 2 3 2 4" xfId="370" xr:uid="{00000000-0005-0000-0000-000046440000}"/>
    <cellStyle name="Note 4 4 2 2 3 3" xfId="22996" xr:uid="{00000000-0005-0000-0000-000047440000}"/>
    <cellStyle name="Note 4 4 2 2 3 4" xfId="13529" xr:uid="{00000000-0005-0000-0000-000048440000}"/>
    <cellStyle name="Note 4 4 2 2 3 5" xfId="13534" xr:uid="{00000000-0005-0000-0000-000049440000}"/>
    <cellStyle name="Note 4 4 2 2 4" xfId="22997" xr:uid="{00000000-0005-0000-0000-00004A440000}"/>
    <cellStyle name="Note 4 4 2 2 4 2" xfId="22998" xr:uid="{00000000-0005-0000-0000-00004B440000}"/>
    <cellStyle name="Note 4 4 2 2 4 3" xfId="23000" xr:uid="{00000000-0005-0000-0000-00004C440000}"/>
    <cellStyle name="Note 4 4 2 2 4 4" xfId="13540" xr:uid="{00000000-0005-0000-0000-00004D440000}"/>
    <cellStyle name="Note 4 4 2 2 5" xfId="16789" xr:uid="{00000000-0005-0000-0000-00004E440000}"/>
    <cellStyle name="Note 4 4 2 2 6" xfId="16796" xr:uid="{00000000-0005-0000-0000-00004F440000}"/>
    <cellStyle name="Note 4 4 2 2 7" xfId="16216" xr:uid="{00000000-0005-0000-0000-000050440000}"/>
    <cellStyle name="Note 4 4 2 3" xfId="23001" xr:uid="{00000000-0005-0000-0000-000051440000}"/>
    <cellStyle name="Note 4 4 2 3 2" xfId="23002" xr:uid="{00000000-0005-0000-0000-000052440000}"/>
    <cellStyle name="Note 4 4 2 3 2 2" xfId="19009" xr:uid="{00000000-0005-0000-0000-000053440000}"/>
    <cellStyle name="Note 4 4 2 3 2 2 2" xfId="23003" xr:uid="{00000000-0005-0000-0000-000054440000}"/>
    <cellStyle name="Note 4 4 2 3 2 2 3" xfId="23004" xr:uid="{00000000-0005-0000-0000-000055440000}"/>
    <cellStyle name="Note 4 4 2 3 2 2 4" xfId="650" xr:uid="{00000000-0005-0000-0000-000056440000}"/>
    <cellStyle name="Note 4 4 2 3 2 3" xfId="19011" xr:uid="{00000000-0005-0000-0000-000057440000}"/>
    <cellStyle name="Note 4 4 2 3 2 4" xfId="13644" xr:uid="{00000000-0005-0000-0000-000058440000}"/>
    <cellStyle name="Note 4 4 2 3 2 5" xfId="13647" xr:uid="{00000000-0005-0000-0000-000059440000}"/>
    <cellStyle name="Note 4 4 2 3 3" xfId="23005" xr:uid="{00000000-0005-0000-0000-00005A440000}"/>
    <cellStyle name="Note 4 4 2 3 3 2" xfId="19018" xr:uid="{00000000-0005-0000-0000-00005B440000}"/>
    <cellStyle name="Note 4 4 2 3 3 3" xfId="19020" xr:uid="{00000000-0005-0000-0000-00005C440000}"/>
    <cellStyle name="Note 4 4 2 3 3 4" xfId="23006" xr:uid="{00000000-0005-0000-0000-00005D440000}"/>
    <cellStyle name="Note 4 4 2 3 4" xfId="23007" xr:uid="{00000000-0005-0000-0000-00005E440000}"/>
    <cellStyle name="Note 4 4 2 3 5" xfId="16802" xr:uid="{00000000-0005-0000-0000-00005F440000}"/>
    <cellStyle name="Note 4 4 2 3 6" xfId="16806" xr:uid="{00000000-0005-0000-0000-000060440000}"/>
    <cellStyle name="Note 4 4 2 4" xfId="23009" xr:uid="{00000000-0005-0000-0000-000061440000}"/>
    <cellStyle name="Note 4 4 2 4 2" xfId="23011" xr:uid="{00000000-0005-0000-0000-000062440000}"/>
    <cellStyle name="Note 4 4 2 4 2 2" xfId="10622" xr:uid="{00000000-0005-0000-0000-000063440000}"/>
    <cellStyle name="Note 4 4 2 4 2 3" xfId="10630" xr:uid="{00000000-0005-0000-0000-000064440000}"/>
    <cellStyle name="Note 4 4 2 4 2 4" xfId="10638" xr:uid="{00000000-0005-0000-0000-000065440000}"/>
    <cellStyle name="Note 4 4 2 4 3" xfId="23013" xr:uid="{00000000-0005-0000-0000-000066440000}"/>
    <cellStyle name="Note 4 4 2 4 4" xfId="11457" xr:uid="{00000000-0005-0000-0000-000067440000}"/>
    <cellStyle name="Note 4 4 2 4 5" xfId="11465" xr:uid="{00000000-0005-0000-0000-000068440000}"/>
    <cellStyle name="Note 4 4 2 5" xfId="23015" xr:uid="{00000000-0005-0000-0000-000069440000}"/>
    <cellStyle name="Note 4 4 2 5 2" xfId="23017" xr:uid="{00000000-0005-0000-0000-00006A440000}"/>
    <cellStyle name="Note 4 4 2 5 3" xfId="23019" xr:uid="{00000000-0005-0000-0000-00006B440000}"/>
    <cellStyle name="Note 4 4 2 5 4" xfId="11487" xr:uid="{00000000-0005-0000-0000-00006C440000}"/>
    <cellStyle name="Note 4 4 2 6" xfId="23021" xr:uid="{00000000-0005-0000-0000-00006D440000}"/>
    <cellStyle name="Note 4 4 2 7" xfId="22126" xr:uid="{00000000-0005-0000-0000-00006E440000}"/>
    <cellStyle name="Note 4 4 2 8" xfId="22129" xr:uid="{00000000-0005-0000-0000-00006F440000}"/>
    <cellStyle name="Note 4 4 3" xfId="23022" xr:uid="{00000000-0005-0000-0000-000070440000}"/>
    <cellStyle name="Note 4 4 3 2" xfId="23023" xr:uid="{00000000-0005-0000-0000-000071440000}"/>
    <cellStyle name="Note 4 4 3 2 2" xfId="13293" xr:uid="{00000000-0005-0000-0000-000072440000}"/>
    <cellStyle name="Note 4 4 3 2 2 2" xfId="23025" xr:uid="{00000000-0005-0000-0000-000073440000}"/>
    <cellStyle name="Note 4 4 3 2 2 2 2" xfId="23027" xr:uid="{00000000-0005-0000-0000-000074440000}"/>
    <cellStyle name="Note 4 4 3 2 2 2 3" xfId="23029" xr:uid="{00000000-0005-0000-0000-000075440000}"/>
    <cellStyle name="Note 4 4 3 2 2 2 4" xfId="3036" xr:uid="{00000000-0005-0000-0000-000076440000}"/>
    <cellStyle name="Note 4 4 3 2 2 3" xfId="23030" xr:uid="{00000000-0005-0000-0000-000077440000}"/>
    <cellStyle name="Note 4 4 3 2 2 4" xfId="14318" xr:uid="{00000000-0005-0000-0000-000078440000}"/>
    <cellStyle name="Note 4 4 3 2 2 5" xfId="14328" xr:uid="{00000000-0005-0000-0000-000079440000}"/>
    <cellStyle name="Note 4 4 3 2 3" xfId="13297" xr:uid="{00000000-0005-0000-0000-00007A440000}"/>
    <cellStyle name="Note 4 4 3 2 3 2" xfId="12619" xr:uid="{00000000-0005-0000-0000-00007B440000}"/>
    <cellStyle name="Note 4 4 3 2 3 3" xfId="12621" xr:uid="{00000000-0005-0000-0000-00007C440000}"/>
    <cellStyle name="Note 4 4 3 2 3 4" xfId="14332" xr:uid="{00000000-0005-0000-0000-00007D440000}"/>
    <cellStyle name="Note 4 4 3 2 4" xfId="14273" xr:uid="{00000000-0005-0000-0000-00007E440000}"/>
    <cellStyle name="Note 4 4 3 2 5" xfId="15099" xr:uid="{00000000-0005-0000-0000-00007F440000}"/>
    <cellStyle name="Note 4 4 3 2 6" xfId="15724" xr:uid="{00000000-0005-0000-0000-000080440000}"/>
    <cellStyle name="Note 4 4 3 3" xfId="23031" xr:uid="{00000000-0005-0000-0000-000081440000}"/>
    <cellStyle name="Note 4 4 3 3 2" xfId="13339" xr:uid="{00000000-0005-0000-0000-000082440000}"/>
    <cellStyle name="Note 4 4 3 3 2 2" xfId="19067" xr:uid="{00000000-0005-0000-0000-000083440000}"/>
    <cellStyle name="Note 4 4 3 3 2 3" xfId="19069" xr:uid="{00000000-0005-0000-0000-000084440000}"/>
    <cellStyle name="Note 4 4 3 3 2 4" xfId="14446" xr:uid="{00000000-0005-0000-0000-000085440000}"/>
    <cellStyle name="Note 4 4 3 3 3" xfId="14153" xr:uid="{00000000-0005-0000-0000-000086440000}"/>
    <cellStyle name="Note 4 4 3 3 4" xfId="23032" xr:uid="{00000000-0005-0000-0000-000087440000}"/>
    <cellStyle name="Note 4 4 3 3 5" xfId="16819" xr:uid="{00000000-0005-0000-0000-000088440000}"/>
    <cellStyle name="Note 4 4 3 4" xfId="23034" xr:uid="{00000000-0005-0000-0000-000089440000}"/>
    <cellStyle name="Note 4 4 3 4 2" xfId="11500" xr:uid="{00000000-0005-0000-0000-00008A440000}"/>
    <cellStyle name="Note 4 4 3 4 3" xfId="23036" xr:uid="{00000000-0005-0000-0000-00008B440000}"/>
    <cellStyle name="Note 4 4 3 4 4" xfId="23038" xr:uid="{00000000-0005-0000-0000-00008C440000}"/>
    <cellStyle name="Note 4 4 3 5" xfId="23040" xr:uid="{00000000-0005-0000-0000-00008D440000}"/>
    <cellStyle name="Note 4 4 3 6" xfId="23042" xr:uid="{00000000-0005-0000-0000-00008E440000}"/>
    <cellStyle name="Note 4 4 3 7" xfId="23044" xr:uid="{00000000-0005-0000-0000-00008F440000}"/>
    <cellStyle name="Note 4 4 4" xfId="23045" xr:uid="{00000000-0005-0000-0000-000090440000}"/>
    <cellStyle name="Note 4 4 4 2" xfId="23046" xr:uid="{00000000-0005-0000-0000-000091440000}"/>
    <cellStyle name="Note 4 4 4 2 2" xfId="137" xr:uid="{00000000-0005-0000-0000-000092440000}"/>
    <cellStyle name="Note 4 4 4 2 2 2" xfId="19890" xr:uid="{00000000-0005-0000-0000-000093440000}"/>
    <cellStyle name="Note 4 4 4 2 2 3" xfId="19892" xr:uid="{00000000-0005-0000-0000-000094440000}"/>
    <cellStyle name="Note 4 4 4 2 2 4" xfId="12966" xr:uid="{00000000-0005-0000-0000-000095440000}"/>
    <cellStyle name="Note 4 4 4 2 3" xfId="218" xr:uid="{00000000-0005-0000-0000-000096440000}"/>
    <cellStyle name="Note 4 4 4 2 4" xfId="23047" xr:uid="{00000000-0005-0000-0000-000097440000}"/>
    <cellStyle name="Note 4 4 4 2 5" xfId="16829" xr:uid="{00000000-0005-0000-0000-000098440000}"/>
    <cellStyle name="Note 4 4 4 3" xfId="23048" xr:uid="{00000000-0005-0000-0000-000099440000}"/>
    <cellStyle name="Note 4 4 4 3 2" xfId="14289" xr:uid="{00000000-0005-0000-0000-00009A440000}"/>
    <cellStyle name="Note 4 4 4 3 3" xfId="23049" xr:uid="{00000000-0005-0000-0000-00009B440000}"/>
    <cellStyle name="Note 4 4 4 3 4" xfId="18583" xr:uid="{00000000-0005-0000-0000-00009C440000}"/>
    <cellStyle name="Note 4 4 4 4" xfId="23051" xr:uid="{00000000-0005-0000-0000-00009D440000}"/>
    <cellStyle name="Note 4 4 4 5" xfId="23053" xr:uid="{00000000-0005-0000-0000-00009E440000}"/>
    <cellStyle name="Note 4 4 4 6" xfId="23055" xr:uid="{00000000-0005-0000-0000-00009F440000}"/>
    <cellStyle name="Note 4 4 5" xfId="23056" xr:uid="{00000000-0005-0000-0000-0000A0440000}"/>
    <cellStyle name="Note 4 4 5 2" xfId="23058" xr:uid="{00000000-0005-0000-0000-0000A1440000}"/>
    <cellStyle name="Note 4 4 5 2 2" xfId="14291" xr:uid="{00000000-0005-0000-0000-0000A2440000}"/>
    <cellStyle name="Note 4 4 5 2 3" xfId="23059" xr:uid="{00000000-0005-0000-0000-0000A3440000}"/>
    <cellStyle name="Note 4 4 5 2 4" xfId="23060" xr:uid="{00000000-0005-0000-0000-0000A4440000}"/>
    <cellStyle name="Note 4 4 5 3" xfId="23061" xr:uid="{00000000-0005-0000-0000-0000A5440000}"/>
    <cellStyle name="Note 4 4 5 4" xfId="23063" xr:uid="{00000000-0005-0000-0000-0000A6440000}"/>
    <cellStyle name="Note 4 4 5 5" xfId="23065" xr:uid="{00000000-0005-0000-0000-0000A7440000}"/>
    <cellStyle name="Note 4 4 6" xfId="23066" xr:uid="{00000000-0005-0000-0000-0000A8440000}"/>
    <cellStyle name="Note 4 4 6 2" xfId="23067" xr:uid="{00000000-0005-0000-0000-0000A9440000}"/>
    <cellStyle name="Note 4 4 6 3" xfId="21927" xr:uid="{00000000-0005-0000-0000-0000AA440000}"/>
    <cellStyle name="Note 4 4 6 4" xfId="21930" xr:uid="{00000000-0005-0000-0000-0000AB440000}"/>
    <cellStyle name="Note 4 4 7" xfId="23068" xr:uid="{00000000-0005-0000-0000-0000AC440000}"/>
    <cellStyle name="Note 4 4 8" xfId="23069" xr:uid="{00000000-0005-0000-0000-0000AD440000}"/>
    <cellStyle name="Note 4 4 9" xfId="23070" xr:uid="{00000000-0005-0000-0000-0000AE440000}"/>
    <cellStyle name="Note 4 5" xfId="23071" xr:uid="{00000000-0005-0000-0000-0000AF440000}"/>
    <cellStyle name="Note 4 5 2" xfId="22358" xr:uid="{00000000-0005-0000-0000-0000B0440000}"/>
    <cellStyle name="Note 4 5 2 2" xfId="23072" xr:uid="{00000000-0005-0000-0000-0000B1440000}"/>
    <cellStyle name="Note 4 5 2 2 2" xfId="23073" xr:uid="{00000000-0005-0000-0000-0000B2440000}"/>
    <cellStyle name="Note 4 5 2 2 2 2" xfId="23074" xr:uid="{00000000-0005-0000-0000-0000B3440000}"/>
    <cellStyle name="Note 4 5 2 2 2 2 2" xfId="23075" xr:uid="{00000000-0005-0000-0000-0000B4440000}"/>
    <cellStyle name="Note 4 5 2 2 2 2 3" xfId="23076" xr:uid="{00000000-0005-0000-0000-0000B5440000}"/>
    <cellStyle name="Note 4 5 2 2 2 2 4" xfId="23079" xr:uid="{00000000-0005-0000-0000-0000B6440000}"/>
    <cellStyle name="Note 4 5 2 2 2 3" xfId="23080" xr:uid="{00000000-0005-0000-0000-0000B7440000}"/>
    <cellStyle name="Note 4 5 2 2 2 4" xfId="23081" xr:uid="{00000000-0005-0000-0000-0000B8440000}"/>
    <cellStyle name="Note 4 5 2 2 2 5" xfId="23083" xr:uid="{00000000-0005-0000-0000-0000B9440000}"/>
    <cellStyle name="Note 4 5 2 2 3" xfId="23084" xr:uid="{00000000-0005-0000-0000-0000BA440000}"/>
    <cellStyle name="Note 4 5 2 2 3 2" xfId="8835" xr:uid="{00000000-0005-0000-0000-0000BB440000}"/>
    <cellStyle name="Note 4 5 2 2 3 3" xfId="23085" xr:uid="{00000000-0005-0000-0000-0000BC440000}"/>
    <cellStyle name="Note 4 5 2 2 3 4" xfId="23086" xr:uid="{00000000-0005-0000-0000-0000BD440000}"/>
    <cellStyle name="Note 4 5 2 2 4" xfId="23089" xr:uid="{00000000-0005-0000-0000-0000BE440000}"/>
    <cellStyle name="Note 4 5 2 2 5" xfId="8928" xr:uid="{00000000-0005-0000-0000-0000BF440000}"/>
    <cellStyle name="Note 4 5 2 2 6" xfId="8943" xr:uid="{00000000-0005-0000-0000-0000C0440000}"/>
    <cellStyle name="Note 4 5 2 3" xfId="23090" xr:uid="{00000000-0005-0000-0000-0000C1440000}"/>
    <cellStyle name="Note 4 5 2 3 2" xfId="23091" xr:uid="{00000000-0005-0000-0000-0000C2440000}"/>
    <cellStyle name="Note 4 5 2 3 2 2" xfId="1950" xr:uid="{00000000-0005-0000-0000-0000C3440000}"/>
    <cellStyle name="Note 4 5 2 3 2 3" xfId="2607" xr:uid="{00000000-0005-0000-0000-0000C4440000}"/>
    <cellStyle name="Note 4 5 2 3 2 4" xfId="2632" xr:uid="{00000000-0005-0000-0000-0000C5440000}"/>
    <cellStyle name="Note 4 5 2 3 3" xfId="23093" xr:uid="{00000000-0005-0000-0000-0000C6440000}"/>
    <cellStyle name="Note 4 5 2 3 4" xfId="23095" xr:uid="{00000000-0005-0000-0000-0000C7440000}"/>
    <cellStyle name="Note 4 5 2 3 5" xfId="9168" xr:uid="{00000000-0005-0000-0000-0000C8440000}"/>
    <cellStyle name="Note 4 5 2 4" xfId="23097" xr:uid="{00000000-0005-0000-0000-0000C9440000}"/>
    <cellStyle name="Note 4 5 2 4 2" xfId="9356" xr:uid="{00000000-0005-0000-0000-0000CA440000}"/>
    <cellStyle name="Note 4 5 2 4 3" xfId="9385" xr:uid="{00000000-0005-0000-0000-0000CB440000}"/>
    <cellStyle name="Note 4 5 2 4 4" xfId="23100" xr:uid="{00000000-0005-0000-0000-0000CC440000}"/>
    <cellStyle name="Note 4 5 2 5" xfId="23102" xr:uid="{00000000-0005-0000-0000-0000CD440000}"/>
    <cellStyle name="Note 4 5 2 6" xfId="23105" xr:uid="{00000000-0005-0000-0000-0000CE440000}"/>
    <cellStyle name="Note 4 5 2 7" xfId="23108" xr:uid="{00000000-0005-0000-0000-0000CF440000}"/>
    <cellStyle name="Note 4 5 3" xfId="23110" xr:uid="{00000000-0005-0000-0000-0000D0440000}"/>
    <cellStyle name="Note 4 5 3 2" xfId="23111" xr:uid="{00000000-0005-0000-0000-0000D1440000}"/>
    <cellStyle name="Note 4 5 3 2 2" xfId="3273" xr:uid="{00000000-0005-0000-0000-0000D2440000}"/>
    <cellStyle name="Note 4 5 3 2 2 2" xfId="23112" xr:uid="{00000000-0005-0000-0000-0000D3440000}"/>
    <cellStyle name="Note 4 5 3 2 2 3" xfId="23113" xr:uid="{00000000-0005-0000-0000-0000D4440000}"/>
    <cellStyle name="Note 4 5 3 2 2 4" xfId="23114" xr:uid="{00000000-0005-0000-0000-0000D5440000}"/>
    <cellStyle name="Note 4 5 3 2 3" xfId="169" xr:uid="{00000000-0005-0000-0000-0000D6440000}"/>
    <cellStyle name="Note 4 5 3 2 4" xfId="23115" xr:uid="{00000000-0005-0000-0000-0000D7440000}"/>
    <cellStyle name="Note 4 5 3 2 5" xfId="3352" xr:uid="{00000000-0005-0000-0000-0000D8440000}"/>
    <cellStyle name="Note 4 5 3 3" xfId="23116" xr:uid="{00000000-0005-0000-0000-0000D9440000}"/>
    <cellStyle name="Note 4 5 3 3 2" xfId="3602" xr:uid="{00000000-0005-0000-0000-0000DA440000}"/>
    <cellStyle name="Note 4 5 3 3 3" xfId="23118" xr:uid="{00000000-0005-0000-0000-0000DB440000}"/>
    <cellStyle name="Note 4 5 3 3 4" xfId="23121" xr:uid="{00000000-0005-0000-0000-0000DC440000}"/>
    <cellStyle name="Note 4 5 3 4" xfId="23123" xr:uid="{00000000-0005-0000-0000-0000DD440000}"/>
    <cellStyle name="Note 4 5 3 5" xfId="23125" xr:uid="{00000000-0005-0000-0000-0000DE440000}"/>
    <cellStyle name="Note 4 5 3 6" xfId="23127" xr:uid="{00000000-0005-0000-0000-0000DF440000}"/>
    <cellStyle name="Note 4 5 4" xfId="23129" xr:uid="{00000000-0005-0000-0000-0000E0440000}"/>
    <cellStyle name="Note 4 5 4 2" xfId="23130" xr:uid="{00000000-0005-0000-0000-0000E1440000}"/>
    <cellStyle name="Note 4 5 4 2 2" xfId="10928" xr:uid="{00000000-0005-0000-0000-0000E2440000}"/>
    <cellStyle name="Note 4 5 4 2 3" xfId="23131" xr:uid="{00000000-0005-0000-0000-0000E3440000}"/>
    <cellStyle name="Note 4 5 4 2 4" xfId="23132" xr:uid="{00000000-0005-0000-0000-0000E4440000}"/>
    <cellStyle name="Note 4 5 4 3" xfId="23133" xr:uid="{00000000-0005-0000-0000-0000E5440000}"/>
    <cellStyle name="Note 4 5 4 4" xfId="23135" xr:uid="{00000000-0005-0000-0000-0000E6440000}"/>
    <cellStyle name="Note 4 5 4 5" xfId="23138" xr:uid="{00000000-0005-0000-0000-0000E7440000}"/>
    <cellStyle name="Note 4 5 5" xfId="3505" xr:uid="{00000000-0005-0000-0000-0000E8440000}"/>
    <cellStyle name="Note 4 5 5 2" xfId="23139" xr:uid="{00000000-0005-0000-0000-0000E9440000}"/>
    <cellStyle name="Note 4 5 5 3" xfId="23140" xr:uid="{00000000-0005-0000-0000-0000EA440000}"/>
    <cellStyle name="Note 4 5 5 4" xfId="23142" xr:uid="{00000000-0005-0000-0000-0000EB440000}"/>
    <cellStyle name="Note 4 5 6" xfId="3512" xr:uid="{00000000-0005-0000-0000-0000EC440000}"/>
    <cellStyle name="Note 4 5 7" xfId="3520" xr:uid="{00000000-0005-0000-0000-0000ED440000}"/>
    <cellStyle name="Note 4 5 8" xfId="23143" xr:uid="{00000000-0005-0000-0000-0000EE440000}"/>
    <cellStyle name="Note 4 6" xfId="8443" xr:uid="{00000000-0005-0000-0000-0000EF440000}"/>
    <cellStyle name="Note 4 6 2" xfId="23145" xr:uid="{00000000-0005-0000-0000-0000F0440000}"/>
    <cellStyle name="Note 4 6 2 2" xfId="23146" xr:uid="{00000000-0005-0000-0000-0000F1440000}"/>
    <cellStyle name="Note 4 6 2 2 2" xfId="15943" xr:uid="{00000000-0005-0000-0000-0000F2440000}"/>
    <cellStyle name="Note 4 6 2 2 2 2" xfId="15945" xr:uid="{00000000-0005-0000-0000-0000F3440000}"/>
    <cellStyle name="Note 4 6 2 2 2 3" xfId="15947" xr:uid="{00000000-0005-0000-0000-0000F4440000}"/>
    <cellStyle name="Note 4 6 2 2 2 4" xfId="15949" xr:uid="{00000000-0005-0000-0000-0000F5440000}"/>
    <cellStyle name="Note 4 6 2 2 3" xfId="15952" xr:uid="{00000000-0005-0000-0000-0000F6440000}"/>
    <cellStyle name="Note 4 6 2 2 4" xfId="15955" xr:uid="{00000000-0005-0000-0000-0000F7440000}"/>
    <cellStyle name="Note 4 6 2 2 5" xfId="15957" xr:uid="{00000000-0005-0000-0000-0000F8440000}"/>
    <cellStyle name="Note 4 6 2 3" xfId="23147" xr:uid="{00000000-0005-0000-0000-0000F9440000}"/>
    <cellStyle name="Note 4 6 2 3 2" xfId="15966" xr:uid="{00000000-0005-0000-0000-0000FA440000}"/>
    <cellStyle name="Note 4 6 2 3 3" xfId="15970" xr:uid="{00000000-0005-0000-0000-0000FB440000}"/>
    <cellStyle name="Note 4 6 2 3 4" xfId="15975" xr:uid="{00000000-0005-0000-0000-0000FC440000}"/>
    <cellStyle name="Note 4 6 2 4" xfId="23149" xr:uid="{00000000-0005-0000-0000-0000FD440000}"/>
    <cellStyle name="Note 4 6 2 5" xfId="23151" xr:uid="{00000000-0005-0000-0000-0000FE440000}"/>
    <cellStyle name="Note 4 6 2 6" xfId="23153" xr:uid="{00000000-0005-0000-0000-0000FF440000}"/>
    <cellStyle name="Note 4 6 3" xfId="23155" xr:uid="{00000000-0005-0000-0000-000000450000}"/>
    <cellStyle name="Note 4 6 3 2" xfId="23156" xr:uid="{00000000-0005-0000-0000-000001450000}"/>
    <cellStyle name="Note 4 6 3 2 2" xfId="1476" xr:uid="{00000000-0005-0000-0000-000002450000}"/>
    <cellStyle name="Note 4 6 3 2 3" xfId="15994" xr:uid="{00000000-0005-0000-0000-000003450000}"/>
    <cellStyle name="Note 4 6 3 2 4" xfId="15997" xr:uid="{00000000-0005-0000-0000-000004450000}"/>
    <cellStyle name="Note 4 6 3 3" xfId="23157" xr:uid="{00000000-0005-0000-0000-000005450000}"/>
    <cellStyle name="Note 4 6 3 4" xfId="23159" xr:uid="{00000000-0005-0000-0000-000006450000}"/>
    <cellStyle name="Note 4 6 3 5" xfId="23161" xr:uid="{00000000-0005-0000-0000-000007450000}"/>
    <cellStyle name="Note 4 6 4" xfId="23164" xr:uid="{00000000-0005-0000-0000-000008450000}"/>
    <cellStyle name="Note 4 6 4 2" xfId="23166" xr:uid="{00000000-0005-0000-0000-000009450000}"/>
    <cellStyle name="Note 4 6 4 3" xfId="23168" xr:uid="{00000000-0005-0000-0000-00000A450000}"/>
    <cellStyle name="Note 4 6 4 4" xfId="23171" xr:uid="{00000000-0005-0000-0000-00000B450000}"/>
    <cellStyle name="Note 4 6 5" xfId="23173" xr:uid="{00000000-0005-0000-0000-00000C450000}"/>
    <cellStyle name="Note 4 6 6" xfId="23175" xr:uid="{00000000-0005-0000-0000-00000D450000}"/>
    <cellStyle name="Note 4 6 7" xfId="23177" xr:uid="{00000000-0005-0000-0000-00000E450000}"/>
    <cellStyle name="Note 4 7" xfId="15378" xr:uid="{00000000-0005-0000-0000-00000F450000}"/>
    <cellStyle name="Note 4 7 2" xfId="23179" xr:uid="{00000000-0005-0000-0000-000010450000}"/>
    <cellStyle name="Note 4 7 2 2" xfId="23180" xr:uid="{00000000-0005-0000-0000-000011450000}"/>
    <cellStyle name="Note 4 7 2 2 2" xfId="15035" xr:uid="{00000000-0005-0000-0000-000012450000}"/>
    <cellStyle name="Note 4 7 2 2 3" xfId="10068" xr:uid="{00000000-0005-0000-0000-000013450000}"/>
    <cellStyle name="Note 4 7 2 2 4" xfId="10073" xr:uid="{00000000-0005-0000-0000-000014450000}"/>
    <cellStyle name="Note 4 7 2 3" xfId="23181" xr:uid="{00000000-0005-0000-0000-000015450000}"/>
    <cellStyle name="Note 4 7 2 4" xfId="23183" xr:uid="{00000000-0005-0000-0000-000016450000}"/>
    <cellStyle name="Note 4 7 2 5" xfId="23185" xr:uid="{00000000-0005-0000-0000-000017450000}"/>
    <cellStyle name="Note 4 7 3" xfId="23187" xr:uid="{00000000-0005-0000-0000-000018450000}"/>
    <cellStyle name="Note 4 7 3 2" xfId="23188" xr:uid="{00000000-0005-0000-0000-000019450000}"/>
    <cellStyle name="Note 4 7 3 3" xfId="23189" xr:uid="{00000000-0005-0000-0000-00001A450000}"/>
    <cellStyle name="Note 4 7 3 4" xfId="23191" xr:uid="{00000000-0005-0000-0000-00001B450000}"/>
    <cellStyle name="Note 4 7 4" xfId="23193" xr:uid="{00000000-0005-0000-0000-00001C450000}"/>
    <cellStyle name="Note 4 7 5" xfId="23195" xr:uid="{00000000-0005-0000-0000-00001D450000}"/>
    <cellStyle name="Note 4 7 6" xfId="23197" xr:uid="{00000000-0005-0000-0000-00001E450000}"/>
    <cellStyle name="Note 4 8" xfId="15380" xr:uid="{00000000-0005-0000-0000-00001F450000}"/>
    <cellStyle name="Note 4 8 2" xfId="23199" xr:uid="{00000000-0005-0000-0000-000020450000}"/>
    <cellStyle name="Note 4 8 2 2" xfId="23200" xr:uid="{00000000-0005-0000-0000-000021450000}"/>
    <cellStyle name="Note 4 8 2 3" xfId="23201" xr:uid="{00000000-0005-0000-0000-000022450000}"/>
    <cellStyle name="Note 4 8 2 4" xfId="23203" xr:uid="{00000000-0005-0000-0000-000023450000}"/>
    <cellStyle name="Note 4 8 3" xfId="23204" xr:uid="{00000000-0005-0000-0000-000024450000}"/>
    <cellStyle name="Note 4 8 4" xfId="23206" xr:uid="{00000000-0005-0000-0000-000025450000}"/>
    <cellStyle name="Note 4 8 5" xfId="23208" xr:uid="{00000000-0005-0000-0000-000026450000}"/>
    <cellStyle name="Note 4 9" xfId="23209" xr:uid="{00000000-0005-0000-0000-000027450000}"/>
    <cellStyle name="Note 4 9 2" xfId="23210" xr:uid="{00000000-0005-0000-0000-000028450000}"/>
    <cellStyle name="Note 4 9 3" xfId="23211" xr:uid="{00000000-0005-0000-0000-000029450000}"/>
    <cellStyle name="Note 4 9 4" xfId="23212" xr:uid="{00000000-0005-0000-0000-00002A450000}"/>
    <cellStyle name="Note 5" xfId="23213" xr:uid="{00000000-0005-0000-0000-00002B450000}"/>
    <cellStyle name="Note 5 10" xfId="23215" xr:uid="{00000000-0005-0000-0000-00002C450000}"/>
    <cellStyle name="Note 5 11" xfId="23218" xr:uid="{00000000-0005-0000-0000-00002D450000}"/>
    <cellStyle name="Note 5 12" xfId="23221" xr:uid="{00000000-0005-0000-0000-00002E450000}"/>
    <cellStyle name="Note 5 13" xfId="23224" xr:uid="{00000000-0005-0000-0000-00002F450000}"/>
    <cellStyle name="Note 5 2" xfId="5895" xr:uid="{00000000-0005-0000-0000-000030450000}"/>
    <cellStyle name="Note 5 2 10" xfId="23225" xr:uid="{00000000-0005-0000-0000-000031450000}"/>
    <cellStyle name="Note 5 2 11" xfId="23226" xr:uid="{00000000-0005-0000-0000-000032450000}"/>
    <cellStyle name="Note 5 2 12" xfId="8587" xr:uid="{00000000-0005-0000-0000-000033450000}"/>
    <cellStyle name="Note 5 2 2" xfId="23227" xr:uid="{00000000-0005-0000-0000-000034450000}"/>
    <cellStyle name="Note 5 2 2 2" xfId="23228" xr:uid="{00000000-0005-0000-0000-000035450000}"/>
    <cellStyle name="Note 5 2 2 2 2" xfId="23229" xr:uid="{00000000-0005-0000-0000-000036450000}"/>
    <cellStyle name="Note 5 2 2 2 2 2" xfId="23231" xr:uid="{00000000-0005-0000-0000-000037450000}"/>
    <cellStyle name="Note 5 2 2 2 2 2 2" xfId="23232" xr:uid="{00000000-0005-0000-0000-000038450000}"/>
    <cellStyle name="Note 5 2 2 2 2 2 2 2" xfId="23234" xr:uid="{00000000-0005-0000-0000-000039450000}"/>
    <cellStyle name="Note 5 2 2 2 2 2 2 2 2" xfId="23236" xr:uid="{00000000-0005-0000-0000-00003A450000}"/>
    <cellStyle name="Note 5 2 2 2 2 2 2 2 3" xfId="23238" xr:uid="{00000000-0005-0000-0000-00003B450000}"/>
    <cellStyle name="Note 5 2 2 2 2 2 2 2 4" xfId="23240" xr:uid="{00000000-0005-0000-0000-00003C450000}"/>
    <cellStyle name="Note 5 2 2 2 2 2 2 3" xfId="23242" xr:uid="{00000000-0005-0000-0000-00003D450000}"/>
    <cellStyle name="Note 5 2 2 2 2 2 2 4" xfId="23244" xr:uid="{00000000-0005-0000-0000-00003E450000}"/>
    <cellStyle name="Note 5 2 2 2 2 2 2 5" xfId="21733" xr:uid="{00000000-0005-0000-0000-00003F450000}"/>
    <cellStyle name="Note 5 2 2 2 2 2 3" xfId="23245" xr:uid="{00000000-0005-0000-0000-000040450000}"/>
    <cellStyle name="Note 5 2 2 2 2 2 3 2" xfId="22674" xr:uid="{00000000-0005-0000-0000-000041450000}"/>
    <cellStyle name="Note 5 2 2 2 2 2 3 3" xfId="22678" xr:uid="{00000000-0005-0000-0000-000042450000}"/>
    <cellStyle name="Note 5 2 2 2 2 2 3 4" xfId="23248" xr:uid="{00000000-0005-0000-0000-000043450000}"/>
    <cellStyle name="Note 5 2 2 2 2 2 4" xfId="23249" xr:uid="{00000000-0005-0000-0000-000044450000}"/>
    <cellStyle name="Note 5 2 2 2 2 2 5" xfId="23250" xr:uid="{00000000-0005-0000-0000-000045450000}"/>
    <cellStyle name="Note 5 2 2 2 2 2 6" xfId="23251" xr:uid="{00000000-0005-0000-0000-000046450000}"/>
    <cellStyle name="Note 5 2 2 2 2 3" xfId="23254" xr:uid="{00000000-0005-0000-0000-000047450000}"/>
    <cellStyle name="Note 5 2 2 2 2 3 2" xfId="23255" xr:uid="{00000000-0005-0000-0000-000048450000}"/>
    <cellStyle name="Note 5 2 2 2 2 3 2 2" xfId="23257" xr:uid="{00000000-0005-0000-0000-000049450000}"/>
    <cellStyle name="Note 5 2 2 2 2 3 2 3" xfId="23259" xr:uid="{00000000-0005-0000-0000-00004A450000}"/>
    <cellStyle name="Note 5 2 2 2 2 3 2 4" xfId="23260" xr:uid="{00000000-0005-0000-0000-00004B450000}"/>
    <cellStyle name="Note 5 2 2 2 2 3 3" xfId="23261" xr:uid="{00000000-0005-0000-0000-00004C450000}"/>
    <cellStyle name="Note 5 2 2 2 2 3 4" xfId="23262" xr:uid="{00000000-0005-0000-0000-00004D450000}"/>
    <cellStyle name="Note 5 2 2 2 2 3 5" xfId="23263" xr:uid="{00000000-0005-0000-0000-00004E450000}"/>
    <cellStyle name="Note 5 2 2 2 2 4" xfId="15271" xr:uid="{00000000-0005-0000-0000-00004F450000}"/>
    <cellStyle name="Note 5 2 2 2 2 4 2" xfId="23264" xr:uid="{00000000-0005-0000-0000-000050450000}"/>
    <cellStyle name="Note 5 2 2 2 2 4 3" xfId="23265" xr:uid="{00000000-0005-0000-0000-000051450000}"/>
    <cellStyle name="Note 5 2 2 2 2 4 4" xfId="23266" xr:uid="{00000000-0005-0000-0000-000052450000}"/>
    <cellStyle name="Note 5 2 2 2 2 5" xfId="15274" xr:uid="{00000000-0005-0000-0000-000053450000}"/>
    <cellStyle name="Note 5 2 2 2 2 6" xfId="15277" xr:uid="{00000000-0005-0000-0000-000054450000}"/>
    <cellStyle name="Note 5 2 2 2 2 7" xfId="23268" xr:uid="{00000000-0005-0000-0000-000055450000}"/>
    <cellStyle name="Note 5 2 2 2 3" xfId="23269" xr:uid="{00000000-0005-0000-0000-000056450000}"/>
    <cellStyle name="Note 5 2 2 2 3 2" xfId="23271" xr:uid="{00000000-0005-0000-0000-000057450000}"/>
    <cellStyle name="Note 5 2 2 2 3 2 2" xfId="23272" xr:uid="{00000000-0005-0000-0000-000058450000}"/>
    <cellStyle name="Note 5 2 2 2 3 2 2 2" xfId="23274" xr:uid="{00000000-0005-0000-0000-000059450000}"/>
    <cellStyle name="Note 5 2 2 2 3 2 2 3" xfId="23276" xr:uid="{00000000-0005-0000-0000-00005A450000}"/>
    <cellStyle name="Note 5 2 2 2 3 2 2 4" xfId="23278" xr:uid="{00000000-0005-0000-0000-00005B450000}"/>
    <cellStyle name="Note 5 2 2 2 3 2 3" xfId="23279" xr:uid="{00000000-0005-0000-0000-00005C450000}"/>
    <cellStyle name="Note 5 2 2 2 3 2 4" xfId="23280" xr:uid="{00000000-0005-0000-0000-00005D450000}"/>
    <cellStyle name="Note 5 2 2 2 3 2 5" xfId="23281" xr:uid="{00000000-0005-0000-0000-00005E450000}"/>
    <cellStyle name="Note 5 2 2 2 3 3" xfId="23282" xr:uid="{00000000-0005-0000-0000-00005F450000}"/>
    <cellStyle name="Note 5 2 2 2 3 3 2" xfId="23283" xr:uid="{00000000-0005-0000-0000-000060450000}"/>
    <cellStyle name="Note 5 2 2 2 3 3 3" xfId="23284" xr:uid="{00000000-0005-0000-0000-000061450000}"/>
    <cellStyle name="Note 5 2 2 2 3 3 4" xfId="23285" xr:uid="{00000000-0005-0000-0000-000062450000}"/>
    <cellStyle name="Note 5 2 2 2 3 4" xfId="23286" xr:uid="{00000000-0005-0000-0000-000063450000}"/>
    <cellStyle name="Note 5 2 2 2 3 5" xfId="23287" xr:uid="{00000000-0005-0000-0000-000064450000}"/>
    <cellStyle name="Note 5 2 2 2 3 6" xfId="23289" xr:uid="{00000000-0005-0000-0000-000065450000}"/>
    <cellStyle name="Note 5 2 2 2 4" xfId="23290" xr:uid="{00000000-0005-0000-0000-000066450000}"/>
    <cellStyle name="Note 5 2 2 2 4 2" xfId="23291" xr:uid="{00000000-0005-0000-0000-000067450000}"/>
    <cellStyle name="Note 5 2 2 2 4 2 2" xfId="23292" xr:uid="{00000000-0005-0000-0000-000068450000}"/>
    <cellStyle name="Note 5 2 2 2 4 2 3" xfId="23293" xr:uid="{00000000-0005-0000-0000-000069450000}"/>
    <cellStyle name="Note 5 2 2 2 4 2 4" xfId="14733" xr:uid="{00000000-0005-0000-0000-00006A450000}"/>
    <cellStyle name="Note 5 2 2 2 4 3" xfId="23295" xr:uid="{00000000-0005-0000-0000-00006B450000}"/>
    <cellStyle name="Note 5 2 2 2 4 4" xfId="23297" xr:uid="{00000000-0005-0000-0000-00006C450000}"/>
    <cellStyle name="Note 5 2 2 2 4 5" xfId="23299" xr:uid="{00000000-0005-0000-0000-00006D450000}"/>
    <cellStyle name="Note 5 2 2 2 5" xfId="23300" xr:uid="{00000000-0005-0000-0000-00006E450000}"/>
    <cellStyle name="Note 5 2 2 2 5 2" xfId="23301" xr:uid="{00000000-0005-0000-0000-00006F450000}"/>
    <cellStyle name="Note 5 2 2 2 5 3" xfId="23302" xr:uid="{00000000-0005-0000-0000-000070450000}"/>
    <cellStyle name="Note 5 2 2 2 5 4" xfId="23303" xr:uid="{00000000-0005-0000-0000-000071450000}"/>
    <cellStyle name="Note 5 2 2 2 6" xfId="15781" xr:uid="{00000000-0005-0000-0000-000072450000}"/>
    <cellStyle name="Note 5 2 2 2 7" xfId="15783" xr:uid="{00000000-0005-0000-0000-000073450000}"/>
    <cellStyle name="Note 5 2 2 2 8" xfId="15785" xr:uid="{00000000-0005-0000-0000-000074450000}"/>
    <cellStyle name="Note 5 2 2 3" xfId="23304" xr:uid="{00000000-0005-0000-0000-000075450000}"/>
    <cellStyle name="Note 5 2 2 3 2" xfId="23305" xr:uid="{00000000-0005-0000-0000-000076450000}"/>
    <cellStyle name="Note 5 2 2 3 2 2" xfId="23307" xr:uid="{00000000-0005-0000-0000-000077450000}"/>
    <cellStyle name="Note 5 2 2 3 2 2 2" xfId="23309" xr:uid="{00000000-0005-0000-0000-000078450000}"/>
    <cellStyle name="Note 5 2 2 3 2 2 2 2" xfId="23310" xr:uid="{00000000-0005-0000-0000-000079450000}"/>
    <cellStyle name="Note 5 2 2 3 2 2 2 3" xfId="23311" xr:uid="{00000000-0005-0000-0000-00007A450000}"/>
    <cellStyle name="Note 5 2 2 3 2 2 2 4" xfId="23312" xr:uid="{00000000-0005-0000-0000-00007B450000}"/>
    <cellStyle name="Note 5 2 2 3 2 2 3" xfId="23314" xr:uid="{00000000-0005-0000-0000-00007C450000}"/>
    <cellStyle name="Note 5 2 2 3 2 2 4" xfId="23315" xr:uid="{00000000-0005-0000-0000-00007D450000}"/>
    <cellStyle name="Note 5 2 2 3 2 2 5" xfId="23316" xr:uid="{00000000-0005-0000-0000-00007E450000}"/>
    <cellStyle name="Note 5 2 2 3 2 3" xfId="17814" xr:uid="{00000000-0005-0000-0000-00007F450000}"/>
    <cellStyle name="Note 5 2 2 3 2 3 2" xfId="23318" xr:uid="{00000000-0005-0000-0000-000080450000}"/>
    <cellStyle name="Note 5 2 2 3 2 3 3" xfId="23319" xr:uid="{00000000-0005-0000-0000-000081450000}"/>
    <cellStyle name="Note 5 2 2 3 2 3 4" xfId="23320" xr:uid="{00000000-0005-0000-0000-000082450000}"/>
    <cellStyle name="Note 5 2 2 3 2 4" xfId="17816" xr:uid="{00000000-0005-0000-0000-000083450000}"/>
    <cellStyle name="Note 5 2 2 3 2 5" xfId="17818" xr:uid="{00000000-0005-0000-0000-000084450000}"/>
    <cellStyle name="Note 5 2 2 3 2 6" xfId="23322" xr:uid="{00000000-0005-0000-0000-000085450000}"/>
    <cellStyle name="Note 5 2 2 3 3" xfId="23323" xr:uid="{00000000-0005-0000-0000-000086450000}"/>
    <cellStyle name="Note 5 2 2 3 3 2" xfId="23324" xr:uid="{00000000-0005-0000-0000-000087450000}"/>
    <cellStyle name="Note 5 2 2 3 3 2 2" xfId="23326" xr:uid="{00000000-0005-0000-0000-000088450000}"/>
    <cellStyle name="Note 5 2 2 3 3 2 3" xfId="23327" xr:uid="{00000000-0005-0000-0000-000089450000}"/>
    <cellStyle name="Note 5 2 2 3 3 2 4" xfId="23328" xr:uid="{00000000-0005-0000-0000-00008A450000}"/>
    <cellStyle name="Note 5 2 2 3 3 3" xfId="23329" xr:uid="{00000000-0005-0000-0000-00008B450000}"/>
    <cellStyle name="Note 5 2 2 3 3 4" xfId="23330" xr:uid="{00000000-0005-0000-0000-00008C450000}"/>
    <cellStyle name="Note 5 2 2 3 3 5" xfId="23331" xr:uid="{00000000-0005-0000-0000-00008D450000}"/>
    <cellStyle name="Note 5 2 2 3 4" xfId="23332" xr:uid="{00000000-0005-0000-0000-00008E450000}"/>
    <cellStyle name="Note 5 2 2 3 4 2" xfId="23333" xr:uid="{00000000-0005-0000-0000-00008F450000}"/>
    <cellStyle name="Note 5 2 2 3 4 3" xfId="23334" xr:uid="{00000000-0005-0000-0000-000090450000}"/>
    <cellStyle name="Note 5 2 2 3 4 4" xfId="23335" xr:uid="{00000000-0005-0000-0000-000091450000}"/>
    <cellStyle name="Note 5 2 2 3 5" xfId="23337" xr:uid="{00000000-0005-0000-0000-000092450000}"/>
    <cellStyle name="Note 5 2 2 3 6" xfId="23340" xr:uid="{00000000-0005-0000-0000-000093450000}"/>
    <cellStyle name="Note 5 2 2 3 7" xfId="23343" xr:uid="{00000000-0005-0000-0000-000094450000}"/>
    <cellStyle name="Note 5 2 2 4" xfId="23344" xr:uid="{00000000-0005-0000-0000-000095450000}"/>
    <cellStyle name="Note 5 2 2 4 2" xfId="5297" xr:uid="{00000000-0005-0000-0000-000096450000}"/>
    <cellStyle name="Note 5 2 2 4 2 2" xfId="23345" xr:uid="{00000000-0005-0000-0000-000097450000}"/>
    <cellStyle name="Note 5 2 2 4 2 2 2" xfId="23346" xr:uid="{00000000-0005-0000-0000-000098450000}"/>
    <cellStyle name="Note 5 2 2 4 2 2 3" xfId="23347" xr:uid="{00000000-0005-0000-0000-000099450000}"/>
    <cellStyle name="Note 5 2 2 4 2 2 4" xfId="23348" xr:uid="{00000000-0005-0000-0000-00009A450000}"/>
    <cellStyle name="Note 5 2 2 4 2 3" xfId="23349" xr:uid="{00000000-0005-0000-0000-00009B450000}"/>
    <cellStyle name="Note 5 2 2 4 2 4" xfId="23350" xr:uid="{00000000-0005-0000-0000-00009C450000}"/>
    <cellStyle name="Note 5 2 2 4 2 5" xfId="23351" xr:uid="{00000000-0005-0000-0000-00009D450000}"/>
    <cellStyle name="Note 5 2 2 4 3" xfId="7316" xr:uid="{00000000-0005-0000-0000-00009E450000}"/>
    <cellStyle name="Note 5 2 2 4 3 2" xfId="10141" xr:uid="{00000000-0005-0000-0000-00009F450000}"/>
    <cellStyle name="Note 5 2 2 4 3 3" xfId="1030" xr:uid="{00000000-0005-0000-0000-0000A0450000}"/>
    <cellStyle name="Note 5 2 2 4 3 4" xfId="6519" xr:uid="{00000000-0005-0000-0000-0000A1450000}"/>
    <cellStyle name="Note 5 2 2 4 4" xfId="7323" xr:uid="{00000000-0005-0000-0000-0000A2450000}"/>
    <cellStyle name="Note 5 2 2 4 5" xfId="8373" xr:uid="{00000000-0005-0000-0000-0000A3450000}"/>
    <cellStyle name="Note 5 2 2 4 6" xfId="8382" xr:uid="{00000000-0005-0000-0000-0000A4450000}"/>
    <cellStyle name="Note 5 2 2 5" xfId="23352" xr:uid="{00000000-0005-0000-0000-0000A5450000}"/>
    <cellStyle name="Note 5 2 2 5 2" xfId="7181" xr:uid="{00000000-0005-0000-0000-0000A6450000}"/>
    <cellStyle name="Note 5 2 2 5 2 2" xfId="23353" xr:uid="{00000000-0005-0000-0000-0000A7450000}"/>
    <cellStyle name="Note 5 2 2 5 2 3" xfId="23354" xr:uid="{00000000-0005-0000-0000-0000A8450000}"/>
    <cellStyle name="Note 5 2 2 5 2 4" xfId="23355" xr:uid="{00000000-0005-0000-0000-0000A9450000}"/>
    <cellStyle name="Note 5 2 2 5 3" xfId="7185" xr:uid="{00000000-0005-0000-0000-0000AA450000}"/>
    <cellStyle name="Note 5 2 2 5 4" xfId="7194" xr:uid="{00000000-0005-0000-0000-0000AB450000}"/>
    <cellStyle name="Note 5 2 2 5 5" xfId="10147" xr:uid="{00000000-0005-0000-0000-0000AC450000}"/>
    <cellStyle name="Note 5 2 2 6" xfId="23356" xr:uid="{00000000-0005-0000-0000-0000AD450000}"/>
    <cellStyle name="Note 5 2 2 6 2" xfId="7072" xr:uid="{00000000-0005-0000-0000-0000AE450000}"/>
    <cellStyle name="Note 5 2 2 6 3" xfId="23357" xr:uid="{00000000-0005-0000-0000-0000AF450000}"/>
    <cellStyle name="Note 5 2 2 6 4" xfId="7691" xr:uid="{00000000-0005-0000-0000-0000B0450000}"/>
    <cellStyle name="Note 5 2 2 7" xfId="23358" xr:uid="{00000000-0005-0000-0000-0000B1450000}"/>
    <cellStyle name="Note 5 2 2 8" xfId="23360" xr:uid="{00000000-0005-0000-0000-0000B2450000}"/>
    <cellStyle name="Note 5 2 2 9" xfId="23362" xr:uid="{00000000-0005-0000-0000-0000B3450000}"/>
    <cellStyle name="Note 5 2 3" xfId="23363" xr:uid="{00000000-0005-0000-0000-0000B4450000}"/>
    <cellStyle name="Note 5 2 3 2" xfId="23364" xr:uid="{00000000-0005-0000-0000-0000B5450000}"/>
    <cellStyle name="Note 5 2 3 2 2" xfId="14353" xr:uid="{00000000-0005-0000-0000-0000B6450000}"/>
    <cellStyle name="Note 5 2 3 2 2 2" xfId="23366" xr:uid="{00000000-0005-0000-0000-0000B7450000}"/>
    <cellStyle name="Note 5 2 3 2 2 2 2" xfId="23367" xr:uid="{00000000-0005-0000-0000-0000B8450000}"/>
    <cellStyle name="Note 5 2 3 2 2 2 2 2" xfId="23370" xr:uid="{00000000-0005-0000-0000-0000B9450000}"/>
    <cellStyle name="Note 5 2 3 2 2 2 2 2 2" xfId="4702" xr:uid="{00000000-0005-0000-0000-0000BA450000}"/>
    <cellStyle name="Note 5 2 3 2 2 2 2 2 3" xfId="13411" xr:uid="{00000000-0005-0000-0000-0000BB450000}"/>
    <cellStyle name="Note 5 2 3 2 2 2 2 2 4" xfId="23372" xr:uid="{00000000-0005-0000-0000-0000BC450000}"/>
    <cellStyle name="Note 5 2 3 2 2 2 2 3" xfId="23375" xr:uid="{00000000-0005-0000-0000-0000BD450000}"/>
    <cellStyle name="Note 5 2 3 2 2 2 2 4" xfId="23376" xr:uid="{00000000-0005-0000-0000-0000BE450000}"/>
    <cellStyle name="Note 5 2 3 2 2 2 2 5" xfId="23378" xr:uid="{00000000-0005-0000-0000-0000BF450000}"/>
    <cellStyle name="Note 5 2 3 2 2 2 3" xfId="23379" xr:uid="{00000000-0005-0000-0000-0000C0450000}"/>
    <cellStyle name="Note 5 2 3 2 2 2 3 2" xfId="23380" xr:uid="{00000000-0005-0000-0000-0000C1450000}"/>
    <cellStyle name="Note 5 2 3 2 2 2 3 3" xfId="23381" xr:uid="{00000000-0005-0000-0000-0000C2450000}"/>
    <cellStyle name="Note 5 2 3 2 2 2 3 4" xfId="23382" xr:uid="{00000000-0005-0000-0000-0000C3450000}"/>
    <cellStyle name="Note 5 2 3 2 2 2 4" xfId="23383" xr:uid="{00000000-0005-0000-0000-0000C4450000}"/>
    <cellStyle name="Note 5 2 3 2 2 2 5" xfId="23384" xr:uid="{00000000-0005-0000-0000-0000C5450000}"/>
    <cellStyle name="Note 5 2 3 2 2 2 6" xfId="23385" xr:uid="{00000000-0005-0000-0000-0000C6450000}"/>
    <cellStyle name="Note 5 2 3 2 2 3" xfId="23387" xr:uid="{00000000-0005-0000-0000-0000C7450000}"/>
    <cellStyle name="Note 5 2 3 2 2 3 2" xfId="23388" xr:uid="{00000000-0005-0000-0000-0000C8450000}"/>
    <cellStyle name="Note 5 2 3 2 2 3 2 2" xfId="23389" xr:uid="{00000000-0005-0000-0000-0000C9450000}"/>
    <cellStyle name="Note 5 2 3 2 2 3 2 3" xfId="23390" xr:uid="{00000000-0005-0000-0000-0000CA450000}"/>
    <cellStyle name="Note 5 2 3 2 2 3 2 4" xfId="23391" xr:uid="{00000000-0005-0000-0000-0000CB450000}"/>
    <cellStyle name="Note 5 2 3 2 2 3 3" xfId="23392" xr:uid="{00000000-0005-0000-0000-0000CC450000}"/>
    <cellStyle name="Note 5 2 3 2 2 3 4" xfId="23393" xr:uid="{00000000-0005-0000-0000-0000CD450000}"/>
    <cellStyle name="Note 5 2 3 2 2 3 5" xfId="23394" xr:uid="{00000000-0005-0000-0000-0000CE450000}"/>
    <cellStyle name="Note 5 2 3 2 2 4" xfId="23395" xr:uid="{00000000-0005-0000-0000-0000CF450000}"/>
    <cellStyle name="Note 5 2 3 2 2 4 2" xfId="23396" xr:uid="{00000000-0005-0000-0000-0000D0450000}"/>
    <cellStyle name="Note 5 2 3 2 2 4 3" xfId="17469" xr:uid="{00000000-0005-0000-0000-0000D1450000}"/>
    <cellStyle name="Note 5 2 3 2 2 4 4" xfId="23397" xr:uid="{00000000-0005-0000-0000-0000D2450000}"/>
    <cellStyle name="Note 5 2 3 2 2 5" xfId="23399" xr:uid="{00000000-0005-0000-0000-0000D3450000}"/>
    <cellStyle name="Note 5 2 3 2 2 6" xfId="23402" xr:uid="{00000000-0005-0000-0000-0000D4450000}"/>
    <cellStyle name="Note 5 2 3 2 2 7" xfId="23406" xr:uid="{00000000-0005-0000-0000-0000D5450000}"/>
    <cellStyle name="Note 5 2 3 2 3" xfId="14356" xr:uid="{00000000-0005-0000-0000-0000D6450000}"/>
    <cellStyle name="Note 5 2 3 2 3 2" xfId="23408" xr:uid="{00000000-0005-0000-0000-0000D7450000}"/>
    <cellStyle name="Note 5 2 3 2 3 2 2" xfId="23409" xr:uid="{00000000-0005-0000-0000-0000D8450000}"/>
    <cellStyle name="Note 5 2 3 2 3 2 2 2" xfId="23411" xr:uid="{00000000-0005-0000-0000-0000D9450000}"/>
    <cellStyle name="Note 5 2 3 2 3 2 2 3" xfId="23413" xr:uid="{00000000-0005-0000-0000-0000DA450000}"/>
    <cellStyle name="Note 5 2 3 2 3 2 2 4" xfId="23414" xr:uid="{00000000-0005-0000-0000-0000DB450000}"/>
    <cellStyle name="Note 5 2 3 2 3 2 3" xfId="23415" xr:uid="{00000000-0005-0000-0000-0000DC450000}"/>
    <cellStyle name="Note 5 2 3 2 3 2 4" xfId="23416" xr:uid="{00000000-0005-0000-0000-0000DD450000}"/>
    <cellStyle name="Note 5 2 3 2 3 2 5" xfId="23417" xr:uid="{00000000-0005-0000-0000-0000DE450000}"/>
    <cellStyle name="Note 5 2 3 2 3 3" xfId="23418" xr:uid="{00000000-0005-0000-0000-0000DF450000}"/>
    <cellStyle name="Note 5 2 3 2 3 3 2" xfId="23419" xr:uid="{00000000-0005-0000-0000-0000E0450000}"/>
    <cellStyle name="Note 5 2 3 2 3 3 3" xfId="23420" xr:uid="{00000000-0005-0000-0000-0000E1450000}"/>
    <cellStyle name="Note 5 2 3 2 3 3 4" xfId="23421" xr:uid="{00000000-0005-0000-0000-0000E2450000}"/>
    <cellStyle name="Note 5 2 3 2 3 4" xfId="23422" xr:uid="{00000000-0005-0000-0000-0000E3450000}"/>
    <cellStyle name="Note 5 2 3 2 3 5" xfId="23423" xr:uid="{00000000-0005-0000-0000-0000E4450000}"/>
    <cellStyle name="Note 5 2 3 2 3 6" xfId="23425" xr:uid="{00000000-0005-0000-0000-0000E5450000}"/>
    <cellStyle name="Note 5 2 3 2 4" xfId="14359" xr:uid="{00000000-0005-0000-0000-0000E6450000}"/>
    <cellStyle name="Note 5 2 3 2 4 2" xfId="23426" xr:uid="{00000000-0005-0000-0000-0000E7450000}"/>
    <cellStyle name="Note 5 2 3 2 4 2 2" xfId="23428" xr:uid="{00000000-0005-0000-0000-0000E8450000}"/>
    <cellStyle name="Note 5 2 3 2 4 2 3" xfId="23430" xr:uid="{00000000-0005-0000-0000-0000E9450000}"/>
    <cellStyle name="Note 5 2 3 2 4 2 4" xfId="20451" xr:uid="{00000000-0005-0000-0000-0000EA450000}"/>
    <cellStyle name="Note 5 2 3 2 4 3" xfId="23431" xr:uid="{00000000-0005-0000-0000-0000EB450000}"/>
    <cellStyle name="Note 5 2 3 2 4 4" xfId="23432" xr:uid="{00000000-0005-0000-0000-0000EC450000}"/>
    <cellStyle name="Note 5 2 3 2 4 5" xfId="23433" xr:uid="{00000000-0005-0000-0000-0000ED450000}"/>
    <cellStyle name="Note 5 2 3 2 5" xfId="15191" xr:uid="{00000000-0005-0000-0000-0000EE450000}"/>
    <cellStyle name="Note 5 2 3 2 5 2" xfId="23434" xr:uid="{00000000-0005-0000-0000-0000EF450000}"/>
    <cellStyle name="Note 5 2 3 2 5 3" xfId="23435" xr:uid="{00000000-0005-0000-0000-0000F0450000}"/>
    <cellStyle name="Note 5 2 3 2 5 4" xfId="23436" xr:uid="{00000000-0005-0000-0000-0000F1450000}"/>
    <cellStyle name="Note 5 2 3 2 6" xfId="10004" xr:uid="{00000000-0005-0000-0000-0000F2450000}"/>
    <cellStyle name="Note 5 2 3 2 7" xfId="10007" xr:uid="{00000000-0005-0000-0000-0000F3450000}"/>
    <cellStyle name="Note 5 2 3 2 8" xfId="6444" xr:uid="{00000000-0005-0000-0000-0000F4450000}"/>
    <cellStyle name="Note 5 2 3 3" xfId="23437" xr:uid="{00000000-0005-0000-0000-0000F5450000}"/>
    <cellStyle name="Note 5 2 3 3 2" xfId="14367" xr:uid="{00000000-0005-0000-0000-0000F6450000}"/>
    <cellStyle name="Note 5 2 3 3 2 2" xfId="23439" xr:uid="{00000000-0005-0000-0000-0000F7450000}"/>
    <cellStyle name="Note 5 2 3 3 2 2 2" xfId="15131" xr:uid="{00000000-0005-0000-0000-0000F8450000}"/>
    <cellStyle name="Note 5 2 3 3 2 2 2 2" xfId="23441" xr:uid="{00000000-0005-0000-0000-0000F9450000}"/>
    <cellStyle name="Note 5 2 3 3 2 2 2 3" xfId="23443" xr:uid="{00000000-0005-0000-0000-0000FA450000}"/>
    <cellStyle name="Note 5 2 3 3 2 2 2 4" xfId="23444" xr:uid="{00000000-0005-0000-0000-0000FB450000}"/>
    <cellStyle name="Note 5 2 3 3 2 2 3" xfId="23446" xr:uid="{00000000-0005-0000-0000-0000FC450000}"/>
    <cellStyle name="Note 5 2 3 3 2 2 4" xfId="23447" xr:uid="{00000000-0005-0000-0000-0000FD450000}"/>
    <cellStyle name="Note 5 2 3 3 2 2 5" xfId="23448" xr:uid="{00000000-0005-0000-0000-0000FE450000}"/>
    <cellStyle name="Note 5 2 3 3 2 3" xfId="23449" xr:uid="{00000000-0005-0000-0000-0000FF450000}"/>
    <cellStyle name="Note 5 2 3 3 2 3 2" xfId="23451" xr:uid="{00000000-0005-0000-0000-000000460000}"/>
    <cellStyle name="Note 5 2 3 3 2 3 3" xfId="23452" xr:uid="{00000000-0005-0000-0000-000001460000}"/>
    <cellStyle name="Note 5 2 3 3 2 3 4" xfId="23453" xr:uid="{00000000-0005-0000-0000-000002460000}"/>
    <cellStyle name="Note 5 2 3 3 2 4" xfId="23454" xr:uid="{00000000-0005-0000-0000-000003460000}"/>
    <cellStyle name="Note 5 2 3 3 2 5" xfId="23455" xr:uid="{00000000-0005-0000-0000-000004460000}"/>
    <cellStyle name="Note 5 2 3 3 2 6" xfId="23457" xr:uid="{00000000-0005-0000-0000-000005460000}"/>
    <cellStyle name="Note 5 2 3 3 3" xfId="14370" xr:uid="{00000000-0005-0000-0000-000006460000}"/>
    <cellStyle name="Note 5 2 3 3 3 2" xfId="23458" xr:uid="{00000000-0005-0000-0000-000007460000}"/>
    <cellStyle name="Note 5 2 3 3 3 2 2" xfId="23460" xr:uid="{00000000-0005-0000-0000-000008460000}"/>
    <cellStyle name="Note 5 2 3 3 3 2 3" xfId="23461" xr:uid="{00000000-0005-0000-0000-000009460000}"/>
    <cellStyle name="Note 5 2 3 3 3 2 4" xfId="23462" xr:uid="{00000000-0005-0000-0000-00000A460000}"/>
    <cellStyle name="Note 5 2 3 3 3 3" xfId="23463" xr:uid="{00000000-0005-0000-0000-00000B460000}"/>
    <cellStyle name="Note 5 2 3 3 3 4" xfId="23464" xr:uid="{00000000-0005-0000-0000-00000C460000}"/>
    <cellStyle name="Note 5 2 3 3 3 5" xfId="23465" xr:uid="{00000000-0005-0000-0000-00000D460000}"/>
    <cellStyle name="Note 5 2 3 3 4" xfId="23466" xr:uid="{00000000-0005-0000-0000-00000E460000}"/>
    <cellStyle name="Note 5 2 3 3 4 2" xfId="23468" xr:uid="{00000000-0005-0000-0000-00000F460000}"/>
    <cellStyle name="Note 5 2 3 3 4 3" xfId="23470" xr:uid="{00000000-0005-0000-0000-000010460000}"/>
    <cellStyle name="Note 5 2 3 3 4 4" xfId="23472" xr:uid="{00000000-0005-0000-0000-000011460000}"/>
    <cellStyle name="Note 5 2 3 3 5" xfId="23474" xr:uid="{00000000-0005-0000-0000-000012460000}"/>
    <cellStyle name="Note 5 2 3 3 6" xfId="23477" xr:uid="{00000000-0005-0000-0000-000013460000}"/>
    <cellStyle name="Note 5 2 3 3 7" xfId="23480" xr:uid="{00000000-0005-0000-0000-000014460000}"/>
    <cellStyle name="Note 5 2 3 4" xfId="23481" xr:uid="{00000000-0005-0000-0000-000015460000}"/>
    <cellStyle name="Note 5 2 3 4 2" xfId="900" xr:uid="{00000000-0005-0000-0000-000016460000}"/>
    <cellStyle name="Note 5 2 3 4 2 2" xfId="23482" xr:uid="{00000000-0005-0000-0000-000017460000}"/>
    <cellStyle name="Note 5 2 3 4 2 2 2" xfId="23483" xr:uid="{00000000-0005-0000-0000-000018460000}"/>
    <cellStyle name="Note 5 2 3 4 2 2 3" xfId="21091" xr:uid="{00000000-0005-0000-0000-000019460000}"/>
    <cellStyle name="Note 5 2 3 4 2 2 4" xfId="21148" xr:uid="{00000000-0005-0000-0000-00001A460000}"/>
    <cellStyle name="Note 5 2 3 4 2 3" xfId="23484" xr:uid="{00000000-0005-0000-0000-00001B460000}"/>
    <cellStyle name="Note 5 2 3 4 2 4" xfId="23485" xr:uid="{00000000-0005-0000-0000-00001C460000}"/>
    <cellStyle name="Note 5 2 3 4 2 5" xfId="23486" xr:uid="{00000000-0005-0000-0000-00001D460000}"/>
    <cellStyle name="Note 5 2 3 4 3" xfId="7373" xr:uid="{00000000-0005-0000-0000-00001E460000}"/>
    <cellStyle name="Note 5 2 3 4 3 2" xfId="23487" xr:uid="{00000000-0005-0000-0000-00001F460000}"/>
    <cellStyle name="Note 5 2 3 4 3 3" xfId="23488" xr:uid="{00000000-0005-0000-0000-000020460000}"/>
    <cellStyle name="Note 5 2 3 4 3 4" xfId="23489" xr:uid="{00000000-0005-0000-0000-000021460000}"/>
    <cellStyle name="Note 5 2 3 4 4" xfId="8864" xr:uid="{00000000-0005-0000-0000-000022460000}"/>
    <cellStyle name="Note 5 2 3 4 5" xfId="10159" xr:uid="{00000000-0005-0000-0000-000023460000}"/>
    <cellStyle name="Note 5 2 3 4 6" xfId="23493" xr:uid="{00000000-0005-0000-0000-000024460000}"/>
    <cellStyle name="Note 5 2 3 5" xfId="23494" xr:uid="{00000000-0005-0000-0000-000025460000}"/>
    <cellStyle name="Note 5 2 3 5 2" xfId="1242" xr:uid="{00000000-0005-0000-0000-000026460000}"/>
    <cellStyle name="Note 5 2 3 5 2 2" xfId="23495" xr:uid="{00000000-0005-0000-0000-000027460000}"/>
    <cellStyle name="Note 5 2 3 5 2 3" xfId="23496" xr:uid="{00000000-0005-0000-0000-000028460000}"/>
    <cellStyle name="Note 5 2 3 5 2 4" xfId="23497" xr:uid="{00000000-0005-0000-0000-000029460000}"/>
    <cellStyle name="Note 5 2 3 5 3" xfId="8869" xr:uid="{00000000-0005-0000-0000-00002A460000}"/>
    <cellStyle name="Note 5 2 3 5 4" xfId="19707" xr:uid="{00000000-0005-0000-0000-00002B460000}"/>
    <cellStyle name="Note 5 2 3 5 5" xfId="19710" xr:uid="{00000000-0005-0000-0000-00002C460000}"/>
    <cellStyle name="Note 5 2 3 6" xfId="23498" xr:uid="{00000000-0005-0000-0000-00002D460000}"/>
    <cellStyle name="Note 5 2 3 6 2" xfId="17076" xr:uid="{00000000-0005-0000-0000-00002E460000}"/>
    <cellStyle name="Note 5 2 3 6 3" xfId="23499" xr:uid="{00000000-0005-0000-0000-00002F460000}"/>
    <cellStyle name="Note 5 2 3 6 4" xfId="23501" xr:uid="{00000000-0005-0000-0000-000030460000}"/>
    <cellStyle name="Note 5 2 3 7" xfId="23502" xr:uid="{00000000-0005-0000-0000-000031460000}"/>
    <cellStyle name="Note 5 2 3 8" xfId="23504" xr:uid="{00000000-0005-0000-0000-000032460000}"/>
    <cellStyle name="Note 5 2 3 9" xfId="23506" xr:uid="{00000000-0005-0000-0000-000033460000}"/>
    <cellStyle name="Note 5 2 4" xfId="23507" xr:uid="{00000000-0005-0000-0000-000034460000}"/>
    <cellStyle name="Note 5 2 4 2" xfId="23508" xr:uid="{00000000-0005-0000-0000-000035460000}"/>
    <cellStyle name="Note 5 2 4 2 2" xfId="669" xr:uid="{00000000-0005-0000-0000-000036460000}"/>
    <cellStyle name="Note 5 2 4 2 2 2" xfId="11736" xr:uid="{00000000-0005-0000-0000-000037460000}"/>
    <cellStyle name="Note 5 2 4 2 2 2 2" xfId="23509" xr:uid="{00000000-0005-0000-0000-000038460000}"/>
    <cellStyle name="Note 5 2 4 2 2 2 2 2" xfId="23511" xr:uid="{00000000-0005-0000-0000-000039460000}"/>
    <cellStyle name="Note 5 2 4 2 2 2 2 3" xfId="23513" xr:uid="{00000000-0005-0000-0000-00003A460000}"/>
    <cellStyle name="Note 5 2 4 2 2 2 2 4" xfId="23514" xr:uid="{00000000-0005-0000-0000-00003B460000}"/>
    <cellStyle name="Note 5 2 4 2 2 2 3" xfId="23515" xr:uid="{00000000-0005-0000-0000-00003C460000}"/>
    <cellStyle name="Note 5 2 4 2 2 2 4" xfId="23516" xr:uid="{00000000-0005-0000-0000-00003D460000}"/>
    <cellStyle name="Note 5 2 4 2 2 2 5" xfId="23517" xr:uid="{00000000-0005-0000-0000-00003E460000}"/>
    <cellStyle name="Note 5 2 4 2 2 3" xfId="11790" xr:uid="{00000000-0005-0000-0000-00003F460000}"/>
    <cellStyle name="Note 5 2 4 2 2 3 2" xfId="23518" xr:uid="{00000000-0005-0000-0000-000040460000}"/>
    <cellStyle name="Note 5 2 4 2 2 3 3" xfId="23519" xr:uid="{00000000-0005-0000-0000-000041460000}"/>
    <cellStyle name="Note 5 2 4 2 2 3 4" xfId="23520" xr:uid="{00000000-0005-0000-0000-000042460000}"/>
    <cellStyle name="Note 5 2 4 2 2 4" xfId="645" xr:uid="{00000000-0005-0000-0000-000043460000}"/>
    <cellStyle name="Note 5 2 4 2 2 5" xfId="658" xr:uid="{00000000-0005-0000-0000-000044460000}"/>
    <cellStyle name="Note 5 2 4 2 2 6" xfId="621" xr:uid="{00000000-0005-0000-0000-000045460000}"/>
    <cellStyle name="Note 5 2 4 2 3" xfId="773" xr:uid="{00000000-0005-0000-0000-000046460000}"/>
    <cellStyle name="Note 5 2 4 2 3 2" xfId="12539" xr:uid="{00000000-0005-0000-0000-000047460000}"/>
    <cellStyle name="Note 5 2 4 2 3 2 2" xfId="23521" xr:uid="{00000000-0005-0000-0000-000048460000}"/>
    <cellStyle name="Note 5 2 4 2 3 2 3" xfId="23522" xr:uid="{00000000-0005-0000-0000-000049460000}"/>
    <cellStyle name="Note 5 2 4 2 3 2 4" xfId="23523" xr:uid="{00000000-0005-0000-0000-00004A460000}"/>
    <cellStyle name="Note 5 2 4 2 3 3" xfId="12561" xr:uid="{00000000-0005-0000-0000-00004B460000}"/>
    <cellStyle name="Note 5 2 4 2 3 4" xfId="2563" xr:uid="{00000000-0005-0000-0000-00004C460000}"/>
    <cellStyle name="Note 5 2 4 2 3 5" xfId="2596" xr:uid="{00000000-0005-0000-0000-00004D460000}"/>
    <cellStyle name="Note 5 2 4 2 4" xfId="23525" xr:uid="{00000000-0005-0000-0000-00004E460000}"/>
    <cellStyle name="Note 5 2 4 2 4 2" xfId="12877" xr:uid="{00000000-0005-0000-0000-00004F460000}"/>
    <cellStyle name="Note 5 2 4 2 4 3" xfId="23526" xr:uid="{00000000-0005-0000-0000-000050460000}"/>
    <cellStyle name="Note 5 2 4 2 4 4" xfId="2622" xr:uid="{00000000-0005-0000-0000-000051460000}"/>
    <cellStyle name="Note 5 2 4 2 5" xfId="23528" xr:uid="{00000000-0005-0000-0000-000052460000}"/>
    <cellStyle name="Note 5 2 4 2 6" xfId="23530" xr:uid="{00000000-0005-0000-0000-000053460000}"/>
    <cellStyle name="Note 5 2 4 2 7" xfId="23531" xr:uid="{00000000-0005-0000-0000-000054460000}"/>
    <cellStyle name="Note 5 2 4 3" xfId="23532" xr:uid="{00000000-0005-0000-0000-000055460000}"/>
    <cellStyle name="Note 5 2 4 3 2" xfId="14388" xr:uid="{00000000-0005-0000-0000-000056460000}"/>
    <cellStyle name="Note 5 2 4 3 2 2" xfId="14914" xr:uid="{00000000-0005-0000-0000-000057460000}"/>
    <cellStyle name="Note 5 2 4 3 2 2 2" xfId="23533" xr:uid="{00000000-0005-0000-0000-000058460000}"/>
    <cellStyle name="Note 5 2 4 3 2 2 3" xfId="23534" xr:uid="{00000000-0005-0000-0000-000059460000}"/>
    <cellStyle name="Note 5 2 4 3 2 2 4" xfId="18934" xr:uid="{00000000-0005-0000-0000-00005A460000}"/>
    <cellStyle name="Note 5 2 4 3 2 3" xfId="14919" xr:uid="{00000000-0005-0000-0000-00005B460000}"/>
    <cellStyle name="Note 5 2 4 3 2 4" xfId="837" xr:uid="{00000000-0005-0000-0000-00005C460000}"/>
    <cellStyle name="Note 5 2 4 3 2 5" xfId="854" xr:uid="{00000000-0005-0000-0000-00005D460000}"/>
    <cellStyle name="Note 5 2 4 3 3" xfId="23535" xr:uid="{00000000-0005-0000-0000-00005E460000}"/>
    <cellStyle name="Note 5 2 4 3 3 2" xfId="14925" xr:uid="{00000000-0005-0000-0000-00005F460000}"/>
    <cellStyle name="Note 5 2 4 3 3 3" xfId="23536" xr:uid="{00000000-0005-0000-0000-000060460000}"/>
    <cellStyle name="Note 5 2 4 3 3 4" xfId="373" xr:uid="{00000000-0005-0000-0000-000061460000}"/>
    <cellStyle name="Note 5 2 4 3 4" xfId="23537" xr:uid="{00000000-0005-0000-0000-000062460000}"/>
    <cellStyle name="Note 5 2 4 3 5" xfId="23539" xr:uid="{00000000-0005-0000-0000-000063460000}"/>
    <cellStyle name="Note 5 2 4 3 6" xfId="23542" xr:uid="{00000000-0005-0000-0000-000064460000}"/>
    <cellStyle name="Note 5 2 4 4" xfId="23543" xr:uid="{00000000-0005-0000-0000-000065460000}"/>
    <cellStyle name="Note 5 2 4 4 2" xfId="228" xr:uid="{00000000-0005-0000-0000-000066460000}"/>
    <cellStyle name="Note 5 2 4 4 2 2" xfId="917" xr:uid="{00000000-0005-0000-0000-000067460000}"/>
    <cellStyle name="Note 5 2 4 4 2 3" xfId="23544" xr:uid="{00000000-0005-0000-0000-000068460000}"/>
    <cellStyle name="Note 5 2 4 4 2 4" xfId="997" xr:uid="{00000000-0005-0000-0000-000069460000}"/>
    <cellStyle name="Note 5 2 4 4 3" xfId="23545" xr:uid="{00000000-0005-0000-0000-00006A460000}"/>
    <cellStyle name="Note 5 2 4 4 4" xfId="23546" xr:uid="{00000000-0005-0000-0000-00006B460000}"/>
    <cellStyle name="Note 5 2 4 4 5" xfId="23548" xr:uid="{00000000-0005-0000-0000-00006C460000}"/>
    <cellStyle name="Note 5 2 4 5" xfId="23549" xr:uid="{00000000-0005-0000-0000-00006D460000}"/>
    <cellStyle name="Note 5 2 4 5 2" xfId="17158" xr:uid="{00000000-0005-0000-0000-00006E460000}"/>
    <cellStyle name="Note 5 2 4 5 3" xfId="17160" xr:uid="{00000000-0005-0000-0000-00006F460000}"/>
    <cellStyle name="Note 5 2 4 5 4" xfId="23550" xr:uid="{00000000-0005-0000-0000-000070460000}"/>
    <cellStyle name="Note 5 2 4 6" xfId="23551" xr:uid="{00000000-0005-0000-0000-000071460000}"/>
    <cellStyle name="Note 5 2 4 7" xfId="23552" xr:uid="{00000000-0005-0000-0000-000072460000}"/>
    <cellStyle name="Note 5 2 4 8" xfId="23554" xr:uid="{00000000-0005-0000-0000-000073460000}"/>
    <cellStyle name="Note 5 2 5" xfId="23555" xr:uid="{00000000-0005-0000-0000-000074460000}"/>
    <cellStyle name="Note 5 2 5 2" xfId="23556" xr:uid="{00000000-0005-0000-0000-000075460000}"/>
    <cellStyle name="Note 5 2 5 2 2" xfId="1763" xr:uid="{00000000-0005-0000-0000-000076460000}"/>
    <cellStyle name="Note 5 2 5 2 2 2" xfId="7828" xr:uid="{00000000-0005-0000-0000-000077460000}"/>
    <cellStyle name="Note 5 2 5 2 2 2 2" xfId="23557" xr:uid="{00000000-0005-0000-0000-000078460000}"/>
    <cellStyle name="Note 5 2 5 2 2 2 3" xfId="23558" xr:uid="{00000000-0005-0000-0000-000079460000}"/>
    <cellStyle name="Note 5 2 5 2 2 2 4" xfId="23559" xr:uid="{00000000-0005-0000-0000-00007A460000}"/>
    <cellStyle name="Note 5 2 5 2 2 3" xfId="14955" xr:uid="{00000000-0005-0000-0000-00007B460000}"/>
    <cellStyle name="Note 5 2 5 2 2 4" xfId="2625" xr:uid="{00000000-0005-0000-0000-00007C460000}"/>
    <cellStyle name="Note 5 2 5 2 2 5" xfId="2641" xr:uid="{00000000-0005-0000-0000-00007D460000}"/>
    <cellStyle name="Note 5 2 5 2 3" xfId="23560" xr:uid="{00000000-0005-0000-0000-00007E460000}"/>
    <cellStyle name="Note 5 2 5 2 3 2" xfId="14970" xr:uid="{00000000-0005-0000-0000-00007F460000}"/>
    <cellStyle name="Note 5 2 5 2 3 3" xfId="23561" xr:uid="{00000000-0005-0000-0000-000080460000}"/>
    <cellStyle name="Note 5 2 5 2 3 4" xfId="653" xr:uid="{00000000-0005-0000-0000-000081460000}"/>
    <cellStyle name="Note 5 2 5 2 4" xfId="23562" xr:uid="{00000000-0005-0000-0000-000082460000}"/>
    <cellStyle name="Note 5 2 5 2 5" xfId="23563" xr:uid="{00000000-0005-0000-0000-000083460000}"/>
    <cellStyle name="Note 5 2 5 2 6" xfId="23564" xr:uid="{00000000-0005-0000-0000-000084460000}"/>
    <cellStyle name="Note 5 2 5 3" xfId="23566" xr:uid="{00000000-0005-0000-0000-000085460000}"/>
    <cellStyle name="Note 5 2 5 3 2" xfId="1787" xr:uid="{00000000-0005-0000-0000-000086460000}"/>
    <cellStyle name="Note 5 2 5 3 2 2" xfId="14988" xr:uid="{00000000-0005-0000-0000-000087460000}"/>
    <cellStyle name="Note 5 2 5 3 2 3" xfId="23567" xr:uid="{00000000-0005-0000-0000-000088460000}"/>
    <cellStyle name="Note 5 2 5 3 2 4" xfId="2807" xr:uid="{00000000-0005-0000-0000-000089460000}"/>
    <cellStyle name="Note 5 2 5 3 3" xfId="23569" xr:uid="{00000000-0005-0000-0000-00008A460000}"/>
    <cellStyle name="Note 5 2 5 3 4" xfId="23571" xr:uid="{00000000-0005-0000-0000-00008B460000}"/>
    <cellStyle name="Note 5 2 5 3 5" xfId="23573" xr:uid="{00000000-0005-0000-0000-00008C460000}"/>
    <cellStyle name="Note 5 2 5 4" xfId="23575" xr:uid="{00000000-0005-0000-0000-00008D460000}"/>
    <cellStyle name="Note 5 2 5 4 2" xfId="23576" xr:uid="{00000000-0005-0000-0000-00008E460000}"/>
    <cellStyle name="Note 5 2 5 4 3" xfId="23577" xr:uid="{00000000-0005-0000-0000-00008F460000}"/>
    <cellStyle name="Note 5 2 5 4 4" xfId="23578" xr:uid="{00000000-0005-0000-0000-000090460000}"/>
    <cellStyle name="Note 5 2 5 5" xfId="23580" xr:uid="{00000000-0005-0000-0000-000091460000}"/>
    <cellStyle name="Note 5 2 5 6" xfId="23582" xr:uid="{00000000-0005-0000-0000-000092460000}"/>
    <cellStyle name="Note 5 2 5 7" xfId="23583" xr:uid="{00000000-0005-0000-0000-000093460000}"/>
    <cellStyle name="Note 5 2 6" xfId="23584" xr:uid="{00000000-0005-0000-0000-000094460000}"/>
    <cellStyle name="Note 5 2 6 2" xfId="21217" xr:uid="{00000000-0005-0000-0000-000095460000}"/>
    <cellStyle name="Note 5 2 6 2 2" xfId="23585" xr:uid="{00000000-0005-0000-0000-000096460000}"/>
    <cellStyle name="Note 5 2 6 2 2 2" xfId="15011" xr:uid="{00000000-0005-0000-0000-000097460000}"/>
    <cellStyle name="Note 5 2 6 2 2 3" xfId="23587" xr:uid="{00000000-0005-0000-0000-000098460000}"/>
    <cellStyle name="Note 5 2 6 2 2 4" xfId="2941" xr:uid="{00000000-0005-0000-0000-000099460000}"/>
    <cellStyle name="Note 5 2 6 2 3" xfId="23588" xr:uid="{00000000-0005-0000-0000-00009A460000}"/>
    <cellStyle name="Note 5 2 6 2 4" xfId="23589" xr:uid="{00000000-0005-0000-0000-00009B460000}"/>
    <cellStyle name="Note 5 2 6 2 5" xfId="13103" xr:uid="{00000000-0005-0000-0000-00009C460000}"/>
    <cellStyle name="Note 5 2 6 3" xfId="21220" xr:uid="{00000000-0005-0000-0000-00009D460000}"/>
    <cellStyle name="Note 5 2 6 3 2" xfId="23590" xr:uid="{00000000-0005-0000-0000-00009E460000}"/>
    <cellStyle name="Note 5 2 6 3 3" xfId="23591" xr:uid="{00000000-0005-0000-0000-00009F460000}"/>
    <cellStyle name="Note 5 2 6 3 4" xfId="23592" xr:uid="{00000000-0005-0000-0000-0000A0460000}"/>
    <cellStyle name="Note 5 2 6 4" xfId="23594" xr:uid="{00000000-0005-0000-0000-0000A1460000}"/>
    <cellStyle name="Note 5 2 6 5" xfId="23596" xr:uid="{00000000-0005-0000-0000-0000A2460000}"/>
    <cellStyle name="Note 5 2 6 6" xfId="23597" xr:uid="{00000000-0005-0000-0000-0000A3460000}"/>
    <cellStyle name="Note 5 2 7" xfId="23598" xr:uid="{00000000-0005-0000-0000-0000A4460000}"/>
    <cellStyle name="Note 5 2 7 2" xfId="23599" xr:uid="{00000000-0005-0000-0000-0000A5460000}"/>
    <cellStyle name="Note 5 2 7 2 2" xfId="23601" xr:uid="{00000000-0005-0000-0000-0000A6460000}"/>
    <cellStyle name="Note 5 2 7 2 3" xfId="23602" xr:uid="{00000000-0005-0000-0000-0000A7460000}"/>
    <cellStyle name="Note 5 2 7 2 4" xfId="23603" xr:uid="{00000000-0005-0000-0000-0000A8460000}"/>
    <cellStyle name="Note 5 2 7 3" xfId="23604" xr:uid="{00000000-0005-0000-0000-0000A9460000}"/>
    <cellStyle name="Note 5 2 7 4" xfId="23605" xr:uid="{00000000-0005-0000-0000-0000AA460000}"/>
    <cellStyle name="Note 5 2 7 5" xfId="23606" xr:uid="{00000000-0005-0000-0000-0000AB460000}"/>
    <cellStyle name="Note 5 2 8" xfId="23607" xr:uid="{00000000-0005-0000-0000-0000AC460000}"/>
    <cellStyle name="Note 5 2 8 2" xfId="23608" xr:uid="{00000000-0005-0000-0000-0000AD460000}"/>
    <cellStyle name="Note 5 2 8 3" xfId="23609" xr:uid="{00000000-0005-0000-0000-0000AE460000}"/>
    <cellStyle name="Note 5 2 8 4" xfId="23610" xr:uid="{00000000-0005-0000-0000-0000AF460000}"/>
    <cellStyle name="Note 5 2 9" xfId="23611" xr:uid="{00000000-0005-0000-0000-0000B0460000}"/>
    <cellStyle name="Note 5 3" xfId="8448" xr:uid="{00000000-0005-0000-0000-0000B1460000}"/>
    <cellStyle name="Note 5 3 2" xfId="23612" xr:uid="{00000000-0005-0000-0000-0000B2460000}"/>
    <cellStyle name="Note 5 3 2 2" xfId="23613" xr:uid="{00000000-0005-0000-0000-0000B3460000}"/>
    <cellStyle name="Note 5 3 2 2 2" xfId="23614" xr:uid="{00000000-0005-0000-0000-0000B4460000}"/>
    <cellStyle name="Note 5 3 2 2 2 2" xfId="23615" xr:uid="{00000000-0005-0000-0000-0000B5460000}"/>
    <cellStyle name="Note 5 3 2 2 2 2 2" xfId="23616" xr:uid="{00000000-0005-0000-0000-0000B6460000}"/>
    <cellStyle name="Note 5 3 2 2 2 2 2 2" xfId="23617" xr:uid="{00000000-0005-0000-0000-0000B7460000}"/>
    <cellStyle name="Note 5 3 2 2 2 2 2 3" xfId="23618" xr:uid="{00000000-0005-0000-0000-0000B8460000}"/>
    <cellStyle name="Note 5 3 2 2 2 2 2 4" xfId="23619" xr:uid="{00000000-0005-0000-0000-0000B9460000}"/>
    <cellStyle name="Note 5 3 2 2 2 2 3" xfId="23620" xr:uid="{00000000-0005-0000-0000-0000BA460000}"/>
    <cellStyle name="Note 5 3 2 2 2 2 4" xfId="23621" xr:uid="{00000000-0005-0000-0000-0000BB460000}"/>
    <cellStyle name="Note 5 3 2 2 2 2 5" xfId="23622" xr:uid="{00000000-0005-0000-0000-0000BC460000}"/>
    <cellStyle name="Note 5 3 2 2 2 3" xfId="23623" xr:uid="{00000000-0005-0000-0000-0000BD460000}"/>
    <cellStyle name="Note 5 3 2 2 2 3 2" xfId="23624" xr:uid="{00000000-0005-0000-0000-0000BE460000}"/>
    <cellStyle name="Note 5 3 2 2 2 3 3" xfId="23625" xr:uid="{00000000-0005-0000-0000-0000BF460000}"/>
    <cellStyle name="Note 5 3 2 2 2 3 4" xfId="23626" xr:uid="{00000000-0005-0000-0000-0000C0460000}"/>
    <cellStyle name="Note 5 3 2 2 2 4" xfId="23627" xr:uid="{00000000-0005-0000-0000-0000C1460000}"/>
    <cellStyle name="Note 5 3 2 2 2 5" xfId="23628" xr:uid="{00000000-0005-0000-0000-0000C2460000}"/>
    <cellStyle name="Note 5 3 2 2 2 6" xfId="19506" xr:uid="{00000000-0005-0000-0000-0000C3460000}"/>
    <cellStyle name="Note 5 3 2 2 3" xfId="23629" xr:uid="{00000000-0005-0000-0000-0000C4460000}"/>
    <cellStyle name="Note 5 3 2 2 3 2" xfId="23630" xr:uid="{00000000-0005-0000-0000-0000C5460000}"/>
    <cellStyle name="Note 5 3 2 2 3 2 2" xfId="23631" xr:uid="{00000000-0005-0000-0000-0000C6460000}"/>
    <cellStyle name="Note 5 3 2 2 3 2 3" xfId="23632" xr:uid="{00000000-0005-0000-0000-0000C7460000}"/>
    <cellStyle name="Note 5 3 2 2 3 2 4" xfId="23633" xr:uid="{00000000-0005-0000-0000-0000C8460000}"/>
    <cellStyle name="Note 5 3 2 2 3 3" xfId="23634" xr:uid="{00000000-0005-0000-0000-0000C9460000}"/>
    <cellStyle name="Note 5 3 2 2 3 4" xfId="23635" xr:uid="{00000000-0005-0000-0000-0000CA460000}"/>
    <cellStyle name="Note 5 3 2 2 3 5" xfId="23636" xr:uid="{00000000-0005-0000-0000-0000CB460000}"/>
    <cellStyle name="Note 5 3 2 2 4" xfId="23637" xr:uid="{00000000-0005-0000-0000-0000CC460000}"/>
    <cellStyle name="Note 5 3 2 2 4 2" xfId="23638" xr:uid="{00000000-0005-0000-0000-0000CD460000}"/>
    <cellStyle name="Note 5 3 2 2 4 3" xfId="23639" xr:uid="{00000000-0005-0000-0000-0000CE460000}"/>
    <cellStyle name="Note 5 3 2 2 4 4" xfId="23640" xr:uid="{00000000-0005-0000-0000-0000CF460000}"/>
    <cellStyle name="Note 5 3 2 2 5" xfId="23641" xr:uid="{00000000-0005-0000-0000-0000D0460000}"/>
    <cellStyle name="Note 5 3 2 2 6" xfId="23642" xr:uid="{00000000-0005-0000-0000-0000D1460000}"/>
    <cellStyle name="Note 5 3 2 2 7" xfId="23643" xr:uid="{00000000-0005-0000-0000-0000D2460000}"/>
    <cellStyle name="Note 5 3 2 3" xfId="23645" xr:uid="{00000000-0005-0000-0000-0000D3460000}"/>
    <cellStyle name="Note 5 3 2 3 2" xfId="23646" xr:uid="{00000000-0005-0000-0000-0000D4460000}"/>
    <cellStyle name="Note 5 3 2 3 2 2" xfId="23647" xr:uid="{00000000-0005-0000-0000-0000D5460000}"/>
    <cellStyle name="Note 5 3 2 3 2 2 2" xfId="23648" xr:uid="{00000000-0005-0000-0000-0000D6460000}"/>
    <cellStyle name="Note 5 3 2 3 2 2 3" xfId="23649" xr:uid="{00000000-0005-0000-0000-0000D7460000}"/>
    <cellStyle name="Note 5 3 2 3 2 2 4" xfId="23650" xr:uid="{00000000-0005-0000-0000-0000D8460000}"/>
    <cellStyle name="Note 5 3 2 3 2 3" xfId="23651" xr:uid="{00000000-0005-0000-0000-0000D9460000}"/>
    <cellStyle name="Note 5 3 2 3 2 4" xfId="23652" xr:uid="{00000000-0005-0000-0000-0000DA460000}"/>
    <cellStyle name="Note 5 3 2 3 2 5" xfId="23653" xr:uid="{00000000-0005-0000-0000-0000DB460000}"/>
    <cellStyle name="Note 5 3 2 3 3" xfId="6724" xr:uid="{00000000-0005-0000-0000-0000DC460000}"/>
    <cellStyle name="Note 5 3 2 3 3 2" xfId="23654" xr:uid="{00000000-0005-0000-0000-0000DD460000}"/>
    <cellStyle name="Note 5 3 2 3 3 3" xfId="23655" xr:uid="{00000000-0005-0000-0000-0000DE460000}"/>
    <cellStyle name="Note 5 3 2 3 3 4" xfId="23656" xr:uid="{00000000-0005-0000-0000-0000DF460000}"/>
    <cellStyle name="Note 5 3 2 3 4" xfId="6728" xr:uid="{00000000-0005-0000-0000-0000E0460000}"/>
    <cellStyle name="Note 5 3 2 3 5" xfId="6733" xr:uid="{00000000-0005-0000-0000-0000E1460000}"/>
    <cellStyle name="Note 5 3 2 3 6" xfId="23659" xr:uid="{00000000-0005-0000-0000-0000E2460000}"/>
    <cellStyle name="Note 5 3 2 4" xfId="23662" xr:uid="{00000000-0005-0000-0000-0000E3460000}"/>
    <cellStyle name="Note 5 3 2 4 2" xfId="5852" xr:uid="{00000000-0005-0000-0000-0000E4460000}"/>
    <cellStyle name="Note 5 3 2 4 2 2" xfId="23664" xr:uid="{00000000-0005-0000-0000-0000E5460000}"/>
    <cellStyle name="Note 5 3 2 4 2 3" xfId="13705" xr:uid="{00000000-0005-0000-0000-0000E6460000}"/>
    <cellStyle name="Note 5 3 2 4 2 4" xfId="13717" xr:uid="{00000000-0005-0000-0000-0000E7460000}"/>
    <cellStyle name="Note 5 3 2 4 3" xfId="7456" xr:uid="{00000000-0005-0000-0000-0000E8460000}"/>
    <cellStyle name="Note 5 3 2 4 4" xfId="8906" xr:uid="{00000000-0005-0000-0000-0000E9460000}"/>
    <cellStyle name="Note 5 3 2 4 5" xfId="10173" xr:uid="{00000000-0005-0000-0000-0000EA460000}"/>
    <cellStyle name="Note 5 3 2 5" xfId="23667" xr:uid="{00000000-0005-0000-0000-0000EB460000}"/>
    <cellStyle name="Note 5 3 2 5 2" xfId="5019" xr:uid="{00000000-0005-0000-0000-0000EC460000}"/>
    <cellStyle name="Note 5 3 2 5 3" xfId="23669" xr:uid="{00000000-0005-0000-0000-0000ED460000}"/>
    <cellStyle name="Note 5 3 2 5 4" xfId="16315" xr:uid="{00000000-0005-0000-0000-0000EE460000}"/>
    <cellStyle name="Note 5 3 2 6" xfId="23671" xr:uid="{00000000-0005-0000-0000-0000EF460000}"/>
    <cellStyle name="Note 5 3 2 7" xfId="22145" xr:uid="{00000000-0005-0000-0000-0000F0460000}"/>
    <cellStyle name="Note 5 3 2 8" xfId="22149" xr:uid="{00000000-0005-0000-0000-0000F1460000}"/>
    <cellStyle name="Note 5 3 3" xfId="23672" xr:uid="{00000000-0005-0000-0000-0000F2460000}"/>
    <cellStyle name="Note 5 3 3 2" xfId="23673" xr:uid="{00000000-0005-0000-0000-0000F3460000}"/>
    <cellStyle name="Note 5 3 3 2 2" xfId="13560" xr:uid="{00000000-0005-0000-0000-0000F4460000}"/>
    <cellStyle name="Note 5 3 3 2 2 2" xfId="23674" xr:uid="{00000000-0005-0000-0000-0000F5460000}"/>
    <cellStyle name="Note 5 3 3 2 2 2 2" xfId="23675" xr:uid="{00000000-0005-0000-0000-0000F6460000}"/>
    <cellStyle name="Note 5 3 3 2 2 2 3" xfId="23676" xr:uid="{00000000-0005-0000-0000-0000F7460000}"/>
    <cellStyle name="Note 5 3 3 2 2 2 4" xfId="23677" xr:uid="{00000000-0005-0000-0000-0000F8460000}"/>
    <cellStyle name="Note 5 3 3 2 2 3" xfId="23678" xr:uid="{00000000-0005-0000-0000-0000F9460000}"/>
    <cellStyle name="Note 5 3 3 2 2 4" xfId="23679" xr:uid="{00000000-0005-0000-0000-0000FA460000}"/>
    <cellStyle name="Note 5 3 3 2 2 5" xfId="23680" xr:uid="{00000000-0005-0000-0000-0000FB460000}"/>
    <cellStyle name="Note 5 3 3 2 3" xfId="14416" xr:uid="{00000000-0005-0000-0000-0000FC460000}"/>
    <cellStyle name="Note 5 3 3 2 3 2" xfId="23681" xr:uid="{00000000-0005-0000-0000-0000FD460000}"/>
    <cellStyle name="Note 5 3 3 2 3 3" xfId="23682" xr:uid="{00000000-0005-0000-0000-0000FE460000}"/>
    <cellStyle name="Note 5 3 3 2 3 4" xfId="23683" xr:uid="{00000000-0005-0000-0000-0000FF460000}"/>
    <cellStyle name="Note 5 3 3 2 4" xfId="23684" xr:uid="{00000000-0005-0000-0000-000000470000}"/>
    <cellStyle name="Note 5 3 3 2 5" xfId="23685" xr:uid="{00000000-0005-0000-0000-000001470000}"/>
    <cellStyle name="Note 5 3 3 2 6" xfId="23686" xr:uid="{00000000-0005-0000-0000-000002470000}"/>
    <cellStyle name="Note 5 3 3 3" xfId="23687" xr:uid="{00000000-0005-0000-0000-000003470000}"/>
    <cellStyle name="Note 5 3 3 3 2" xfId="14419" xr:uid="{00000000-0005-0000-0000-000004470000}"/>
    <cellStyle name="Note 5 3 3 3 2 2" xfId="23688" xr:uid="{00000000-0005-0000-0000-000005470000}"/>
    <cellStyle name="Note 5 3 3 3 2 3" xfId="23689" xr:uid="{00000000-0005-0000-0000-000006470000}"/>
    <cellStyle name="Note 5 3 3 3 2 4" xfId="23690" xr:uid="{00000000-0005-0000-0000-000007470000}"/>
    <cellStyle name="Note 5 3 3 3 3" xfId="23691" xr:uid="{00000000-0005-0000-0000-000008470000}"/>
    <cellStyle name="Note 5 3 3 3 4" xfId="23692" xr:uid="{00000000-0005-0000-0000-000009470000}"/>
    <cellStyle name="Note 5 3 3 3 5" xfId="23694" xr:uid="{00000000-0005-0000-0000-00000A470000}"/>
    <cellStyle name="Note 5 3 3 4" xfId="23696" xr:uid="{00000000-0005-0000-0000-00000B470000}"/>
    <cellStyle name="Note 5 3 3 4 2" xfId="7497" xr:uid="{00000000-0005-0000-0000-00000C470000}"/>
    <cellStyle name="Note 5 3 3 4 3" xfId="23698" xr:uid="{00000000-0005-0000-0000-00000D470000}"/>
    <cellStyle name="Note 5 3 3 4 4" xfId="16334" xr:uid="{00000000-0005-0000-0000-00000E470000}"/>
    <cellStyle name="Note 5 3 3 5" xfId="23700" xr:uid="{00000000-0005-0000-0000-00000F470000}"/>
    <cellStyle name="Note 5 3 3 6" xfId="23702" xr:uid="{00000000-0005-0000-0000-000010470000}"/>
    <cellStyle name="Note 5 3 3 7" xfId="23704" xr:uid="{00000000-0005-0000-0000-000011470000}"/>
    <cellStyle name="Note 5 3 4" xfId="23705" xr:uid="{00000000-0005-0000-0000-000012470000}"/>
    <cellStyle name="Note 5 3 4 2" xfId="23706" xr:uid="{00000000-0005-0000-0000-000013470000}"/>
    <cellStyle name="Note 5 3 4 2 2" xfId="3814" xr:uid="{00000000-0005-0000-0000-000014470000}"/>
    <cellStyle name="Note 5 3 4 2 2 2" xfId="14176" xr:uid="{00000000-0005-0000-0000-000015470000}"/>
    <cellStyle name="Note 5 3 4 2 2 3" xfId="15049" xr:uid="{00000000-0005-0000-0000-000016470000}"/>
    <cellStyle name="Note 5 3 4 2 2 4" xfId="3026" xr:uid="{00000000-0005-0000-0000-000017470000}"/>
    <cellStyle name="Note 5 3 4 2 3" xfId="23707" xr:uid="{00000000-0005-0000-0000-000018470000}"/>
    <cellStyle name="Note 5 3 4 2 4" xfId="23708" xr:uid="{00000000-0005-0000-0000-000019470000}"/>
    <cellStyle name="Note 5 3 4 2 5" xfId="23709" xr:uid="{00000000-0005-0000-0000-00001A470000}"/>
    <cellStyle name="Note 5 3 4 3" xfId="23710" xr:uid="{00000000-0005-0000-0000-00001B470000}"/>
    <cellStyle name="Note 5 3 4 3 2" xfId="23711" xr:uid="{00000000-0005-0000-0000-00001C470000}"/>
    <cellStyle name="Note 5 3 4 3 3" xfId="23712" xr:uid="{00000000-0005-0000-0000-00001D470000}"/>
    <cellStyle name="Note 5 3 4 3 4" xfId="18659" xr:uid="{00000000-0005-0000-0000-00001E470000}"/>
    <cellStyle name="Note 5 3 4 4" xfId="23714" xr:uid="{00000000-0005-0000-0000-00001F470000}"/>
    <cellStyle name="Note 5 3 4 5" xfId="23716" xr:uid="{00000000-0005-0000-0000-000020470000}"/>
    <cellStyle name="Note 5 3 4 6" xfId="18971" xr:uid="{00000000-0005-0000-0000-000021470000}"/>
    <cellStyle name="Note 5 3 5" xfId="23717" xr:uid="{00000000-0005-0000-0000-000022470000}"/>
    <cellStyle name="Note 5 3 5 2" xfId="23718" xr:uid="{00000000-0005-0000-0000-000023470000}"/>
    <cellStyle name="Note 5 3 5 2 2" xfId="23719" xr:uid="{00000000-0005-0000-0000-000024470000}"/>
    <cellStyle name="Note 5 3 5 2 3" xfId="23720" xr:uid="{00000000-0005-0000-0000-000025470000}"/>
    <cellStyle name="Note 5 3 5 2 4" xfId="23721" xr:uid="{00000000-0005-0000-0000-000026470000}"/>
    <cellStyle name="Note 5 3 5 3" xfId="23723" xr:uid="{00000000-0005-0000-0000-000027470000}"/>
    <cellStyle name="Note 5 3 5 4" xfId="23726" xr:uid="{00000000-0005-0000-0000-000028470000}"/>
    <cellStyle name="Note 5 3 5 5" xfId="23729" xr:uid="{00000000-0005-0000-0000-000029470000}"/>
    <cellStyle name="Note 5 3 6" xfId="23730" xr:uid="{00000000-0005-0000-0000-00002A470000}"/>
    <cellStyle name="Note 5 3 6 2" xfId="8253" xr:uid="{00000000-0005-0000-0000-00002B470000}"/>
    <cellStyle name="Note 5 3 6 3" xfId="8258" xr:uid="{00000000-0005-0000-0000-00002C470000}"/>
    <cellStyle name="Note 5 3 6 4" xfId="23731" xr:uid="{00000000-0005-0000-0000-00002D470000}"/>
    <cellStyle name="Note 5 3 7" xfId="23732" xr:uid="{00000000-0005-0000-0000-00002E470000}"/>
    <cellStyle name="Note 5 3 8" xfId="23733" xr:uid="{00000000-0005-0000-0000-00002F470000}"/>
    <cellStyle name="Note 5 3 9" xfId="23734" xr:uid="{00000000-0005-0000-0000-000030470000}"/>
    <cellStyle name="Note 5 4" xfId="17348" xr:uid="{00000000-0005-0000-0000-000031470000}"/>
    <cellStyle name="Note 5 4 2" xfId="23735" xr:uid="{00000000-0005-0000-0000-000032470000}"/>
    <cellStyle name="Note 5 4 2 2" xfId="23736" xr:uid="{00000000-0005-0000-0000-000033470000}"/>
    <cellStyle name="Note 5 4 2 2 2" xfId="23737" xr:uid="{00000000-0005-0000-0000-000034470000}"/>
    <cellStyle name="Note 5 4 2 2 2 2" xfId="23359" xr:uid="{00000000-0005-0000-0000-000035470000}"/>
    <cellStyle name="Note 5 4 2 2 2 2 2" xfId="23738" xr:uid="{00000000-0005-0000-0000-000036470000}"/>
    <cellStyle name="Note 5 4 2 2 2 2 2 2" xfId="23739" xr:uid="{00000000-0005-0000-0000-000037470000}"/>
    <cellStyle name="Note 5 4 2 2 2 2 2 3" xfId="23740" xr:uid="{00000000-0005-0000-0000-000038470000}"/>
    <cellStyle name="Note 5 4 2 2 2 2 2 4" xfId="23741" xr:uid="{00000000-0005-0000-0000-000039470000}"/>
    <cellStyle name="Note 5 4 2 2 2 2 3" xfId="23742" xr:uid="{00000000-0005-0000-0000-00003A470000}"/>
    <cellStyle name="Note 5 4 2 2 2 2 4" xfId="23743" xr:uid="{00000000-0005-0000-0000-00003B470000}"/>
    <cellStyle name="Note 5 4 2 2 2 2 5" xfId="23744" xr:uid="{00000000-0005-0000-0000-00003C470000}"/>
    <cellStyle name="Note 5 4 2 2 2 3" xfId="23361" xr:uid="{00000000-0005-0000-0000-00003D470000}"/>
    <cellStyle name="Note 5 4 2 2 2 3 2" xfId="23745" xr:uid="{00000000-0005-0000-0000-00003E470000}"/>
    <cellStyle name="Note 5 4 2 2 2 3 3" xfId="23746" xr:uid="{00000000-0005-0000-0000-00003F470000}"/>
    <cellStyle name="Note 5 4 2 2 2 3 4" xfId="23747" xr:uid="{00000000-0005-0000-0000-000040470000}"/>
    <cellStyle name="Note 5 4 2 2 2 4" xfId="23748" xr:uid="{00000000-0005-0000-0000-000041470000}"/>
    <cellStyle name="Note 5 4 2 2 2 5" xfId="23749" xr:uid="{00000000-0005-0000-0000-000042470000}"/>
    <cellStyle name="Note 5 4 2 2 2 6" xfId="23751" xr:uid="{00000000-0005-0000-0000-000043470000}"/>
    <cellStyle name="Note 5 4 2 2 3" xfId="23752" xr:uid="{00000000-0005-0000-0000-000044470000}"/>
    <cellStyle name="Note 5 4 2 2 3 2" xfId="23503" xr:uid="{00000000-0005-0000-0000-000045470000}"/>
    <cellStyle name="Note 5 4 2 2 3 2 2" xfId="23753" xr:uid="{00000000-0005-0000-0000-000046470000}"/>
    <cellStyle name="Note 5 4 2 2 3 2 3" xfId="23754" xr:uid="{00000000-0005-0000-0000-000047470000}"/>
    <cellStyle name="Note 5 4 2 2 3 2 4" xfId="23756" xr:uid="{00000000-0005-0000-0000-000048470000}"/>
    <cellStyle name="Note 5 4 2 2 3 3" xfId="23505" xr:uid="{00000000-0005-0000-0000-000049470000}"/>
    <cellStyle name="Note 5 4 2 2 3 4" xfId="23757" xr:uid="{00000000-0005-0000-0000-00004A470000}"/>
    <cellStyle name="Note 5 4 2 2 3 5" xfId="23758" xr:uid="{00000000-0005-0000-0000-00004B470000}"/>
    <cellStyle name="Note 5 4 2 2 4" xfId="23759" xr:uid="{00000000-0005-0000-0000-00004C470000}"/>
    <cellStyle name="Note 5 4 2 2 4 2" xfId="23553" xr:uid="{00000000-0005-0000-0000-00004D470000}"/>
    <cellStyle name="Note 5 4 2 2 4 3" xfId="23760" xr:uid="{00000000-0005-0000-0000-00004E470000}"/>
    <cellStyle name="Note 5 4 2 2 4 4" xfId="23761" xr:uid="{00000000-0005-0000-0000-00004F470000}"/>
    <cellStyle name="Note 5 4 2 2 5" xfId="13979" xr:uid="{00000000-0005-0000-0000-000050470000}"/>
    <cellStyle name="Note 5 4 2 2 6" xfId="13983" xr:uid="{00000000-0005-0000-0000-000051470000}"/>
    <cellStyle name="Note 5 4 2 2 7" xfId="13987" xr:uid="{00000000-0005-0000-0000-000052470000}"/>
    <cellStyle name="Note 5 4 2 3" xfId="23762" xr:uid="{00000000-0005-0000-0000-000053470000}"/>
    <cellStyle name="Note 5 4 2 3 2" xfId="23763" xr:uid="{00000000-0005-0000-0000-000054470000}"/>
    <cellStyle name="Note 5 4 2 3 2 2" xfId="22148" xr:uid="{00000000-0005-0000-0000-000055470000}"/>
    <cellStyle name="Note 5 4 2 3 2 2 2" xfId="23764" xr:uid="{00000000-0005-0000-0000-000056470000}"/>
    <cellStyle name="Note 5 4 2 3 2 2 3" xfId="23765" xr:uid="{00000000-0005-0000-0000-000057470000}"/>
    <cellStyle name="Note 5 4 2 3 2 2 4" xfId="23766" xr:uid="{00000000-0005-0000-0000-000058470000}"/>
    <cellStyle name="Note 5 4 2 3 2 3" xfId="22152" xr:uid="{00000000-0005-0000-0000-000059470000}"/>
    <cellStyle name="Note 5 4 2 3 2 4" xfId="23767" xr:uid="{00000000-0005-0000-0000-00005A470000}"/>
    <cellStyle name="Note 5 4 2 3 2 5" xfId="23768" xr:uid="{00000000-0005-0000-0000-00005B470000}"/>
    <cellStyle name="Note 5 4 2 3 3" xfId="23769" xr:uid="{00000000-0005-0000-0000-00005C470000}"/>
    <cellStyle name="Note 5 4 2 3 3 2" xfId="23771" xr:uid="{00000000-0005-0000-0000-00005D470000}"/>
    <cellStyle name="Note 5 4 2 3 3 3" xfId="23772" xr:uid="{00000000-0005-0000-0000-00005E470000}"/>
    <cellStyle name="Note 5 4 2 3 3 4" xfId="23773" xr:uid="{00000000-0005-0000-0000-00005F470000}"/>
    <cellStyle name="Note 5 4 2 3 4" xfId="23774" xr:uid="{00000000-0005-0000-0000-000060470000}"/>
    <cellStyle name="Note 5 4 2 3 5" xfId="16892" xr:uid="{00000000-0005-0000-0000-000061470000}"/>
    <cellStyle name="Note 5 4 2 3 6" xfId="16897" xr:uid="{00000000-0005-0000-0000-000062470000}"/>
    <cellStyle name="Note 5 4 2 4" xfId="23776" xr:uid="{00000000-0005-0000-0000-000063470000}"/>
    <cellStyle name="Note 5 4 2 4 2" xfId="7517" xr:uid="{00000000-0005-0000-0000-000064470000}"/>
    <cellStyle name="Note 5 4 2 4 2 2" xfId="4404" xr:uid="{00000000-0005-0000-0000-000065470000}"/>
    <cellStyle name="Note 5 4 2 4 2 3" xfId="4422" xr:uid="{00000000-0005-0000-0000-000066470000}"/>
    <cellStyle name="Note 5 4 2 4 2 4" xfId="4443" xr:uid="{00000000-0005-0000-0000-000067470000}"/>
    <cellStyle name="Note 5 4 2 4 3" xfId="23778" xr:uid="{00000000-0005-0000-0000-000068470000}"/>
    <cellStyle name="Note 5 4 2 4 4" xfId="11671" xr:uid="{00000000-0005-0000-0000-000069470000}"/>
    <cellStyle name="Note 5 4 2 4 5" xfId="9901" xr:uid="{00000000-0005-0000-0000-00006A470000}"/>
    <cellStyle name="Note 5 4 2 5" xfId="23780" xr:uid="{00000000-0005-0000-0000-00006B470000}"/>
    <cellStyle name="Note 5 4 2 5 2" xfId="23782" xr:uid="{00000000-0005-0000-0000-00006C470000}"/>
    <cellStyle name="Note 5 4 2 5 3" xfId="23784" xr:uid="{00000000-0005-0000-0000-00006D470000}"/>
    <cellStyle name="Note 5 4 2 5 4" xfId="23786" xr:uid="{00000000-0005-0000-0000-00006E470000}"/>
    <cellStyle name="Note 5 4 2 6" xfId="6992" xr:uid="{00000000-0005-0000-0000-00006F470000}"/>
    <cellStyle name="Note 5 4 2 7" xfId="4371" xr:uid="{00000000-0005-0000-0000-000070470000}"/>
    <cellStyle name="Note 5 4 2 8" xfId="4403" xr:uid="{00000000-0005-0000-0000-000071470000}"/>
    <cellStyle name="Note 5 4 3" xfId="23787" xr:uid="{00000000-0005-0000-0000-000072470000}"/>
    <cellStyle name="Note 5 4 3 2" xfId="23788" xr:uid="{00000000-0005-0000-0000-000073470000}"/>
    <cellStyle name="Note 5 4 3 2 2" xfId="13511" xr:uid="{00000000-0005-0000-0000-000074470000}"/>
    <cellStyle name="Note 5 4 3 2 2 2" xfId="23790" xr:uid="{00000000-0005-0000-0000-000075470000}"/>
    <cellStyle name="Note 5 4 3 2 2 2 2" xfId="23791" xr:uid="{00000000-0005-0000-0000-000076470000}"/>
    <cellStyle name="Note 5 4 3 2 2 2 3" xfId="23792" xr:uid="{00000000-0005-0000-0000-000077470000}"/>
    <cellStyle name="Note 5 4 3 2 2 2 4" xfId="23793" xr:uid="{00000000-0005-0000-0000-000078470000}"/>
    <cellStyle name="Note 5 4 3 2 2 3" xfId="23795" xr:uid="{00000000-0005-0000-0000-000079470000}"/>
    <cellStyle name="Note 5 4 3 2 2 4" xfId="23796" xr:uid="{00000000-0005-0000-0000-00007A470000}"/>
    <cellStyle name="Note 5 4 3 2 2 5" xfId="23797" xr:uid="{00000000-0005-0000-0000-00007B470000}"/>
    <cellStyle name="Note 5 4 3 2 3" xfId="23798" xr:uid="{00000000-0005-0000-0000-00007C470000}"/>
    <cellStyle name="Note 5 4 3 2 3 2" xfId="23800" xr:uid="{00000000-0005-0000-0000-00007D470000}"/>
    <cellStyle name="Note 5 4 3 2 3 3" xfId="23802" xr:uid="{00000000-0005-0000-0000-00007E470000}"/>
    <cellStyle name="Note 5 4 3 2 3 4" xfId="23803" xr:uid="{00000000-0005-0000-0000-00007F470000}"/>
    <cellStyle name="Note 5 4 3 2 4" xfId="23804" xr:uid="{00000000-0005-0000-0000-000080470000}"/>
    <cellStyle name="Note 5 4 3 2 5" xfId="2251" xr:uid="{00000000-0005-0000-0000-000081470000}"/>
    <cellStyle name="Note 5 4 3 2 6" xfId="2074" xr:uid="{00000000-0005-0000-0000-000082470000}"/>
    <cellStyle name="Note 5 4 3 3" xfId="23805" xr:uid="{00000000-0005-0000-0000-000083470000}"/>
    <cellStyle name="Note 5 4 3 3 2" xfId="23806" xr:uid="{00000000-0005-0000-0000-000084470000}"/>
    <cellStyle name="Note 5 4 3 3 2 2" xfId="23809" xr:uid="{00000000-0005-0000-0000-000085470000}"/>
    <cellStyle name="Note 5 4 3 3 2 3" xfId="23811" xr:uid="{00000000-0005-0000-0000-000086470000}"/>
    <cellStyle name="Note 5 4 3 3 2 4" xfId="23812" xr:uid="{00000000-0005-0000-0000-000087470000}"/>
    <cellStyle name="Note 5 4 3 3 3" xfId="23813" xr:uid="{00000000-0005-0000-0000-000088470000}"/>
    <cellStyle name="Note 5 4 3 3 4" xfId="23814" xr:uid="{00000000-0005-0000-0000-000089470000}"/>
    <cellStyle name="Note 5 4 3 3 5" xfId="23816" xr:uid="{00000000-0005-0000-0000-00008A470000}"/>
    <cellStyle name="Note 5 4 3 4" xfId="23818" xr:uid="{00000000-0005-0000-0000-00008B470000}"/>
    <cellStyle name="Note 5 4 3 4 2" xfId="23820" xr:uid="{00000000-0005-0000-0000-00008C470000}"/>
    <cellStyle name="Note 5 4 3 4 3" xfId="23822" xr:uid="{00000000-0005-0000-0000-00008D470000}"/>
    <cellStyle name="Note 5 4 3 4 4" xfId="23824" xr:uid="{00000000-0005-0000-0000-00008E470000}"/>
    <cellStyle name="Note 5 4 3 5" xfId="23826" xr:uid="{00000000-0005-0000-0000-00008F470000}"/>
    <cellStyle name="Note 5 4 3 6" xfId="7029" xr:uid="{00000000-0005-0000-0000-000090470000}"/>
    <cellStyle name="Note 5 4 3 7" xfId="63" xr:uid="{00000000-0005-0000-0000-000091470000}"/>
    <cellStyle name="Note 5 4 4" xfId="23827" xr:uid="{00000000-0005-0000-0000-000092470000}"/>
    <cellStyle name="Note 5 4 4 2" xfId="23828" xr:uid="{00000000-0005-0000-0000-000093470000}"/>
    <cellStyle name="Note 5 4 4 2 2" xfId="23829" xr:uid="{00000000-0005-0000-0000-000094470000}"/>
    <cellStyle name="Note 5 4 4 2 2 2" xfId="14321" xr:uid="{00000000-0005-0000-0000-000095470000}"/>
    <cellStyle name="Note 5 4 4 2 2 3" xfId="23831" xr:uid="{00000000-0005-0000-0000-000096470000}"/>
    <cellStyle name="Note 5 4 4 2 2 4" xfId="3374" xr:uid="{00000000-0005-0000-0000-000097470000}"/>
    <cellStyle name="Note 5 4 4 2 3" xfId="23832" xr:uid="{00000000-0005-0000-0000-000098470000}"/>
    <cellStyle name="Note 5 4 4 2 4" xfId="23833" xr:uid="{00000000-0005-0000-0000-000099470000}"/>
    <cellStyle name="Note 5 4 4 2 5" xfId="23834" xr:uid="{00000000-0005-0000-0000-00009A470000}"/>
    <cellStyle name="Note 5 4 4 3" xfId="23835" xr:uid="{00000000-0005-0000-0000-00009B470000}"/>
    <cellStyle name="Note 5 4 4 3 2" xfId="7772" xr:uid="{00000000-0005-0000-0000-00009C470000}"/>
    <cellStyle name="Note 5 4 4 3 3" xfId="7775" xr:uid="{00000000-0005-0000-0000-00009D470000}"/>
    <cellStyle name="Note 5 4 4 3 4" xfId="23836" xr:uid="{00000000-0005-0000-0000-00009E470000}"/>
    <cellStyle name="Note 5 4 4 4" xfId="23838" xr:uid="{00000000-0005-0000-0000-00009F470000}"/>
    <cellStyle name="Note 5 4 4 5" xfId="23840" xr:uid="{00000000-0005-0000-0000-0000A0470000}"/>
    <cellStyle name="Note 5 4 4 6" xfId="7047" xr:uid="{00000000-0005-0000-0000-0000A1470000}"/>
    <cellStyle name="Note 5 4 5" xfId="23841" xr:uid="{00000000-0005-0000-0000-0000A2470000}"/>
    <cellStyle name="Note 5 4 5 2" xfId="23842" xr:uid="{00000000-0005-0000-0000-0000A3470000}"/>
    <cellStyle name="Note 5 4 5 2 2" xfId="23843" xr:uid="{00000000-0005-0000-0000-0000A4470000}"/>
    <cellStyle name="Note 5 4 5 2 3" xfId="23844" xr:uid="{00000000-0005-0000-0000-0000A5470000}"/>
    <cellStyle name="Note 5 4 5 2 4" xfId="23845" xr:uid="{00000000-0005-0000-0000-0000A6470000}"/>
    <cellStyle name="Note 5 4 5 3" xfId="23846" xr:uid="{00000000-0005-0000-0000-0000A7470000}"/>
    <cellStyle name="Note 5 4 5 4" xfId="23847" xr:uid="{00000000-0005-0000-0000-0000A8470000}"/>
    <cellStyle name="Note 5 4 5 5" xfId="23848" xr:uid="{00000000-0005-0000-0000-0000A9470000}"/>
    <cellStyle name="Note 5 4 6" xfId="23849" xr:uid="{00000000-0005-0000-0000-0000AA470000}"/>
    <cellStyle name="Note 5 4 6 2" xfId="23850" xr:uid="{00000000-0005-0000-0000-0000AB470000}"/>
    <cellStyle name="Note 5 4 6 3" xfId="23851" xr:uid="{00000000-0005-0000-0000-0000AC470000}"/>
    <cellStyle name="Note 5 4 6 4" xfId="23852" xr:uid="{00000000-0005-0000-0000-0000AD470000}"/>
    <cellStyle name="Note 5 4 7" xfId="23853" xr:uid="{00000000-0005-0000-0000-0000AE470000}"/>
    <cellStyle name="Note 5 4 8" xfId="23854" xr:uid="{00000000-0005-0000-0000-0000AF470000}"/>
    <cellStyle name="Note 5 4 9" xfId="23855" xr:uid="{00000000-0005-0000-0000-0000B0470000}"/>
    <cellStyle name="Note 5 5" xfId="17351" xr:uid="{00000000-0005-0000-0000-0000B1470000}"/>
    <cellStyle name="Note 5 5 2" xfId="23858" xr:uid="{00000000-0005-0000-0000-0000B2470000}"/>
    <cellStyle name="Note 5 5 2 2" xfId="23859" xr:uid="{00000000-0005-0000-0000-0000B3470000}"/>
    <cellStyle name="Note 5 5 2 2 2" xfId="23860" xr:uid="{00000000-0005-0000-0000-0000B4470000}"/>
    <cellStyle name="Note 5 5 2 2 2 2" xfId="7362" xr:uid="{00000000-0005-0000-0000-0000B5470000}"/>
    <cellStyle name="Note 5 5 2 2 2 2 2" xfId="7388" xr:uid="{00000000-0005-0000-0000-0000B6470000}"/>
    <cellStyle name="Note 5 5 2 2 2 2 3" xfId="2193" xr:uid="{00000000-0005-0000-0000-0000B7470000}"/>
    <cellStyle name="Note 5 5 2 2 2 2 4" xfId="2754" xr:uid="{00000000-0005-0000-0000-0000B8470000}"/>
    <cellStyle name="Note 5 5 2 2 2 3" xfId="7403" xr:uid="{00000000-0005-0000-0000-0000B9470000}"/>
    <cellStyle name="Note 5 5 2 2 2 4" xfId="7416" xr:uid="{00000000-0005-0000-0000-0000BA470000}"/>
    <cellStyle name="Note 5 5 2 2 2 5" xfId="7421" xr:uid="{00000000-0005-0000-0000-0000BB470000}"/>
    <cellStyle name="Note 5 5 2 2 3" xfId="23861" xr:uid="{00000000-0005-0000-0000-0000BC470000}"/>
    <cellStyle name="Note 5 5 2 2 3 2" xfId="7505" xr:uid="{00000000-0005-0000-0000-0000BD470000}"/>
    <cellStyle name="Note 5 5 2 2 3 3" xfId="7509" xr:uid="{00000000-0005-0000-0000-0000BE470000}"/>
    <cellStyle name="Note 5 5 2 2 3 4" xfId="4723" xr:uid="{00000000-0005-0000-0000-0000BF470000}"/>
    <cellStyle name="Note 5 5 2 2 4" xfId="23863" xr:uid="{00000000-0005-0000-0000-0000C0470000}"/>
    <cellStyle name="Note 5 5 2 2 5" xfId="16549" xr:uid="{00000000-0005-0000-0000-0000C1470000}"/>
    <cellStyle name="Note 5 5 2 2 6" xfId="16553" xr:uid="{00000000-0005-0000-0000-0000C2470000}"/>
    <cellStyle name="Note 5 5 2 3" xfId="23864" xr:uid="{00000000-0005-0000-0000-0000C3470000}"/>
    <cellStyle name="Note 5 5 2 3 2" xfId="23865" xr:uid="{00000000-0005-0000-0000-0000C4470000}"/>
    <cellStyle name="Note 5 5 2 3 2 2" xfId="5239" xr:uid="{00000000-0005-0000-0000-0000C5470000}"/>
    <cellStyle name="Note 5 5 2 3 2 3" xfId="5266" xr:uid="{00000000-0005-0000-0000-0000C6470000}"/>
    <cellStyle name="Note 5 5 2 3 2 4" xfId="5280" xr:uid="{00000000-0005-0000-0000-0000C7470000}"/>
    <cellStyle name="Note 5 5 2 3 3" xfId="23867" xr:uid="{00000000-0005-0000-0000-0000C8470000}"/>
    <cellStyle name="Note 5 5 2 3 4" xfId="23869" xr:uid="{00000000-0005-0000-0000-0000C9470000}"/>
    <cellStyle name="Note 5 5 2 3 5" xfId="23872" xr:uid="{00000000-0005-0000-0000-0000CA470000}"/>
    <cellStyle name="Note 5 5 2 4" xfId="23874" xr:uid="{00000000-0005-0000-0000-0000CB470000}"/>
    <cellStyle name="Note 5 5 2 4 2" xfId="10360" xr:uid="{00000000-0005-0000-0000-0000CC470000}"/>
    <cellStyle name="Note 5 5 2 4 3" xfId="10366" xr:uid="{00000000-0005-0000-0000-0000CD470000}"/>
    <cellStyle name="Note 5 5 2 4 4" xfId="23877" xr:uid="{00000000-0005-0000-0000-0000CE470000}"/>
    <cellStyle name="Note 5 5 2 5" xfId="23879" xr:uid="{00000000-0005-0000-0000-0000CF470000}"/>
    <cellStyle name="Note 5 5 2 6" xfId="8278" xr:uid="{00000000-0005-0000-0000-0000D0470000}"/>
    <cellStyle name="Note 5 5 2 7" xfId="8291" xr:uid="{00000000-0005-0000-0000-0000D1470000}"/>
    <cellStyle name="Note 5 5 3" xfId="23881" xr:uid="{00000000-0005-0000-0000-0000D2470000}"/>
    <cellStyle name="Note 5 5 3 2" xfId="23882" xr:uid="{00000000-0005-0000-0000-0000D3470000}"/>
    <cellStyle name="Note 5 5 3 2 2" xfId="23883" xr:uid="{00000000-0005-0000-0000-0000D4470000}"/>
    <cellStyle name="Note 5 5 3 2 2 2" xfId="7285" xr:uid="{00000000-0005-0000-0000-0000D5470000}"/>
    <cellStyle name="Note 5 5 3 2 2 3" xfId="7289" xr:uid="{00000000-0005-0000-0000-0000D6470000}"/>
    <cellStyle name="Note 5 5 3 2 2 4" xfId="8825" xr:uid="{00000000-0005-0000-0000-0000D7470000}"/>
    <cellStyle name="Note 5 5 3 2 3" xfId="23884" xr:uid="{00000000-0005-0000-0000-0000D8470000}"/>
    <cellStyle name="Note 5 5 3 2 4" xfId="23885" xr:uid="{00000000-0005-0000-0000-0000D9470000}"/>
    <cellStyle name="Note 5 5 3 2 5" xfId="23886" xr:uid="{00000000-0005-0000-0000-0000DA470000}"/>
    <cellStyle name="Note 5 5 3 3" xfId="23887" xr:uid="{00000000-0005-0000-0000-0000DB470000}"/>
    <cellStyle name="Note 5 5 3 3 2" xfId="23888" xr:uid="{00000000-0005-0000-0000-0000DC470000}"/>
    <cellStyle name="Note 5 5 3 3 3" xfId="23890" xr:uid="{00000000-0005-0000-0000-0000DD470000}"/>
    <cellStyle name="Note 5 5 3 3 4" xfId="23893" xr:uid="{00000000-0005-0000-0000-0000DE470000}"/>
    <cellStyle name="Note 5 5 3 4" xfId="23896" xr:uid="{00000000-0005-0000-0000-0000DF470000}"/>
    <cellStyle name="Note 5 5 3 5" xfId="23899" xr:uid="{00000000-0005-0000-0000-0000E0470000}"/>
    <cellStyle name="Note 5 5 3 6" xfId="23902" xr:uid="{00000000-0005-0000-0000-0000E1470000}"/>
    <cellStyle name="Note 5 5 4" xfId="23903" xr:uid="{00000000-0005-0000-0000-0000E2470000}"/>
    <cellStyle name="Note 5 5 4 2" xfId="23904" xr:uid="{00000000-0005-0000-0000-0000E3470000}"/>
    <cellStyle name="Note 5 5 4 2 2" xfId="23905" xr:uid="{00000000-0005-0000-0000-0000E4470000}"/>
    <cellStyle name="Note 5 5 4 2 3" xfId="23906" xr:uid="{00000000-0005-0000-0000-0000E5470000}"/>
    <cellStyle name="Note 5 5 4 2 4" xfId="23907" xr:uid="{00000000-0005-0000-0000-0000E6470000}"/>
    <cellStyle name="Note 5 5 4 3" xfId="23908" xr:uid="{00000000-0005-0000-0000-0000E7470000}"/>
    <cellStyle name="Note 5 5 4 4" xfId="23909" xr:uid="{00000000-0005-0000-0000-0000E8470000}"/>
    <cellStyle name="Note 5 5 4 5" xfId="23910" xr:uid="{00000000-0005-0000-0000-0000E9470000}"/>
    <cellStyle name="Note 5 5 5" xfId="23911" xr:uid="{00000000-0005-0000-0000-0000EA470000}"/>
    <cellStyle name="Note 5 5 5 2" xfId="23912" xr:uid="{00000000-0005-0000-0000-0000EB470000}"/>
    <cellStyle name="Note 5 5 5 3" xfId="23913" xr:uid="{00000000-0005-0000-0000-0000EC470000}"/>
    <cellStyle name="Note 5 5 5 4" xfId="23914" xr:uid="{00000000-0005-0000-0000-0000ED470000}"/>
    <cellStyle name="Note 5 5 6" xfId="23915" xr:uid="{00000000-0005-0000-0000-0000EE470000}"/>
    <cellStyle name="Note 5 5 7" xfId="23916" xr:uid="{00000000-0005-0000-0000-0000EF470000}"/>
    <cellStyle name="Note 5 5 8" xfId="23917" xr:uid="{00000000-0005-0000-0000-0000F0470000}"/>
    <cellStyle name="Note 5 6" xfId="17353" xr:uid="{00000000-0005-0000-0000-0000F1470000}"/>
    <cellStyle name="Note 5 6 2" xfId="23919" xr:uid="{00000000-0005-0000-0000-0000F2470000}"/>
    <cellStyle name="Note 5 6 2 2" xfId="13664" xr:uid="{00000000-0005-0000-0000-0000F3470000}"/>
    <cellStyle name="Note 5 6 2 2 2" xfId="16111" xr:uid="{00000000-0005-0000-0000-0000F4470000}"/>
    <cellStyle name="Note 5 6 2 2 2 2" xfId="23921" xr:uid="{00000000-0005-0000-0000-0000F5470000}"/>
    <cellStyle name="Note 5 6 2 2 2 3" xfId="23923" xr:uid="{00000000-0005-0000-0000-0000F6470000}"/>
    <cellStyle name="Note 5 6 2 2 2 4" xfId="23924" xr:uid="{00000000-0005-0000-0000-0000F7470000}"/>
    <cellStyle name="Note 5 6 2 2 3" xfId="16114" xr:uid="{00000000-0005-0000-0000-0000F8470000}"/>
    <cellStyle name="Note 5 6 2 2 4" xfId="16117" xr:uid="{00000000-0005-0000-0000-0000F9470000}"/>
    <cellStyle name="Note 5 6 2 2 5" xfId="23926" xr:uid="{00000000-0005-0000-0000-0000FA470000}"/>
    <cellStyle name="Note 5 6 2 3" xfId="13666" xr:uid="{00000000-0005-0000-0000-0000FB470000}"/>
    <cellStyle name="Note 5 6 2 3 2" xfId="16122" xr:uid="{00000000-0005-0000-0000-0000FC470000}"/>
    <cellStyle name="Note 5 6 2 3 3" xfId="16125" xr:uid="{00000000-0005-0000-0000-0000FD470000}"/>
    <cellStyle name="Note 5 6 2 3 4" xfId="23928" xr:uid="{00000000-0005-0000-0000-0000FE470000}"/>
    <cellStyle name="Note 5 6 2 4" xfId="11725" xr:uid="{00000000-0005-0000-0000-0000FF470000}"/>
    <cellStyle name="Note 5 6 2 5" xfId="23930" xr:uid="{00000000-0005-0000-0000-000000480000}"/>
    <cellStyle name="Note 5 6 2 6" xfId="23932" xr:uid="{00000000-0005-0000-0000-000001480000}"/>
    <cellStyle name="Note 5 6 3" xfId="23933" xr:uid="{00000000-0005-0000-0000-000002480000}"/>
    <cellStyle name="Note 5 6 3 2" xfId="13672" xr:uid="{00000000-0005-0000-0000-000003480000}"/>
    <cellStyle name="Note 5 6 3 2 2" xfId="16138" xr:uid="{00000000-0005-0000-0000-000004480000}"/>
    <cellStyle name="Note 5 6 3 2 3" xfId="16140" xr:uid="{00000000-0005-0000-0000-000005480000}"/>
    <cellStyle name="Note 5 6 3 2 4" xfId="23934" xr:uid="{00000000-0005-0000-0000-000006480000}"/>
    <cellStyle name="Note 5 6 3 3" xfId="13674" xr:uid="{00000000-0005-0000-0000-000007480000}"/>
    <cellStyle name="Note 5 6 3 4" xfId="23935" xr:uid="{00000000-0005-0000-0000-000008480000}"/>
    <cellStyle name="Note 5 6 3 5" xfId="23936" xr:uid="{00000000-0005-0000-0000-000009480000}"/>
    <cellStyle name="Note 5 6 4" xfId="23938" xr:uid="{00000000-0005-0000-0000-00000A480000}"/>
    <cellStyle name="Note 5 6 4 2" xfId="23940" xr:uid="{00000000-0005-0000-0000-00000B480000}"/>
    <cellStyle name="Note 5 6 4 3" xfId="23942" xr:uid="{00000000-0005-0000-0000-00000C480000}"/>
    <cellStyle name="Note 5 6 4 4" xfId="23944" xr:uid="{00000000-0005-0000-0000-00000D480000}"/>
    <cellStyle name="Note 5 6 5" xfId="23946" xr:uid="{00000000-0005-0000-0000-00000E480000}"/>
    <cellStyle name="Note 5 6 6" xfId="23948" xr:uid="{00000000-0005-0000-0000-00000F480000}"/>
    <cellStyle name="Note 5 6 7" xfId="23950" xr:uid="{00000000-0005-0000-0000-000010480000}"/>
    <cellStyle name="Note 5 7" xfId="23951" xr:uid="{00000000-0005-0000-0000-000011480000}"/>
    <cellStyle name="Note 5 7 2" xfId="23953" xr:uid="{00000000-0005-0000-0000-000012480000}"/>
    <cellStyle name="Note 5 7 2 2" xfId="13686" xr:uid="{00000000-0005-0000-0000-000013480000}"/>
    <cellStyle name="Note 5 7 2 2 2" xfId="15304" xr:uid="{00000000-0005-0000-0000-000014480000}"/>
    <cellStyle name="Note 5 7 2 2 3" xfId="16169" xr:uid="{00000000-0005-0000-0000-000015480000}"/>
    <cellStyle name="Note 5 7 2 2 4" xfId="23954" xr:uid="{00000000-0005-0000-0000-000016480000}"/>
    <cellStyle name="Note 5 7 2 3" xfId="13688" xr:uid="{00000000-0005-0000-0000-000017480000}"/>
    <cellStyle name="Note 5 7 2 4" xfId="23955" xr:uid="{00000000-0005-0000-0000-000018480000}"/>
    <cellStyle name="Note 5 7 2 5" xfId="23956" xr:uid="{00000000-0005-0000-0000-000019480000}"/>
    <cellStyle name="Note 5 7 3" xfId="23958" xr:uid="{00000000-0005-0000-0000-00001A480000}"/>
    <cellStyle name="Note 5 7 3 2" xfId="23959" xr:uid="{00000000-0005-0000-0000-00001B480000}"/>
    <cellStyle name="Note 5 7 3 3" xfId="23960" xr:uid="{00000000-0005-0000-0000-00001C480000}"/>
    <cellStyle name="Note 5 7 3 4" xfId="23961" xr:uid="{00000000-0005-0000-0000-00001D480000}"/>
    <cellStyle name="Note 5 7 4" xfId="23963" xr:uid="{00000000-0005-0000-0000-00001E480000}"/>
    <cellStyle name="Note 5 7 5" xfId="23965" xr:uid="{00000000-0005-0000-0000-00001F480000}"/>
    <cellStyle name="Note 5 7 6" xfId="23967" xr:uid="{00000000-0005-0000-0000-000020480000}"/>
    <cellStyle name="Note 5 8" xfId="23968" xr:uid="{00000000-0005-0000-0000-000021480000}"/>
    <cellStyle name="Note 5 8 2" xfId="23970" xr:uid="{00000000-0005-0000-0000-000022480000}"/>
    <cellStyle name="Note 5 8 2 2" xfId="23971" xr:uid="{00000000-0005-0000-0000-000023480000}"/>
    <cellStyle name="Note 5 8 2 3" xfId="23972" xr:uid="{00000000-0005-0000-0000-000024480000}"/>
    <cellStyle name="Note 5 8 2 4" xfId="23973" xr:uid="{00000000-0005-0000-0000-000025480000}"/>
    <cellStyle name="Note 5 8 3" xfId="23974" xr:uid="{00000000-0005-0000-0000-000026480000}"/>
    <cellStyle name="Note 5 8 4" xfId="23975" xr:uid="{00000000-0005-0000-0000-000027480000}"/>
    <cellStyle name="Note 5 8 5" xfId="23976" xr:uid="{00000000-0005-0000-0000-000028480000}"/>
    <cellStyle name="Note 5 9" xfId="23977" xr:uid="{00000000-0005-0000-0000-000029480000}"/>
    <cellStyle name="Note 5 9 2" xfId="23979" xr:uid="{00000000-0005-0000-0000-00002A480000}"/>
    <cellStyle name="Note 5 9 3" xfId="23981" xr:uid="{00000000-0005-0000-0000-00002B480000}"/>
    <cellStyle name="Note 5 9 4" xfId="23982" xr:uid="{00000000-0005-0000-0000-00002C480000}"/>
    <cellStyle name="Note 6" xfId="23983" xr:uid="{00000000-0005-0000-0000-00002D480000}"/>
    <cellStyle name="Note 6 10" xfId="23984" xr:uid="{00000000-0005-0000-0000-00002E480000}"/>
    <cellStyle name="Note 6 11" xfId="23986" xr:uid="{00000000-0005-0000-0000-00002F480000}"/>
    <cellStyle name="Note 6 12" xfId="23988" xr:uid="{00000000-0005-0000-0000-000030480000}"/>
    <cellStyle name="Note 6 13" xfId="3321" xr:uid="{00000000-0005-0000-0000-000031480000}"/>
    <cellStyle name="Note 6 2" xfId="14261" xr:uid="{00000000-0005-0000-0000-000032480000}"/>
    <cellStyle name="Note 6 2 10" xfId="20778" xr:uid="{00000000-0005-0000-0000-000033480000}"/>
    <cellStyle name="Note 6 2 11" xfId="20783" xr:uid="{00000000-0005-0000-0000-000034480000}"/>
    <cellStyle name="Note 6 2 12" xfId="23991" xr:uid="{00000000-0005-0000-0000-000035480000}"/>
    <cellStyle name="Note 6 2 2" xfId="23992" xr:uid="{00000000-0005-0000-0000-000036480000}"/>
    <cellStyle name="Note 6 2 2 2" xfId="23993" xr:uid="{00000000-0005-0000-0000-000037480000}"/>
    <cellStyle name="Note 6 2 2 2 2" xfId="23994" xr:uid="{00000000-0005-0000-0000-000038480000}"/>
    <cellStyle name="Note 6 2 2 2 2 2" xfId="23995" xr:uid="{00000000-0005-0000-0000-000039480000}"/>
    <cellStyle name="Note 6 2 2 2 2 2 2" xfId="11306" xr:uid="{00000000-0005-0000-0000-00003A480000}"/>
    <cellStyle name="Note 6 2 2 2 2 2 2 2" xfId="23997" xr:uid="{00000000-0005-0000-0000-00003B480000}"/>
    <cellStyle name="Note 6 2 2 2 2 2 2 2 2" xfId="23999" xr:uid="{00000000-0005-0000-0000-00003C480000}"/>
    <cellStyle name="Note 6 2 2 2 2 2 2 2 3" xfId="24001" xr:uid="{00000000-0005-0000-0000-00003D480000}"/>
    <cellStyle name="Note 6 2 2 2 2 2 2 2 4" xfId="24003" xr:uid="{00000000-0005-0000-0000-00003E480000}"/>
    <cellStyle name="Note 6 2 2 2 2 2 2 3" xfId="24006" xr:uid="{00000000-0005-0000-0000-00003F480000}"/>
    <cellStyle name="Note 6 2 2 2 2 2 2 4" xfId="24009" xr:uid="{00000000-0005-0000-0000-000040480000}"/>
    <cellStyle name="Note 6 2 2 2 2 2 2 5" xfId="24013" xr:uid="{00000000-0005-0000-0000-000041480000}"/>
    <cellStyle name="Note 6 2 2 2 2 2 3" xfId="24015" xr:uid="{00000000-0005-0000-0000-000042480000}"/>
    <cellStyle name="Note 6 2 2 2 2 2 3 2" xfId="24017" xr:uid="{00000000-0005-0000-0000-000043480000}"/>
    <cellStyle name="Note 6 2 2 2 2 2 3 3" xfId="19002" xr:uid="{00000000-0005-0000-0000-000044480000}"/>
    <cellStyle name="Note 6 2 2 2 2 2 3 4" xfId="19015" xr:uid="{00000000-0005-0000-0000-000045480000}"/>
    <cellStyle name="Note 6 2 2 2 2 2 4" xfId="24019" xr:uid="{00000000-0005-0000-0000-000046480000}"/>
    <cellStyle name="Note 6 2 2 2 2 2 5" xfId="24021" xr:uid="{00000000-0005-0000-0000-000047480000}"/>
    <cellStyle name="Note 6 2 2 2 2 2 6" xfId="24023" xr:uid="{00000000-0005-0000-0000-000048480000}"/>
    <cellStyle name="Note 6 2 2 2 2 3" xfId="24024" xr:uid="{00000000-0005-0000-0000-000049480000}"/>
    <cellStyle name="Note 6 2 2 2 2 3 2" xfId="24026" xr:uid="{00000000-0005-0000-0000-00004A480000}"/>
    <cellStyle name="Note 6 2 2 2 2 3 2 2" xfId="24028" xr:uid="{00000000-0005-0000-0000-00004B480000}"/>
    <cellStyle name="Note 6 2 2 2 2 3 2 3" xfId="24030" xr:uid="{00000000-0005-0000-0000-00004C480000}"/>
    <cellStyle name="Note 6 2 2 2 2 3 2 4" xfId="24032" xr:uid="{00000000-0005-0000-0000-00004D480000}"/>
    <cellStyle name="Note 6 2 2 2 2 3 3" xfId="5649" xr:uid="{00000000-0005-0000-0000-00004E480000}"/>
    <cellStyle name="Note 6 2 2 2 2 3 4" xfId="5658" xr:uid="{00000000-0005-0000-0000-00004F480000}"/>
    <cellStyle name="Note 6 2 2 2 2 3 5" xfId="5667" xr:uid="{00000000-0005-0000-0000-000050480000}"/>
    <cellStyle name="Note 6 2 2 2 2 4" xfId="24033" xr:uid="{00000000-0005-0000-0000-000051480000}"/>
    <cellStyle name="Note 6 2 2 2 2 4 2" xfId="24035" xr:uid="{00000000-0005-0000-0000-000052480000}"/>
    <cellStyle name="Note 6 2 2 2 2 4 3" xfId="3893" xr:uid="{00000000-0005-0000-0000-000053480000}"/>
    <cellStyle name="Note 6 2 2 2 2 4 4" xfId="3919" xr:uid="{00000000-0005-0000-0000-000054480000}"/>
    <cellStyle name="Note 6 2 2 2 2 5" xfId="24036" xr:uid="{00000000-0005-0000-0000-000055480000}"/>
    <cellStyle name="Note 6 2 2 2 2 6" xfId="24038" xr:uid="{00000000-0005-0000-0000-000056480000}"/>
    <cellStyle name="Note 6 2 2 2 2 7" xfId="24040" xr:uid="{00000000-0005-0000-0000-000057480000}"/>
    <cellStyle name="Note 6 2 2 2 3" xfId="24041" xr:uid="{00000000-0005-0000-0000-000058480000}"/>
    <cellStyle name="Note 6 2 2 2 3 2" xfId="24042" xr:uid="{00000000-0005-0000-0000-000059480000}"/>
    <cellStyle name="Note 6 2 2 2 3 2 2" xfId="24044" xr:uid="{00000000-0005-0000-0000-00005A480000}"/>
    <cellStyle name="Note 6 2 2 2 3 2 2 2" xfId="24047" xr:uid="{00000000-0005-0000-0000-00005B480000}"/>
    <cellStyle name="Note 6 2 2 2 3 2 2 3" xfId="24049" xr:uid="{00000000-0005-0000-0000-00005C480000}"/>
    <cellStyle name="Note 6 2 2 2 3 2 2 4" xfId="24051" xr:uid="{00000000-0005-0000-0000-00005D480000}"/>
    <cellStyle name="Note 6 2 2 2 3 2 3" xfId="24053" xr:uid="{00000000-0005-0000-0000-00005E480000}"/>
    <cellStyle name="Note 6 2 2 2 3 2 4" xfId="24055" xr:uid="{00000000-0005-0000-0000-00005F480000}"/>
    <cellStyle name="Note 6 2 2 2 3 2 5" xfId="24057" xr:uid="{00000000-0005-0000-0000-000060480000}"/>
    <cellStyle name="Note 6 2 2 2 3 3" xfId="24058" xr:uid="{00000000-0005-0000-0000-000061480000}"/>
    <cellStyle name="Note 6 2 2 2 3 3 2" xfId="24060" xr:uid="{00000000-0005-0000-0000-000062480000}"/>
    <cellStyle name="Note 6 2 2 2 3 3 3" xfId="5713" xr:uid="{00000000-0005-0000-0000-000063480000}"/>
    <cellStyle name="Note 6 2 2 2 3 3 4" xfId="5719" xr:uid="{00000000-0005-0000-0000-000064480000}"/>
    <cellStyle name="Note 6 2 2 2 3 4" xfId="24061" xr:uid="{00000000-0005-0000-0000-000065480000}"/>
    <cellStyle name="Note 6 2 2 2 3 5" xfId="24062" xr:uid="{00000000-0005-0000-0000-000066480000}"/>
    <cellStyle name="Note 6 2 2 2 3 6" xfId="24064" xr:uid="{00000000-0005-0000-0000-000067480000}"/>
    <cellStyle name="Note 6 2 2 2 4" xfId="24065" xr:uid="{00000000-0005-0000-0000-000068480000}"/>
    <cellStyle name="Note 6 2 2 2 4 2" xfId="24066" xr:uid="{00000000-0005-0000-0000-000069480000}"/>
    <cellStyle name="Note 6 2 2 2 4 2 2" xfId="24068" xr:uid="{00000000-0005-0000-0000-00006A480000}"/>
    <cellStyle name="Note 6 2 2 2 4 2 3" xfId="24070" xr:uid="{00000000-0005-0000-0000-00006B480000}"/>
    <cellStyle name="Note 6 2 2 2 4 2 4" xfId="20897" xr:uid="{00000000-0005-0000-0000-00006C480000}"/>
    <cellStyle name="Note 6 2 2 2 4 3" xfId="24071" xr:uid="{00000000-0005-0000-0000-00006D480000}"/>
    <cellStyle name="Note 6 2 2 2 4 4" xfId="24072" xr:uid="{00000000-0005-0000-0000-00006E480000}"/>
    <cellStyle name="Note 6 2 2 2 4 5" xfId="24073" xr:uid="{00000000-0005-0000-0000-00006F480000}"/>
    <cellStyle name="Note 6 2 2 2 5" xfId="24074" xr:uid="{00000000-0005-0000-0000-000070480000}"/>
    <cellStyle name="Note 6 2 2 2 5 2" xfId="24075" xr:uid="{00000000-0005-0000-0000-000071480000}"/>
    <cellStyle name="Note 6 2 2 2 5 3" xfId="24076" xr:uid="{00000000-0005-0000-0000-000072480000}"/>
    <cellStyle name="Note 6 2 2 2 5 4" xfId="24077" xr:uid="{00000000-0005-0000-0000-000073480000}"/>
    <cellStyle name="Note 6 2 2 2 6" xfId="24078" xr:uid="{00000000-0005-0000-0000-000074480000}"/>
    <cellStyle name="Note 6 2 2 2 7" xfId="24079" xr:uid="{00000000-0005-0000-0000-000075480000}"/>
    <cellStyle name="Note 6 2 2 2 8" xfId="24080" xr:uid="{00000000-0005-0000-0000-000076480000}"/>
    <cellStyle name="Note 6 2 2 3" xfId="24081" xr:uid="{00000000-0005-0000-0000-000077480000}"/>
    <cellStyle name="Note 6 2 2 3 2" xfId="24082" xr:uid="{00000000-0005-0000-0000-000078480000}"/>
    <cellStyle name="Note 6 2 2 3 2 2" xfId="24083" xr:uid="{00000000-0005-0000-0000-000079480000}"/>
    <cellStyle name="Note 6 2 2 3 2 2 2" xfId="451" xr:uid="{00000000-0005-0000-0000-00007A480000}"/>
    <cellStyle name="Note 6 2 2 3 2 2 2 2" xfId="2236" xr:uid="{00000000-0005-0000-0000-00007B480000}"/>
    <cellStyle name="Note 6 2 2 3 2 2 2 3" xfId="352" xr:uid="{00000000-0005-0000-0000-00007C480000}"/>
    <cellStyle name="Note 6 2 2 3 2 2 2 4" xfId="24085" xr:uid="{00000000-0005-0000-0000-00007D480000}"/>
    <cellStyle name="Note 6 2 2 3 2 2 3" xfId="478" xr:uid="{00000000-0005-0000-0000-00007E480000}"/>
    <cellStyle name="Note 6 2 2 3 2 2 4" xfId="500" xr:uid="{00000000-0005-0000-0000-00007F480000}"/>
    <cellStyle name="Note 6 2 2 3 2 2 5" xfId="556" xr:uid="{00000000-0005-0000-0000-000080480000}"/>
    <cellStyle name="Note 6 2 2 3 2 3" xfId="24086" xr:uid="{00000000-0005-0000-0000-000081480000}"/>
    <cellStyle name="Note 6 2 2 3 2 3 2" xfId="24088" xr:uid="{00000000-0005-0000-0000-000082480000}"/>
    <cellStyle name="Note 6 2 2 3 2 3 3" xfId="1522" xr:uid="{00000000-0005-0000-0000-000083480000}"/>
    <cellStyle name="Note 6 2 2 3 2 3 4" xfId="1538" xr:uid="{00000000-0005-0000-0000-000084480000}"/>
    <cellStyle name="Note 6 2 2 3 2 4" xfId="24089" xr:uid="{00000000-0005-0000-0000-000085480000}"/>
    <cellStyle name="Note 6 2 2 3 2 5" xfId="24090" xr:uid="{00000000-0005-0000-0000-000086480000}"/>
    <cellStyle name="Note 6 2 2 3 2 6" xfId="24092" xr:uid="{00000000-0005-0000-0000-000087480000}"/>
    <cellStyle name="Note 6 2 2 3 3" xfId="24093" xr:uid="{00000000-0005-0000-0000-000088480000}"/>
    <cellStyle name="Note 6 2 2 3 3 2" xfId="24094" xr:uid="{00000000-0005-0000-0000-000089480000}"/>
    <cellStyle name="Note 6 2 2 3 3 2 2" xfId="24095" xr:uid="{00000000-0005-0000-0000-00008A480000}"/>
    <cellStyle name="Note 6 2 2 3 3 2 3" xfId="24096" xr:uid="{00000000-0005-0000-0000-00008B480000}"/>
    <cellStyle name="Note 6 2 2 3 3 2 4" xfId="24097" xr:uid="{00000000-0005-0000-0000-00008C480000}"/>
    <cellStyle name="Note 6 2 2 3 3 3" xfId="24098" xr:uid="{00000000-0005-0000-0000-00008D480000}"/>
    <cellStyle name="Note 6 2 2 3 3 4" xfId="24099" xr:uid="{00000000-0005-0000-0000-00008E480000}"/>
    <cellStyle name="Note 6 2 2 3 3 5" xfId="24100" xr:uid="{00000000-0005-0000-0000-00008F480000}"/>
    <cellStyle name="Note 6 2 2 3 4" xfId="24101" xr:uid="{00000000-0005-0000-0000-000090480000}"/>
    <cellStyle name="Note 6 2 2 3 4 2" xfId="24102" xr:uid="{00000000-0005-0000-0000-000091480000}"/>
    <cellStyle name="Note 6 2 2 3 4 3" xfId="24103" xr:uid="{00000000-0005-0000-0000-000092480000}"/>
    <cellStyle name="Note 6 2 2 3 4 4" xfId="24104" xr:uid="{00000000-0005-0000-0000-000093480000}"/>
    <cellStyle name="Note 6 2 2 3 5" xfId="24105" xr:uid="{00000000-0005-0000-0000-000094480000}"/>
    <cellStyle name="Note 6 2 2 3 6" xfId="24107" xr:uid="{00000000-0005-0000-0000-000095480000}"/>
    <cellStyle name="Note 6 2 2 3 7" xfId="24109" xr:uid="{00000000-0005-0000-0000-000096480000}"/>
    <cellStyle name="Note 6 2 2 4" xfId="24110" xr:uid="{00000000-0005-0000-0000-000097480000}"/>
    <cellStyle name="Note 6 2 2 4 2" xfId="7701" xr:uid="{00000000-0005-0000-0000-000098480000}"/>
    <cellStyle name="Note 6 2 2 4 2 2" xfId="24112" xr:uid="{00000000-0005-0000-0000-000099480000}"/>
    <cellStyle name="Note 6 2 2 4 2 2 2" xfId="17622" xr:uid="{00000000-0005-0000-0000-00009A480000}"/>
    <cellStyle name="Note 6 2 2 4 2 2 3" xfId="24113" xr:uid="{00000000-0005-0000-0000-00009B480000}"/>
    <cellStyle name="Note 6 2 2 4 2 2 4" xfId="3803" xr:uid="{00000000-0005-0000-0000-00009C480000}"/>
    <cellStyle name="Note 6 2 2 4 2 3" xfId="24115" xr:uid="{00000000-0005-0000-0000-00009D480000}"/>
    <cellStyle name="Note 6 2 2 4 2 4" xfId="24116" xr:uid="{00000000-0005-0000-0000-00009E480000}"/>
    <cellStyle name="Note 6 2 2 4 2 5" xfId="24117" xr:uid="{00000000-0005-0000-0000-00009F480000}"/>
    <cellStyle name="Note 6 2 2 4 3" xfId="24119" xr:uid="{00000000-0005-0000-0000-0000A0480000}"/>
    <cellStyle name="Note 6 2 2 4 3 2" xfId="24120" xr:uid="{00000000-0005-0000-0000-0000A1480000}"/>
    <cellStyle name="Note 6 2 2 4 3 3" xfId="24121" xr:uid="{00000000-0005-0000-0000-0000A2480000}"/>
    <cellStyle name="Note 6 2 2 4 3 4" xfId="24122" xr:uid="{00000000-0005-0000-0000-0000A3480000}"/>
    <cellStyle name="Note 6 2 2 4 4" xfId="24124" xr:uid="{00000000-0005-0000-0000-0000A4480000}"/>
    <cellStyle name="Note 6 2 2 4 5" xfId="24125" xr:uid="{00000000-0005-0000-0000-0000A5480000}"/>
    <cellStyle name="Note 6 2 2 4 6" xfId="24128" xr:uid="{00000000-0005-0000-0000-0000A6480000}"/>
    <cellStyle name="Note 6 2 2 5" xfId="24129" xr:uid="{00000000-0005-0000-0000-0000A7480000}"/>
    <cellStyle name="Note 6 2 2 5 2" xfId="19949" xr:uid="{00000000-0005-0000-0000-0000A8480000}"/>
    <cellStyle name="Note 6 2 2 5 2 2" xfId="24130" xr:uid="{00000000-0005-0000-0000-0000A9480000}"/>
    <cellStyle name="Note 6 2 2 5 2 3" xfId="24131" xr:uid="{00000000-0005-0000-0000-0000AA480000}"/>
    <cellStyle name="Note 6 2 2 5 2 4" xfId="24132" xr:uid="{00000000-0005-0000-0000-0000AB480000}"/>
    <cellStyle name="Note 6 2 2 5 3" xfId="24134" xr:uid="{00000000-0005-0000-0000-0000AC480000}"/>
    <cellStyle name="Note 6 2 2 5 4" xfId="19729" xr:uid="{00000000-0005-0000-0000-0000AD480000}"/>
    <cellStyle name="Note 6 2 2 5 5" xfId="19731" xr:uid="{00000000-0005-0000-0000-0000AE480000}"/>
    <cellStyle name="Note 6 2 2 6" xfId="24135" xr:uid="{00000000-0005-0000-0000-0000AF480000}"/>
    <cellStyle name="Note 6 2 2 6 2" xfId="24137" xr:uid="{00000000-0005-0000-0000-0000B0480000}"/>
    <cellStyle name="Note 6 2 2 6 3" xfId="24138" xr:uid="{00000000-0005-0000-0000-0000B1480000}"/>
    <cellStyle name="Note 6 2 2 6 4" xfId="24139" xr:uid="{00000000-0005-0000-0000-0000B2480000}"/>
    <cellStyle name="Note 6 2 2 7" xfId="24140" xr:uid="{00000000-0005-0000-0000-0000B3480000}"/>
    <cellStyle name="Note 6 2 2 8" xfId="23789" xr:uid="{00000000-0005-0000-0000-0000B4480000}"/>
    <cellStyle name="Note 6 2 2 9" xfId="23794" xr:uid="{00000000-0005-0000-0000-0000B5480000}"/>
    <cellStyle name="Note 6 2 3" xfId="24141" xr:uid="{00000000-0005-0000-0000-0000B6480000}"/>
    <cellStyle name="Note 6 2 3 2" xfId="24142" xr:uid="{00000000-0005-0000-0000-0000B7480000}"/>
    <cellStyle name="Note 6 2 3 2 2" xfId="14469" xr:uid="{00000000-0005-0000-0000-0000B8480000}"/>
    <cellStyle name="Note 6 2 3 2 2 2" xfId="24143" xr:uid="{00000000-0005-0000-0000-0000B9480000}"/>
    <cellStyle name="Note 6 2 3 2 2 2 2" xfId="24144" xr:uid="{00000000-0005-0000-0000-0000BA480000}"/>
    <cellStyle name="Note 6 2 3 2 2 2 2 2" xfId="19967" xr:uid="{00000000-0005-0000-0000-0000BB480000}"/>
    <cellStyle name="Note 6 2 3 2 2 2 2 2 2" xfId="12721" xr:uid="{00000000-0005-0000-0000-0000BC480000}"/>
    <cellStyle name="Note 6 2 3 2 2 2 2 2 3" xfId="12726" xr:uid="{00000000-0005-0000-0000-0000BD480000}"/>
    <cellStyle name="Note 6 2 3 2 2 2 2 2 4" xfId="22881" xr:uid="{00000000-0005-0000-0000-0000BE480000}"/>
    <cellStyle name="Note 6 2 3 2 2 2 2 3" xfId="19971" xr:uid="{00000000-0005-0000-0000-0000BF480000}"/>
    <cellStyle name="Note 6 2 3 2 2 2 2 4" xfId="19974" xr:uid="{00000000-0005-0000-0000-0000C0480000}"/>
    <cellStyle name="Note 6 2 3 2 2 2 2 5" xfId="24146" xr:uid="{00000000-0005-0000-0000-0000C1480000}"/>
    <cellStyle name="Note 6 2 3 2 2 2 3" xfId="24147" xr:uid="{00000000-0005-0000-0000-0000C2480000}"/>
    <cellStyle name="Note 6 2 3 2 2 2 3 2" xfId="19979" xr:uid="{00000000-0005-0000-0000-0000C3480000}"/>
    <cellStyle name="Note 6 2 3 2 2 2 3 3" xfId="19984" xr:uid="{00000000-0005-0000-0000-0000C4480000}"/>
    <cellStyle name="Note 6 2 3 2 2 2 3 4" xfId="24148" xr:uid="{00000000-0005-0000-0000-0000C5480000}"/>
    <cellStyle name="Note 6 2 3 2 2 2 4" xfId="24149" xr:uid="{00000000-0005-0000-0000-0000C6480000}"/>
    <cellStyle name="Note 6 2 3 2 2 2 5" xfId="24150" xr:uid="{00000000-0005-0000-0000-0000C7480000}"/>
    <cellStyle name="Note 6 2 3 2 2 2 6" xfId="24151" xr:uid="{00000000-0005-0000-0000-0000C8480000}"/>
    <cellStyle name="Note 6 2 3 2 2 3" xfId="24152" xr:uid="{00000000-0005-0000-0000-0000C9480000}"/>
    <cellStyle name="Note 6 2 3 2 2 3 2" xfId="24153" xr:uid="{00000000-0005-0000-0000-0000CA480000}"/>
    <cellStyle name="Note 6 2 3 2 2 3 2 2" xfId="20012" xr:uid="{00000000-0005-0000-0000-0000CB480000}"/>
    <cellStyle name="Note 6 2 3 2 2 3 2 3" xfId="20015" xr:uid="{00000000-0005-0000-0000-0000CC480000}"/>
    <cellStyle name="Note 6 2 3 2 2 3 2 4" xfId="24154" xr:uid="{00000000-0005-0000-0000-0000CD480000}"/>
    <cellStyle name="Note 6 2 3 2 2 3 3" xfId="5318" xr:uid="{00000000-0005-0000-0000-0000CE480000}"/>
    <cellStyle name="Note 6 2 3 2 2 3 4" xfId="5346" xr:uid="{00000000-0005-0000-0000-0000CF480000}"/>
    <cellStyle name="Note 6 2 3 2 2 3 5" xfId="5250" xr:uid="{00000000-0005-0000-0000-0000D0480000}"/>
    <cellStyle name="Note 6 2 3 2 2 4" xfId="24155" xr:uid="{00000000-0005-0000-0000-0000D1480000}"/>
    <cellStyle name="Note 6 2 3 2 2 4 2" xfId="24156" xr:uid="{00000000-0005-0000-0000-0000D2480000}"/>
    <cellStyle name="Note 6 2 3 2 2 4 3" xfId="24157" xr:uid="{00000000-0005-0000-0000-0000D3480000}"/>
    <cellStyle name="Note 6 2 3 2 2 4 4" xfId="24158" xr:uid="{00000000-0005-0000-0000-0000D4480000}"/>
    <cellStyle name="Note 6 2 3 2 2 5" xfId="24159" xr:uid="{00000000-0005-0000-0000-0000D5480000}"/>
    <cellStyle name="Note 6 2 3 2 2 6" xfId="24161" xr:uid="{00000000-0005-0000-0000-0000D6480000}"/>
    <cellStyle name="Note 6 2 3 2 2 7" xfId="24163" xr:uid="{00000000-0005-0000-0000-0000D7480000}"/>
    <cellStyle name="Note 6 2 3 2 3" xfId="14472" xr:uid="{00000000-0005-0000-0000-0000D8480000}"/>
    <cellStyle name="Note 6 2 3 2 3 2" xfId="24164" xr:uid="{00000000-0005-0000-0000-0000D9480000}"/>
    <cellStyle name="Note 6 2 3 2 3 2 2" xfId="24165" xr:uid="{00000000-0005-0000-0000-0000DA480000}"/>
    <cellStyle name="Note 6 2 3 2 3 2 2 2" xfId="20059" xr:uid="{00000000-0005-0000-0000-0000DB480000}"/>
    <cellStyle name="Note 6 2 3 2 3 2 2 3" xfId="20061" xr:uid="{00000000-0005-0000-0000-0000DC480000}"/>
    <cellStyle name="Note 6 2 3 2 3 2 2 4" xfId="24166" xr:uid="{00000000-0005-0000-0000-0000DD480000}"/>
    <cellStyle name="Note 6 2 3 2 3 2 3" xfId="24167" xr:uid="{00000000-0005-0000-0000-0000DE480000}"/>
    <cellStyle name="Note 6 2 3 2 3 2 4" xfId="24168" xr:uid="{00000000-0005-0000-0000-0000DF480000}"/>
    <cellStyle name="Note 6 2 3 2 3 2 5" xfId="24169" xr:uid="{00000000-0005-0000-0000-0000E0480000}"/>
    <cellStyle name="Note 6 2 3 2 3 3" xfId="24170" xr:uid="{00000000-0005-0000-0000-0000E1480000}"/>
    <cellStyle name="Note 6 2 3 2 3 3 2" xfId="24171" xr:uid="{00000000-0005-0000-0000-0000E2480000}"/>
    <cellStyle name="Note 6 2 3 2 3 3 3" xfId="24172" xr:uid="{00000000-0005-0000-0000-0000E3480000}"/>
    <cellStyle name="Note 6 2 3 2 3 3 4" xfId="24173" xr:uid="{00000000-0005-0000-0000-0000E4480000}"/>
    <cellStyle name="Note 6 2 3 2 3 4" xfId="24174" xr:uid="{00000000-0005-0000-0000-0000E5480000}"/>
    <cellStyle name="Note 6 2 3 2 3 5" xfId="24175" xr:uid="{00000000-0005-0000-0000-0000E6480000}"/>
    <cellStyle name="Note 6 2 3 2 3 6" xfId="24177" xr:uid="{00000000-0005-0000-0000-0000E7480000}"/>
    <cellStyle name="Note 6 2 3 2 4" xfId="14475" xr:uid="{00000000-0005-0000-0000-0000E8480000}"/>
    <cellStyle name="Note 6 2 3 2 4 2" xfId="24178" xr:uid="{00000000-0005-0000-0000-0000E9480000}"/>
    <cellStyle name="Note 6 2 3 2 4 2 2" xfId="24179" xr:uid="{00000000-0005-0000-0000-0000EA480000}"/>
    <cellStyle name="Note 6 2 3 2 4 2 3" xfId="24180" xr:uid="{00000000-0005-0000-0000-0000EB480000}"/>
    <cellStyle name="Note 6 2 3 2 4 2 4" xfId="20983" xr:uid="{00000000-0005-0000-0000-0000EC480000}"/>
    <cellStyle name="Note 6 2 3 2 4 3" xfId="24181" xr:uid="{00000000-0005-0000-0000-0000ED480000}"/>
    <cellStyle name="Note 6 2 3 2 4 4" xfId="19604" xr:uid="{00000000-0005-0000-0000-0000EE480000}"/>
    <cellStyle name="Note 6 2 3 2 4 5" xfId="19606" xr:uid="{00000000-0005-0000-0000-0000EF480000}"/>
    <cellStyle name="Note 6 2 3 2 5" xfId="15279" xr:uid="{00000000-0005-0000-0000-0000F0480000}"/>
    <cellStyle name="Note 6 2 3 2 5 2" xfId="24182" xr:uid="{00000000-0005-0000-0000-0000F1480000}"/>
    <cellStyle name="Note 6 2 3 2 5 3" xfId="24183" xr:uid="{00000000-0005-0000-0000-0000F2480000}"/>
    <cellStyle name="Note 6 2 3 2 5 4" xfId="24184" xr:uid="{00000000-0005-0000-0000-0000F3480000}"/>
    <cellStyle name="Note 6 2 3 2 6" xfId="16070" xr:uid="{00000000-0005-0000-0000-0000F4480000}"/>
    <cellStyle name="Note 6 2 3 2 7" xfId="24185" xr:uid="{00000000-0005-0000-0000-0000F5480000}"/>
    <cellStyle name="Note 6 2 3 2 8" xfId="24186" xr:uid="{00000000-0005-0000-0000-0000F6480000}"/>
    <cellStyle name="Note 6 2 3 3" xfId="24187" xr:uid="{00000000-0005-0000-0000-0000F7480000}"/>
    <cellStyle name="Note 6 2 3 3 2" xfId="14488" xr:uid="{00000000-0005-0000-0000-0000F8480000}"/>
    <cellStyle name="Note 6 2 3 3 2 2" xfId="24188" xr:uid="{00000000-0005-0000-0000-0000F9480000}"/>
    <cellStyle name="Note 6 2 3 3 2 2 2" xfId="15222" xr:uid="{00000000-0005-0000-0000-0000FA480000}"/>
    <cellStyle name="Note 6 2 3 3 2 2 2 2" xfId="20086" xr:uid="{00000000-0005-0000-0000-0000FB480000}"/>
    <cellStyle name="Note 6 2 3 3 2 2 2 3" xfId="20088" xr:uid="{00000000-0005-0000-0000-0000FC480000}"/>
    <cellStyle name="Note 6 2 3 3 2 2 2 4" xfId="24189" xr:uid="{00000000-0005-0000-0000-0000FD480000}"/>
    <cellStyle name="Note 6 2 3 3 2 2 3" xfId="24190" xr:uid="{00000000-0005-0000-0000-0000FE480000}"/>
    <cellStyle name="Note 6 2 3 3 2 2 4" xfId="13719" xr:uid="{00000000-0005-0000-0000-0000FF480000}"/>
    <cellStyle name="Note 6 2 3 3 2 2 5" xfId="13721" xr:uid="{00000000-0005-0000-0000-000000490000}"/>
    <cellStyle name="Note 6 2 3 3 2 3" xfId="24191" xr:uid="{00000000-0005-0000-0000-000001490000}"/>
    <cellStyle name="Note 6 2 3 3 2 3 2" xfId="24193" xr:uid="{00000000-0005-0000-0000-000002490000}"/>
    <cellStyle name="Note 6 2 3 3 2 3 3" xfId="24195" xr:uid="{00000000-0005-0000-0000-000003490000}"/>
    <cellStyle name="Note 6 2 3 3 2 3 4" xfId="24196" xr:uid="{00000000-0005-0000-0000-000004490000}"/>
    <cellStyle name="Note 6 2 3 3 2 4" xfId="24197" xr:uid="{00000000-0005-0000-0000-000005490000}"/>
    <cellStyle name="Note 6 2 3 3 2 5" xfId="24198" xr:uid="{00000000-0005-0000-0000-000006490000}"/>
    <cellStyle name="Note 6 2 3 3 2 6" xfId="24200" xr:uid="{00000000-0005-0000-0000-000007490000}"/>
    <cellStyle name="Note 6 2 3 3 3" xfId="14491" xr:uid="{00000000-0005-0000-0000-000008490000}"/>
    <cellStyle name="Note 6 2 3 3 3 2" xfId="24201" xr:uid="{00000000-0005-0000-0000-000009490000}"/>
    <cellStyle name="Note 6 2 3 3 3 2 2" xfId="24202" xr:uid="{00000000-0005-0000-0000-00000A490000}"/>
    <cellStyle name="Note 6 2 3 3 3 2 3" xfId="24203" xr:uid="{00000000-0005-0000-0000-00000B490000}"/>
    <cellStyle name="Note 6 2 3 3 3 2 4" xfId="24204" xr:uid="{00000000-0005-0000-0000-00000C490000}"/>
    <cellStyle name="Note 6 2 3 3 3 3" xfId="24205" xr:uid="{00000000-0005-0000-0000-00000D490000}"/>
    <cellStyle name="Note 6 2 3 3 3 4" xfId="24206" xr:uid="{00000000-0005-0000-0000-00000E490000}"/>
    <cellStyle name="Note 6 2 3 3 3 5" xfId="24207" xr:uid="{00000000-0005-0000-0000-00000F490000}"/>
    <cellStyle name="Note 6 2 3 3 4" xfId="24208" xr:uid="{00000000-0005-0000-0000-000010490000}"/>
    <cellStyle name="Note 6 2 3 3 4 2" xfId="24209" xr:uid="{00000000-0005-0000-0000-000011490000}"/>
    <cellStyle name="Note 6 2 3 3 4 3" xfId="24210" xr:uid="{00000000-0005-0000-0000-000012490000}"/>
    <cellStyle name="Note 6 2 3 3 4 4" xfId="24211" xr:uid="{00000000-0005-0000-0000-000013490000}"/>
    <cellStyle name="Note 6 2 3 3 5" xfId="24212" xr:uid="{00000000-0005-0000-0000-000014490000}"/>
    <cellStyle name="Note 6 2 3 3 6" xfId="24214" xr:uid="{00000000-0005-0000-0000-000015490000}"/>
    <cellStyle name="Note 6 2 3 3 7" xfId="24216" xr:uid="{00000000-0005-0000-0000-000016490000}"/>
    <cellStyle name="Note 6 2 3 4" xfId="24217" xr:uid="{00000000-0005-0000-0000-000017490000}"/>
    <cellStyle name="Note 6 2 3 4 2" xfId="14495" xr:uid="{00000000-0005-0000-0000-000018490000}"/>
    <cellStyle name="Note 6 2 3 4 2 2" xfId="6503" xr:uid="{00000000-0005-0000-0000-000019490000}"/>
    <cellStyle name="Note 6 2 3 4 2 2 2" xfId="24218" xr:uid="{00000000-0005-0000-0000-00001A490000}"/>
    <cellStyle name="Note 6 2 3 4 2 2 3" xfId="24219" xr:uid="{00000000-0005-0000-0000-00001B490000}"/>
    <cellStyle name="Note 6 2 3 4 2 2 4" xfId="24220" xr:uid="{00000000-0005-0000-0000-00001C490000}"/>
    <cellStyle name="Note 6 2 3 4 2 3" xfId="24221" xr:uid="{00000000-0005-0000-0000-00001D490000}"/>
    <cellStyle name="Note 6 2 3 4 2 4" xfId="24222" xr:uid="{00000000-0005-0000-0000-00001E490000}"/>
    <cellStyle name="Note 6 2 3 4 2 5" xfId="24223" xr:uid="{00000000-0005-0000-0000-00001F490000}"/>
    <cellStyle name="Note 6 2 3 4 3" xfId="24225" xr:uid="{00000000-0005-0000-0000-000020490000}"/>
    <cellStyle name="Note 6 2 3 4 3 2" xfId="24226" xr:uid="{00000000-0005-0000-0000-000021490000}"/>
    <cellStyle name="Note 6 2 3 4 3 3" xfId="24227" xr:uid="{00000000-0005-0000-0000-000022490000}"/>
    <cellStyle name="Note 6 2 3 4 3 4" xfId="24228" xr:uid="{00000000-0005-0000-0000-000023490000}"/>
    <cellStyle name="Note 6 2 3 4 4" xfId="24229" xr:uid="{00000000-0005-0000-0000-000024490000}"/>
    <cellStyle name="Note 6 2 3 4 5" xfId="24230" xr:uid="{00000000-0005-0000-0000-000025490000}"/>
    <cellStyle name="Note 6 2 3 4 6" xfId="24234" xr:uid="{00000000-0005-0000-0000-000026490000}"/>
    <cellStyle name="Note 6 2 3 5" xfId="24235" xr:uid="{00000000-0005-0000-0000-000027490000}"/>
    <cellStyle name="Note 6 2 3 5 2" xfId="24236" xr:uid="{00000000-0005-0000-0000-000028490000}"/>
    <cellStyle name="Note 6 2 3 5 2 2" xfId="24237" xr:uid="{00000000-0005-0000-0000-000029490000}"/>
    <cellStyle name="Note 6 2 3 5 2 3" xfId="24238" xr:uid="{00000000-0005-0000-0000-00002A490000}"/>
    <cellStyle name="Note 6 2 3 5 2 4" xfId="24239" xr:uid="{00000000-0005-0000-0000-00002B490000}"/>
    <cellStyle name="Note 6 2 3 5 3" xfId="24240" xr:uid="{00000000-0005-0000-0000-00002C490000}"/>
    <cellStyle name="Note 6 2 3 5 4" xfId="24241" xr:uid="{00000000-0005-0000-0000-00002D490000}"/>
    <cellStyle name="Note 6 2 3 5 5" xfId="24242" xr:uid="{00000000-0005-0000-0000-00002E490000}"/>
    <cellStyle name="Note 6 2 3 6" xfId="24243" xr:uid="{00000000-0005-0000-0000-00002F490000}"/>
    <cellStyle name="Note 6 2 3 6 2" xfId="24244" xr:uid="{00000000-0005-0000-0000-000030490000}"/>
    <cellStyle name="Note 6 2 3 6 3" xfId="24245" xr:uid="{00000000-0005-0000-0000-000031490000}"/>
    <cellStyle name="Note 6 2 3 6 4" xfId="24247" xr:uid="{00000000-0005-0000-0000-000032490000}"/>
    <cellStyle name="Note 6 2 3 7" xfId="24248" xr:uid="{00000000-0005-0000-0000-000033490000}"/>
    <cellStyle name="Note 6 2 3 8" xfId="23799" xr:uid="{00000000-0005-0000-0000-000034490000}"/>
    <cellStyle name="Note 6 2 3 9" xfId="23801" xr:uid="{00000000-0005-0000-0000-000035490000}"/>
    <cellStyle name="Note 6 2 4" xfId="24249" xr:uid="{00000000-0005-0000-0000-000036490000}"/>
    <cellStyle name="Note 6 2 4 2" xfId="24250" xr:uid="{00000000-0005-0000-0000-000037490000}"/>
    <cellStyle name="Note 6 2 4 2 2" xfId="14504" xr:uid="{00000000-0005-0000-0000-000038490000}"/>
    <cellStyle name="Note 6 2 4 2 2 2" xfId="15188" xr:uid="{00000000-0005-0000-0000-000039490000}"/>
    <cellStyle name="Note 6 2 4 2 2 2 2" xfId="24251" xr:uid="{00000000-0005-0000-0000-00003A490000}"/>
    <cellStyle name="Note 6 2 4 2 2 2 2 2" xfId="24253" xr:uid="{00000000-0005-0000-0000-00003B490000}"/>
    <cellStyle name="Note 6 2 4 2 2 2 2 3" xfId="24254" xr:uid="{00000000-0005-0000-0000-00003C490000}"/>
    <cellStyle name="Note 6 2 4 2 2 2 2 4" xfId="24255" xr:uid="{00000000-0005-0000-0000-00003D490000}"/>
    <cellStyle name="Note 6 2 4 2 2 2 3" xfId="24256" xr:uid="{00000000-0005-0000-0000-00003E490000}"/>
    <cellStyle name="Note 6 2 4 2 2 2 4" xfId="24257" xr:uid="{00000000-0005-0000-0000-00003F490000}"/>
    <cellStyle name="Note 6 2 4 2 2 2 5" xfId="24258" xr:uid="{00000000-0005-0000-0000-000040490000}"/>
    <cellStyle name="Note 6 2 4 2 2 3" xfId="22563" xr:uid="{00000000-0005-0000-0000-000041490000}"/>
    <cellStyle name="Note 6 2 4 2 2 3 2" xfId="24260" xr:uid="{00000000-0005-0000-0000-000042490000}"/>
    <cellStyle name="Note 6 2 4 2 2 3 3" xfId="5865" xr:uid="{00000000-0005-0000-0000-000043490000}"/>
    <cellStyle name="Note 6 2 4 2 2 3 4" xfId="5875" xr:uid="{00000000-0005-0000-0000-000044490000}"/>
    <cellStyle name="Note 6 2 4 2 2 4" xfId="3865" xr:uid="{00000000-0005-0000-0000-000045490000}"/>
    <cellStyle name="Note 6 2 4 2 2 5" xfId="3880" xr:uid="{00000000-0005-0000-0000-000046490000}"/>
    <cellStyle name="Note 6 2 4 2 2 6" xfId="3906" xr:uid="{00000000-0005-0000-0000-000047490000}"/>
    <cellStyle name="Note 6 2 4 2 3" xfId="14507" xr:uid="{00000000-0005-0000-0000-000048490000}"/>
    <cellStyle name="Note 6 2 4 2 3 2" xfId="22576" xr:uid="{00000000-0005-0000-0000-000049490000}"/>
    <cellStyle name="Note 6 2 4 2 3 2 2" xfId="24261" xr:uid="{00000000-0005-0000-0000-00004A490000}"/>
    <cellStyle name="Note 6 2 4 2 3 2 3" xfId="24262" xr:uid="{00000000-0005-0000-0000-00004B490000}"/>
    <cellStyle name="Note 6 2 4 2 3 2 4" xfId="24263" xr:uid="{00000000-0005-0000-0000-00004C490000}"/>
    <cellStyle name="Note 6 2 4 2 3 3" xfId="24265" xr:uid="{00000000-0005-0000-0000-00004D490000}"/>
    <cellStyle name="Note 6 2 4 2 3 4" xfId="3946" xr:uid="{00000000-0005-0000-0000-00004E490000}"/>
    <cellStyle name="Note 6 2 4 2 3 5" xfId="3952" xr:uid="{00000000-0005-0000-0000-00004F490000}"/>
    <cellStyle name="Note 6 2 4 2 4" xfId="24266" xr:uid="{00000000-0005-0000-0000-000050490000}"/>
    <cellStyle name="Note 6 2 4 2 4 2" xfId="24267" xr:uid="{00000000-0005-0000-0000-000051490000}"/>
    <cellStyle name="Note 6 2 4 2 4 3" xfId="24268" xr:uid="{00000000-0005-0000-0000-000052490000}"/>
    <cellStyle name="Note 6 2 4 2 4 4" xfId="24269" xr:uid="{00000000-0005-0000-0000-000053490000}"/>
    <cellStyle name="Note 6 2 4 2 5" xfId="24270" xr:uid="{00000000-0005-0000-0000-000054490000}"/>
    <cellStyle name="Note 6 2 4 2 6" xfId="24271" xr:uid="{00000000-0005-0000-0000-000055490000}"/>
    <cellStyle name="Note 6 2 4 2 7" xfId="24272" xr:uid="{00000000-0005-0000-0000-000056490000}"/>
    <cellStyle name="Note 6 2 4 3" xfId="24273" xr:uid="{00000000-0005-0000-0000-000057490000}"/>
    <cellStyle name="Note 6 2 4 3 2" xfId="14512" xr:uid="{00000000-0005-0000-0000-000058490000}"/>
    <cellStyle name="Note 6 2 4 3 2 2" xfId="22605" xr:uid="{00000000-0005-0000-0000-000059490000}"/>
    <cellStyle name="Note 6 2 4 3 2 2 2" xfId="24274" xr:uid="{00000000-0005-0000-0000-00005A490000}"/>
    <cellStyle name="Note 6 2 4 3 2 2 3" xfId="24275" xr:uid="{00000000-0005-0000-0000-00005B490000}"/>
    <cellStyle name="Note 6 2 4 3 2 2 4" xfId="24276" xr:uid="{00000000-0005-0000-0000-00005C490000}"/>
    <cellStyle name="Note 6 2 4 3 2 3" xfId="24277" xr:uid="{00000000-0005-0000-0000-00005D490000}"/>
    <cellStyle name="Note 6 2 4 3 2 4" xfId="4026" xr:uid="{00000000-0005-0000-0000-00005E490000}"/>
    <cellStyle name="Note 6 2 4 3 2 5" xfId="4029" xr:uid="{00000000-0005-0000-0000-00005F490000}"/>
    <cellStyle name="Note 6 2 4 3 3" xfId="24278" xr:uid="{00000000-0005-0000-0000-000060490000}"/>
    <cellStyle name="Note 6 2 4 3 3 2" xfId="24279" xr:uid="{00000000-0005-0000-0000-000061490000}"/>
    <cellStyle name="Note 6 2 4 3 3 3" xfId="24280" xr:uid="{00000000-0005-0000-0000-000062490000}"/>
    <cellStyle name="Note 6 2 4 3 3 4" xfId="24281" xr:uid="{00000000-0005-0000-0000-000063490000}"/>
    <cellStyle name="Note 6 2 4 3 4" xfId="24282" xr:uid="{00000000-0005-0000-0000-000064490000}"/>
    <cellStyle name="Note 6 2 4 3 5" xfId="24283" xr:uid="{00000000-0005-0000-0000-000065490000}"/>
    <cellStyle name="Note 6 2 4 3 6" xfId="24285" xr:uid="{00000000-0005-0000-0000-000066490000}"/>
    <cellStyle name="Note 6 2 4 4" xfId="24286" xr:uid="{00000000-0005-0000-0000-000067490000}"/>
    <cellStyle name="Note 6 2 4 4 2" xfId="24287" xr:uid="{00000000-0005-0000-0000-000068490000}"/>
    <cellStyle name="Note 6 2 4 4 2 2" xfId="24288" xr:uid="{00000000-0005-0000-0000-000069490000}"/>
    <cellStyle name="Note 6 2 4 4 2 3" xfId="24289" xr:uid="{00000000-0005-0000-0000-00006A490000}"/>
    <cellStyle name="Note 6 2 4 4 2 4" xfId="24290" xr:uid="{00000000-0005-0000-0000-00006B490000}"/>
    <cellStyle name="Note 6 2 4 4 3" xfId="24291" xr:uid="{00000000-0005-0000-0000-00006C490000}"/>
    <cellStyle name="Note 6 2 4 4 4" xfId="20189" xr:uid="{00000000-0005-0000-0000-00006D490000}"/>
    <cellStyle name="Note 6 2 4 4 5" xfId="20195" xr:uid="{00000000-0005-0000-0000-00006E490000}"/>
    <cellStyle name="Note 6 2 4 5" xfId="24293" xr:uid="{00000000-0005-0000-0000-00006F490000}"/>
    <cellStyle name="Note 6 2 4 5 2" xfId="24295" xr:uid="{00000000-0005-0000-0000-000070490000}"/>
    <cellStyle name="Note 6 2 4 5 3" xfId="24297" xr:uid="{00000000-0005-0000-0000-000071490000}"/>
    <cellStyle name="Note 6 2 4 5 4" xfId="1000" xr:uid="{00000000-0005-0000-0000-000072490000}"/>
    <cellStyle name="Note 6 2 4 6" xfId="24299" xr:uid="{00000000-0005-0000-0000-000073490000}"/>
    <cellStyle name="Note 6 2 4 7" xfId="24301" xr:uid="{00000000-0005-0000-0000-000074490000}"/>
    <cellStyle name="Note 6 2 4 8" xfId="24303" xr:uid="{00000000-0005-0000-0000-000075490000}"/>
    <cellStyle name="Note 6 2 5" xfId="24304" xr:uid="{00000000-0005-0000-0000-000076490000}"/>
    <cellStyle name="Note 6 2 5 2" xfId="24306" xr:uid="{00000000-0005-0000-0000-000077490000}"/>
    <cellStyle name="Note 6 2 5 2 2" xfId="1943" xr:uid="{00000000-0005-0000-0000-000078490000}"/>
    <cellStyle name="Note 6 2 5 2 2 2" xfId="22696" xr:uid="{00000000-0005-0000-0000-000079490000}"/>
    <cellStyle name="Note 6 2 5 2 2 2 2" xfId="24307" xr:uid="{00000000-0005-0000-0000-00007A490000}"/>
    <cellStyle name="Note 6 2 5 2 2 2 3" xfId="24308" xr:uid="{00000000-0005-0000-0000-00007B490000}"/>
    <cellStyle name="Note 6 2 5 2 2 2 4" xfId="2508" xr:uid="{00000000-0005-0000-0000-00007C490000}"/>
    <cellStyle name="Note 6 2 5 2 2 3" xfId="22698" xr:uid="{00000000-0005-0000-0000-00007D490000}"/>
    <cellStyle name="Note 6 2 5 2 2 4" xfId="624" xr:uid="{00000000-0005-0000-0000-00007E490000}"/>
    <cellStyle name="Note 6 2 5 2 2 5" xfId="730" xr:uid="{00000000-0005-0000-0000-00007F490000}"/>
    <cellStyle name="Note 6 2 5 2 3" xfId="24309" xr:uid="{00000000-0005-0000-0000-000080490000}"/>
    <cellStyle name="Note 6 2 5 2 3 2" xfId="22719" xr:uid="{00000000-0005-0000-0000-000081490000}"/>
    <cellStyle name="Note 6 2 5 2 3 3" xfId="24310" xr:uid="{00000000-0005-0000-0000-000082490000}"/>
    <cellStyle name="Note 6 2 5 2 3 4" xfId="24311" xr:uid="{00000000-0005-0000-0000-000083490000}"/>
    <cellStyle name="Note 6 2 5 2 4" xfId="2613" xr:uid="{00000000-0005-0000-0000-000084490000}"/>
    <cellStyle name="Note 6 2 5 2 5" xfId="2637" xr:uid="{00000000-0005-0000-0000-000085490000}"/>
    <cellStyle name="Note 6 2 5 2 6" xfId="2652" xr:uid="{00000000-0005-0000-0000-000086490000}"/>
    <cellStyle name="Note 6 2 5 3" xfId="182" xr:uid="{00000000-0005-0000-0000-000087490000}"/>
    <cellStyle name="Note 6 2 5 3 2" xfId="24313" xr:uid="{00000000-0005-0000-0000-000088490000}"/>
    <cellStyle name="Note 6 2 5 3 2 2" xfId="834" xr:uid="{00000000-0005-0000-0000-000089490000}"/>
    <cellStyle name="Note 6 2 5 3 2 3" xfId="852" xr:uid="{00000000-0005-0000-0000-00008A490000}"/>
    <cellStyle name="Note 6 2 5 3 2 4" xfId="871" xr:uid="{00000000-0005-0000-0000-00008B490000}"/>
    <cellStyle name="Note 6 2 5 3 3" xfId="24315" xr:uid="{00000000-0005-0000-0000-00008C490000}"/>
    <cellStyle name="Note 6 2 5 3 4" xfId="107" xr:uid="{00000000-0005-0000-0000-00008D490000}"/>
    <cellStyle name="Note 6 2 5 3 5" xfId="540" xr:uid="{00000000-0005-0000-0000-00008E490000}"/>
    <cellStyle name="Note 6 2 5 4" xfId="24317" xr:uid="{00000000-0005-0000-0000-00008F490000}"/>
    <cellStyle name="Note 6 2 5 4 2" xfId="24318" xr:uid="{00000000-0005-0000-0000-000090490000}"/>
    <cellStyle name="Note 6 2 5 4 3" xfId="24319" xr:uid="{00000000-0005-0000-0000-000091490000}"/>
    <cellStyle name="Note 6 2 5 4 4" xfId="2718" xr:uid="{00000000-0005-0000-0000-000092490000}"/>
    <cellStyle name="Note 6 2 5 5" xfId="24322" xr:uid="{00000000-0005-0000-0000-000093490000}"/>
    <cellStyle name="Note 6 2 5 6" xfId="24324" xr:uid="{00000000-0005-0000-0000-000094490000}"/>
    <cellStyle name="Note 6 2 5 7" xfId="24326" xr:uid="{00000000-0005-0000-0000-000095490000}"/>
    <cellStyle name="Note 6 2 6" xfId="24327" xr:uid="{00000000-0005-0000-0000-000096490000}"/>
    <cellStyle name="Note 6 2 6 2" xfId="24328" xr:uid="{00000000-0005-0000-0000-000097490000}"/>
    <cellStyle name="Note 6 2 6 2 2" xfId="24329" xr:uid="{00000000-0005-0000-0000-000098490000}"/>
    <cellStyle name="Note 6 2 6 2 2 2" xfId="22777" xr:uid="{00000000-0005-0000-0000-000099490000}"/>
    <cellStyle name="Note 6 2 6 2 2 3" xfId="24331" xr:uid="{00000000-0005-0000-0000-00009A490000}"/>
    <cellStyle name="Note 6 2 6 2 2 4" xfId="24333" xr:uid="{00000000-0005-0000-0000-00009B490000}"/>
    <cellStyle name="Note 6 2 6 2 3" xfId="24334" xr:uid="{00000000-0005-0000-0000-00009C490000}"/>
    <cellStyle name="Note 6 2 6 2 4" xfId="2804" xr:uid="{00000000-0005-0000-0000-00009D490000}"/>
    <cellStyle name="Note 6 2 6 2 5" xfId="2821" xr:uid="{00000000-0005-0000-0000-00009E490000}"/>
    <cellStyle name="Note 6 2 6 3" xfId="24335" xr:uid="{00000000-0005-0000-0000-00009F490000}"/>
    <cellStyle name="Note 6 2 6 3 2" xfId="24336" xr:uid="{00000000-0005-0000-0000-0000A0490000}"/>
    <cellStyle name="Note 6 2 6 3 3" xfId="24337" xr:uid="{00000000-0005-0000-0000-0000A1490000}"/>
    <cellStyle name="Note 6 2 6 3 4" xfId="2869" xr:uid="{00000000-0005-0000-0000-0000A2490000}"/>
    <cellStyle name="Note 6 2 6 4" xfId="24338" xr:uid="{00000000-0005-0000-0000-0000A3490000}"/>
    <cellStyle name="Note 6 2 6 5" xfId="24339" xr:uid="{00000000-0005-0000-0000-0000A4490000}"/>
    <cellStyle name="Note 6 2 6 6" xfId="24340" xr:uid="{00000000-0005-0000-0000-0000A5490000}"/>
    <cellStyle name="Note 6 2 7" xfId="24341" xr:uid="{00000000-0005-0000-0000-0000A6490000}"/>
    <cellStyle name="Note 6 2 7 2" xfId="24342" xr:uid="{00000000-0005-0000-0000-0000A7490000}"/>
    <cellStyle name="Note 6 2 7 2 2" xfId="24343" xr:uid="{00000000-0005-0000-0000-0000A8490000}"/>
    <cellStyle name="Note 6 2 7 2 3" xfId="24087" xr:uid="{00000000-0005-0000-0000-0000A9490000}"/>
    <cellStyle name="Note 6 2 7 2 4" xfId="1521" xr:uid="{00000000-0005-0000-0000-0000AA490000}"/>
    <cellStyle name="Note 6 2 7 3" xfId="24344" xr:uid="{00000000-0005-0000-0000-0000AB490000}"/>
    <cellStyle name="Note 6 2 7 4" xfId="24345" xr:uid="{00000000-0005-0000-0000-0000AC490000}"/>
    <cellStyle name="Note 6 2 7 5" xfId="24346" xr:uid="{00000000-0005-0000-0000-0000AD490000}"/>
    <cellStyle name="Note 6 2 8" xfId="24347" xr:uid="{00000000-0005-0000-0000-0000AE490000}"/>
    <cellStyle name="Note 6 2 8 2" xfId="24348" xr:uid="{00000000-0005-0000-0000-0000AF490000}"/>
    <cellStyle name="Note 6 2 8 3" xfId="24349" xr:uid="{00000000-0005-0000-0000-0000B0490000}"/>
    <cellStyle name="Note 6 2 8 4" xfId="24350" xr:uid="{00000000-0005-0000-0000-0000B1490000}"/>
    <cellStyle name="Note 6 2 9" xfId="24351" xr:uid="{00000000-0005-0000-0000-0000B2490000}"/>
    <cellStyle name="Note 6 3" xfId="24352" xr:uid="{00000000-0005-0000-0000-0000B3490000}"/>
    <cellStyle name="Note 6 3 2" xfId="24353" xr:uid="{00000000-0005-0000-0000-0000B4490000}"/>
    <cellStyle name="Note 6 3 2 2" xfId="24354" xr:uid="{00000000-0005-0000-0000-0000B5490000}"/>
    <cellStyle name="Note 6 3 2 2 2" xfId="24355" xr:uid="{00000000-0005-0000-0000-0000B6490000}"/>
    <cellStyle name="Note 6 3 2 2 2 2" xfId="24356" xr:uid="{00000000-0005-0000-0000-0000B7490000}"/>
    <cellStyle name="Note 6 3 2 2 2 2 2" xfId="24357" xr:uid="{00000000-0005-0000-0000-0000B8490000}"/>
    <cellStyle name="Note 6 3 2 2 2 2 2 2" xfId="24360" xr:uid="{00000000-0005-0000-0000-0000B9490000}"/>
    <cellStyle name="Note 6 3 2 2 2 2 2 3" xfId="24363" xr:uid="{00000000-0005-0000-0000-0000BA490000}"/>
    <cellStyle name="Note 6 3 2 2 2 2 2 4" xfId="24365" xr:uid="{00000000-0005-0000-0000-0000BB490000}"/>
    <cellStyle name="Note 6 3 2 2 2 2 3" xfId="24366" xr:uid="{00000000-0005-0000-0000-0000BC490000}"/>
    <cellStyle name="Note 6 3 2 2 2 2 4" xfId="24367" xr:uid="{00000000-0005-0000-0000-0000BD490000}"/>
    <cellStyle name="Note 6 3 2 2 2 2 5" xfId="24368" xr:uid="{00000000-0005-0000-0000-0000BE490000}"/>
    <cellStyle name="Note 6 3 2 2 2 3" xfId="24369" xr:uid="{00000000-0005-0000-0000-0000BF490000}"/>
    <cellStyle name="Note 6 3 2 2 2 3 2" xfId="24370" xr:uid="{00000000-0005-0000-0000-0000C0490000}"/>
    <cellStyle name="Note 6 3 2 2 2 3 3" xfId="309" xr:uid="{00000000-0005-0000-0000-0000C1490000}"/>
    <cellStyle name="Note 6 3 2 2 2 3 4" xfId="430" xr:uid="{00000000-0005-0000-0000-0000C2490000}"/>
    <cellStyle name="Note 6 3 2 2 2 4" xfId="24371" xr:uid="{00000000-0005-0000-0000-0000C3490000}"/>
    <cellStyle name="Note 6 3 2 2 2 5" xfId="24373" xr:uid="{00000000-0005-0000-0000-0000C4490000}"/>
    <cellStyle name="Note 6 3 2 2 2 6" xfId="24376" xr:uid="{00000000-0005-0000-0000-0000C5490000}"/>
    <cellStyle name="Note 6 3 2 2 3" xfId="24377" xr:uid="{00000000-0005-0000-0000-0000C6490000}"/>
    <cellStyle name="Note 6 3 2 2 3 2" xfId="21640" xr:uid="{00000000-0005-0000-0000-0000C7490000}"/>
    <cellStyle name="Note 6 3 2 2 3 2 2" xfId="21646" xr:uid="{00000000-0005-0000-0000-0000C8490000}"/>
    <cellStyle name="Note 6 3 2 2 3 2 3" xfId="21687" xr:uid="{00000000-0005-0000-0000-0000C9490000}"/>
    <cellStyle name="Note 6 3 2 2 3 2 4" xfId="21771" xr:uid="{00000000-0005-0000-0000-0000CA490000}"/>
    <cellStyle name="Note 6 3 2 2 3 3" xfId="21829" xr:uid="{00000000-0005-0000-0000-0000CB490000}"/>
    <cellStyle name="Note 6 3 2 2 3 4" xfId="24378" xr:uid="{00000000-0005-0000-0000-0000CC490000}"/>
    <cellStyle name="Note 6 3 2 2 3 5" xfId="24046" xr:uid="{00000000-0005-0000-0000-0000CD490000}"/>
    <cellStyle name="Note 6 3 2 2 4" xfId="24379" xr:uid="{00000000-0005-0000-0000-0000CE490000}"/>
    <cellStyle name="Note 6 3 2 2 4 2" xfId="15365" xr:uid="{00000000-0005-0000-0000-0000CF490000}"/>
    <cellStyle name="Note 6 3 2 2 4 3" xfId="15371" xr:uid="{00000000-0005-0000-0000-0000D0490000}"/>
    <cellStyle name="Note 6 3 2 2 4 4" xfId="24380" xr:uid="{00000000-0005-0000-0000-0000D1490000}"/>
    <cellStyle name="Note 6 3 2 2 5" xfId="24381" xr:uid="{00000000-0005-0000-0000-0000D2490000}"/>
    <cellStyle name="Note 6 3 2 2 6" xfId="24382" xr:uid="{00000000-0005-0000-0000-0000D3490000}"/>
    <cellStyle name="Note 6 3 2 2 7" xfId="24383" xr:uid="{00000000-0005-0000-0000-0000D4490000}"/>
    <cellStyle name="Note 6 3 2 3" xfId="23214" xr:uid="{00000000-0005-0000-0000-0000D5490000}"/>
    <cellStyle name="Note 6 3 2 3 2" xfId="24384" xr:uid="{00000000-0005-0000-0000-0000D6490000}"/>
    <cellStyle name="Note 6 3 2 3 2 2" xfId="24385" xr:uid="{00000000-0005-0000-0000-0000D7490000}"/>
    <cellStyle name="Note 6 3 2 3 2 2 2" xfId="24386" xr:uid="{00000000-0005-0000-0000-0000D8490000}"/>
    <cellStyle name="Note 6 3 2 3 2 2 3" xfId="24387" xr:uid="{00000000-0005-0000-0000-0000D9490000}"/>
    <cellStyle name="Note 6 3 2 3 2 2 4" xfId="14385" xr:uid="{00000000-0005-0000-0000-0000DA490000}"/>
    <cellStyle name="Note 6 3 2 3 2 3" xfId="24388" xr:uid="{00000000-0005-0000-0000-0000DB490000}"/>
    <cellStyle name="Note 6 3 2 3 2 4" xfId="24389" xr:uid="{00000000-0005-0000-0000-0000DC490000}"/>
    <cellStyle name="Note 6 3 2 3 2 5" xfId="24391" xr:uid="{00000000-0005-0000-0000-0000DD490000}"/>
    <cellStyle name="Note 6 3 2 3 3" xfId="24392" xr:uid="{00000000-0005-0000-0000-0000DE490000}"/>
    <cellStyle name="Note 6 3 2 3 3 2" xfId="24393" xr:uid="{00000000-0005-0000-0000-0000DF490000}"/>
    <cellStyle name="Note 6 3 2 3 3 3" xfId="24394" xr:uid="{00000000-0005-0000-0000-0000E0490000}"/>
    <cellStyle name="Note 6 3 2 3 3 4" xfId="24395" xr:uid="{00000000-0005-0000-0000-0000E1490000}"/>
    <cellStyle name="Note 6 3 2 3 4" xfId="24396" xr:uid="{00000000-0005-0000-0000-0000E2490000}"/>
    <cellStyle name="Note 6 3 2 3 5" xfId="24397" xr:uid="{00000000-0005-0000-0000-0000E3490000}"/>
    <cellStyle name="Note 6 3 2 3 6" xfId="24399" xr:uid="{00000000-0005-0000-0000-0000E4490000}"/>
    <cellStyle name="Note 6 3 2 4" xfId="23217" xr:uid="{00000000-0005-0000-0000-0000E5490000}"/>
    <cellStyle name="Note 6 3 2 4 2" xfId="24402" xr:uid="{00000000-0005-0000-0000-0000E6490000}"/>
    <cellStyle name="Note 6 3 2 4 2 2" xfId="24404" xr:uid="{00000000-0005-0000-0000-0000E7490000}"/>
    <cellStyle name="Note 6 3 2 4 2 3" xfId="24406" xr:uid="{00000000-0005-0000-0000-0000E8490000}"/>
    <cellStyle name="Note 6 3 2 4 2 4" xfId="24408" xr:uid="{00000000-0005-0000-0000-0000E9490000}"/>
    <cellStyle name="Note 6 3 2 4 3" xfId="24411" xr:uid="{00000000-0005-0000-0000-0000EA490000}"/>
    <cellStyle name="Note 6 3 2 4 4" xfId="10937" xr:uid="{00000000-0005-0000-0000-0000EB490000}"/>
    <cellStyle name="Note 6 3 2 4 5" xfId="10964" xr:uid="{00000000-0005-0000-0000-0000EC490000}"/>
    <cellStyle name="Note 6 3 2 5" xfId="23220" xr:uid="{00000000-0005-0000-0000-0000ED490000}"/>
    <cellStyle name="Note 6 3 2 5 2" xfId="24413" xr:uid="{00000000-0005-0000-0000-0000EE490000}"/>
    <cellStyle name="Note 6 3 2 5 3" xfId="24415" xr:uid="{00000000-0005-0000-0000-0000EF490000}"/>
    <cellStyle name="Note 6 3 2 5 4" xfId="10983" xr:uid="{00000000-0005-0000-0000-0000F0490000}"/>
    <cellStyle name="Note 6 3 2 6" xfId="23223" xr:uid="{00000000-0005-0000-0000-0000F1490000}"/>
    <cellStyle name="Note 6 3 2 7" xfId="24417" xr:uid="{00000000-0005-0000-0000-0000F2490000}"/>
    <cellStyle name="Note 6 3 2 8" xfId="23808" xr:uid="{00000000-0005-0000-0000-0000F3490000}"/>
    <cellStyle name="Note 6 3 3" xfId="24418" xr:uid="{00000000-0005-0000-0000-0000F4490000}"/>
    <cellStyle name="Note 6 3 3 2" xfId="8272" xr:uid="{00000000-0005-0000-0000-0000F5490000}"/>
    <cellStyle name="Note 6 3 3 2 2" xfId="13682" xr:uid="{00000000-0005-0000-0000-0000F6490000}"/>
    <cellStyle name="Note 6 3 3 2 2 2" xfId="24419" xr:uid="{00000000-0005-0000-0000-0000F7490000}"/>
    <cellStyle name="Note 6 3 3 2 2 2 2" xfId="24420" xr:uid="{00000000-0005-0000-0000-0000F8490000}"/>
    <cellStyle name="Note 6 3 3 2 2 2 3" xfId="24421" xr:uid="{00000000-0005-0000-0000-0000F9490000}"/>
    <cellStyle name="Note 6 3 3 2 2 2 4" xfId="24422" xr:uid="{00000000-0005-0000-0000-0000FA490000}"/>
    <cellStyle name="Note 6 3 3 2 2 3" xfId="24423" xr:uid="{00000000-0005-0000-0000-0000FB490000}"/>
    <cellStyle name="Note 6 3 3 2 2 4" xfId="24424" xr:uid="{00000000-0005-0000-0000-0000FC490000}"/>
    <cellStyle name="Note 6 3 3 2 2 5" xfId="24426" xr:uid="{00000000-0005-0000-0000-0000FD490000}"/>
    <cellStyle name="Note 6 3 3 2 3" xfId="2926" xr:uid="{00000000-0005-0000-0000-0000FE490000}"/>
    <cellStyle name="Note 6 3 3 2 3 2" xfId="24427" xr:uid="{00000000-0005-0000-0000-0000FF490000}"/>
    <cellStyle name="Note 6 3 3 2 3 3" xfId="24428" xr:uid="{00000000-0005-0000-0000-0000004A0000}"/>
    <cellStyle name="Note 6 3 3 2 3 4" xfId="24429" xr:uid="{00000000-0005-0000-0000-0000014A0000}"/>
    <cellStyle name="Note 6 3 3 2 4" xfId="24430" xr:uid="{00000000-0005-0000-0000-0000024A0000}"/>
    <cellStyle name="Note 6 3 3 2 5" xfId="24431" xr:uid="{00000000-0005-0000-0000-0000034A0000}"/>
    <cellStyle name="Note 6 3 3 2 6" xfId="1323" xr:uid="{00000000-0005-0000-0000-0000044A0000}"/>
    <cellStyle name="Note 6 3 3 3" xfId="24432" xr:uid="{00000000-0005-0000-0000-0000054A0000}"/>
    <cellStyle name="Note 6 3 3 3 2" xfId="14540" xr:uid="{00000000-0005-0000-0000-0000064A0000}"/>
    <cellStyle name="Note 6 3 3 3 2 2" xfId="24433" xr:uid="{00000000-0005-0000-0000-0000074A0000}"/>
    <cellStyle name="Note 6 3 3 3 2 3" xfId="24434" xr:uid="{00000000-0005-0000-0000-0000084A0000}"/>
    <cellStyle name="Note 6 3 3 3 2 4" xfId="24435" xr:uid="{00000000-0005-0000-0000-0000094A0000}"/>
    <cellStyle name="Note 6 3 3 3 3" xfId="24436" xr:uid="{00000000-0005-0000-0000-00000A4A0000}"/>
    <cellStyle name="Note 6 3 3 3 4" xfId="24437" xr:uid="{00000000-0005-0000-0000-00000B4A0000}"/>
    <cellStyle name="Note 6 3 3 3 5" xfId="24438" xr:uid="{00000000-0005-0000-0000-00000C4A0000}"/>
    <cellStyle name="Note 6 3 3 4" xfId="24440" xr:uid="{00000000-0005-0000-0000-00000D4A0000}"/>
    <cellStyle name="Note 6 3 3 4 2" xfId="24442" xr:uid="{00000000-0005-0000-0000-00000E4A0000}"/>
    <cellStyle name="Note 6 3 3 4 3" xfId="24444" xr:uid="{00000000-0005-0000-0000-00000F4A0000}"/>
    <cellStyle name="Note 6 3 3 4 4" xfId="3020" xr:uid="{00000000-0005-0000-0000-0000104A0000}"/>
    <cellStyle name="Note 6 3 3 5" xfId="24446" xr:uid="{00000000-0005-0000-0000-0000114A0000}"/>
    <cellStyle name="Note 6 3 3 6" xfId="24448" xr:uid="{00000000-0005-0000-0000-0000124A0000}"/>
    <cellStyle name="Note 6 3 3 7" xfId="24450" xr:uid="{00000000-0005-0000-0000-0000134A0000}"/>
    <cellStyle name="Note 6 3 4" xfId="24451" xr:uid="{00000000-0005-0000-0000-0000144A0000}"/>
    <cellStyle name="Note 6 3 4 2" xfId="24452" xr:uid="{00000000-0005-0000-0000-0000154A0000}"/>
    <cellStyle name="Note 6 3 4 2 2" xfId="14543" xr:uid="{00000000-0005-0000-0000-0000164A0000}"/>
    <cellStyle name="Note 6 3 4 2 2 2" xfId="22874" xr:uid="{00000000-0005-0000-0000-0000174A0000}"/>
    <cellStyle name="Note 6 3 4 2 2 3" xfId="3781" xr:uid="{00000000-0005-0000-0000-0000184A0000}"/>
    <cellStyle name="Note 6 3 4 2 2 4" xfId="3790" xr:uid="{00000000-0005-0000-0000-0000194A0000}"/>
    <cellStyle name="Note 6 3 4 2 3" xfId="24453" xr:uid="{00000000-0005-0000-0000-00001A4A0000}"/>
    <cellStyle name="Note 6 3 4 2 4" xfId="24454" xr:uid="{00000000-0005-0000-0000-00001B4A0000}"/>
    <cellStyle name="Note 6 3 4 2 5" xfId="24455" xr:uid="{00000000-0005-0000-0000-00001C4A0000}"/>
    <cellStyle name="Note 6 3 4 3" xfId="24456" xr:uid="{00000000-0005-0000-0000-00001D4A0000}"/>
    <cellStyle name="Note 6 3 4 3 2" xfId="24457" xr:uid="{00000000-0005-0000-0000-00001E4A0000}"/>
    <cellStyle name="Note 6 3 4 3 3" xfId="24458" xr:uid="{00000000-0005-0000-0000-00001F4A0000}"/>
    <cellStyle name="Note 6 3 4 3 4" xfId="24459" xr:uid="{00000000-0005-0000-0000-0000204A0000}"/>
    <cellStyle name="Note 6 3 4 4" xfId="24462" xr:uid="{00000000-0005-0000-0000-0000214A0000}"/>
    <cellStyle name="Note 6 3 4 5" xfId="24466" xr:uid="{00000000-0005-0000-0000-0000224A0000}"/>
    <cellStyle name="Note 6 3 4 6" xfId="20138" xr:uid="{00000000-0005-0000-0000-0000234A0000}"/>
    <cellStyle name="Note 6 3 5" xfId="24468" xr:uid="{00000000-0005-0000-0000-0000244A0000}"/>
    <cellStyle name="Note 6 3 5 2" xfId="24469" xr:uid="{00000000-0005-0000-0000-0000254A0000}"/>
    <cellStyle name="Note 6 3 5 2 2" xfId="24470" xr:uid="{00000000-0005-0000-0000-0000264A0000}"/>
    <cellStyle name="Note 6 3 5 2 3" xfId="24471" xr:uid="{00000000-0005-0000-0000-0000274A0000}"/>
    <cellStyle name="Note 6 3 5 2 4" xfId="3071" xr:uid="{00000000-0005-0000-0000-0000284A0000}"/>
    <cellStyle name="Note 6 3 5 3" xfId="24472" xr:uid="{00000000-0005-0000-0000-0000294A0000}"/>
    <cellStyle name="Note 6 3 5 4" xfId="24475" xr:uid="{00000000-0005-0000-0000-00002A4A0000}"/>
    <cellStyle name="Note 6 3 5 5" xfId="24478" xr:uid="{00000000-0005-0000-0000-00002B4A0000}"/>
    <cellStyle name="Note 6 3 6" xfId="24480" xr:uid="{00000000-0005-0000-0000-00002C4A0000}"/>
    <cellStyle name="Note 6 3 6 2" xfId="24481" xr:uid="{00000000-0005-0000-0000-00002D4A0000}"/>
    <cellStyle name="Note 6 3 6 3" xfId="24482" xr:uid="{00000000-0005-0000-0000-00002E4A0000}"/>
    <cellStyle name="Note 6 3 6 4" xfId="24484" xr:uid="{00000000-0005-0000-0000-00002F4A0000}"/>
    <cellStyle name="Note 6 3 7" xfId="24486" xr:uid="{00000000-0005-0000-0000-0000304A0000}"/>
    <cellStyle name="Note 6 3 8" xfId="24487" xr:uid="{00000000-0005-0000-0000-0000314A0000}"/>
    <cellStyle name="Note 6 3 9" xfId="24489" xr:uid="{00000000-0005-0000-0000-0000324A0000}"/>
    <cellStyle name="Note 6 4" xfId="24490" xr:uid="{00000000-0005-0000-0000-0000334A0000}"/>
    <cellStyle name="Note 6 4 2" xfId="24491" xr:uid="{00000000-0005-0000-0000-0000344A0000}"/>
    <cellStyle name="Note 6 4 2 2" xfId="24492" xr:uid="{00000000-0005-0000-0000-0000354A0000}"/>
    <cellStyle name="Note 6 4 2 2 2" xfId="17600" xr:uid="{00000000-0005-0000-0000-0000364A0000}"/>
    <cellStyle name="Note 6 4 2 2 2 2" xfId="24493" xr:uid="{00000000-0005-0000-0000-0000374A0000}"/>
    <cellStyle name="Note 6 4 2 2 2 2 2" xfId="24494" xr:uid="{00000000-0005-0000-0000-0000384A0000}"/>
    <cellStyle name="Note 6 4 2 2 2 2 2 2" xfId="24495" xr:uid="{00000000-0005-0000-0000-0000394A0000}"/>
    <cellStyle name="Note 6 4 2 2 2 2 2 3" xfId="24496" xr:uid="{00000000-0005-0000-0000-00003A4A0000}"/>
    <cellStyle name="Note 6 4 2 2 2 2 2 4" xfId="24497" xr:uid="{00000000-0005-0000-0000-00003B4A0000}"/>
    <cellStyle name="Note 6 4 2 2 2 2 3" xfId="24498" xr:uid="{00000000-0005-0000-0000-00003C4A0000}"/>
    <cellStyle name="Note 6 4 2 2 2 2 4" xfId="24499" xr:uid="{00000000-0005-0000-0000-00003D4A0000}"/>
    <cellStyle name="Note 6 4 2 2 2 2 5" xfId="24500" xr:uid="{00000000-0005-0000-0000-00003E4A0000}"/>
    <cellStyle name="Note 6 4 2 2 2 3" xfId="24501" xr:uid="{00000000-0005-0000-0000-00003F4A0000}"/>
    <cellStyle name="Note 6 4 2 2 2 3 2" xfId="24502" xr:uid="{00000000-0005-0000-0000-0000404A0000}"/>
    <cellStyle name="Note 6 4 2 2 2 3 3" xfId="7862" xr:uid="{00000000-0005-0000-0000-0000414A0000}"/>
    <cellStyle name="Note 6 4 2 2 2 3 4" xfId="7122" xr:uid="{00000000-0005-0000-0000-0000424A0000}"/>
    <cellStyle name="Note 6 4 2 2 2 4" xfId="24504" xr:uid="{00000000-0005-0000-0000-0000434A0000}"/>
    <cellStyle name="Note 6 4 2 2 2 5" xfId="24506" xr:uid="{00000000-0005-0000-0000-0000444A0000}"/>
    <cellStyle name="Note 6 4 2 2 2 6" xfId="24509" xr:uid="{00000000-0005-0000-0000-0000454A0000}"/>
    <cellStyle name="Note 6 4 2 2 3" xfId="24510" xr:uid="{00000000-0005-0000-0000-0000464A0000}"/>
    <cellStyle name="Note 6 4 2 2 3 2" xfId="24511" xr:uid="{00000000-0005-0000-0000-0000474A0000}"/>
    <cellStyle name="Note 6 4 2 2 3 2 2" xfId="24512" xr:uid="{00000000-0005-0000-0000-0000484A0000}"/>
    <cellStyle name="Note 6 4 2 2 3 2 3" xfId="24513" xr:uid="{00000000-0005-0000-0000-0000494A0000}"/>
    <cellStyle name="Note 6 4 2 2 3 2 4" xfId="24515" xr:uid="{00000000-0005-0000-0000-00004A4A0000}"/>
    <cellStyle name="Note 6 4 2 2 3 3" xfId="24516" xr:uid="{00000000-0005-0000-0000-00004B4A0000}"/>
    <cellStyle name="Note 6 4 2 2 3 4" xfId="24517" xr:uid="{00000000-0005-0000-0000-00004C4A0000}"/>
    <cellStyle name="Note 6 4 2 2 3 5" xfId="24518" xr:uid="{00000000-0005-0000-0000-00004D4A0000}"/>
    <cellStyle name="Note 6 4 2 2 4" xfId="24519" xr:uid="{00000000-0005-0000-0000-00004E4A0000}"/>
    <cellStyle name="Note 6 4 2 2 4 2" xfId="9608" xr:uid="{00000000-0005-0000-0000-00004F4A0000}"/>
    <cellStyle name="Note 6 4 2 2 4 3" xfId="24520" xr:uid="{00000000-0005-0000-0000-0000504A0000}"/>
    <cellStyle name="Note 6 4 2 2 4 4" xfId="24521" xr:uid="{00000000-0005-0000-0000-0000514A0000}"/>
    <cellStyle name="Note 6 4 2 2 5" xfId="1290" xr:uid="{00000000-0005-0000-0000-0000524A0000}"/>
    <cellStyle name="Note 6 4 2 2 6" xfId="9622" xr:uid="{00000000-0005-0000-0000-0000534A0000}"/>
    <cellStyle name="Note 6 4 2 2 7" xfId="9628" xr:uid="{00000000-0005-0000-0000-0000544A0000}"/>
    <cellStyle name="Note 6 4 2 3" xfId="24522" xr:uid="{00000000-0005-0000-0000-0000554A0000}"/>
    <cellStyle name="Note 6 4 2 3 2" xfId="24523" xr:uid="{00000000-0005-0000-0000-0000564A0000}"/>
    <cellStyle name="Note 6 4 2 3 2 2" xfId="18867" xr:uid="{00000000-0005-0000-0000-0000574A0000}"/>
    <cellStyle name="Note 6 4 2 3 2 2 2" xfId="24524" xr:uid="{00000000-0005-0000-0000-0000584A0000}"/>
    <cellStyle name="Note 6 4 2 3 2 2 3" xfId="24525" xr:uid="{00000000-0005-0000-0000-0000594A0000}"/>
    <cellStyle name="Note 6 4 2 3 2 2 4" xfId="15156" xr:uid="{00000000-0005-0000-0000-00005A4A0000}"/>
    <cellStyle name="Note 6 4 2 3 2 3" xfId="22830" xr:uid="{00000000-0005-0000-0000-00005B4A0000}"/>
    <cellStyle name="Note 6 4 2 3 2 4" xfId="24526" xr:uid="{00000000-0005-0000-0000-00005C4A0000}"/>
    <cellStyle name="Note 6 4 2 3 2 5" xfId="24527" xr:uid="{00000000-0005-0000-0000-00005D4A0000}"/>
    <cellStyle name="Note 6 4 2 3 3" xfId="24528" xr:uid="{00000000-0005-0000-0000-00005E4A0000}"/>
    <cellStyle name="Note 6 4 2 3 3 2" xfId="24529" xr:uid="{00000000-0005-0000-0000-00005F4A0000}"/>
    <cellStyle name="Note 6 4 2 3 3 3" xfId="24530" xr:uid="{00000000-0005-0000-0000-0000604A0000}"/>
    <cellStyle name="Note 6 4 2 3 3 4" xfId="24531" xr:uid="{00000000-0005-0000-0000-0000614A0000}"/>
    <cellStyle name="Note 6 4 2 3 4" xfId="24532" xr:uid="{00000000-0005-0000-0000-0000624A0000}"/>
    <cellStyle name="Note 6 4 2 3 5" xfId="24533" xr:uid="{00000000-0005-0000-0000-0000634A0000}"/>
    <cellStyle name="Note 6 4 2 3 6" xfId="24535" xr:uid="{00000000-0005-0000-0000-0000644A0000}"/>
    <cellStyle name="Note 6 4 2 4" xfId="24537" xr:uid="{00000000-0005-0000-0000-0000654A0000}"/>
    <cellStyle name="Note 6 4 2 4 2" xfId="24539" xr:uid="{00000000-0005-0000-0000-0000664A0000}"/>
    <cellStyle name="Note 6 4 2 4 2 2" xfId="10590" xr:uid="{00000000-0005-0000-0000-0000674A0000}"/>
    <cellStyle name="Note 6 4 2 4 2 3" xfId="10595" xr:uid="{00000000-0005-0000-0000-0000684A0000}"/>
    <cellStyle name="Note 6 4 2 4 2 4" xfId="24541" xr:uid="{00000000-0005-0000-0000-0000694A0000}"/>
    <cellStyle name="Note 6 4 2 4 3" xfId="24543" xr:uid="{00000000-0005-0000-0000-00006A4A0000}"/>
    <cellStyle name="Note 6 4 2 4 4" xfId="10606" xr:uid="{00000000-0005-0000-0000-00006B4A0000}"/>
    <cellStyle name="Note 6 4 2 4 5" xfId="10612" xr:uid="{00000000-0005-0000-0000-00006C4A0000}"/>
    <cellStyle name="Note 6 4 2 5" xfId="24545" xr:uid="{00000000-0005-0000-0000-00006D4A0000}"/>
    <cellStyle name="Note 6 4 2 5 2" xfId="24547" xr:uid="{00000000-0005-0000-0000-00006E4A0000}"/>
    <cellStyle name="Note 6 4 2 5 3" xfId="24549" xr:uid="{00000000-0005-0000-0000-00006F4A0000}"/>
    <cellStyle name="Note 6 4 2 5 4" xfId="24551" xr:uid="{00000000-0005-0000-0000-0000704A0000}"/>
    <cellStyle name="Note 6 4 2 6" xfId="10627" xr:uid="{00000000-0005-0000-0000-0000714A0000}"/>
    <cellStyle name="Note 6 4 2 7" xfId="10635" xr:uid="{00000000-0005-0000-0000-0000724A0000}"/>
    <cellStyle name="Note 6 4 2 8" xfId="10642" xr:uid="{00000000-0005-0000-0000-0000734A0000}"/>
    <cellStyle name="Note 6 4 3" xfId="24552" xr:uid="{00000000-0005-0000-0000-0000744A0000}"/>
    <cellStyle name="Note 6 4 3 2" xfId="24553" xr:uid="{00000000-0005-0000-0000-0000754A0000}"/>
    <cellStyle name="Note 6 4 3 2 2" xfId="14552" xr:uid="{00000000-0005-0000-0000-0000764A0000}"/>
    <cellStyle name="Note 6 4 3 2 2 2" xfId="24554" xr:uid="{00000000-0005-0000-0000-0000774A0000}"/>
    <cellStyle name="Note 6 4 3 2 2 2 2" xfId="24555" xr:uid="{00000000-0005-0000-0000-0000784A0000}"/>
    <cellStyle name="Note 6 4 3 2 2 2 3" xfId="13497" xr:uid="{00000000-0005-0000-0000-0000794A0000}"/>
    <cellStyle name="Note 6 4 3 2 2 2 4" xfId="13499" xr:uid="{00000000-0005-0000-0000-00007A4A0000}"/>
    <cellStyle name="Note 6 4 3 2 2 3" xfId="24556" xr:uid="{00000000-0005-0000-0000-00007B4A0000}"/>
    <cellStyle name="Note 6 4 3 2 2 4" xfId="24558" xr:uid="{00000000-0005-0000-0000-00007C4A0000}"/>
    <cellStyle name="Note 6 4 3 2 2 5" xfId="24560" xr:uid="{00000000-0005-0000-0000-00007D4A0000}"/>
    <cellStyle name="Note 6 4 3 2 3" xfId="24561" xr:uid="{00000000-0005-0000-0000-00007E4A0000}"/>
    <cellStyle name="Note 6 4 3 2 3 2" xfId="24562" xr:uid="{00000000-0005-0000-0000-00007F4A0000}"/>
    <cellStyle name="Note 6 4 3 2 3 3" xfId="24563" xr:uid="{00000000-0005-0000-0000-0000804A0000}"/>
    <cellStyle name="Note 6 4 3 2 3 4" xfId="24564" xr:uid="{00000000-0005-0000-0000-0000814A0000}"/>
    <cellStyle name="Note 6 4 3 2 4" xfId="24566" xr:uid="{00000000-0005-0000-0000-0000824A0000}"/>
    <cellStyle name="Note 6 4 3 2 5" xfId="24568" xr:uid="{00000000-0005-0000-0000-0000834A0000}"/>
    <cellStyle name="Note 6 4 3 2 6" xfId="24570" xr:uid="{00000000-0005-0000-0000-0000844A0000}"/>
    <cellStyle name="Note 6 4 3 3" xfId="24571" xr:uid="{00000000-0005-0000-0000-0000854A0000}"/>
    <cellStyle name="Note 6 4 3 3 2" xfId="24572" xr:uid="{00000000-0005-0000-0000-0000864A0000}"/>
    <cellStyle name="Note 6 4 3 3 2 2" xfId="24573" xr:uid="{00000000-0005-0000-0000-0000874A0000}"/>
    <cellStyle name="Note 6 4 3 3 2 3" xfId="24574" xr:uid="{00000000-0005-0000-0000-0000884A0000}"/>
    <cellStyle name="Note 6 4 3 3 2 4" xfId="24575" xr:uid="{00000000-0005-0000-0000-0000894A0000}"/>
    <cellStyle name="Note 6 4 3 3 3" xfId="24576" xr:uid="{00000000-0005-0000-0000-00008A4A0000}"/>
    <cellStyle name="Note 6 4 3 3 4" xfId="24577" xr:uid="{00000000-0005-0000-0000-00008B4A0000}"/>
    <cellStyle name="Note 6 4 3 3 5" xfId="24578" xr:uid="{00000000-0005-0000-0000-00008C4A0000}"/>
    <cellStyle name="Note 6 4 3 4" xfId="24580" xr:uid="{00000000-0005-0000-0000-00008D4A0000}"/>
    <cellStyle name="Note 6 4 3 4 2" xfId="24582" xr:uid="{00000000-0005-0000-0000-00008E4A0000}"/>
    <cellStyle name="Note 6 4 3 4 3" xfId="24584" xr:uid="{00000000-0005-0000-0000-00008F4A0000}"/>
    <cellStyle name="Note 6 4 3 4 4" xfId="24586" xr:uid="{00000000-0005-0000-0000-0000904A0000}"/>
    <cellStyle name="Note 6 4 3 5" xfId="24588" xr:uid="{00000000-0005-0000-0000-0000914A0000}"/>
    <cellStyle name="Note 6 4 3 6" xfId="24590" xr:uid="{00000000-0005-0000-0000-0000924A0000}"/>
    <cellStyle name="Note 6 4 3 7" xfId="24592" xr:uid="{00000000-0005-0000-0000-0000934A0000}"/>
    <cellStyle name="Note 6 4 4" xfId="14707" xr:uid="{00000000-0005-0000-0000-0000944A0000}"/>
    <cellStyle name="Note 6 4 4 2" xfId="24593" xr:uid="{00000000-0005-0000-0000-0000954A0000}"/>
    <cellStyle name="Note 6 4 4 2 2" xfId="24594" xr:uid="{00000000-0005-0000-0000-0000964A0000}"/>
    <cellStyle name="Note 6 4 4 2 2 2" xfId="13525" xr:uid="{00000000-0005-0000-0000-0000974A0000}"/>
    <cellStyle name="Note 6 4 4 2 2 3" xfId="6509" xr:uid="{00000000-0005-0000-0000-0000984A0000}"/>
    <cellStyle name="Note 6 4 4 2 2 4" xfId="6514" xr:uid="{00000000-0005-0000-0000-0000994A0000}"/>
    <cellStyle name="Note 6 4 4 2 3" xfId="24595" xr:uid="{00000000-0005-0000-0000-00009A4A0000}"/>
    <cellStyle name="Note 6 4 4 2 4" xfId="24596" xr:uid="{00000000-0005-0000-0000-00009B4A0000}"/>
    <cellStyle name="Note 6 4 4 2 5" xfId="24597" xr:uid="{00000000-0005-0000-0000-00009C4A0000}"/>
    <cellStyle name="Note 6 4 4 3" xfId="24598" xr:uid="{00000000-0005-0000-0000-00009D4A0000}"/>
    <cellStyle name="Note 6 4 4 3 2" xfId="24599" xr:uid="{00000000-0005-0000-0000-00009E4A0000}"/>
    <cellStyle name="Note 6 4 4 3 3" xfId="24600" xr:uid="{00000000-0005-0000-0000-00009F4A0000}"/>
    <cellStyle name="Note 6 4 4 3 4" xfId="24601" xr:uid="{00000000-0005-0000-0000-0000A04A0000}"/>
    <cellStyle name="Note 6 4 4 4" xfId="10673" xr:uid="{00000000-0005-0000-0000-0000A14A0000}"/>
    <cellStyle name="Note 6 4 4 5" xfId="10680" xr:uid="{00000000-0005-0000-0000-0000A24A0000}"/>
    <cellStyle name="Note 6 4 4 6" xfId="10685" xr:uid="{00000000-0005-0000-0000-0000A34A0000}"/>
    <cellStyle name="Note 6 4 5" xfId="3371" xr:uid="{00000000-0005-0000-0000-0000A44A0000}"/>
    <cellStyle name="Note 6 4 5 2" xfId="24602" xr:uid="{00000000-0005-0000-0000-0000A54A0000}"/>
    <cellStyle name="Note 6 4 5 2 2" xfId="1177" xr:uid="{00000000-0005-0000-0000-0000A64A0000}"/>
    <cellStyle name="Note 6 4 5 2 3" xfId="1312" xr:uid="{00000000-0005-0000-0000-0000A74A0000}"/>
    <cellStyle name="Note 6 4 5 2 4" xfId="3428" xr:uid="{00000000-0005-0000-0000-0000A84A0000}"/>
    <cellStyle name="Note 6 4 5 3" xfId="24603" xr:uid="{00000000-0005-0000-0000-0000A94A0000}"/>
    <cellStyle name="Note 6 4 5 4" xfId="24605" xr:uid="{00000000-0005-0000-0000-0000AA4A0000}"/>
    <cellStyle name="Note 6 4 5 5" xfId="24607" xr:uid="{00000000-0005-0000-0000-0000AB4A0000}"/>
    <cellStyle name="Note 6 4 6" xfId="3498" xr:uid="{00000000-0005-0000-0000-0000AC4A0000}"/>
    <cellStyle name="Note 6 4 6 2" xfId="24608" xr:uid="{00000000-0005-0000-0000-0000AD4A0000}"/>
    <cellStyle name="Note 6 4 6 3" xfId="24609" xr:uid="{00000000-0005-0000-0000-0000AE4A0000}"/>
    <cellStyle name="Note 6 4 6 4" xfId="24611" xr:uid="{00000000-0005-0000-0000-0000AF4A0000}"/>
    <cellStyle name="Note 6 4 7" xfId="24612" xr:uid="{00000000-0005-0000-0000-0000B04A0000}"/>
    <cellStyle name="Note 6 4 8" xfId="24613" xr:uid="{00000000-0005-0000-0000-0000B14A0000}"/>
    <cellStyle name="Note 6 4 9" xfId="24614" xr:uid="{00000000-0005-0000-0000-0000B24A0000}"/>
    <cellStyle name="Note 6 5" xfId="24615" xr:uid="{00000000-0005-0000-0000-0000B34A0000}"/>
    <cellStyle name="Note 6 5 2" xfId="24618" xr:uid="{00000000-0005-0000-0000-0000B44A0000}"/>
    <cellStyle name="Note 6 5 2 2" xfId="24620" xr:uid="{00000000-0005-0000-0000-0000B54A0000}"/>
    <cellStyle name="Note 6 5 2 2 2" xfId="24622" xr:uid="{00000000-0005-0000-0000-0000B64A0000}"/>
    <cellStyle name="Note 6 5 2 2 2 2" xfId="24623" xr:uid="{00000000-0005-0000-0000-0000B74A0000}"/>
    <cellStyle name="Note 6 5 2 2 2 2 2" xfId="24624" xr:uid="{00000000-0005-0000-0000-0000B84A0000}"/>
    <cellStyle name="Note 6 5 2 2 2 2 3" xfId="6205" xr:uid="{00000000-0005-0000-0000-0000B94A0000}"/>
    <cellStyle name="Note 6 5 2 2 2 2 4" xfId="6210" xr:uid="{00000000-0005-0000-0000-0000BA4A0000}"/>
    <cellStyle name="Note 6 5 2 2 2 3" xfId="24625" xr:uid="{00000000-0005-0000-0000-0000BB4A0000}"/>
    <cellStyle name="Note 6 5 2 2 2 4" xfId="24627" xr:uid="{00000000-0005-0000-0000-0000BC4A0000}"/>
    <cellStyle name="Note 6 5 2 2 2 5" xfId="24629" xr:uid="{00000000-0005-0000-0000-0000BD4A0000}"/>
    <cellStyle name="Note 6 5 2 2 3" xfId="24631" xr:uid="{00000000-0005-0000-0000-0000BE4A0000}"/>
    <cellStyle name="Note 6 5 2 2 3 2" xfId="24632" xr:uid="{00000000-0005-0000-0000-0000BF4A0000}"/>
    <cellStyle name="Note 6 5 2 2 3 3" xfId="24633" xr:uid="{00000000-0005-0000-0000-0000C04A0000}"/>
    <cellStyle name="Note 6 5 2 2 3 4" xfId="24634" xr:uid="{00000000-0005-0000-0000-0000C14A0000}"/>
    <cellStyle name="Note 6 5 2 2 4" xfId="13201" xr:uid="{00000000-0005-0000-0000-0000C24A0000}"/>
    <cellStyle name="Note 6 5 2 2 5" xfId="13203" xr:uid="{00000000-0005-0000-0000-0000C34A0000}"/>
    <cellStyle name="Note 6 5 2 2 6" xfId="13208" xr:uid="{00000000-0005-0000-0000-0000C44A0000}"/>
    <cellStyle name="Note 6 5 2 3" xfId="24636" xr:uid="{00000000-0005-0000-0000-0000C54A0000}"/>
    <cellStyle name="Note 6 5 2 3 2" xfId="24637" xr:uid="{00000000-0005-0000-0000-0000C64A0000}"/>
    <cellStyle name="Note 6 5 2 3 2 2" xfId="5611" xr:uid="{00000000-0005-0000-0000-0000C74A0000}"/>
    <cellStyle name="Note 6 5 2 3 2 3" xfId="24638" xr:uid="{00000000-0005-0000-0000-0000C84A0000}"/>
    <cellStyle name="Note 6 5 2 3 2 4" xfId="24639" xr:uid="{00000000-0005-0000-0000-0000C94A0000}"/>
    <cellStyle name="Note 6 5 2 3 3" xfId="24641" xr:uid="{00000000-0005-0000-0000-0000CA4A0000}"/>
    <cellStyle name="Note 6 5 2 3 4" xfId="13223" xr:uid="{00000000-0005-0000-0000-0000CB4A0000}"/>
    <cellStyle name="Note 6 5 2 3 5" xfId="13227" xr:uid="{00000000-0005-0000-0000-0000CC4A0000}"/>
    <cellStyle name="Note 6 5 2 4" xfId="24644" xr:uid="{00000000-0005-0000-0000-0000CD4A0000}"/>
    <cellStyle name="Note 6 5 2 4 2" xfId="10468" xr:uid="{00000000-0005-0000-0000-0000CE4A0000}"/>
    <cellStyle name="Note 6 5 2 4 3" xfId="24647" xr:uid="{00000000-0005-0000-0000-0000CF4A0000}"/>
    <cellStyle name="Note 6 5 2 4 4" xfId="24650" xr:uid="{00000000-0005-0000-0000-0000D04A0000}"/>
    <cellStyle name="Note 6 5 2 5" xfId="24653" xr:uid="{00000000-0005-0000-0000-0000D14A0000}"/>
    <cellStyle name="Note 6 5 2 6" xfId="10720" xr:uid="{00000000-0005-0000-0000-0000D24A0000}"/>
    <cellStyle name="Note 6 5 2 7" xfId="10726" xr:uid="{00000000-0005-0000-0000-0000D34A0000}"/>
    <cellStyle name="Note 6 5 3" xfId="24656" xr:uid="{00000000-0005-0000-0000-0000D44A0000}"/>
    <cellStyle name="Note 6 5 3 2" xfId="24658" xr:uid="{00000000-0005-0000-0000-0000D54A0000}"/>
    <cellStyle name="Note 6 5 3 2 2" xfId="24659" xr:uid="{00000000-0005-0000-0000-0000D64A0000}"/>
    <cellStyle name="Note 6 5 3 2 2 2" xfId="24660" xr:uid="{00000000-0005-0000-0000-0000D74A0000}"/>
    <cellStyle name="Note 6 5 3 2 2 3" xfId="24661" xr:uid="{00000000-0005-0000-0000-0000D84A0000}"/>
    <cellStyle name="Note 6 5 3 2 2 4" xfId="24663" xr:uid="{00000000-0005-0000-0000-0000D94A0000}"/>
    <cellStyle name="Note 6 5 3 2 3" xfId="24664" xr:uid="{00000000-0005-0000-0000-0000DA4A0000}"/>
    <cellStyle name="Note 6 5 3 2 4" xfId="792" xr:uid="{00000000-0005-0000-0000-0000DB4A0000}"/>
    <cellStyle name="Note 6 5 3 2 5" xfId="803" xr:uid="{00000000-0005-0000-0000-0000DC4A0000}"/>
    <cellStyle name="Note 6 5 3 3" xfId="24666" xr:uid="{00000000-0005-0000-0000-0000DD4A0000}"/>
    <cellStyle name="Note 6 5 3 3 2" xfId="24667" xr:uid="{00000000-0005-0000-0000-0000DE4A0000}"/>
    <cellStyle name="Note 6 5 3 3 3" xfId="24669" xr:uid="{00000000-0005-0000-0000-0000DF4A0000}"/>
    <cellStyle name="Note 6 5 3 3 4" xfId="327" xr:uid="{00000000-0005-0000-0000-0000E04A0000}"/>
    <cellStyle name="Note 6 5 3 4" xfId="24672" xr:uid="{00000000-0005-0000-0000-0000E14A0000}"/>
    <cellStyle name="Note 6 5 3 5" xfId="24674" xr:uid="{00000000-0005-0000-0000-0000E24A0000}"/>
    <cellStyle name="Note 6 5 3 6" xfId="24676" xr:uid="{00000000-0005-0000-0000-0000E34A0000}"/>
    <cellStyle name="Note 6 5 4" xfId="24678" xr:uid="{00000000-0005-0000-0000-0000E44A0000}"/>
    <cellStyle name="Note 6 5 4 2" xfId="24679" xr:uid="{00000000-0005-0000-0000-0000E54A0000}"/>
    <cellStyle name="Note 6 5 4 2 2" xfId="24680" xr:uid="{00000000-0005-0000-0000-0000E64A0000}"/>
    <cellStyle name="Note 6 5 4 2 3" xfId="24681" xr:uid="{00000000-0005-0000-0000-0000E74A0000}"/>
    <cellStyle name="Note 6 5 4 2 4" xfId="4780" xr:uid="{00000000-0005-0000-0000-0000E84A0000}"/>
    <cellStyle name="Note 6 5 4 3" xfId="24682" xr:uid="{00000000-0005-0000-0000-0000E94A0000}"/>
    <cellStyle name="Note 6 5 4 4" xfId="24684" xr:uid="{00000000-0005-0000-0000-0000EA4A0000}"/>
    <cellStyle name="Note 6 5 4 5" xfId="24686" xr:uid="{00000000-0005-0000-0000-0000EB4A0000}"/>
    <cellStyle name="Note 6 5 5" xfId="24689" xr:uid="{00000000-0005-0000-0000-0000EC4A0000}"/>
    <cellStyle name="Note 6 5 5 2" xfId="24691" xr:uid="{00000000-0005-0000-0000-0000ED4A0000}"/>
    <cellStyle name="Note 6 5 5 3" xfId="24693" xr:uid="{00000000-0005-0000-0000-0000EE4A0000}"/>
    <cellStyle name="Note 6 5 5 4" xfId="24696" xr:uid="{00000000-0005-0000-0000-0000EF4A0000}"/>
    <cellStyle name="Note 6 5 6" xfId="24699" xr:uid="{00000000-0005-0000-0000-0000F04A0000}"/>
    <cellStyle name="Note 6 5 7" xfId="24701" xr:uid="{00000000-0005-0000-0000-0000F14A0000}"/>
    <cellStyle name="Note 6 5 8" xfId="24703" xr:uid="{00000000-0005-0000-0000-0000F24A0000}"/>
    <cellStyle name="Note 6 6" xfId="24704" xr:uid="{00000000-0005-0000-0000-0000F34A0000}"/>
    <cellStyle name="Note 6 6 2" xfId="24707" xr:uid="{00000000-0005-0000-0000-0000F44A0000}"/>
    <cellStyle name="Note 6 6 2 2" xfId="13552" xr:uid="{00000000-0005-0000-0000-0000F54A0000}"/>
    <cellStyle name="Note 6 6 2 2 2" xfId="16220" xr:uid="{00000000-0005-0000-0000-0000F64A0000}"/>
    <cellStyle name="Note 6 6 2 2 2 2" xfId="24708" xr:uid="{00000000-0005-0000-0000-0000F74A0000}"/>
    <cellStyle name="Note 6 6 2 2 2 3" xfId="712" xr:uid="{00000000-0005-0000-0000-0000F84A0000}"/>
    <cellStyle name="Note 6 6 2 2 2 4" xfId="258" xr:uid="{00000000-0005-0000-0000-0000F94A0000}"/>
    <cellStyle name="Note 6 6 2 2 3" xfId="12458" xr:uid="{00000000-0005-0000-0000-0000FA4A0000}"/>
    <cellStyle name="Note 6 6 2 2 4" xfId="12463" xr:uid="{00000000-0005-0000-0000-0000FB4A0000}"/>
    <cellStyle name="Note 6 6 2 2 5" xfId="10941" xr:uid="{00000000-0005-0000-0000-0000FC4A0000}"/>
    <cellStyle name="Note 6 6 2 3" xfId="13709" xr:uid="{00000000-0005-0000-0000-0000FD4A0000}"/>
    <cellStyle name="Note 6 6 2 3 2" xfId="24709" xr:uid="{00000000-0005-0000-0000-0000FE4A0000}"/>
    <cellStyle name="Note 6 6 2 3 3" xfId="16284" xr:uid="{00000000-0005-0000-0000-0000FF4A0000}"/>
    <cellStyle name="Note 6 6 2 3 4" xfId="16289" xr:uid="{00000000-0005-0000-0000-0000004B0000}"/>
    <cellStyle name="Note 6 6 2 4" xfId="24712" xr:uid="{00000000-0005-0000-0000-0000014B0000}"/>
    <cellStyle name="Note 6 6 2 5" xfId="24714" xr:uid="{00000000-0005-0000-0000-0000024B0000}"/>
    <cellStyle name="Note 6 6 2 6" xfId="24716" xr:uid="{00000000-0005-0000-0000-0000034B0000}"/>
    <cellStyle name="Note 6 6 3" xfId="24718" xr:uid="{00000000-0005-0000-0000-0000044B0000}"/>
    <cellStyle name="Note 6 6 3 2" xfId="24719" xr:uid="{00000000-0005-0000-0000-0000054B0000}"/>
    <cellStyle name="Note 6 6 3 2 2" xfId="24721" xr:uid="{00000000-0005-0000-0000-0000064B0000}"/>
    <cellStyle name="Note 6 6 3 2 3" xfId="16300" xr:uid="{00000000-0005-0000-0000-0000074B0000}"/>
    <cellStyle name="Note 6 6 3 2 4" xfId="922" xr:uid="{00000000-0005-0000-0000-0000084B0000}"/>
    <cellStyle name="Note 6 6 3 3" xfId="24722" xr:uid="{00000000-0005-0000-0000-0000094B0000}"/>
    <cellStyle name="Note 6 6 3 4" xfId="24723" xr:uid="{00000000-0005-0000-0000-00000A4B0000}"/>
    <cellStyle name="Note 6 6 3 5" xfId="24724" xr:uid="{00000000-0005-0000-0000-00000B4B0000}"/>
    <cellStyle name="Note 6 6 4" xfId="24727" xr:uid="{00000000-0005-0000-0000-00000C4B0000}"/>
    <cellStyle name="Note 6 6 4 2" xfId="24728" xr:uid="{00000000-0005-0000-0000-00000D4B0000}"/>
    <cellStyle name="Note 6 6 4 3" xfId="24729" xr:uid="{00000000-0005-0000-0000-00000E4B0000}"/>
    <cellStyle name="Note 6 6 4 4" xfId="24731" xr:uid="{00000000-0005-0000-0000-00000F4B0000}"/>
    <cellStyle name="Note 6 6 5" xfId="24735" xr:uid="{00000000-0005-0000-0000-0000104B0000}"/>
    <cellStyle name="Note 6 6 6" xfId="24738" xr:uid="{00000000-0005-0000-0000-0000114B0000}"/>
    <cellStyle name="Note 6 6 7" xfId="24740" xr:uid="{00000000-0005-0000-0000-0000124B0000}"/>
    <cellStyle name="Note 6 7" xfId="24741" xr:uid="{00000000-0005-0000-0000-0000134B0000}"/>
    <cellStyle name="Note 6 7 2" xfId="24744" xr:uid="{00000000-0005-0000-0000-0000144B0000}"/>
    <cellStyle name="Note 6 7 2 2" xfId="24745" xr:uid="{00000000-0005-0000-0000-0000154B0000}"/>
    <cellStyle name="Note 6 7 2 2 2" xfId="12097" xr:uid="{00000000-0005-0000-0000-0000164B0000}"/>
    <cellStyle name="Note 6 7 2 2 3" xfId="12105" xr:uid="{00000000-0005-0000-0000-0000174B0000}"/>
    <cellStyle name="Note 6 7 2 2 4" xfId="12112" xr:uid="{00000000-0005-0000-0000-0000184B0000}"/>
    <cellStyle name="Note 6 7 2 3" xfId="24746" xr:uid="{00000000-0005-0000-0000-0000194B0000}"/>
    <cellStyle name="Note 6 7 2 4" xfId="24747" xr:uid="{00000000-0005-0000-0000-00001A4B0000}"/>
    <cellStyle name="Note 6 7 2 5" xfId="24748" xr:uid="{00000000-0005-0000-0000-00001B4B0000}"/>
    <cellStyle name="Note 6 7 3" xfId="24750" xr:uid="{00000000-0005-0000-0000-00001C4B0000}"/>
    <cellStyle name="Note 6 7 3 2" xfId="24751" xr:uid="{00000000-0005-0000-0000-00001D4B0000}"/>
    <cellStyle name="Note 6 7 3 3" xfId="24752" xr:uid="{00000000-0005-0000-0000-00001E4B0000}"/>
    <cellStyle name="Note 6 7 3 4" xfId="24753" xr:uid="{00000000-0005-0000-0000-00001F4B0000}"/>
    <cellStyle name="Note 6 7 4" xfId="24755" xr:uid="{00000000-0005-0000-0000-0000204B0000}"/>
    <cellStyle name="Note 6 7 5" xfId="24757" xr:uid="{00000000-0005-0000-0000-0000214B0000}"/>
    <cellStyle name="Note 6 7 6" xfId="24759" xr:uid="{00000000-0005-0000-0000-0000224B0000}"/>
    <cellStyle name="Note 6 8" xfId="24760" xr:uid="{00000000-0005-0000-0000-0000234B0000}"/>
    <cellStyle name="Note 6 8 2" xfId="24762" xr:uid="{00000000-0005-0000-0000-0000244B0000}"/>
    <cellStyle name="Note 6 8 2 2" xfId="24763" xr:uid="{00000000-0005-0000-0000-0000254B0000}"/>
    <cellStyle name="Note 6 8 2 3" xfId="24764" xr:uid="{00000000-0005-0000-0000-0000264B0000}"/>
    <cellStyle name="Note 6 8 2 4" xfId="24765" xr:uid="{00000000-0005-0000-0000-0000274B0000}"/>
    <cellStyle name="Note 6 8 3" xfId="24767" xr:uid="{00000000-0005-0000-0000-0000284B0000}"/>
    <cellStyle name="Note 6 8 4" xfId="24768" xr:uid="{00000000-0005-0000-0000-0000294B0000}"/>
    <cellStyle name="Note 6 8 5" xfId="24769" xr:uid="{00000000-0005-0000-0000-00002A4B0000}"/>
    <cellStyle name="Note 6 9" xfId="14075" xr:uid="{00000000-0005-0000-0000-00002B4B0000}"/>
    <cellStyle name="Note 6 9 2" xfId="24770" xr:uid="{00000000-0005-0000-0000-00002C4B0000}"/>
    <cellStyle name="Note 6 9 3" xfId="24771" xr:uid="{00000000-0005-0000-0000-00002D4B0000}"/>
    <cellStyle name="Note 6 9 4" xfId="24772" xr:uid="{00000000-0005-0000-0000-00002E4B0000}"/>
    <cellStyle name="Note 7" xfId="24773" xr:uid="{00000000-0005-0000-0000-00002F4B0000}"/>
    <cellStyle name="Note 7 10" xfId="24775" xr:uid="{00000000-0005-0000-0000-0000304B0000}"/>
    <cellStyle name="Note 7 11" xfId="24776" xr:uid="{00000000-0005-0000-0000-0000314B0000}"/>
    <cellStyle name="Note 7 12" xfId="18592" xr:uid="{00000000-0005-0000-0000-0000324B0000}"/>
    <cellStyle name="Note 7 13" xfId="18596" xr:uid="{00000000-0005-0000-0000-0000334B0000}"/>
    <cellStyle name="Note 7 2" xfId="24777" xr:uid="{00000000-0005-0000-0000-0000344B0000}"/>
    <cellStyle name="Note 7 2 10" xfId="8659" xr:uid="{00000000-0005-0000-0000-0000354B0000}"/>
    <cellStyle name="Note 7 2 11" xfId="8679" xr:uid="{00000000-0005-0000-0000-0000364B0000}"/>
    <cellStyle name="Note 7 2 12" xfId="8691" xr:uid="{00000000-0005-0000-0000-0000374B0000}"/>
    <cellStyle name="Note 7 2 2" xfId="24778" xr:uid="{00000000-0005-0000-0000-0000384B0000}"/>
    <cellStyle name="Note 7 2 2 2" xfId="24779" xr:uid="{00000000-0005-0000-0000-0000394B0000}"/>
    <cellStyle name="Note 7 2 2 2 2" xfId="24780" xr:uid="{00000000-0005-0000-0000-00003A4B0000}"/>
    <cellStyle name="Note 7 2 2 2 2 2" xfId="21176" xr:uid="{00000000-0005-0000-0000-00003B4B0000}"/>
    <cellStyle name="Note 7 2 2 2 2 2 2" xfId="24781" xr:uid="{00000000-0005-0000-0000-00003C4B0000}"/>
    <cellStyle name="Note 7 2 2 2 2 2 2 2" xfId="24783" xr:uid="{00000000-0005-0000-0000-00003D4B0000}"/>
    <cellStyle name="Note 7 2 2 2 2 2 2 2 2" xfId="24784" xr:uid="{00000000-0005-0000-0000-00003E4B0000}"/>
    <cellStyle name="Note 7 2 2 2 2 2 2 2 3" xfId="24785" xr:uid="{00000000-0005-0000-0000-00003F4B0000}"/>
    <cellStyle name="Note 7 2 2 2 2 2 2 2 4" xfId="24786" xr:uid="{00000000-0005-0000-0000-0000404B0000}"/>
    <cellStyle name="Note 7 2 2 2 2 2 2 3" xfId="24788" xr:uid="{00000000-0005-0000-0000-0000414B0000}"/>
    <cellStyle name="Note 7 2 2 2 2 2 2 4" xfId="24789" xr:uid="{00000000-0005-0000-0000-0000424B0000}"/>
    <cellStyle name="Note 7 2 2 2 2 2 2 5" xfId="24790" xr:uid="{00000000-0005-0000-0000-0000434B0000}"/>
    <cellStyle name="Note 7 2 2 2 2 2 3" xfId="24791" xr:uid="{00000000-0005-0000-0000-0000444B0000}"/>
    <cellStyle name="Note 7 2 2 2 2 2 3 2" xfId="10952" xr:uid="{00000000-0005-0000-0000-0000454B0000}"/>
    <cellStyle name="Note 7 2 2 2 2 2 3 3" xfId="10958" xr:uid="{00000000-0005-0000-0000-0000464B0000}"/>
    <cellStyle name="Note 7 2 2 2 2 2 3 4" xfId="24793" xr:uid="{00000000-0005-0000-0000-0000474B0000}"/>
    <cellStyle name="Note 7 2 2 2 2 2 4" xfId="24794" xr:uid="{00000000-0005-0000-0000-0000484B0000}"/>
    <cellStyle name="Note 7 2 2 2 2 2 5" xfId="24795" xr:uid="{00000000-0005-0000-0000-0000494B0000}"/>
    <cellStyle name="Note 7 2 2 2 2 2 6" xfId="24796" xr:uid="{00000000-0005-0000-0000-00004A4B0000}"/>
    <cellStyle name="Note 7 2 2 2 2 3" xfId="21178" xr:uid="{00000000-0005-0000-0000-00004B4B0000}"/>
    <cellStyle name="Note 7 2 2 2 2 3 2" xfId="24797" xr:uid="{00000000-0005-0000-0000-00004C4B0000}"/>
    <cellStyle name="Note 7 2 2 2 2 3 2 2" xfId="24798" xr:uid="{00000000-0005-0000-0000-00004D4B0000}"/>
    <cellStyle name="Note 7 2 2 2 2 3 2 3" xfId="24799" xr:uid="{00000000-0005-0000-0000-00004E4B0000}"/>
    <cellStyle name="Note 7 2 2 2 2 3 2 4" xfId="24800" xr:uid="{00000000-0005-0000-0000-00004F4B0000}"/>
    <cellStyle name="Note 7 2 2 2 2 3 3" xfId="24801" xr:uid="{00000000-0005-0000-0000-0000504B0000}"/>
    <cellStyle name="Note 7 2 2 2 2 3 4" xfId="24803" xr:uid="{00000000-0005-0000-0000-0000514B0000}"/>
    <cellStyle name="Note 7 2 2 2 2 3 5" xfId="24805" xr:uid="{00000000-0005-0000-0000-0000524B0000}"/>
    <cellStyle name="Note 7 2 2 2 2 4" xfId="11853" xr:uid="{00000000-0005-0000-0000-0000534B0000}"/>
    <cellStyle name="Note 7 2 2 2 2 4 2" xfId="19894" xr:uid="{00000000-0005-0000-0000-0000544B0000}"/>
    <cellStyle name="Note 7 2 2 2 2 4 3" xfId="19896" xr:uid="{00000000-0005-0000-0000-0000554B0000}"/>
    <cellStyle name="Note 7 2 2 2 2 4 4" xfId="19898" xr:uid="{00000000-0005-0000-0000-0000564B0000}"/>
    <cellStyle name="Note 7 2 2 2 2 5" xfId="11857" xr:uid="{00000000-0005-0000-0000-0000574B0000}"/>
    <cellStyle name="Note 7 2 2 2 2 6" xfId="11862" xr:uid="{00000000-0005-0000-0000-0000584B0000}"/>
    <cellStyle name="Note 7 2 2 2 2 7" xfId="19902" xr:uid="{00000000-0005-0000-0000-0000594B0000}"/>
    <cellStyle name="Note 7 2 2 2 3" xfId="24806" xr:uid="{00000000-0005-0000-0000-00005A4B0000}"/>
    <cellStyle name="Note 7 2 2 2 3 2" xfId="24807" xr:uid="{00000000-0005-0000-0000-00005B4B0000}"/>
    <cellStyle name="Note 7 2 2 2 3 2 2" xfId="24808" xr:uid="{00000000-0005-0000-0000-00005C4B0000}"/>
    <cellStyle name="Note 7 2 2 2 3 2 2 2" xfId="24809" xr:uid="{00000000-0005-0000-0000-00005D4B0000}"/>
    <cellStyle name="Note 7 2 2 2 3 2 2 3" xfId="24810" xr:uid="{00000000-0005-0000-0000-00005E4B0000}"/>
    <cellStyle name="Note 7 2 2 2 3 2 2 4" xfId="24811" xr:uid="{00000000-0005-0000-0000-00005F4B0000}"/>
    <cellStyle name="Note 7 2 2 2 3 2 3" xfId="24812" xr:uid="{00000000-0005-0000-0000-0000604B0000}"/>
    <cellStyle name="Note 7 2 2 2 3 2 4" xfId="24813" xr:uid="{00000000-0005-0000-0000-0000614B0000}"/>
    <cellStyle name="Note 7 2 2 2 3 2 5" xfId="13281" xr:uid="{00000000-0005-0000-0000-0000624B0000}"/>
    <cellStyle name="Note 7 2 2 2 3 3" xfId="24814" xr:uid="{00000000-0005-0000-0000-0000634B0000}"/>
    <cellStyle name="Note 7 2 2 2 3 3 2" xfId="24815" xr:uid="{00000000-0005-0000-0000-0000644B0000}"/>
    <cellStyle name="Note 7 2 2 2 3 3 3" xfId="24816" xr:uid="{00000000-0005-0000-0000-0000654B0000}"/>
    <cellStyle name="Note 7 2 2 2 3 3 4" xfId="24817" xr:uid="{00000000-0005-0000-0000-0000664B0000}"/>
    <cellStyle name="Note 7 2 2 2 3 4" xfId="19904" xr:uid="{00000000-0005-0000-0000-0000674B0000}"/>
    <cellStyle name="Note 7 2 2 2 3 5" xfId="19906" xr:uid="{00000000-0005-0000-0000-0000684B0000}"/>
    <cellStyle name="Note 7 2 2 2 3 6" xfId="19908" xr:uid="{00000000-0005-0000-0000-0000694B0000}"/>
    <cellStyle name="Note 7 2 2 2 4" xfId="24818" xr:uid="{00000000-0005-0000-0000-00006A4B0000}"/>
    <cellStyle name="Note 7 2 2 2 4 2" xfId="24820" xr:uid="{00000000-0005-0000-0000-00006B4B0000}"/>
    <cellStyle name="Note 7 2 2 2 4 2 2" xfId="3040" xr:uid="{00000000-0005-0000-0000-00006C4B0000}"/>
    <cellStyle name="Note 7 2 2 2 4 2 3" xfId="17742" xr:uid="{00000000-0005-0000-0000-00006D4B0000}"/>
    <cellStyle name="Note 7 2 2 2 4 2 4" xfId="17749" xr:uid="{00000000-0005-0000-0000-00006E4B0000}"/>
    <cellStyle name="Note 7 2 2 2 4 3" xfId="24822" xr:uid="{00000000-0005-0000-0000-00006F4B0000}"/>
    <cellStyle name="Note 7 2 2 2 4 4" xfId="24823" xr:uid="{00000000-0005-0000-0000-0000704B0000}"/>
    <cellStyle name="Note 7 2 2 2 4 5" xfId="24824" xr:uid="{00000000-0005-0000-0000-0000714B0000}"/>
    <cellStyle name="Note 7 2 2 2 5" xfId="24825" xr:uid="{00000000-0005-0000-0000-0000724B0000}"/>
    <cellStyle name="Note 7 2 2 2 5 2" xfId="24828" xr:uid="{00000000-0005-0000-0000-0000734B0000}"/>
    <cellStyle name="Note 7 2 2 2 5 3" xfId="24359" xr:uid="{00000000-0005-0000-0000-0000744B0000}"/>
    <cellStyle name="Note 7 2 2 2 5 4" xfId="24362" xr:uid="{00000000-0005-0000-0000-0000754B0000}"/>
    <cellStyle name="Note 7 2 2 2 6" xfId="23467" xr:uid="{00000000-0005-0000-0000-0000764B0000}"/>
    <cellStyle name="Note 7 2 2 2 7" xfId="23469" xr:uid="{00000000-0005-0000-0000-0000774B0000}"/>
    <cellStyle name="Note 7 2 2 2 8" xfId="23471" xr:uid="{00000000-0005-0000-0000-0000784B0000}"/>
    <cellStyle name="Note 7 2 2 3" xfId="24829" xr:uid="{00000000-0005-0000-0000-0000794B0000}"/>
    <cellStyle name="Note 7 2 2 3 2" xfId="24831" xr:uid="{00000000-0005-0000-0000-00007A4B0000}"/>
    <cellStyle name="Note 7 2 2 3 2 2" xfId="24832" xr:uid="{00000000-0005-0000-0000-00007B4B0000}"/>
    <cellStyle name="Note 7 2 2 3 2 2 2" xfId="24833" xr:uid="{00000000-0005-0000-0000-00007C4B0000}"/>
    <cellStyle name="Note 7 2 2 3 2 2 2 2" xfId="24834" xr:uid="{00000000-0005-0000-0000-00007D4B0000}"/>
    <cellStyle name="Note 7 2 2 3 2 2 2 3" xfId="24835" xr:uid="{00000000-0005-0000-0000-00007E4B0000}"/>
    <cellStyle name="Note 7 2 2 3 2 2 2 4" xfId="24836" xr:uid="{00000000-0005-0000-0000-00007F4B0000}"/>
    <cellStyle name="Note 7 2 2 3 2 2 3" xfId="24837" xr:uid="{00000000-0005-0000-0000-0000804B0000}"/>
    <cellStyle name="Note 7 2 2 3 2 2 4" xfId="24838" xr:uid="{00000000-0005-0000-0000-0000814B0000}"/>
    <cellStyle name="Note 7 2 2 3 2 2 5" xfId="24839" xr:uid="{00000000-0005-0000-0000-0000824B0000}"/>
    <cellStyle name="Note 7 2 2 3 2 3" xfId="24840" xr:uid="{00000000-0005-0000-0000-0000834B0000}"/>
    <cellStyle name="Note 7 2 2 3 2 3 2" xfId="24841" xr:uid="{00000000-0005-0000-0000-0000844B0000}"/>
    <cellStyle name="Note 7 2 2 3 2 3 3" xfId="24842" xr:uid="{00000000-0005-0000-0000-0000854B0000}"/>
    <cellStyle name="Note 7 2 2 3 2 3 4" xfId="24843" xr:uid="{00000000-0005-0000-0000-0000864B0000}"/>
    <cellStyle name="Note 7 2 2 3 2 4" xfId="19910" xr:uid="{00000000-0005-0000-0000-0000874B0000}"/>
    <cellStyle name="Note 7 2 2 3 2 5" xfId="19912" xr:uid="{00000000-0005-0000-0000-0000884B0000}"/>
    <cellStyle name="Note 7 2 2 3 2 6" xfId="19914" xr:uid="{00000000-0005-0000-0000-0000894B0000}"/>
    <cellStyle name="Note 7 2 2 3 3" xfId="24845" xr:uid="{00000000-0005-0000-0000-00008A4B0000}"/>
    <cellStyle name="Note 7 2 2 3 3 2" xfId="24846" xr:uid="{00000000-0005-0000-0000-00008B4B0000}"/>
    <cellStyle name="Note 7 2 2 3 3 2 2" xfId="24847" xr:uid="{00000000-0005-0000-0000-00008C4B0000}"/>
    <cellStyle name="Note 7 2 2 3 3 2 3" xfId="24848" xr:uid="{00000000-0005-0000-0000-00008D4B0000}"/>
    <cellStyle name="Note 7 2 2 3 3 2 4" xfId="24849" xr:uid="{00000000-0005-0000-0000-00008E4B0000}"/>
    <cellStyle name="Note 7 2 2 3 3 3" xfId="24850" xr:uid="{00000000-0005-0000-0000-00008F4B0000}"/>
    <cellStyle name="Note 7 2 2 3 3 4" xfId="24851" xr:uid="{00000000-0005-0000-0000-0000904B0000}"/>
    <cellStyle name="Note 7 2 2 3 3 5" xfId="24852" xr:uid="{00000000-0005-0000-0000-0000914B0000}"/>
    <cellStyle name="Note 7 2 2 3 4" xfId="24853" xr:uid="{00000000-0005-0000-0000-0000924B0000}"/>
    <cellStyle name="Note 7 2 2 3 4 2" xfId="24855" xr:uid="{00000000-0005-0000-0000-0000934B0000}"/>
    <cellStyle name="Note 7 2 2 3 4 3" xfId="24856" xr:uid="{00000000-0005-0000-0000-0000944B0000}"/>
    <cellStyle name="Note 7 2 2 3 4 4" xfId="24857" xr:uid="{00000000-0005-0000-0000-0000954B0000}"/>
    <cellStyle name="Note 7 2 2 3 5" xfId="24858" xr:uid="{00000000-0005-0000-0000-0000964B0000}"/>
    <cellStyle name="Note 7 2 2 3 6" xfId="24860" xr:uid="{00000000-0005-0000-0000-0000974B0000}"/>
    <cellStyle name="Note 7 2 2 3 7" xfId="24862" xr:uid="{00000000-0005-0000-0000-0000984B0000}"/>
    <cellStyle name="Note 7 2 2 4" xfId="22262" xr:uid="{00000000-0005-0000-0000-0000994B0000}"/>
    <cellStyle name="Note 7 2 2 4 2" xfId="8014" xr:uid="{00000000-0005-0000-0000-00009A4B0000}"/>
    <cellStyle name="Note 7 2 2 4 2 2" xfId="22265" xr:uid="{00000000-0005-0000-0000-00009B4B0000}"/>
    <cellStyle name="Note 7 2 2 4 2 2 2" xfId="24863" xr:uid="{00000000-0005-0000-0000-00009C4B0000}"/>
    <cellStyle name="Note 7 2 2 4 2 2 3" xfId="24864" xr:uid="{00000000-0005-0000-0000-00009D4B0000}"/>
    <cellStyle name="Note 7 2 2 4 2 2 4" xfId="24865" xr:uid="{00000000-0005-0000-0000-00009E4B0000}"/>
    <cellStyle name="Note 7 2 2 4 2 3" xfId="22268" xr:uid="{00000000-0005-0000-0000-00009F4B0000}"/>
    <cellStyle name="Note 7 2 2 4 2 4" xfId="22270" xr:uid="{00000000-0005-0000-0000-0000A04B0000}"/>
    <cellStyle name="Note 7 2 2 4 2 5" xfId="24866" xr:uid="{00000000-0005-0000-0000-0000A14B0000}"/>
    <cellStyle name="Note 7 2 2 4 3" xfId="22273" xr:uid="{00000000-0005-0000-0000-0000A24B0000}"/>
    <cellStyle name="Note 7 2 2 4 3 2" xfId="24867" xr:uid="{00000000-0005-0000-0000-0000A34B0000}"/>
    <cellStyle name="Note 7 2 2 4 3 3" xfId="24868" xr:uid="{00000000-0005-0000-0000-0000A44B0000}"/>
    <cellStyle name="Note 7 2 2 4 3 4" xfId="24869" xr:uid="{00000000-0005-0000-0000-0000A54B0000}"/>
    <cellStyle name="Note 7 2 2 4 4" xfId="22275" xr:uid="{00000000-0005-0000-0000-0000A64B0000}"/>
    <cellStyle name="Note 7 2 2 4 5" xfId="22277" xr:uid="{00000000-0005-0000-0000-0000A74B0000}"/>
    <cellStyle name="Note 7 2 2 4 6" xfId="24872" xr:uid="{00000000-0005-0000-0000-0000A84B0000}"/>
    <cellStyle name="Note 7 2 2 5" xfId="22279" xr:uid="{00000000-0005-0000-0000-0000A94B0000}"/>
    <cellStyle name="Note 7 2 2 5 2" xfId="22281" xr:uid="{00000000-0005-0000-0000-0000AA4B0000}"/>
    <cellStyle name="Note 7 2 2 5 2 2" xfId="24873" xr:uid="{00000000-0005-0000-0000-0000AB4B0000}"/>
    <cellStyle name="Note 7 2 2 5 2 3" xfId="24874" xr:uid="{00000000-0005-0000-0000-0000AC4B0000}"/>
    <cellStyle name="Note 7 2 2 5 2 4" xfId="24875" xr:uid="{00000000-0005-0000-0000-0000AD4B0000}"/>
    <cellStyle name="Note 7 2 2 5 3" xfId="22283" xr:uid="{00000000-0005-0000-0000-0000AE4B0000}"/>
    <cellStyle name="Note 7 2 2 5 4" xfId="22285" xr:uid="{00000000-0005-0000-0000-0000AF4B0000}"/>
    <cellStyle name="Note 7 2 2 5 5" xfId="24876" xr:uid="{00000000-0005-0000-0000-0000B04B0000}"/>
    <cellStyle name="Note 7 2 2 6" xfId="15093" xr:uid="{00000000-0005-0000-0000-0000B14B0000}"/>
    <cellStyle name="Note 7 2 2 6 2" xfId="24878" xr:uid="{00000000-0005-0000-0000-0000B24B0000}"/>
    <cellStyle name="Note 7 2 2 6 3" xfId="24879" xr:uid="{00000000-0005-0000-0000-0000B34B0000}"/>
    <cellStyle name="Note 7 2 2 6 4" xfId="24880" xr:uid="{00000000-0005-0000-0000-0000B44B0000}"/>
    <cellStyle name="Note 7 2 2 7" xfId="15096" xr:uid="{00000000-0005-0000-0000-0000B54B0000}"/>
    <cellStyle name="Note 7 2 2 8" xfId="14320" xr:uid="{00000000-0005-0000-0000-0000B64B0000}"/>
    <cellStyle name="Note 7 2 2 9" xfId="23830" xr:uid="{00000000-0005-0000-0000-0000B74B0000}"/>
    <cellStyle name="Note 7 2 3" xfId="24881" xr:uid="{00000000-0005-0000-0000-0000B84B0000}"/>
    <cellStyle name="Note 7 2 3 2" xfId="24882" xr:uid="{00000000-0005-0000-0000-0000B94B0000}"/>
    <cellStyle name="Note 7 2 3 2 2" xfId="14587" xr:uid="{00000000-0005-0000-0000-0000BA4B0000}"/>
    <cellStyle name="Note 7 2 3 2 2 2" xfId="24883" xr:uid="{00000000-0005-0000-0000-0000BB4B0000}"/>
    <cellStyle name="Note 7 2 3 2 2 2 2" xfId="24884" xr:uid="{00000000-0005-0000-0000-0000BC4B0000}"/>
    <cellStyle name="Note 7 2 3 2 2 2 2 2" xfId="13192" xr:uid="{00000000-0005-0000-0000-0000BD4B0000}"/>
    <cellStyle name="Note 7 2 3 2 2 2 2 2 2" xfId="24885" xr:uid="{00000000-0005-0000-0000-0000BE4B0000}"/>
    <cellStyle name="Note 7 2 3 2 2 2 2 2 3" xfId="24886" xr:uid="{00000000-0005-0000-0000-0000BF4B0000}"/>
    <cellStyle name="Note 7 2 3 2 2 2 2 2 4" xfId="24887" xr:uid="{00000000-0005-0000-0000-0000C04B0000}"/>
    <cellStyle name="Note 7 2 3 2 2 2 2 3" xfId="24888" xr:uid="{00000000-0005-0000-0000-0000C14B0000}"/>
    <cellStyle name="Note 7 2 3 2 2 2 2 4" xfId="24889" xr:uid="{00000000-0005-0000-0000-0000C24B0000}"/>
    <cellStyle name="Note 7 2 3 2 2 2 2 5" xfId="24890" xr:uid="{00000000-0005-0000-0000-0000C34B0000}"/>
    <cellStyle name="Note 7 2 3 2 2 2 3" xfId="3890" xr:uid="{00000000-0005-0000-0000-0000C44B0000}"/>
    <cellStyle name="Note 7 2 3 2 2 2 3 2" xfId="17092" xr:uid="{00000000-0005-0000-0000-0000C54B0000}"/>
    <cellStyle name="Note 7 2 3 2 2 2 3 3" xfId="17110" xr:uid="{00000000-0005-0000-0000-0000C64B0000}"/>
    <cellStyle name="Note 7 2 3 2 2 2 3 4" xfId="17128" xr:uid="{00000000-0005-0000-0000-0000C74B0000}"/>
    <cellStyle name="Note 7 2 3 2 2 2 4" xfId="3916" xr:uid="{00000000-0005-0000-0000-0000C84B0000}"/>
    <cellStyle name="Note 7 2 3 2 2 2 5" xfId="2475" xr:uid="{00000000-0005-0000-0000-0000C94B0000}"/>
    <cellStyle name="Note 7 2 3 2 2 2 6" xfId="188" xr:uid="{00000000-0005-0000-0000-0000CA4B0000}"/>
    <cellStyle name="Note 7 2 3 2 2 3" xfId="24891" xr:uid="{00000000-0005-0000-0000-0000CB4B0000}"/>
    <cellStyle name="Note 7 2 3 2 2 3 2" xfId="24892" xr:uid="{00000000-0005-0000-0000-0000CC4B0000}"/>
    <cellStyle name="Note 7 2 3 2 2 3 2 2" xfId="13410" xr:uid="{00000000-0005-0000-0000-0000CD4B0000}"/>
    <cellStyle name="Note 7 2 3 2 2 3 2 3" xfId="23371" xr:uid="{00000000-0005-0000-0000-0000CE4B0000}"/>
    <cellStyle name="Note 7 2 3 2 2 3 2 4" xfId="24893" xr:uid="{00000000-0005-0000-0000-0000CF4B0000}"/>
    <cellStyle name="Note 7 2 3 2 2 3 3" xfId="17162" xr:uid="{00000000-0005-0000-0000-0000D04B0000}"/>
    <cellStyle name="Note 7 2 3 2 2 3 4" xfId="17168" xr:uid="{00000000-0005-0000-0000-0000D14B0000}"/>
    <cellStyle name="Note 7 2 3 2 2 3 5" xfId="17176" xr:uid="{00000000-0005-0000-0000-0000D24B0000}"/>
    <cellStyle name="Note 7 2 3 2 2 4" xfId="19928" xr:uid="{00000000-0005-0000-0000-0000D34B0000}"/>
    <cellStyle name="Note 7 2 3 2 2 4 2" xfId="24894" xr:uid="{00000000-0005-0000-0000-0000D44B0000}"/>
    <cellStyle name="Note 7 2 3 2 2 4 3" xfId="17185" xr:uid="{00000000-0005-0000-0000-0000D54B0000}"/>
    <cellStyle name="Note 7 2 3 2 2 4 4" xfId="17187" xr:uid="{00000000-0005-0000-0000-0000D64B0000}"/>
    <cellStyle name="Note 7 2 3 2 2 5" xfId="19930" xr:uid="{00000000-0005-0000-0000-0000D74B0000}"/>
    <cellStyle name="Note 7 2 3 2 2 6" xfId="3997" xr:uid="{00000000-0005-0000-0000-0000D84B0000}"/>
    <cellStyle name="Note 7 2 3 2 2 7" xfId="24895" xr:uid="{00000000-0005-0000-0000-0000D94B0000}"/>
    <cellStyle name="Note 7 2 3 2 3" xfId="14590" xr:uid="{00000000-0005-0000-0000-0000DA4B0000}"/>
    <cellStyle name="Note 7 2 3 2 3 2" xfId="24896" xr:uid="{00000000-0005-0000-0000-0000DB4B0000}"/>
    <cellStyle name="Note 7 2 3 2 3 2 2" xfId="24897" xr:uid="{00000000-0005-0000-0000-0000DC4B0000}"/>
    <cellStyle name="Note 7 2 3 2 3 2 2 2" xfId="24898" xr:uid="{00000000-0005-0000-0000-0000DD4B0000}"/>
    <cellStyle name="Note 7 2 3 2 3 2 2 3" xfId="24899" xr:uid="{00000000-0005-0000-0000-0000DE4B0000}"/>
    <cellStyle name="Note 7 2 3 2 3 2 2 4" xfId="24900" xr:uid="{00000000-0005-0000-0000-0000DF4B0000}"/>
    <cellStyle name="Note 7 2 3 2 3 2 3" xfId="17205" xr:uid="{00000000-0005-0000-0000-0000E04B0000}"/>
    <cellStyle name="Note 7 2 3 2 3 2 4" xfId="17223" xr:uid="{00000000-0005-0000-0000-0000E14B0000}"/>
    <cellStyle name="Note 7 2 3 2 3 2 5" xfId="14302" xr:uid="{00000000-0005-0000-0000-0000E24B0000}"/>
    <cellStyle name="Note 7 2 3 2 3 3" xfId="24901" xr:uid="{00000000-0005-0000-0000-0000E34B0000}"/>
    <cellStyle name="Note 7 2 3 2 3 3 2" xfId="24902" xr:uid="{00000000-0005-0000-0000-0000E44B0000}"/>
    <cellStyle name="Note 7 2 3 2 3 3 3" xfId="17235" xr:uid="{00000000-0005-0000-0000-0000E54B0000}"/>
    <cellStyle name="Note 7 2 3 2 3 3 4" xfId="17237" xr:uid="{00000000-0005-0000-0000-0000E64B0000}"/>
    <cellStyle name="Note 7 2 3 2 3 4" xfId="24903" xr:uid="{00000000-0005-0000-0000-0000E74B0000}"/>
    <cellStyle name="Note 7 2 3 2 3 5" xfId="24904" xr:uid="{00000000-0005-0000-0000-0000E84B0000}"/>
    <cellStyle name="Note 7 2 3 2 3 6" xfId="24905" xr:uid="{00000000-0005-0000-0000-0000E94B0000}"/>
    <cellStyle name="Note 7 2 3 2 4" xfId="24907" xr:uid="{00000000-0005-0000-0000-0000EA4B0000}"/>
    <cellStyle name="Note 7 2 3 2 4 2" xfId="24909" xr:uid="{00000000-0005-0000-0000-0000EB4B0000}"/>
    <cellStyle name="Note 7 2 3 2 4 2 2" xfId="24911" xr:uid="{00000000-0005-0000-0000-0000EC4B0000}"/>
    <cellStyle name="Note 7 2 3 2 4 2 3" xfId="17247" xr:uid="{00000000-0005-0000-0000-0000ED4B0000}"/>
    <cellStyle name="Note 7 2 3 2 4 2 4" xfId="17258" xr:uid="{00000000-0005-0000-0000-0000EE4B0000}"/>
    <cellStyle name="Note 7 2 3 2 4 3" xfId="24913" xr:uid="{00000000-0005-0000-0000-0000EF4B0000}"/>
    <cellStyle name="Note 7 2 3 2 4 4" xfId="24915" xr:uid="{00000000-0005-0000-0000-0000F04B0000}"/>
    <cellStyle name="Note 7 2 3 2 4 5" xfId="24917" xr:uid="{00000000-0005-0000-0000-0000F14B0000}"/>
    <cellStyle name="Note 7 2 3 2 5" xfId="24919" xr:uid="{00000000-0005-0000-0000-0000F24B0000}"/>
    <cellStyle name="Note 7 2 3 2 5 2" xfId="24921" xr:uid="{00000000-0005-0000-0000-0000F34B0000}"/>
    <cellStyle name="Note 7 2 3 2 5 3" xfId="21649" xr:uid="{00000000-0005-0000-0000-0000F44B0000}"/>
    <cellStyle name="Note 7 2 3 2 5 4" xfId="21664" xr:uid="{00000000-0005-0000-0000-0000F54B0000}"/>
    <cellStyle name="Note 7 2 3 2 6" xfId="24923" xr:uid="{00000000-0005-0000-0000-0000F64B0000}"/>
    <cellStyle name="Note 7 2 3 2 7" xfId="24925" xr:uid="{00000000-0005-0000-0000-0000F74B0000}"/>
    <cellStyle name="Note 7 2 3 2 8" xfId="24928" xr:uid="{00000000-0005-0000-0000-0000F84B0000}"/>
    <cellStyle name="Note 7 2 3 3" xfId="24929" xr:uid="{00000000-0005-0000-0000-0000F94B0000}"/>
    <cellStyle name="Note 7 2 3 3 2" xfId="14598" xr:uid="{00000000-0005-0000-0000-0000FA4B0000}"/>
    <cellStyle name="Note 7 2 3 3 2 2" xfId="17767" xr:uid="{00000000-0005-0000-0000-0000FB4B0000}"/>
    <cellStyle name="Note 7 2 3 3 2 2 2" xfId="610" xr:uid="{00000000-0005-0000-0000-0000FC4B0000}"/>
    <cellStyle name="Note 7 2 3 3 2 2 2 2" xfId="14099" xr:uid="{00000000-0005-0000-0000-0000FD4B0000}"/>
    <cellStyle name="Note 7 2 3 3 2 2 2 3" xfId="24930" xr:uid="{00000000-0005-0000-0000-0000FE4B0000}"/>
    <cellStyle name="Note 7 2 3 3 2 2 2 4" xfId="24931" xr:uid="{00000000-0005-0000-0000-0000FF4B0000}"/>
    <cellStyle name="Note 7 2 3 3 2 2 3" xfId="718" xr:uid="{00000000-0005-0000-0000-0000004C0000}"/>
    <cellStyle name="Note 7 2 3 3 2 2 4" xfId="758" xr:uid="{00000000-0005-0000-0000-0000014C0000}"/>
    <cellStyle name="Note 7 2 3 3 2 2 5" xfId="2388" xr:uid="{00000000-0005-0000-0000-0000024C0000}"/>
    <cellStyle name="Note 7 2 3 3 2 3" xfId="24932" xr:uid="{00000000-0005-0000-0000-0000034C0000}"/>
    <cellStyle name="Note 7 2 3 3 2 3 2" xfId="24933" xr:uid="{00000000-0005-0000-0000-0000044C0000}"/>
    <cellStyle name="Note 7 2 3 3 2 3 3" xfId="17346" xr:uid="{00000000-0005-0000-0000-0000054C0000}"/>
    <cellStyle name="Note 7 2 3 3 2 3 4" xfId="17355" xr:uid="{00000000-0005-0000-0000-0000064C0000}"/>
    <cellStyle name="Note 7 2 3 3 2 4" xfId="24934" xr:uid="{00000000-0005-0000-0000-0000074C0000}"/>
    <cellStyle name="Note 7 2 3 3 2 5" xfId="24935" xr:uid="{00000000-0005-0000-0000-0000084C0000}"/>
    <cellStyle name="Note 7 2 3 3 2 6" xfId="24936" xr:uid="{00000000-0005-0000-0000-0000094C0000}"/>
    <cellStyle name="Note 7 2 3 3 3" xfId="24937" xr:uid="{00000000-0005-0000-0000-00000A4C0000}"/>
    <cellStyle name="Note 7 2 3 3 3 2" xfId="24938" xr:uid="{00000000-0005-0000-0000-00000B4C0000}"/>
    <cellStyle name="Note 7 2 3 3 3 2 2" xfId="24939" xr:uid="{00000000-0005-0000-0000-00000C4C0000}"/>
    <cellStyle name="Note 7 2 3 3 3 2 3" xfId="17364" xr:uid="{00000000-0005-0000-0000-00000D4C0000}"/>
    <cellStyle name="Note 7 2 3 3 3 2 4" xfId="17371" xr:uid="{00000000-0005-0000-0000-00000E4C0000}"/>
    <cellStyle name="Note 7 2 3 3 3 3" xfId="24940" xr:uid="{00000000-0005-0000-0000-00000F4C0000}"/>
    <cellStyle name="Note 7 2 3 3 3 4" xfId="24941" xr:uid="{00000000-0005-0000-0000-0000104C0000}"/>
    <cellStyle name="Note 7 2 3 3 3 5" xfId="24942" xr:uid="{00000000-0005-0000-0000-0000114C0000}"/>
    <cellStyle name="Note 7 2 3 3 4" xfId="24944" xr:uid="{00000000-0005-0000-0000-0000124C0000}"/>
    <cellStyle name="Note 7 2 3 3 4 2" xfId="24946" xr:uid="{00000000-0005-0000-0000-0000134C0000}"/>
    <cellStyle name="Note 7 2 3 3 4 3" xfId="24948" xr:uid="{00000000-0005-0000-0000-0000144C0000}"/>
    <cellStyle name="Note 7 2 3 3 4 4" xfId="24950" xr:uid="{00000000-0005-0000-0000-0000154C0000}"/>
    <cellStyle name="Note 7 2 3 3 5" xfId="24952" xr:uid="{00000000-0005-0000-0000-0000164C0000}"/>
    <cellStyle name="Note 7 2 3 3 6" xfId="24955" xr:uid="{00000000-0005-0000-0000-0000174C0000}"/>
    <cellStyle name="Note 7 2 3 3 7" xfId="24958" xr:uid="{00000000-0005-0000-0000-0000184C0000}"/>
    <cellStyle name="Note 7 2 3 4" xfId="22288" xr:uid="{00000000-0005-0000-0000-0000194C0000}"/>
    <cellStyle name="Note 7 2 3 4 2" xfId="22290" xr:uid="{00000000-0005-0000-0000-00001A4C0000}"/>
    <cellStyle name="Note 7 2 3 4 2 2" xfId="24959" xr:uid="{00000000-0005-0000-0000-00001B4C0000}"/>
    <cellStyle name="Note 7 2 3 4 2 2 2" xfId="2659" xr:uid="{00000000-0005-0000-0000-00001C4C0000}"/>
    <cellStyle name="Note 7 2 3 4 2 2 3" xfId="1738" xr:uid="{00000000-0005-0000-0000-00001D4C0000}"/>
    <cellStyle name="Note 7 2 3 4 2 2 4" xfId="24960" xr:uid="{00000000-0005-0000-0000-00001E4C0000}"/>
    <cellStyle name="Note 7 2 3 4 2 3" xfId="24961" xr:uid="{00000000-0005-0000-0000-00001F4C0000}"/>
    <cellStyle name="Note 7 2 3 4 2 4" xfId="24962" xr:uid="{00000000-0005-0000-0000-0000204C0000}"/>
    <cellStyle name="Note 7 2 3 4 2 5" xfId="24963" xr:uid="{00000000-0005-0000-0000-0000214C0000}"/>
    <cellStyle name="Note 7 2 3 4 3" xfId="22292" xr:uid="{00000000-0005-0000-0000-0000224C0000}"/>
    <cellStyle name="Note 7 2 3 4 3 2" xfId="24964" xr:uid="{00000000-0005-0000-0000-0000234C0000}"/>
    <cellStyle name="Note 7 2 3 4 3 3" xfId="24965" xr:uid="{00000000-0005-0000-0000-0000244C0000}"/>
    <cellStyle name="Note 7 2 3 4 3 4" xfId="24966" xr:uid="{00000000-0005-0000-0000-0000254C0000}"/>
    <cellStyle name="Note 7 2 3 4 4" xfId="22295" xr:uid="{00000000-0005-0000-0000-0000264C0000}"/>
    <cellStyle name="Note 7 2 3 4 5" xfId="24968" xr:uid="{00000000-0005-0000-0000-0000274C0000}"/>
    <cellStyle name="Note 7 2 3 4 6" xfId="24971" xr:uid="{00000000-0005-0000-0000-0000284C0000}"/>
    <cellStyle name="Note 7 2 3 5" xfId="22297" xr:uid="{00000000-0005-0000-0000-0000294C0000}"/>
    <cellStyle name="Note 7 2 3 5 2" xfId="24972" xr:uid="{00000000-0005-0000-0000-00002A4C0000}"/>
    <cellStyle name="Note 7 2 3 5 2 2" xfId="24973" xr:uid="{00000000-0005-0000-0000-00002B4C0000}"/>
    <cellStyle name="Note 7 2 3 5 2 3" xfId="24974" xr:uid="{00000000-0005-0000-0000-00002C4C0000}"/>
    <cellStyle name="Note 7 2 3 5 2 4" xfId="24975" xr:uid="{00000000-0005-0000-0000-00002D4C0000}"/>
    <cellStyle name="Note 7 2 3 5 3" xfId="24976" xr:uid="{00000000-0005-0000-0000-00002E4C0000}"/>
    <cellStyle name="Note 7 2 3 5 4" xfId="24977" xr:uid="{00000000-0005-0000-0000-00002F4C0000}"/>
    <cellStyle name="Note 7 2 3 5 5" xfId="24978" xr:uid="{00000000-0005-0000-0000-0000304C0000}"/>
    <cellStyle name="Note 7 2 3 6" xfId="22299" xr:uid="{00000000-0005-0000-0000-0000314C0000}"/>
    <cellStyle name="Note 7 2 3 6 2" xfId="24979" xr:uid="{00000000-0005-0000-0000-0000324C0000}"/>
    <cellStyle name="Note 7 2 3 6 3" xfId="24980" xr:uid="{00000000-0005-0000-0000-0000334C0000}"/>
    <cellStyle name="Note 7 2 3 6 4" xfId="24982" xr:uid="{00000000-0005-0000-0000-0000344C0000}"/>
    <cellStyle name="Note 7 2 3 7" xfId="22301" xr:uid="{00000000-0005-0000-0000-0000354C0000}"/>
    <cellStyle name="Note 7 2 3 8" xfId="24983" xr:uid="{00000000-0005-0000-0000-0000364C0000}"/>
    <cellStyle name="Note 7 2 3 9" xfId="24984" xr:uid="{00000000-0005-0000-0000-0000374C0000}"/>
    <cellStyle name="Note 7 2 4" xfId="24985" xr:uid="{00000000-0005-0000-0000-0000384C0000}"/>
    <cellStyle name="Note 7 2 4 2" xfId="24986" xr:uid="{00000000-0005-0000-0000-0000394C0000}"/>
    <cellStyle name="Note 7 2 4 2 2" xfId="14608" xr:uid="{00000000-0005-0000-0000-00003A4C0000}"/>
    <cellStyle name="Note 7 2 4 2 2 2" xfId="15276" xr:uid="{00000000-0005-0000-0000-00003B4C0000}"/>
    <cellStyle name="Note 7 2 4 2 2 2 2" xfId="9611" xr:uid="{00000000-0005-0000-0000-00003C4C0000}"/>
    <cellStyle name="Note 7 2 4 2 2 2 2 2" xfId="24987" xr:uid="{00000000-0005-0000-0000-00003D4C0000}"/>
    <cellStyle name="Note 7 2 4 2 2 2 2 3" xfId="24989" xr:uid="{00000000-0005-0000-0000-00003E4C0000}"/>
    <cellStyle name="Note 7 2 4 2 2 2 2 4" xfId="24991" xr:uid="{00000000-0005-0000-0000-00003F4C0000}"/>
    <cellStyle name="Note 7 2 4 2 2 2 3" xfId="9613" xr:uid="{00000000-0005-0000-0000-0000404C0000}"/>
    <cellStyle name="Note 7 2 4 2 2 2 4" xfId="9533" xr:uid="{00000000-0005-0000-0000-0000414C0000}"/>
    <cellStyle name="Note 7 2 4 2 2 2 5" xfId="24992" xr:uid="{00000000-0005-0000-0000-0000424C0000}"/>
    <cellStyle name="Note 7 2 4 2 2 3" xfId="23267" xr:uid="{00000000-0005-0000-0000-0000434C0000}"/>
    <cellStyle name="Note 7 2 4 2 2 3 2" xfId="24993" xr:uid="{00000000-0005-0000-0000-0000444C0000}"/>
    <cellStyle name="Note 7 2 4 2 2 3 3" xfId="24994" xr:uid="{00000000-0005-0000-0000-0000454C0000}"/>
    <cellStyle name="Note 7 2 4 2 2 3 4" xfId="24996" xr:uid="{00000000-0005-0000-0000-0000464C0000}"/>
    <cellStyle name="Note 7 2 4 2 2 4" xfId="1706" xr:uid="{00000000-0005-0000-0000-0000474C0000}"/>
    <cellStyle name="Note 7 2 4 2 2 5" xfId="1743" xr:uid="{00000000-0005-0000-0000-0000484C0000}"/>
    <cellStyle name="Note 7 2 4 2 2 6" xfId="1770" xr:uid="{00000000-0005-0000-0000-0000494C0000}"/>
    <cellStyle name="Note 7 2 4 2 3" xfId="24997" xr:uid="{00000000-0005-0000-0000-00004A4C0000}"/>
    <cellStyle name="Note 7 2 4 2 3 2" xfId="23288" xr:uid="{00000000-0005-0000-0000-00004B4C0000}"/>
    <cellStyle name="Note 7 2 4 2 3 2 2" xfId="24998" xr:uid="{00000000-0005-0000-0000-00004C4C0000}"/>
    <cellStyle name="Note 7 2 4 2 3 2 3" xfId="24999" xr:uid="{00000000-0005-0000-0000-00004D4C0000}"/>
    <cellStyle name="Note 7 2 4 2 3 2 4" xfId="25000" xr:uid="{00000000-0005-0000-0000-00004E4C0000}"/>
    <cellStyle name="Note 7 2 4 2 3 3" xfId="25001" xr:uid="{00000000-0005-0000-0000-00004F4C0000}"/>
    <cellStyle name="Note 7 2 4 2 3 4" xfId="4314" xr:uid="{00000000-0005-0000-0000-0000504C0000}"/>
    <cellStyle name="Note 7 2 4 2 3 5" xfId="4545" xr:uid="{00000000-0005-0000-0000-0000514C0000}"/>
    <cellStyle name="Note 7 2 4 2 4" xfId="25003" xr:uid="{00000000-0005-0000-0000-0000524C0000}"/>
    <cellStyle name="Note 7 2 4 2 4 2" xfId="25005" xr:uid="{00000000-0005-0000-0000-0000534C0000}"/>
    <cellStyle name="Note 7 2 4 2 4 3" xfId="25007" xr:uid="{00000000-0005-0000-0000-0000544C0000}"/>
    <cellStyle name="Note 7 2 4 2 4 4" xfId="25010" xr:uid="{00000000-0005-0000-0000-0000554C0000}"/>
    <cellStyle name="Note 7 2 4 2 5" xfId="25012" xr:uid="{00000000-0005-0000-0000-0000564C0000}"/>
    <cellStyle name="Note 7 2 4 2 6" xfId="25014" xr:uid="{00000000-0005-0000-0000-0000574C0000}"/>
    <cellStyle name="Note 7 2 4 2 7" xfId="25016" xr:uid="{00000000-0005-0000-0000-0000584C0000}"/>
    <cellStyle name="Note 7 2 4 3" xfId="25017" xr:uid="{00000000-0005-0000-0000-0000594C0000}"/>
    <cellStyle name="Note 7 2 4 3 2" xfId="25019" xr:uid="{00000000-0005-0000-0000-00005A4C0000}"/>
    <cellStyle name="Note 7 2 4 3 2 2" xfId="23321" xr:uid="{00000000-0005-0000-0000-00005B4C0000}"/>
    <cellStyle name="Note 7 2 4 3 2 2 2" xfId="25020" xr:uid="{00000000-0005-0000-0000-00005C4C0000}"/>
    <cellStyle name="Note 7 2 4 3 2 2 3" xfId="25021" xr:uid="{00000000-0005-0000-0000-00005D4C0000}"/>
    <cellStyle name="Note 7 2 4 3 2 2 4" xfId="25022" xr:uid="{00000000-0005-0000-0000-00005E4C0000}"/>
    <cellStyle name="Note 7 2 4 3 2 3" xfId="25023" xr:uid="{00000000-0005-0000-0000-00005F4C0000}"/>
    <cellStyle name="Note 7 2 4 3 2 4" xfId="972" xr:uid="{00000000-0005-0000-0000-0000604C0000}"/>
    <cellStyle name="Note 7 2 4 3 2 5" xfId="1865" xr:uid="{00000000-0005-0000-0000-0000614C0000}"/>
    <cellStyle name="Note 7 2 4 3 3" xfId="25025" xr:uid="{00000000-0005-0000-0000-0000624C0000}"/>
    <cellStyle name="Note 7 2 4 3 3 2" xfId="25026" xr:uid="{00000000-0005-0000-0000-0000634C0000}"/>
    <cellStyle name="Note 7 2 4 3 3 3" xfId="25027" xr:uid="{00000000-0005-0000-0000-0000644C0000}"/>
    <cellStyle name="Note 7 2 4 3 3 4" xfId="25029" xr:uid="{00000000-0005-0000-0000-0000654C0000}"/>
    <cellStyle name="Note 7 2 4 3 4" xfId="25032" xr:uid="{00000000-0005-0000-0000-0000664C0000}"/>
    <cellStyle name="Note 7 2 4 3 5" xfId="25034" xr:uid="{00000000-0005-0000-0000-0000674C0000}"/>
    <cellStyle name="Note 7 2 4 3 6" xfId="25037" xr:uid="{00000000-0005-0000-0000-0000684C0000}"/>
    <cellStyle name="Note 7 2 4 4" xfId="22304" xr:uid="{00000000-0005-0000-0000-0000694C0000}"/>
    <cellStyle name="Note 7 2 4 4 2" xfId="25039" xr:uid="{00000000-0005-0000-0000-00006A4C0000}"/>
    <cellStyle name="Note 7 2 4 4 2 2" xfId="25040" xr:uid="{00000000-0005-0000-0000-00006B4C0000}"/>
    <cellStyle name="Note 7 2 4 4 2 3" xfId="25041" xr:uid="{00000000-0005-0000-0000-00006C4C0000}"/>
    <cellStyle name="Note 7 2 4 4 2 4" xfId="25043" xr:uid="{00000000-0005-0000-0000-00006D4C0000}"/>
    <cellStyle name="Note 7 2 4 4 3" xfId="25045" xr:uid="{00000000-0005-0000-0000-00006E4C0000}"/>
    <cellStyle name="Note 7 2 4 4 4" xfId="20220" xr:uid="{00000000-0005-0000-0000-00006F4C0000}"/>
    <cellStyle name="Note 7 2 4 4 5" xfId="20222" xr:uid="{00000000-0005-0000-0000-0000704C0000}"/>
    <cellStyle name="Note 7 2 4 5" xfId="22307" xr:uid="{00000000-0005-0000-0000-0000714C0000}"/>
    <cellStyle name="Note 7 2 4 5 2" xfId="25047" xr:uid="{00000000-0005-0000-0000-0000724C0000}"/>
    <cellStyle name="Note 7 2 4 5 3" xfId="25048" xr:uid="{00000000-0005-0000-0000-0000734C0000}"/>
    <cellStyle name="Note 7 2 4 5 4" xfId="25049" xr:uid="{00000000-0005-0000-0000-0000744C0000}"/>
    <cellStyle name="Note 7 2 4 6" xfId="22310" xr:uid="{00000000-0005-0000-0000-0000754C0000}"/>
    <cellStyle name="Note 7 2 4 7" xfId="25051" xr:uid="{00000000-0005-0000-0000-0000764C0000}"/>
    <cellStyle name="Note 7 2 4 8" xfId="25052" xr:uid="{00000000-0005-0000-0000-0000774C0000}"/>
    <cellStyle name="Note 7 2 5" xfId="25053" xr:uid="{00000000-0005-0000-0000-0000784C0000}"/>
    <cellStyle name="Note 7 2 5 2" xfId="25055" xr:uid="{00000000-0005-0000-0000-0000794C0000}"/>
    <cellStyle name="Note 7 2 5 2 2" xfId="25056" xr:uid="{00000000-0005-0000-0000-00007A4C0000}"/>
    <cellStyle name="Note 7 2 5 2 2 2" xfId="23401" xr:uid="{00000000-0005-0000-0000-00007B4C0000}"/>
    <cellStyle name="Note 7 2 5 2 2 2 2" xfId="25057" xr:uid="{00000000-0005-0000-0000-00007C4C0000}"/>
    <cellStyle name="Note 7 2 5 2 2 2 3" xfId="25058" xr:uid="{00000000-0005-0000-0000-00007D4C0000}"/>
    <cellStyle name="Note 7 2 5 2 2 2 4" xfId="25059" xr:uid="{00000000-0005-0000-0000-00007E4C0000}"/>
    <cellStyle name="Note 7 2 5 2 2 3" xfId="23405" xr:uid="{00000000-0005-0000-0000-00007F4C0000}"/>
    <cellStyle name="Note 7 2 5 2 2 4" xfId="3902" xr:uid="{00000000-0005-0000-0000-0000804C0000}"/>
    <cellStyle name="Note 7 2 5 2 2 5" xfId="2463" xr:uid="{00000000-0005-0000-0000-0000814C0000}"/>
    <cellStyle name="Note 7 2 5 2 3" xfId="25060" xr:uid="{00000000-0005-0000-0000-0000824C0000}"/>
    <cellStyle name="Note 7 2 5 2 3 2" xfId="23424" xr:uid="{00000000-0005-0000-0000-0000834C0000}"/>
    <cellStyle name="Note 7 2 5 2 3 3" xfId="25061" xr:uid="{00000000-0005-0000-0000-0000844C0000}"/>
    <cellStyle name="Note 7 2 5 2 3 4" xfId="25062" xr:uid="{00000000-0005-0000-0000-0000854C0000}"/>
    <cellStyle name="Note 7 2 5 2 4" xfId="3961" xr:uid="{00000000-0005-0000-0000-0000864C0000}"/>
    <cellStyle name="Note 7 2 5 2 5" xfId="3980" xr:uid="{00000000-0005-0000-0000-0000874C0000}"/>
    <cellStyle name="Note 7 2 5 2 6" xfId="4007" xr:uid="{00000000-0005-0000-0000-0000884C0000}"/>
    <cellStyle name="Note 7 2 5 3" xfId="25063" xr:uid="{00000000-0005-0000-0000-0000894C0000}"/>
    <cellStyle name="Note 7 2 5 3 2" xfId="25065" xr:uid="{00000000-0005-0000-0000-00008A4C0000}"/>
    <cellStyle name="Note 7 2 5 3 2 2" xfId="23456" xr:uid="{00000000-0005-0000-0000-00008B4C0000}"/>
    <cellStyle name="Note 7 2 5 3 2 3" xfId="25066" xr:uid="{00000000-0005-0000-0000-00008C4C0000}"/>
    <cellStyle name="Note 7 2 5 3 2 4" xfId="25067" xr:uid="{00000000-0005-0000-0000-00008D4C0000}"/>
    <cellStyle name="Note 7 2 5 3 3" xfId="25069" xr:uid="{00000000-0005-0000-0000-00008E4C0000}"/>
    <cellStyle name="Note 7 2 5 3 4" xfId="4053" xr:uid="{00000000-0005-0000-0000-00008F4C0000}"/>
    <cellStyle name="Note 7 2 5 3 5" xfId="4072" xr:uid="{00000000-0005-0000-0000-0000904C0000}"/>
    <cellStyle name="Note 7 2 5 4" xfId="2423" xr:uid="{00000000-0005-0000-0000-0000914C0000}"/>
    <cellStyle name="Note 7 2 5 4 2" xfId="1309" xr:uid="{00000000-0005-0000-0000-0000924C0000}"/>
    <cellStyle name="Note 7 2 5 4 3" xfId="3423" xr:uid="{00000000-0005-0000-0000-0000934C0000}"/>
    <cellStyle name="Note 7 2 5 4 4" xfId="3432" xr:uid="{00000000-0005-0000-0000-0000944C0000}"/>
    <cellStyle name="Note 7 2 5 5" xfId="2438" xr:uid="{00000000-0005-0000-0000-0000954C0000}"/>
    <cellStyle name="Note 7 2 5 6" xfId="2451" xr:uid="{00000000-0005-0000-0000-0000964C0000}"/>
    <cellStyle name="Note 7 2 5 7" xfId="4076" xr:uid="{00000000-0005-0000-0000-0000974C0000}"/>
    <cellStyle name="Note 7 2 6" xfId="25070" xr:uid="{00000000-0005-0000-0000-0000984C0000}"/>
    <cellStyle name="Note 7 2 6 2" xfId="25071" xr:uid="{00000000-0005-0000-0000-0000994C0000}"/>
    <cellStyle name="Note 7 2 6 2 2" xfId="25072" xr:uid="{00000000-0005-0000-0000-00009A4C0000}"/>
    <cellStyle name="Note 7 2 6 2 2 2" xfId="622" xr:uid="{00000000-0005-0000-0000-00009B4C0000}"/>
    <cellStyle name="Note 7 2 6 2 2 3" xfId="733" xr:uid="{00000000-0005-0000-0000-00009C4C0000}"/>
    <cellStyle name="Note 7 2 6 2 2 4" xfId="767" xr:uid="{00000000-0005-0000-0000-00009D4C0000}"/>
    <cellStyle name="Note 7 2 6 2 3" xfId="25073" xr:uid="{00000000-0005-0000-0000-00009E4C0000}"/>
    <cellStyle name="Note 7 2 6 2 4" xfId="4119" xr:uid="{00000000-0005-0000-0000-00009F4C0000}"/>
    <cellStyle name="Note 7 2 6 2 5" xfId="4131" xr:uid="{00000000-0005-0000-0000-0000A04C0000}"/>
    <cellStyle name="Note 7 2 6 3" xfId="25074" xr:uid="{00000000-0005-0000-0000-0000A14C0000}"/>
    <cellStyle name="Note 7 2 6 3 2" xfId="25076" xr:uid="{00000000-0005-0000-0000-0000A24C0000}"/>
    <cellStyle name="Note 7 2 6 3 3" xfId="25077" xr:uid="{00000000-0005-0000-0000-0000A34C0000}"/>
    <cellStyle name="Note 7 2 6 3 4" xfId="25078" xr:uid="{00000000-0005-0000-0000-0000A44C0000}"/>
    <cellStyle name="Note 7 2 6 4" xfId="4158" xr:uid="{00000000-0005-0000-0000-0000A54C0000}"/>
    <cellStyle name="Note 7 2 6 5" xfId="4169" xr:uid="{00000000-0005-0000-0000-0000A64C0000}"/>
    <cellStyle name="Note 7 2 6 6" xfId="4176" xr:uid="{00000000-0005-0000-0000-0000A74C0000}"/>
    <cellStyle name="Note 7 2 7" xfId="25079" xr:uid="{00000000-0005-0000-0000-0000A84C0000}"/>
    <cellStyle name="Note 7 2 7 2" xfId="25080" xr:uid="{00000000-0005-0000-0000-0000A94C0000}"/>
    <cellStyle name="Note 7 2 7 2 2" xfId="25081" xr:uid="{00000000-0005-0000-0000-0000AA4C0000}"/>
    <cellStyle name="Note 7 2 7 2 3" xfId="24192" xr:uid="{00000000-0005-0000-0000-0000AB4C0000}"/>
    <cellStyle name="Note 7 2 7 2 4" xfId="24194" xr:uid="{00000000-0005-0000-0000-0000AC4C0000}"/>
    <cellStyle name="Note 7 2 7 3" xfId="25082" xr:uid="{00000000-0005-0000-0000-0000AD4C0000}"/>
    <cellStyle name="Note 7 2 7 4" xfId="25083" xr:uid="{00000000-0005-0000-0000-0000AE4C0000}"/>
    <cellStyle name="Note 7 2 7 5" xfId="25084" xr:uid="{00000000-0005-0000-0000-0000AF4C0000}"/>
    <cellStyle name="Note 7 2 8" xfId="25085" xr:uid="{00000000-0005-0000-0000-0000B04C0000}"/>
    <cellStyle name="Note 7 2 8 2" xfId="25086" xr:uid="{00000000-0005-0000-0000-0000B14C0000}"/>
    <cellStyle name="Note 7 2 8 3" xfId="25087" xr:uid="{00000000-0005-0000-0000-0000B24C0000}"/>
    <cellStyle name="Note 7 2 8 4" xfId="3078" xr:uid="{00000000-0005-0000-0000-0000B34C0000}"/>
    <cellStyle name="Note 7 2 9" xfId="25088" xr:uid="{00000000-0005-0000-0000-0000B44C0000}"/>
    <cellStyle name="Note 7 3" xfId="25089" xr:uid="{00000000-0005-0000-0000-0000B54C0000}"/>
    <cellStyle name="Note 7 3 2" xfId="25090" xr:uid="{00000000-0005-0000-0000-0000B64C0000}"/>
    <cellStyle name="Note 7 3 2 2" xfId="21919" xr:uid="{00000000-0005-0000-0000-0000B74C0000}"/>
    <cellStyle name="Note 7 3 2 2 2" xfId="21922" xr:uid="{00000000-0005-0000-0000-0000B84C0000}"/>
    <cellStyle name="Note 7 3 2 2 2 2" xfId="25092" xr:uid="{00000000-0005-0000-0000-0000B94C0000}"/>
    <cellStyle name="Note 7 3 2 2 2 2 2" xfId="25093" xr:uid="{00000000-0005-0000-0000-0000BA4C0000}"/>
    <cellStyle name="Note 7 3 2 2 2 2 2 2" xfId="25096" xr:uid="{00000000-0005-0000-0000-0000BB4C0000}"/>
    <cellStyle name="Note 7 3 2 2 2 2 2 3" xfId="25099" xr:uid="{00000000-0005-0000-0000-0000BC4C0000}"/>
    <cellStyle name="Note 7 3 2 2 2 2 2 4" xfId="16813" xr:uid="{00000000-0005-0000-0000-0000BD4C0000}"/>
    <cellStyle name="Note 7 3 2 2 2 2 3" xfId="25100" xr:uid="{00000000-0005-0000-0000-0000BE4C0000}"/>
    <cellStyle name="Note 7 3 2 2 2 2 4" xfId="25102" xr:uid="{00000000-0005-0000-0000-0000BF4C0000}"/>
    <cellStyle name="Note 7 3 2 2 2 2 5" xfId="25104" xr:uid="{00000000-0005-0000-0000-0000C04C0000}"/>
    <cellStyle name="Note 7 3 2 2 2 3" xfId="25106" xr:uid="{00000000-0005-0000-0000-0000C14C0000}"/>
    <cellStyle name="Note 7 3 2 2 2 3 2" xfId="25107" xr:uid="{00000000-0005-0000-0000-0000C24C0000}"/>
    <cellStyle name="Note 7 3 2 2 2 3 3" xfId="25108" xr:uid="{00000000-0005-0000-0000-0000C34C0000}"/>
    <cellStyle name="Note 7 3 2 2 2 3 4" xfId="25109" xr:uid="{00000000-0005-0000-0000-0000C44C0000}"/>
    <cellStyle name="Note 7 3 2 2 2 4" xfId="20044" xr:uid="{00000000-0005-0000-0000-0000C54C0000}"/>
    <cellStyle name="Note 7 3 2 2 2 5" xfId="20049" xr:uid="{00000000-0005-0000-0000-0000C64C0000}"/>
    <cellStyle name="Note 7 3 2 2 2 6" xfId="20052" xr:uid="{00000000-0005-0000-0000-0000C74C0000}"/>
    <cellStyle name="Note 7 3 2 2 3" xfId="21924" xr:uid="{00000000-0005-0000-0000-0000C84C0000}"/>
    <cellStyle name="Note 7 3 2 2 3 2" xfId="25110" xr:uid="{00000000-0005-0000-0000-0000C94C0000}"/>
    <cellStyle name="Note 7 3 2 2 3 2 2" xfId="25111" xr:uid="{00000000-0005-0000-0000-0000CA4C0000}"/>
    <cellStyle name="Note 7 3 2 2 3 2 3" xfId="25112" xr:uid="{00000000-0005-0000-0000-0000CB4C0000}"/>
    <cellStyle name="Note 7 3 2 2 3 2 4" xfId="25113" xr:uid="{00000000-0005-0000-0000-0000CC4C0000}"/>
    <cellStyle name="Note 7 3 2 2 3 3" xfId="25114" xr:uid="{00000000-0005-0000-0000-0000CD4C0000}"/>
    <cellStyle name="Note 7 3 2 2 3 4" xfId="20056" xr:uid="{00000000-0005-0000-0000-0000CE4C0000}"/>
    <cellStyle name="Note 7 3 2 2 3 5" xfId="20058" xr:uid="{00000000-0005-0000-0000-0000CF4C0000}"/>
    <cellStyle name="Note 7 3 2 2 4" xfId="15644" xr:uid="{00000000-0005-0000-0000-0000D04C0000}"/>
    <cellStyle name="Note 7 3 2 2 4 2" xfId="15541" xr:uid="{00000000-0005-0000-0000-0000D14C0000}"/>
    <cellStyle name="Note 7 3 2 2 4 3" xfId="15543" xr:uid="{00000000-0005-0000-0000-0000D24C0000}"/>
    <cellStyle name="Note 7 3 2 2 4 4" xfId="19004" xr:uid="{00000000-0005-0000-0000-0000D34C0000}"/>
    <cellStyle name="Note 7 3 2 2 5" xfId="25115" xr:uid="{00000000-0005-0000-0000-0000D44C0000}"/>
    <cellStyle name="Note 7 3 2 2 6" xfId="25116" xr:uid="{00000000-0005-0000-0000-0000D54C0000}"/>
    <cellStyle name="Note 7 3 2 2 7" xfId="25117" xr:uid="{00000000-0005-0000-0000-0000D64C0000}"/>
    <cellStyle name="Note 7 3 2 3" xfId="20502" xr:uid="{00000000-0005-0000-0000-0000D74C0000}"/>
    <cellStyle name="Note 7 3 2 3 2" xfId="25120" xr:uid="{00000000-0005-0000-0000-0000D84C0000}"/>
    <cellStyle name="Note 7 3 2 3 2 2" xfId="25122" xr:uid="{00000000-0005-0000-0000-0000D94C0000}"/>
    <cellStyle name="Note 7 3 2 3 2 2 2" xfId="25123" xr:uid="{00000000-0005-0000-0000-0000DA4C0000}"/>
    <cellStyle name="Note 7 3 2 3 2 2 3" xfId="25124" xr:uid="{00000000-0005-0000-0000-0000DB4C0000}"/>
    <cellStyle name="Note 7 3 2 3 2 2 4" xfId="25125" xr:uid="{00000000-0005-0000-0000-0000DC4C0000}"/>
    <cellStyle name="Note 7 3 2 3 2 3" xfId="25127" xr:uid="{00000000-0005-0000-0000-0000DD4C0000}"/>
    <cellStyle name="Note 7 3 2 3 2 4" xfId="20064" xr:uid="{00000000-0005-0000-0000-0000DE4C0000}"/>
    <cellStyle name="Note 7 3 2 3 2 5" xfId="20066" xr:uid="{00000000-0005-0000-0000-0000DF4C0000}"/>
    <cellStyle name="Note 7 3 2 3 3" xfId="25128" xr:uid="{00000000-0005-0000-0000-0000E04C0000}"/>
    <cellStyle name="Note 7 3 2 3 3 2" xfId="25129" xr:uid="{00000000-0005-0000-0000-0000E14C0000}"/>
    <cellStyle name="Note 7 3 2 3 3 3" xfId="25130" xr:uid="{00000000-0005-0000-0000-0000E24C0000}"/>
    <cellStyle name="Note 7 3 2 3 3 4" xfId="25131" xr:uid="{00000000-0005-0000-0000-0000E34C0000}"/>
    <cellStyle name="Note 7 3 2 3 4" xfId="25132" xr:uid="{00000000-0005-0000-0000-0000E44C0000}"/>
    <cellStyle name="Note 7 3 2 3 5" xfId="25133" xr:uid="{00000000-0005-0000-0000-0000E54C0000}"/>
    <cellStyle name="Note 7 3 2 3 6" xfId="25135" xr:uid="{00000000-0005-0000-0000-0000E64C0000}"/>
    <cellStyle name="Note 7 3 2 4" xfId="20508" xr:uid="{00000000-0005-0000-0000-0000E74C0000}"/>
    <cellStyle name="Note 7 3 2 4 2" xfId="22316" xr:uid="{00000000-0005-0000-0000-0000E84C0000}"/>
    <cellStyle name="Note 7 3 2 4 2 2" xfId="13169" xr:uid="{00000000-0005-0000-0000-0000E94C0000}"/>
    <cellStyle name="Note 7 3 2 4 2 3" xfId="13173" xr:uid="{00000000-0005-0000-0000-0000EA4C0000}"/>
    <cellStyle name="Note 7 3 2 4 2 4" xfId="13177" xr:uid="{00000000-0005-0000-0000-0000EB4C0000}"/>
    <cellStyle name="Note 7 3 2 4 3" xfId="22319" xr:uid="{00000000-0005-0000-0000-0000EC4C0000}"/>
    <cellStyle name="Note 7 3 2 4 4" xfId="11108" xr:uid="{00000000-0005-0000-0000-0000ED4C0000}"/>
    <cellStyle name="Note 7 3 2 4 5" xfId="11114" xr:uid="{00000000-0005-0000-0000-0000EE4C0000}"/>
    <cellStyle name="Note 7 3 2 5" xfId="19060" xr:uid="{00000000-0005-0000-0000-0000EF4C0000}"/>
    <cellStyle name="Note 7 3 2 5 2" xfId="25138" xr:uid="{00000000-0005-0000-0000-0000F04C0000}"/>
    <cellStyle name="Note 7 3 2 5 3" xfId="23369" xr:uid="{00000000-0005-0000-0000-0000F14C0000}"/>
    <cellStyle name="Note 7 3 2 5 4" xfId="23374" xr:uid="{00000000-0005-0000-0000-0000F24C0000}"/>
    <cellStyle name="Note 7 3 2 6" xfId="22322" xr:uid="{00000000-0005-0000-0000-0000F34C0000}"/>
    <cellStyle name="Note 7 3 2 7" xfId="22325" xr:uid="{00000000-0005-0000-0000-0000F44C0000}"/>
    <cellStyle name="Note 7 3 2 8" xfId="25140" xr:uid="{00000000-0005-0000-0000-0000F54C0000}"/>
    <cellStyle name="Note 7 3 3" xfId="25141" xr:uid="{00000000-0005-0000-0000-0000F64C0000}"/>
    <cellStyle name="Note 7 3 3 2" xfId="9541" xr:uid="{00000000-0005-0000-0000-0000F74C0000}"/>
    <cellStyle name="Note 7 3 3 2 2" xfId="14626" xr:uid="{00000000-0005-0000-0000-0000F84C0000}"/>
    <cellStyle name="Note 7 3 3 2 2 2" xfId="25142" xr:uid="{00000000-0005-0000-0000-0000F94C0000}"/>
    <cellStyle name="Note 7 3 3 2 2 2 2" xfId="25143" xr:uid="{00000000-0005-0000-0000-0000FA4C0000}"/>
    <cellStyle name="Note 7 3 3 2 2 2 3" xfId="25144" xr:uid="{00000000-0005-0000-0000-0000FB4C0000}"/>
    <cellStyle name="Note 7 3 3 2 2 2 4" xfId="25145" xr:uid="{00000000-0005-0000-0000-0000FC4C0000}"/>
    <cellStyle name="Note 7 3 3 2 2 3" xfId="25146" xr:uid="{00000000-0005-0000-0000-0000FD4C0000}"/>
    <cellStyle name="Note 7 3 3 2 2 4" xfId="20070" xr:uid="{00000000-0005-0000-0000-0000FE4C0000}"/>
    <cellStyle name="Note 7 3 3 2 2 5" xfId="20072" xr:uid="{00000000-0005-0000-0000-0000FF4C0000}"/>
    <cellStyle name="Note 7 3 3 2 3" xfId="25147" xr:uid="{00000000-0005-0000-0000-0000004D0000}"/>
    <cellStyle name="Note 7 3 3 2 3 2" xfId="25148" xr:uid="{00000000-0005-0000-0000-0000014D0000}"/>
    <cellStyle name="Note 7 3 3 2 3 3" xfId="25149" xr:uid="{00000000-0005-0000-0000-0000024D0000}"/>
    <cellStyle name="Note 7 3 3 2 3 4" xfId="25150" xr:uid="{00000000-0005-0000-0000-0000034D0000}"/>
    <cellStyle name="Note 7 3 3 2 4" xfId="25152" xr:uid="{00000000-0005-0000-0000-0000044D0000}"/>
    <cellStyle name="Note 7 3 3 2 5" xfId="25154" xr:uid="{00000000-0005-0000-0000-0000054D0000}"/>
    <cellStyle name="Note 7 3 3 2 6" xfId="25156" xr:uid="{00000000-0005-0000-0000-0000064D0000}"/>
    <cellStyle name="Note 7 3 3 3" xfId="9546" xr:uid="{00000000-0005-0000-0000-0000074D0000}"/>
    <cellStyle name="Note 7 3 3 3 2" xfId="25157" xr:uid="{00000000-0005-0000-0000-0000084D0000}"/>
    <cellStyle name="Note 7 3 3 3 2 2" xfId="25158" xr:uid="{00000000-0005-0000-0000-0000094D0000}"/>
    <cellStyle name="Note 7 3 3 3 2 3" xfId="25159" xr:uid="{00000000-0005-0000-0000-00000A4D0000}"/>
    <cellStyle name="Note 7 3 3 3 2 4" xfId="25160" xr:uid="{00000000-0005-0000-0000-00000B4D0000}"/>
    <cellStyle name="Note 7 3 3 3 3" xfId="25161" xr:uid="{00000000-0005-0000-0000-00000C4D0000}"/>
    <cellStyle name="Note 7 3 3 3 4" xfId="25163" xr:uid="{00000000-0005-0000-0000-00000D4D0000}"/>
    <cellStyle name="Note 7 3 3 3 5" xfId="25165" xr:uid="{00000000-0005-0000-0000-00000E4D0000}"/>
    <cellStyle name="Note 7 3 3 4" xfId="12644" xr:uid="{00000000-0005-0000-0000-00000F4D0000}"/>
    <cellStyle name="Note 7 3 3 4 2" xfId="25167" xr:uid="{00000000-0005-0000-0000-0000104D0000}"/>
    <cellStyle name="Note 7 3 3 4 3" xfId="25169" xr:uid="{00000000-0005-0000-0000-0000114D0000}"/>
    <cellStyle name="Note 7 3 3 4 4" xfId="25171" xr:uid="{00000000-0005-0000-0000-0000124D0000}"/>
    <cellStyle name="Note 7 3 3 5" xfId="22328" xr:uid="{00000000-0005-0000-0000-0000134D0000}"/>
    <cellStyle name="Note 7 3 3 6" xfId="22331" xr:uid="{00000000-0005-0000-0000-0000144D0000}"/>
    <cellStyle name="Note 7 3 3 7" xfId="25173" xr:uid="{00000000-0005-0000-0000-0000154D0000}"/>
    <cellStyle name="Note 7 3 4" xfId="11225" xr:uid="{00000000-0005-0000-0000-0000164D0000}"/>
    <cellStyle name="Note 7 3 4 2" xfId="3395" xr:uid="{00000000-0005-0000-0000-0000174D0000}"/>
    <cellStyle name="Note 7 3 4 2 2" xfId="19503" xr:uid="{00000000-0005-0000-0000-0000184D0000}"/>
    <cellStyle name="Note 7 3 4 2 2 2" xfId="19505" xr:uid="{00000000-0005-0000-0000-0000194D0000}"/>
    <cellStyle name="Note 7 3 4 2 2 3" xfId="19508" xr:uid="{00000000-0005-0000-0000-00001A4D0000}"/>
    <cellStyle name="Note 7 3 4 2 2 4" xfId="558" xr:uid="{00000000-0005-0000-0000-00001B4D0000}"/>
    <cellStyle name="Note 7 3 4 2 3" xfId="19510" xr:uid="{00000000-0005-0000-0000-00001C4D0000}"/>
    <cellStyle name="Note 7 3 4 2 4" xfId="19514" xr:uid="{00000000-0005-0000-0000-00001D4D0000}"/>
    <cellStyle name="Note 7 3 4 2 5" xfId="19518" xr:uid="{00000000-0005-0000-0000-00001E4D0000}"/>
    <cellStyle name="Note 7 3 4 3" xfId="19520" xr:uid="{00000000-0005-0000-0000-00001F4D0000}"/>
    <cellStyle name="Note 7 3 4 3 2" xfId="19524" xr:uid="{00000000-0005-0000-0000-0000204D0000}"/>
    <cellStyle name="Note 7 3 4 3 3" xfId="19527" xr:uid="{00000000-0005-0000-0000-0000214D0000}"/>
    <cellStyle name="Note 7 3 4 3 4" xfId="19530" xr:uid="{00000000-0005-0000-0000-0000224D0000}"/>
    <cellStyle name="Note 7 3 4 4" xfId="19536" xr:uid="{00000000-0005-0000-0000-0000234D0000}"/>
    <cellStyle name="Note 7 3 4 5" xfId="19542" xr:uid="{00000000-0005-0000-0000-0000244D0000}"/>
    <cellStyle name="Note 7 3 4 6" xfId="19546" xr:uid="{00000000-0005-0000-0000-0000254D0000}"/>
    <cellStyle name="Note 7 3 5" xfId="1562" xr:uid="{00000000-0005-0000-0000-0000264D0000}"/>
    <cellStyle name="Note 7 3 5 2" xfId="4231" xr:uid="{00000000-0005-0000-0000-0000274D0000}"/>
    <cellStyle name="Note 7 3 5 2 2" xfId="4252" xr:uid="{00000000-0005-0000-0000-0000284D0000}"/>
    <cellStyle name="Note 7 3 5 2 3" xfId="1679" xr:uid="{00000000-0005-0000-0000-0000294D0000}"/>
    <cellStyle name="Note 7 3 5 2 4" xfId="1720" xr:uid="{00000000-0005-0000-0000-00002A4D0000}"/>
    <cellStyle name="Note 7 3 5 3" xfId="4285" xr:uid="{00000000-0005-0000-0000-00002B4D0000}"/>
    <cellStyle name="Note 7 3 5 4" xfId="4342" xr:uid="{00000000-0005-0000-0000-00002C4D0000}"/>
    <cellStyle name="Note 7 3 5 5" xfId="4355" xr:uid="{00000000-0005-0000-0000-00002D4D0000}"/>
    <cellStyle name="Note 7 3 6" xfId="2380" xr:uid="{00000000-0005-0000-0000-00002E4D0000}"/>
    <cellStyle name="Note 7 3 6 2" xfId="4376" xr:uid="{00000000-0005-0000-0000-00002F4D0000}"/>
    <cellStyle name="Note 7 3 6 3" xfId="4408" xr:uid="{00000000-0005-0000-0000-0000304D0000}"/>
    <cellStyle name="Note 7 3 6 4" xfId="4429" xr:uid="{00000000-0005-0000-0000-0000314D0000}"/>
    <cellStyle name="Note 7 3 7" xfId="4449" xr:uid="{00000000-0005-0000-0000-0000324D0000}"/>
    <cellStyle name="Note 7 3 8" xfId="4477" xr:uid="{00000000-0005-0000-0000-0000334D0000}"/>
    <cellStyle name="Note 7 3 9" xfId="4483" xr:uid="{00000000-0005-0000-0000-0000344D0000}"/>
    <cellStyle name="Note 7 4" xfId="25174" xr:uid="{00000000-0005-0000-0000-0000354D0000}"/>
    <cellStyle name="Note 7 4 2" xfId="618" xr:uid="{00000000-0005-0000-0000-0000364D0000}"/>
    <cellStyle name="Note 7 4 2 2" xfId="635" xr:uid="{00000000-0005-0000-0000-0000374D0000}"/>
    <cellStyle name="Note 7 4 2 2 2" xfId="18444" xr:uid="{00000000-0005-0000-0000-0000384D0000}"/>
    <cellStyle name="Note 7 4 2 2 2 2" xfId="25176" xr:uid="{00000000-0005-0000-0000-0000394D0000}"/>
    <cellStyle name="Note 7 4 2 2 2 2 2" xfId="25177" xr:uid="{00000000-0005-0000-0000-00003A4D0000}"/>
    <cellStyle name="Note 7 4 2 2 2 2 2 2" xfId="25180" xr:uid="{00000000-0005-0000-0000-00003B4D0000}"/>
    <cellStyle name="Note 7 4 2 2 2 2 2 3" xfId="25183" xr:uid="{00000000-0005-0000-0000-00003C4D0000}"/>
    <cellStyle name="Note 7 4 2 2 2 2 2 4" xfId="25184" xr:uid="{00000000-0005-0000-0000-00003D4D0000}"/>
    <cellStyle name="Note 7 4 2 2 2 2 3" xfId="25185" xr:uid="{00000000-0005-0000-0000-00003E4D0000}"/>
    <cellStyle name="Note 7 4 2 2 2 2 4" xfId="25187" xr:uid="{00000000-0005-0000-0000-00003F4D0000}"/>
    <cellStyle name="Note 7 4 2 2 2 2 5" xfId="25189" xr:uid="{00000000-0005-0000-0000-0000404D0000}"/>
    <cellStyle name="Note 7 4 2 2 2 3" xfId="25190" xr:uid="{00000000-0005-0000-0000-0000414D0000}"/>
    <cellStyle name="Note 7 4 2 2 2 3 2" xfId="25192" xr:uid="{00000000-0005-0000-0000-0000424D0000}"/>
    <cellStyle name="Note 7 4 2 2 2 3 3" xfId="25194" xr:uid="{00000000-0005-0000-0000-0000434D0000}"/>
    <cellStyle name="Note 7 4 2 2 2 3 4" xfId="25195" xr:uid="{00000000-0005-0000-0000-0000444D0000}"/>
    <cellStyle name="Note 7 4 2 2 2 4" xfId="2331" xr:uid="{00000000-0005-0000-0000-0000454D0000}"/>
    <cellStyle name="Note 7 4 2 2 2 5" xfId="20096" xr:uid="{00000000-0005-0000-0000-0000464D0000}"/>
    <cellStyle name="Note 7 4 2 2 2 6" xfId="20098" xr:uid="{00000000-0005-0000-0000-0000474D0000}"/>
    <cellStyle name="Note 7 4 2 2 3" xfId="18449" xr:uid="{00000000-0005-0000-0000-0000484D0000}"/>
    <cellStyle name="Note 7 4 2 2 3 2" xfId="25196" xr:uid="{00000000-0005-0000-0000-0000494D0000}"/>
    <cellStyle name="Note 7 4 2 2 3 2 2" xfId="25197" xr:uid="{00000000-0005-0000-0000-00004A4D0000}"/>
    <cellStyle name="Note 7 4 2 2 3 2 3" xfId="25198" xr:uid="{00000000-0005-0000-0000-00004B4D0000}"/>
    <cellStyle name="Note 7 4 2 2 3 2 4" xfId="25200" xr:uid="{00000000-0005-0000-0000-00004C4D0000}"/>
    <cellStyle name="Note 7 4 2 2 3 3" xfId="25201" xr:uid="{00000000-0005-0000-0000-00004D4D0000}"/>
    <cellStyle name="Note 7 4 2 2 3 4" xfId="25202" xr:uid="{00000000-0005-0000-0000-00004E4D0000}"/>
    <cellStyle name="Note 7 4 2 2 3 5" xfId="25203" xr:uid="{00000000-0005-0000-0000-00004F4D0000}"/>
    <cellStyle name="Note 7 4 2 2 4" xfId="18454" xr:uid="{00000000-0005-0000-0000-0000504D0000}"/>
    <cellStyle name="Note 7 4 2 2 4 2" xfId="15590" xr:uid="{00000000-0005-0000-0000-0000514D0000}"/>
    <cellStyle name="Note 7 4 2 2 4 3" xfId="25204" xr:uid="{00000000-0005-0000-0000-0000524D0000}"/>
    <cellStyle name="Note 7 4 2 2 4 4" xfId="22142" xr:uid="{00000000-0005-0000-0000-0000534D0000}"/>
    <cellStyle name="Note 7 4 2 2 5" xfId="25205" xr:uid="{00000000-0005-0000-0000-0000544D0000}"/>
    <cellStyle name="Note 7 4 2 2 6" xfId="25206" xr:uid="{00000000-0005-0000-0000-0000554D0000}"/>
    <cellStyle name="Note 7 4 2 2 7" xfId="25207" xr:uid="{00000000-0005-0000-0000-0000564D0000}"/>
    <cellStyle name="Note 7 4 2 3" xfId="21973" xr:uid="{00000000-0005-0000-0000-0000574D0000}"/>
    <cellStyle name="Note 7 4 2 3 2" xfId="18477" xr:uid="{00000000-0005-0000-0000-0000584D0000}"/>
    <cellStyle name="Note 7 4 2 3 2 2" xfId="23586" xr:uid="{00000000-0005-0000-0000-0000594D0000}"/>
    <cellStyle name="Note 7 4 2 3 2 2 2" xfId="25208" xr:uid="{00000000-0005-0000-0000-00005A4D0000}"/>
    <cellStyle name="Note 7 4 2 3 2 2 3" xfId="25209" xr:uid="{00000000-0005-0000-0000-00005B4D0000}"/>
    <cellStyle name="Note 7 4 2 3 2 2 4" xfId="25210" xr:uid="{00000000-0005-0000-0000-00005C4D0000}"/>
    <cellStyle name="Note 7 4 2 3 2 3" xfId="2940" xr:uid="{00000000-0005-0000-0000-00005D4D0000}"/>
    <cellStyle name="Note 7 4 2 3 2 4" xfId="2952" xr:uid="{00000000-0005-0000-0000-00005E4D0000}"/>
    <cellStyle name="Note 7 4 2 3 2 5" xfId="2965" xr:uid="{00000000-0005-0000-0000-00005F4D0000}"/>
    <cellStyle name="Note 7 4 2 3 3" xfId="18482" xr:uid="{00000000-0005-0000-0000-0000604D0000}"/>
    <cellStyle name="Note 7 4 2 3 3 2" xfId="25211" xr:uid="{00000000-0005-0000-0000-0000614D0000}"/>
    <cellStyle name="Note 7 4 2 3 3 3" xfId="25212" xr:uid="{00000000-0005-0000-0000-0000624D0000}"/>
    <cellStyle name="Note 7 4 2 3 3 4" xfId="25213" xr:uid="{00000000-0005-0000-0000-0000634D0000}"/>
    <cellStyle name="Note 7 4 2 3 4" xfId="25214" xr:uid="{00000000-0005-0000-0000-0000644D0000}"/>
    <cellStyle name="Note 7 4 2 3 5" xfId="25215" xr:uid="{00000000-0005-0000-0000-0000654D0000}"/>
    <cellStyle name="Note 7 4 2 3 6" xfId="25217" xr:uid="{00000000-0005-0000-0000-0000664D0000}"/>
    <cellStyle name="Note 7 4 2 4" xfId="21976" xr:uid="{00000000-0005-0000-0000-0000674D0000}"/>
    <cellStyle name="Note 7 4 2 4 2" xfId="10780" xr:uid="{00000000-0005-0000-0000-0000684D0000}"/>
    <cellStyle name="Note 7 4 2 4 2 2" xfId="11754" xr:uid="{00000000-0005-0000-0000-0000694D0000}"/>
    <cellStyle name="Note 7 4 2 4 2 3" xfId="14085" xr:uid="{00000000-0005-0000-0000-00006A4D0000}"/>
    <cellStyle name="Note 7 4 2 4 2 4" xfId="14087" xr:uid="{00000000-0005-0000-0000-00006B4D0000}"/>
    <cellStyle name="Note 7 4 2 4 3" xfId="25219" xr:uid="{00000000-0005-0000-0000-00006C4D0000}"/>
    <cellStyle name="Note 7 4 2 4 4" xfId="25221" xr:uid="{00000000-0005-0000-0000-00006D4D0000}"/>
    <cellStyle name="Note 7 4 2 4 5" xfId="25222" xr:uid="{00000000-0005-0000-0000-00006E4D0000}"/>
    <cellStyle name="Note 7 4 2 5" xfId="21980" xr:uid="{00000000-0005-0000-0000-00006F4D0000}"/>
    <cellStyle name="Note 7 4 2 5 2" xfId="25223" xr:uid="{00000000-0005-0000-0000-0000704D0000}"/>
    <cellStyle name="Note 7 4 2 5 3" xfId="23410" xr:uid="{00000000-0005-0000-0000-0000714D0000}"/>
    <cellStyle name="Note 7 4 2 5 4" xfId="23412" xr:uid="{00000000-0005-0000-0000-0000724D0000}"/>
    <cellStyle name="Note 7 4 2 6" xfId="22336" xr:uid="{00000000-0005-0000-0000-0000734D0000}"/>
    <cellStyle name="Note 7 4 2 7" xfId="25225" xr:uid="{00000000-0005-0000-0000-0000744D0000}"/>
    <cellStyle name="Note 7 4 2 8" xfId="25226" xr:uid="{00000000-0005-0000-0000-0000754D0000}"/>
    <cellStyle name="Note 7 4 3" xfId="735" xr:uid="{00000000-0005-0000-0000-0000764D0000}"/>
    <cellStyle name="Note 7 4 3 2" xfId="21986" xr:uid="{00000000-0005-0000-0000-0000774D0000}"/>
    <cellStyle name="Note 7 4 3 2 2" xfId="18630" xr:uid="{00000000-0005-0000-0000-0000784D0000}"/>
    <cellStyle name="Note 7 4 3 2 2 2" xfId="25227" xr:uid="{00000000-0005-0000-0000-0000794D0000}"/>
    <cellStyle name="Note 7 4 3 2 2 2 2" xfId="12833" xr:uid="{00000000-0005-0000-0000-00007A4D0000}"/>
    <cellStyle name="Note 7 4 3 2 2 2 3" xfId="7907" xr:uid="{00000000-0005-0000-0000-00007B4D0000}"/>
    <cellStyle name="Note 7 4 3 2 2 2 4" xfId="7918" xr:uid="{00000000-0005-0000-0000-00007C4D0000}"/>
    <cellStyle name="Note 7 4 3 2 2 3" xfId="25228" xr:uid="{00000000-0005-0000-0000-00007D4D0000}"/>
    <cellStyle name="Note 7 4 3 2 2 4" xfId="25229" xr:uid="{00000000-0005-0000-0000-00007E4D0000}"/>
    <cellStyle name="Note 7 4 3 2 2 5" xfId="25230" xr:uid="{00000000-0005-0000-0000-00007F4D0000}"/>
    <cellStyle name="Note 7 4 3 2 3" xfId="18634" xr:uid="{00000000-0005-0000-0000-0000804D0000}"/>
    <cellStyle name="Note 7 4 3 2 3 2" xfId="25231" xr:uid="{00000000-0005-0000-0000-0000814D0000}"/>
    <cellStyle name="Note 7 4 3 2 3 3" xfId="25232" xr:uid="{00000000-0005-0000-0000-0000824D0000}"/>
    <cellStyle name="Note 7 4 3 2 3 4" xfId="25233" xr:uid="{00000000-0005-0000-0000-0000834D0000}"/>
    <cellStyle name="Note 7 4 3 2 4" xfId="20739" xr:uid="{00000000-0005-0000-0000-0000844D0000}"/>
    <cellStyle name="Note 7 4 3 2 5" xfId="25235" xr:uid="{00000000-0005-0000-0000-0000854D0000}"/>
    <cellStyle name="Note 7 4 3 2 6" xfId="25237" xr:uid="{00000000-0005-0000-0000-0000864D0000}"/>
    <cellStyle name="Note 7 4 3 3" xfId="21988" xr:uid="{00000000-0005-0000-0000-0000874D0000}"/>
    <cellStyle name="Note 7 4 3 3 2" xfId="18644" xr:uid="{00000000-0005-0000-0000-0000884D0000}"/>
    <cellStyle name="Note 7 4 3 3 2 2" xfId="25238" xr:uid="{00000000-0005-0000-0000-0000894D0000}"/>
    <cellStyle name="Note 7 4 3 3 2 3" xfId="25239" xr:uid="{00000000-0005-0000-0000-00008A4D0000}"/>
    <cellStyle name="Note 7 4 3 3 2 4" xfId="17457" xr:uid="{00000000-0005-0000-0000-00008B4D0000}"/>
    <cellStyle name="Note 7 4 3 3 3" xfId="20800" xr:uid="{00000000-0005-0000-0000-00008C4D0000}"/>
    <cellStyle name="Note 7 4 3 3 4" xfId="25240" xr:uid="{00000000-0005-0000-0000-00008D4D0000}"/>
    <cellStyle name="Note 7 4 3 3 5" xfId="25241" xr:uid="{00000000-0005-0000-0000-00008E4D0000}"/>
    <cellStyle name="Note 7 4 3 4" xfId="21991" xr:uid="{00000000-0005-0000-0000-00008F4D0000}"/>
    <cellStyle name="Note 7 4 3 4 2" xfId="20834" xr:uid="{00000000-0005-0000-0000-0000904D0000}"/>
    <cellStyle name="Note 7 4 3 4 3" xfId="25242" xr:uid="{00000000-0005-0000-0000-0000914D0000}"/>
    <cellStyle name="Note 7 4 3 4 4" xfId="25243" xr:uid="{00000000-0005-0000-0000-0000924D0000}"/>
    <cellStyle name="Note 7 4 3 5" xfId="25245" xr:uid="{00000000-0005-0000-0000-0000934D0000}"/>
    <cellStyle name="Note 7 4 3 6" xfId="25247" xr:uid="{00000000-0005-0000-0000-0000944D0000}"/>
    <cellStyle name="Note 7 4 3 7" xfId="25248" xr:uid="{00000000-0005-0000-0000-0000954D0000}"/>
    <cellStyle name="Note 7 4 4" xfId="769" xr:uid="{00000000-0005-0000-0000-0000964D0000}"/>
    <cellStyle name="Note 7 4 4 2" xfId="19550" xr:uid="{00000000-0005-0000-0000-0000974D0000}"/>
    <cellStyle name="Note 7 4 4 2 2" xfId="18696" xr:uid="{00000000-0005-0000-0000-0000984D0000}"/>
    <cellStyle name="Note 7 4 4 2 2 2" xfId="23750" xr:uid="{00000000-0005-0000-0000-0000994D0000}"/>
    <cellStyle name="Note 7 4 4 2 2 3" xfId="25249" xr:uid="{00000000-0005-0000-0000-00009A4D0000}"/>
    <cellStyle name="Note 7 4 4 2 2 4" xfId="25250" xr:uid="{00000000-0005-0000-0000-00009B4D0000}"/>
    <cellStyle name="Note 7 4 4 2 3" xfId="19133" xr:uid="{00000000-0005-0000-0000-00009C4D0000}"/>
    <cellStyle name="Note 7 4 4 2 4" xfId="19138" xr:uid="{00000000-0005-0000-0000-00009D4D0000}"/>
    <cellStyle name="Note 7 4 4 2 5" xfId="25251" xr:uid="{00000000-0005-0000-0000-00009E4D0000}"/>
    <cellStyle name="Note 7 4 4 3" xfId="19553" xr:uid="{00000000-0005-0000-0000-00009F4D0000}"/>
    <cellStyle name="Note 7 4 4 3 2" xfId="19161" xr:uid="{00000000-0005-0000-0000-0000A04D0000}"/>
    <cellStyle name="Note 7 4 4 3 3" xfId="19165" xr:uid="{00000000-0005-0000-0000-0000A14D0000}"/>
    <cellStyle name="Note 7 4 4 3 4" xfId="25252" xr:uid="{00000000-0005-0000-0000-0000A24D0000}"/>
    <cellStyle name="Note 7 4 4 4" xfId="19559" xr:uid="{00000000-0005-0000-0000-0000A34D0000}"/>
    <cellStyle name="Note 7 4 4 5" xfId="19564" xr:uid="{00000000-0005-0000-0000-0000A44D0000}"/>
    <cellStyle name="Note 7 4 4 6" xfId="25255" xr:uid="{00000000-0005-0000-0000-0000A54D0000}"/>
    <cellStyle name="Note 7 4 5" xfId="2397" xr:uid="{00000000-0005-0000-0000-0000A64D0000}"/>
    <cellStyle name="Note 7 4 5 2" xfId="3861" xr:uid="{00000000-0005-0000-0000-0000A74D0000}"/>
    <cellStyle name="Note 7 4 5 2 2" xfId="3870" xr:uid="{00000000-0005-0000-0000-0000A84D0000}"/>
    <cellStyle name="Note 7 4 5 2 3" xfId="3895" xr:uid="{00000000-0005-0000-0000-0000A94D0000}"/>
    <cellStyle name="Note 7 4 5 2 4" xfId="3921" xr:uid="{00000000-0005-0000-0000-0000AA4D0000}"/>
    <cellStyle name="Note 7 4 5 3" xfId="3941" xr:uid="{00000000-0005-0000-0000-0000AB4D0000}"/>
    <cellStyle name="Note 7 4 5 4" xfId="3973" xr:uid="{00000000-0005-0000-0000-0000AC4D0000}"/>
    <cellStyle name="Note 7 4 5 5" xfId="25257" xr:uid="{00000000-0005-0000-0000-0000AD4D0000}"/>
    <cellStyle name="Note 7 4 6" xfId="2410" xr:uid="{00000000-0005-0000-0000-0000AE4D0000}"/>
    <cellStyle name="Note 7 4 6 2" xfId="25258" xr:uid="{00000000-0005-0000-0000-0000AF4D0000}"/>
    <cellStyle name="Note 7 4 6 3" xfId="25259" xr:uid="{00000000-0005-0000-0000-0000B04D0000}"/>
    <cellStyle name="Note 7 4 6 4" xfId="25261" xr:uid="{00000000-0005-0000-0000-0000B14D0000}"/>
    <cellStyle name="Note 7 4 7" xfId="2432" xr:uid="{00000000-0005-0000-0000-0000B24D0000}"/>
    <cellStyle name="Note 7 4 8" xfId="2446" xr:uid="{00000000-0005-0000-0000-0000B34D0000}"/>
    <cellStyle name="Note 7 4 9" xfId="25263" xr:uid="{00000000-0005-0000-0000-0000B44D0000}"/>
    <cellStyle name="Note 7 5" xfId="25264" xr:uid="{00000000-0005-0000-0000-0000B54D0000}"/>
    <cellStyle name="Note 7 5 2" xfId="25267" xr:uid="{00000000-0005-0000-0000-0000B64D0000}"/>
    <cellStyle name="Note 7 5 2 2" xfId="22062" xr:uid="{00000000-0005-0000-0000-0000B74D0000}"/>
    <cellStyle name="Note 7 5 2 2 2" xfId="25269" xr:uid="{00000000-0005-0000-0000-0000B84D0000}"/>
    <cellStyle name="Note 7 5 2 2 2 2" xfId="3360" xr:uid="{00000000-0005-0000-0000-0000B94D0000}"/>
    <cellStyle name="Note 7 5 2 2 2 2 2" xfId="25271" xr:uid="{00000000-0005-0000-0000-0000BA4D0000}"/>
    <cellStyle name="Note 7 5 2 2 2 2 3" xfId="25272" xr:uid="{00000000-0005-0000-0000-0000BB4D0000}"/>
    <cellStyle name="Note 7 5 2 2 2 2 4" xfId="9005" xr:uid="{00000000-0005-0000-0000-0000BC4D0000}"/>
    <cellStyle name="Note 7 5 2 2 2 3" xfId="3364" xr:uid="{00000000-0005-0000-0000-0000BD4D0000}"/>
    <cellStyle name="Note 7 5 2 2 2 4" xfId="25273" xr:uid="{00000000-0005-0000-0000-0000BE4D0000}"/>
    <cellStyle name="Note 7 5 2 2 2 5" xfId="25274" xr:uid="{00000000-0005-0000-0000-0000BF4D0000}"/>
    <cellStyle name="Note 7 5 2 2 3" xfId="25275" xr:uid="{00000000-0005-0000-0000-0000C04D0000}"/>
    <cellStyle name="Note 7 5 2 2 3 2" xfId="3619" xr:uid="{00000000-0005-0000-0000-0000C14D0000}"/>
    <cellStyle name="Note 7 5 2 2 3 3" xfId="25276" xr:uid="{00000000-0005-0000-0000-0000C24D0000}"/>
    <cellStyle name="Note 7 5 2 2 3 4" xfId="25277" xr:uid="{00000000-0005-0000-0000-0000C34D0000}"/>
    <cellStyle name="Note 7 5 2 2 4" xfId="10294" xr:uid="{00000000-0005-0000-0000-0000C44D0000}"/>
    <cellStyle name="Note 7 5 2 2 5" xfId="10297" xr:uid="{00000000-0005-0000-0000-0000C54D0000}"/>
    <cellStyle name="Note 7 5 2 2 6" xfId="14113" xr:uid="{00000000-0005-0000-0000-0000C64D0000}"/>
    <cellStyle name="Note 7 5 2 3" xfId="22065" xr:uid="{00000000-0005-0000-0000-0000C74D0000}"/>
    <cellStyle name="Note 7 5 2 3 2" xfId="25278" xr:uid="{00000000-0005-0000-0000-0000C84D0000}"/>
    <cellStyle name="Note 7 5 2 3 2 2" xfId="25279" xr:uid="{00000000-0005-0000-0000-0000C94D0000}"/>
    <cellStyle name="Note 7 5 2 3 2 3" xfId="3290" xr:uid="{00000000-0005-0000-0000-0000CA4D0000}"/>
    <cellStyle name="Note 7 5 2 3 2 4" xfId="3297" xr:uid="{00000000-0005-0000-0000-0000CB4D0000}"/>
    <cellStyle name="Note 7 5 2 3 3" xfId="25281" xr:uid="{00000000-0005-0000-0000-0000CC4D0000}"/>
    <cellStyle name="Note 7 5 2 3 4" xfId="14125" xr:uid="{00000000-0005-0000-0000-0000CD4D0000}"/>
    <cellStyle name="Note 7 5 2 3 5" xfId="14130" xr:uid="{00000000-0005-0000-0000-0000CE4D0000}"/>
    <cellStyle name="Note 7 5 2 4" xfId="22069" xr:uid="{00000000-0005-0000-0000-0000CF4D0000}"/>
    <cellStyle name="Note 7 5 2 4 2" xfId="25282" xr:uid="{00000000-0005-0000-0000-0000D04D0000}"/>
    <cellStyle name="Note 7 5 2 4 3" xfId="25284" xr:uid="{00000000-0005-0000-0000-0000D14D0000}"/>
    <cellStyle name="Note 7 5 2 4 4" xfId="25286" xr:uid="{00000000-0005-0000-0000-0000D24D0000}"/>
    <cellStyle name="Note 7 5 2 5" xfId="25288" xr:uid="{00000000-0005-0000-0000-0000D34D0000}"/>
    <cellStyle name="Note 7 5 2 6" xfId="25290" xr:uid="{00000000-0005-0000-0000-0000D44D0000}"/>
    <cellStyle name="Note 7 5 2 7" xfId="25291" xr:uid="{00000000-0005-0000-0000-0000D54D0000}"/>
    <cellStyle name="Note 7 5 3" xfId="25293" xr:uid="{00000000-0005-0000-0000-0000D64D0000}"/>
    <cellStyle name="Note 7 5 3 2" xfId="22080" xr:uid="{00000000-0005-0000-0000-0000D74D0000}"/>
    <cellStyle name="Note 7 5 3 2 2" xfId="25295" xr:uid="{00000000-0005-0000-0000-0000D84D0000}"/>
    <cellStyle name="Note 7 5 3 2 2 2" xfId="367" xr:uid="{00000000-0005-0000-0000-0000D94D0000}"/>
    <cellStyle name="Note 7 5 3 2 2 3" xfId="2262" xr:uid="{00000000-0005-0000-0000-0000DA4D0000}"/>
    <cellStyle name="Note 7 5 3 2 2 4" xfId="25296" xr:uid="{00000000-0005-0000-0000-0000DB4D0000}"/>
    <cellStyle name="Note 7 5 3 2 3" xfId="25297" xr:uid="{00000000-0005-0000-0000-0000DC4D0000}"/>
    <cellStyle name="Note 7 5 3 2 4" xfId="529" xr:uid="{00000000-0005-0000-0000-0000DD4D0000}"/>
    <cellStyle name="Note 7 5 3 2 5" xfId="587" xr:uid="{00000000-0005-0000-0000-0000DE4D0000}"/>
    <cellStyle name="Note 7 5 3 3" xfId="22082" xr:uid="{00000000-0005-0000-0000-0000DF4D0000}"/>
    <cellStyle name="Note 7 5 3 3 2" xfId="25298" xr:uid="{00000000-0005-0000-0000-0000E04D0000}"/>
    <cellStyle name="Note 7 5 3 3 3" xfId="25300" xr:uid="{00000000-0005-0000-0000-0000E14D0000}"/>
    <cellStyle name="Note 7 5 3 3 4" xfId="2729" xr:uid="{00000000-0005-0000-0000-0000E24D0000}"/>
    <cellStyle name="Note 7 5 3 4" xfId="25301" xr:uid="{00000000-0005-0000-0000-0000E34D0000}"/>
    <cellStyle name="Note 7 5 3 5" xfId="25302" xr:uid="{00000000-0005-0000-0000-0000E44D0000}"/>
    <cellStyle name="Note 7 5 3 6" xfId="25303" xr:uid="{00000000-0005-0000-0000-0000E54D0000}"/>
    <cellStyle name="Note 7 5 4" xfId="19567" xr:uid="{00000000-0005-0000-0000-0000E64D0000}"/>
    <cellStyle name="Note 7 5 4 2" xfId="19569" xr:uid="{00000000-0005-0000-0000-0000E74D0000}"/>
    <cellStyle name="Note 7 5 4 2 2" xfId="25305" xr:uid="{00000000-0005-0000-0000-0000E84D0000}"/>
    <cellStyle name="Note 7 5 4 2 3" xfId="25306" xr:uid="{00000000-0005-0000-0000-0000E94D0000}"/>
    <cellStyle name="Note 7 5 4 2 4" xfId="2873" xr:uid="{00000000-0005-0000-0000-0000EA4D0000}"/>
    <cellStyle name="Note 7 5 4 3" xfId="19572" xr:uid="{00000000-0005-0000-0000-0000EB4D0000}"/>
    <cellStyle name="Note 7 5 4 4" xfId="19575" xr:uid="{00000000-0005-0000-0000-0000EC4D0000}"/>
    <cellStyle name="Note 7 5 4 5" xfId="25308" xr:uid="{00000000-0005-0000-0000-0000ED4D0000}"/>
    <cellStyle name="Note 7 5 5" xfId="4085" xr:uid="{00000000-0005-0000-0000-0000EE4D0000}"/>
    <cellStyle name="Note 7 5 5 2" xfId="25310" xr:uid="{00000000-0005-0000-0000-0000EF4D0000}"/>
    <cellStyle name="Note 7 5 5 3" xfId="25312" xr:uid="{00000000-0005-0000-0000-0000F04D0000}"/>
    <cellStyle name="Note 7 5 5 4" xfId="25315" xr:uid="{00000000-0005-0000-0000-0000F14D0000}"/>
    <cellStyle name="Note 7 5 6" xfId="4146" xr:uid="{00000000-0005-0000-0000-0000F24D0000}"/>
    <cellStyle name="Note 7 5 7" xfId="4164" xr:uid="{00000000-0005-0000-0000-0000F34D0000}"/>
    <cellStyle name="Note 7 5 8" xfId="25317" xr:uid="{00000000-0005-0000-0000-0000F44D0000}"/>
    <cellStyle name="Note 7 6" xfId="25318" xr:uid="{00000000-0005-0000-0000-0000F54D0000}"/>
    <cellStyle name="Note 7 6 2" xfId="25320" xr:uid="{00000000-0005-0000-0000-0000F64D0000}"/>
    <cellStyle name="Note 7 6 2 2" xfId="22131" xr:uid="{00000000-0005-0000-0000-0000F74D0000}"/>
    <cellStyle name="Note 7 6 2 2 2" xfId="25322" xr:uid="{00000000-0005-0000-0000-0000F84D0000}"/>
    <cellStyle name="Note 7 6 2 2 2 2" xfId="25323" xr:uid="{00000000-0005-0000-0000-0000F94D0000}"/>
    <cellStyle name="Note 7 6 2 2 2 3" xfId="25324" xr:uid="{00000000-0005-0000-0000-0000FA4D0000}"/>
    <cellStyle name="Note 7 6 2 2 2 4" xfId="25325" xr:uid="{00000000-0005-0000-0000-0000FB4D0000}"/>
    <cellStyle name="Note 7 6 2 2 3" xfId="16350" xr:uid="{00000000-0005-0000-0000-0000FC4D0000}"/>
    <cellStyle name="Note 7 6 2 2 4" xfId="14399" xr:uid="{00000000-0005-0000-0000-0000FD4D0000}"/>
    <cellStyle name="Note 7 6 2 2 5" xfId="14402" xr:uid="{00000000-0005-0000-0000-0000FE4D0000}"/>
    <cellStyle name="Note 7 6 2 3" xfId="22133" xr:uid="{00000000-0005-0000-0000-0000FF4D0000}"/>
    <cellStyle name="Note 7 6 2 3 2" xfId="25327" xr:uid="{00000000-0005-0000-0000-0000004E0000}"/>
    <cellStyle name="Note 7 6 2 3 3" xfId="25329" xr:uid="{00000000-0005-0000-0000-0000014E0000}"/>
    <cellStyle name="Note 7 6 2 3 4" xfId="25331" xr:uid="{00000000-0005-0000-0000-0000024E0000}"/>
    <cellStyle name="Note 7 6 2 4" xfId="25332" xr:uid="{00000000-0005-0000-0000-0000034E0000}"/>
    <cellStyle name="Note 7 6 2 5" xfId="25333" xr:uid="{00000000-0005-0000-0000-0000044E0000}"/>
    <cellStyle name="Note 7 6 2 6" xfId="25334" xr:uid="{00000000-0005-0000-0000-0000054E0000}"/>
    <cellStyle name="Note 7 6 3" xfId="25336" xr:uid="{00000000-0005-0000-0000-0000064E0000}"/>
    <cellStyle name="Note 7 6 3 2" xfId="22137" xr:uid="{00000000-0005-0000-0000-0000074E0000}"/>
    <cellStyle name="Note 7 6 3 2 2" xfId="25339" xr:uid="{00000000-0005-0000-0000-0000084E0000}"/>
    <cellStyle name="Note 7 6 3 2 3" xfId="25340" xr:uid="{00000000-0005-0000-0000-0000094E0000}"/>
    <cellStyle name="Note 7 6 3 2 4" xfId="25341" xr:uid="{00000000-0005-0000-0000-00000A4E0000}"/>
    <cellStyle name="Note 7 6 3 3" xfId="25342" xr:uid="{00000000-0005-0000-0000-00000B4E0000}"/>
    <cellStyle name="Note 7 6 3 4" xfId="25343" xr:uid="{00000000-0005-0000-0000-00000C4E0000}"/>
    <cellStyle name="Note 7 6 3 5" xfId="25344" xr:uid="{00000000-0005-0000-0000-00000D4E0000}"/>
    <cellStyle name="Note 7 6 4" xfId="19578" xr:uid="{00000000-0005-0000-0000-00000E4E0000}"/>
    <cellStyle name="Note 7 6 4 2" xfId="25345" xr:uid="{00000000-0005-0000-0000-00000F4E0000}"/>
    <cellStyle name="Note 7 6 4 3" xfId="25346" xr:uid="{00000000-0005-0000-0000-0000104E0000}"/>
    <cellStyle name="Note 7 6 4 4" xfId="25348" xr:uid="{00000000-0005-0000-0000-0000114E0000}"/>
    <cellStyle name="Note 7 6 5" xfId="1447" xr:uid="{00000000-0005-0000-0000-0000124E0000}"/>
    <cellStyle name="Note 7 6 6" xfId="687" xr:uid="{00000000-0005-0000-0000-0000134E0000}"/>
    <cellStyle name="Note 7 6 7" xfId="25350" xr:uid="{00000000-0005-0000-0000-0000144E0000}"/>
    <cellStyle name="Note 7 7" xfId="25351" xr:uid="{00000000-0005-0000-0000-0000154E0000}"/>
    <cellStyle name="Note 7 7 2" xfId="25353" xr:uid="{00000000-0005-0000-0000-0000164E0000}"/>
    <cellStyle name="Note 7 7 2 2" xfId="22158" xr:uid="{00000000-0005-0000-0000-0000174E0000}"/>
    <cellStyle name="Note 7 7 2 2 2" xfId="7055" xr:uid="{00000000-0005-0000-0000-0000184E0000}"/>
    <cellStyle name="Note 7 7 2 2 3" xfId="7066" xr:uid="{00000000-0005-0000-0000-0000194E0000}"/>
    <cellStyle name="Note 7 7 2 2 4" xfId="14528" xr:uid="{00000000-0005-0000-0000-00001A4E0000}"/>
    <cellStyle name="Note 7 7 2 3" xfId="25354" xr:uid="{00000000-0005-0000-0000-00001B4E0000}"/>
    <cellStyle name="Note 7 7 2 4" xfId="25355" xr:uid="{00000000-0005-0000-0000-00001C4E0000}"/>
    <cellStyle name="Note 7 7 2 5" xfId="25356" xr:uid="{00000000-0005-0000-0000-00001D4E0000}"/>
    <cellStyle name="Note 7 7 3" xfId="25358" xr:uid="{00000000-0005-0000-0000-00001E4E0000}"/>
    <cellStyle name="Note 7 7 3 2" xfId="25359" xr:uid="{00000000-0005-0000-0000-00001F4E0000}"/>
    <cellStyle name="Note 7 7 3 3" xfId="25360" xr:uid="{00000000-0005-0000-0000-0000204E0000}"/>
    <cellStyle name="Note 7 7 3 4" xfId="25361" xr:uid="{00000000-0005-0000-0000-0000214E0000}"/>
    <cellStyle name="Note 7 7 4" xfId="25362" xr:uid="{00000000-0005-0000-0000-0000224E0000}"/>
    <cellStyle name="Note 7 7 5" xfId="25363" xr:uid="{00000000-0005-0000-0000-0000234E0000}"/>
    <cellStyle name="Note 7 7 6" xfId="25364" xr:uid="{00000000-0005-0000-0000-0000244E0000}"/>
    <cellStyle name="Note 7 8" xfId="25365" xr:uid="{00000000-0005-0000-0000-0000254E0000}"/>
    <cellStyle name="Note 7 8 2" xfId="25366" xr:uid="{00000000-0005-0000-0000-0000264E0000}"/>
    <cellStyle name="Note 7 8 2 2" xfId="25367" xr:uid="{00000000-0005-0000-0000-0000274E0000}"/>
    <cellStyle name="Note 7 8 2 3" xfId="25368" xr:uid="{00000000-0005-0000-0000-0000284E0000}"/>
    <cellStyle name="Note 7 8 2 4" xfId="25369" xr:uid="{00000000-0005-0000-0000-0000294E0000}"/>
    <cellStyle name="Note 7 8 3" xfId="25370" xr:uid="{00000000-0005-0000-0000-00002A4E0000}"/>
    <cellStyle name="Note 7 8 4" xfId="25371" xr:uid="{00000000-0005-0000-0000-00002B4E0000}"/>
    <cellStyle name="Note 7 8 5" xfId="25372" xr:uid="{00000000-0005-0000-0000-00002C4E0000}"/>
    <cellStyle name="Note 7 9" xfId="25373" xr:uid="{00000000-0005-0000-0000-00002D4E0000}"/>
    <cellStyle name="Note 7 9 2" xfId="25374" xr:uid="{00000000-0005-0000-0000-00002E4E0000}"/>
    <cellStyle name="Note 7 9 3" xfId="25375" xr:uid="{00000000-0005-0000-0000-00002F4E0000}"/>
    <cellStyle name="Note 7 9 4" xfId="25376" xr:uid="{00000000-0005-0000-0000-0000304E0000}"/>
    <cellStyle name="Note 8" xfId="25377" xr:uid="{00000000-0005-0000-0000-0000314E0000}"/>
    <cellStyle name="Note 8 10" xfId="25378" xr:uid="{00000000-0005-0000-0000-0000324E0000}"/>
    <cellStyle name="Note 8 11" xfId="13152" xr:uid="{00000000-0005-0000-0000-0000334E0000}"/>
    <cellStyle name="Note 8 12" xfId="13156" xr:uid="{00000000-0005-0000-0000-0000344E0000}"/>
    <cellStyle name="Note 8 13" xfId="13158" xr:uid="{00000000-0005-0000-0000-0000354E0000}"/>
    <cellStyle name="Note 8 2" xfId="25379" xr:uid="{00000000-0005-0000-0000-0000364E0000}"/>
    <cellStyle name="Note 8 2 10" xfId="9586" xr:uid="{00000000-0005-0000-0000-0000374E0000}"/>
    <cellStyle name="Note 8 2 11" xfId="9589" xr:uid="{00000000-0005-0000-0000-0000384E0000}"/>
    <cellStyle name="Note 8 2 12" xfId="25380" xr:uid="{00000000-0005-0000-0000-0000394E0000}"/>
    <cellStyle name="Note 8 2 2" xfId="25381" xr:uid="{00000000-0005-0000-0000-00003A4E0000}"/>
    <cellStyle name="Note 8 2 2 2" xfId="25382" xr:uid="{00000000-0005-0000-0000-00003B4E0000}"/>
    <cellStyle name="Note 8 2 2 2 2" xfId="25383" xr:uid="{00000000-0005-0000-0000-00003C4E0000}"/>
    <cellStyle name="Note 8 2 2 2 2 2" xfId="25385" xr:uid="{00000000-0005-0000-0000-00003D4E0000}"/>
    <cellStyle name="Note 8 2 2 2 2 2 2" xfId="25386" xr:uid="{00000000-0005-0000-0000-00003E4E0000}"/>
    <cellStyle name="Note 8 2 2 2 2 2 2 2" xfId="25387" xr:uid="{00000000-0005-0000-0000-00003F4E0000}"/>
    <cellStyle name="Note 8 2 2 2 2 2 2 2 2" xfId="25388" xr:uid="{00000000-0005-0000-0000-0000404E0000}"/>
    <cellStyle name="Note 8 2 2 2 2 2 2 2 3" xfId="25389" xr:uid="{00000000-0005-0000-0000-0000414E0000}"/>
    <cellStyle name="Note 8 2 2 2 2 2 2 2 4" xfId="25390" xr:uid="{00000000-0005-0000-0000-0000424E0000}"/>
    <cellStyle name="Note 8 2 2 2 2 2 2 3" xfId="25391" xr:uid="{00000000-0005-0000-0000-0000434E0000}"/>
    <cellStyle name="Note 8 2 2 2 2 2 2 4" xfId="24830" xr:uid="{00000000-0005-0000-0000-0000444E0000}"/>
    <cellStyle name="Note 8 2 2 2 2 2 2 5" xfId="24844" xr:uid="{00000000-0005-0000-0000-0000454E0000}"/>
    <cellStyle name="Note 8 2 2 2 2 2 3" xfId="25392" xr:uid="{00000000-0005-0000-0000-0000464E0000}"/>
    <cellStyle name="Note 8 2 2 2 2 2 3 2" xfId="6754" xr:uid="{00000000-0005-0000-0000-0000474E0000}"/>
    <cellStyle name="Note 8 2 2 2 2 2 3 3" xfId="6760" xr:uid="{00000000-0005-0000-0000-0000484E0000}"/>
    <cellStyle name="Note 8 2 2 2 2 2 3 4" xfId="8013" xr:uid="{00000000-0005-0000-0000-0000494E0000}"/>
    <cellStyle name="Note 8 2 2 2 2 2 4" xfId="13008" xr:uid="{00000000-0005-0000-0000-00004A4E0000}"/>
    <cellStyle name="Note 8 2 2 2 2 2 5" xfId="19791" xr:uid="{00000000-0005-0000-0000-00004B4E0000}"/>
    <cellStyle name="Note 8 2 2 2 2 2 6" xfId="20001" xr:uid="{00000000-0005-0000-0000-00004C4E0000}"/>
    <cellStyle name="Note 8 2 2 2 2 3" xfId="25393" xr:uid="{00000000-0005-0000-0000-00004D4E0000}"/>
    <cellStyle name="Note 8 2 2 2 2 3 2" xfId="13801" xr:uid="{00000000-0005-0000-0000-00004E4E0000}"/>
    <cellStyle name="Note 8 2 2 2 2 3 2 2" xfId="14593" xr:uid="{00000000-0005-0000-0000-00004F4E0000}"/>
    <cellStyle name="Note 8 2 2 2 2 3 2 3" xfId="14595" xr:uid="{00000000-0005-0000-0000-0000504E0000}"/>
    <cellStyle name="Note 8 2 2 2 2 3 2 4" xfId="14597" xr:uid="{00000000-0005-0000-0000-0000514E0000}"/>
    <cellStyle name="Note 8 2 2 2 2 3 3" xfId="13805" xr:uid="{00000000-0005-0000-0000-0000524E0000}"/>
    <cellStyle name="Note 8 2 2 2 2 3 4" xfId="14601" xr:uid="{00000000-0005-0000-0000-0000534E0000}"/>
    <cellStyle name="Note 8 2 2 2 2 3 5" xfId="14603" xr:uid="{00000000-0005-0000-0000-0000544E0000}"/>
    <cellStyle name="Note 8 2 2 2 2 4" xfId="19798" xr:uid="{00000000-0005-0000-0000-0000554E0000}"/>
    <cellStyle name="Note 8 2 2 2 2 4 2" xfId="13814" xr:uid="{00000000-0005-0000-0000-0000564E0000}"/>
    <cellStyle name="Note 8 2 2 2 2 4 3" xfId="14611" xr:uid="{00000000-0005-0000-0000-0000574E0000}"/>
    <cellStyle name="Note 8 2 2 2 2 4 4" xfId="14614" xr:uid="{00000000-0005-0000-0000-0000584E0000}"/>
    <cellStyle name="Note 8 2 2 2 2 5" xfId="19803" xr:uid="{00000000-0005-0000-0000-0000594E0000}"/>
    <cellStyle name="Note 8 2 2 2 2 6" xfId="19808" xr:uid="{00000000-0005-0000-0000-00005A4E0000}"/>
    <cellStyle name="Note 8 2 2 2 2 7" xfId="25395" xr:uid="{00000000-0005-0000-0000-00005B4E0000}"/>
    <cellStyle name="Note 8 2 2 2 3" xfId="25397" xr:uid="{00000000-0005-0000-0000-00005C4E0000}"/>
    <cellStyle name="Note 8 2 2 2 3 2" xfId="25399" xr:uid="{00000000-0005-0000-0000-00005D4E0000}"/>
    <cellStyle name="Note 8 2 2 2 3 2 2" xfId="25400" xr:uid="{00000000-0005-0000-0000-00005E4E0000}"/>
    <cellStyle name="Note 8 2 2 2 3 2 2 2" xfId="25402" xr:uid="{00000000-0005-0000-0000-00005F4E0000}"/>
    <cellStyle name="Note 8 2 2 2 3 2 2 3" xfId="25404" xr:uid="{00000000-0005-0000-0000-0000604E0000}"/>
    <cellStyle name="Note 8 2 2 2 3 2 2 4" xfId="25119" xr:uid="{00000000-0005-0000-0000-0000614E0000}"/>
    <cellStyle name="Note 8 2 2 2 3 2 3" xfId="25405" xr:uid="{00000000-0005-0000-0000-0000624E0000}"/>
    <cellStyle name="Note 8 2 2 2 3 2 4" xfId="25406" xr:uid="{00000000-0005-0000-0000-0000634E0000}"/>
    <cellStyle name="Note 8 2 2 2 3 2 5" xfId="14165" xr:uid="{00000000-0005-0000-0000-0000644E0000}"/>
    <cellStyle name="Note 8 2 2 2 3 3" xfId="25408" xr:uid="{00000000-0005-0000-0000-0000654E0000}"/>
    <cellStyle name="Note 8 2 2 2 3 3 2" xfId="13879" xr:uid="{00000000-0005-0000-0000-0000664E0000}"/>
    <cellStyle name="Note 8 2 2 2 3 3 3" xfId="14628" xr:uid="{00000000-0005-0000-0000-0000674E0000}"/>
    <cellStyle name="Note 8 2 2 2 3 3 4" xfId="14630" xr:uid="{00000000-0005-0000-0000-0000684E0000}"/>
    <cellStyle name="Note 8 2 2 2 3 4" xfId="25411" xr:uid="{00000000-0005-0000-0000-0000694E0000}"/>
    <cellStyle name="Note 8 2 2 2 3 5" xfId="25413" xr:uid="{00000000-0005-0000-0000-00006A4E0000}"/>
    <cellStyle name="Note 8 2 2 2 3 6" xfId="25415" xr:uid="{00000000-0005-0000-0000-00006B4E0000}"/>
    <cellStyle name="Note 8 2 2 2 4" xfId="19822" xr:uid="{00000000-0005-0000-0000-00006C4E0000}"/>
    <cellStyle name="Note 8 2 2 2 4 2" xfId="19826" xr:uid="{00000000-0005-0000-0000-00006D4E0000}"/>
    <cellStyle name="Note 8 2 2 2 4 2 2" xfId="13928" xr:uid="{00000000-0005-0000-0000-00006E4E0000}"/>
    <cellStyle name="Note 8 2 2 2 4 2 3" xfId="18486" xr:uid="{00000000-0005-0000-0000-00006F4E0000}"/>
    <cellStyle name="Note 8 2 2 2 4 2 4" xfId="18500" xr:uid="{00000000-0005-0000-0000-0000704E0000}"/>
    <cellStyle name="Note 8 2 2 2 4 3" xfId="19830" xr:uid="{00000000-0005-0000-0000-0000714E0000}"/>
    <cellStyle name="Note 8 2 2 2 4 4" xfId="19834" xr:uid="{00000000-0005-0000-0000-0000724E0000}"/>
    <cellStyle name="Note 8 2 2 2 4 5" xfId="20437" xr:uid="{00000000-0005-0000-0000-0000734E0000}"/>
    <cellStyle name="Note 8 2 2 2 5" xfId="19839" xr:uid="{00000000-0005-0000-0000-0000744E0000}"/>
    <cellStyle name="Note 8 2 2 2 5 2" xfId="20441" xr:uid="{00000000-0005-0000-0000-0000754E0000}"/>
    <cellStyle name="Note 8 2 2 2 5 3" xfId="20443" xr:uid="{00000000-0005-0000-0000-0000764E0000}"/>
    <cellStyle name="Note 8 2 2 2 5 4" xfId="20446" xr:uid="{00000000-0005-0000-0000-0000774E0000}"/>
    <cellStyle name="Note 8 2 2 2 6" xfId="19847" xr:uid="{00000000-0005-0000-0000-0000784E0000}"/>
    <cellStyle name="Note 8 2 2 2 7" xfId="19852" xr:uid="{00000000-0005-0000-0000-0000794E0000}"/>
    <cellStyle name="Note 8 2 2 2 8" xfId="20460" xr:uid="{00000000-0005-0000-0000-00007A4E0000}"/>
    <cellStyle name="Note 8 2 2 3" xfId="25416" xr:uid="{00000000-0005-0000-0000-00007B4E0000}"/>
    <cellStyle name="Note 8 2 2 3 2" xfId="25418" xr:uid="{00000000-0005-0000-0000-00007C4E0000}"/>
    <cellStyle name="Note 8 2 2 3 2 2" xfId="25419" xr:uid="{00000000-0005-0000-0000-00007D4E0000}"/>
    <cellStyle name="Note 8 2 2 3 2 2 2" xfId="862" xr:uid="{00000000-0005-0000-0000-00007E4E0000}"/>
    <cellStyle name="Note 8 2 2 3 2 2 2 2" xfId="25420" xr:uid="{00000000-0005-0000-0000-00007F4E0000}"/>
    <cellStyle name="Note 8 2 2 3 2 2 2 3" xfId="25421" xr:uid="{00000000-0005-0000-0000-0000804E0000}"/>
    <cellStyle name="Note 8 2 2 3 2 2 2 4" xfId="25417" xr:uid="{00000000-0005-0000-0000-0000814E0000}"/>
    <cellStyle name="Note 8 2 2 3 2 2 3" xfId="877" xr:uid="{00000000-0005-0000-0000-0000824E0000}"/>
    <cellStyle name="Note 8 2 2 3 2 2 4" xfId="25422" xr:uid="{00000000-0005-0000-0000-0000834E0000}"/>
    <cellStyle name="Note 8 2 2 3 2 2 5" xfId="25423" xr:uid="{00000000-0005-0000-0000-0000844E0000}"/>
    <cellStyle name="Note 8 2 2 3 2 3" xfId="25424" xr:uid="{00000000-0005-0000-0000-0000854E0000}"/>
    <cellStyle name="Note 8 2 2 3 2 3 2" xfId="14564" xr:uid="{00000000-0005-0000-0000-0000864E0000}"/>
    <cellStyle name="Note 8 2 2 3 2 3 3" xfId="14567" xr:uid="{00000000-0005-0000-0000-0000874E0000}"/>
    <cellStyle name="Note 8 2 2 3 2 3 4" xfId="14668" xr:uid="{00000000-0005-0000-0000-0000884E0000}"/>
    <cellStyle name="Note 8 2 2 3 2 4" xfId="2101" xr:uid="{00000000-0005-0000-0000-0000894E0000}"/>
    <cellStyle name="Note 8 2 2 3 2 5" xfId="3471" xr:uid="{00000000-0005-0000-0000-00008A4E0000}"/>
    <cellStyle name="Note 8 2 2 3 2 6" xfId="3476" xr:uid="{00000000-0005-0000-0000-00008B4E0000}"/>
    <cellStyle name="Note 8 2 2 3 3" xfId="25426" xr:uid="{00000000-0005-0000-0000-00008C4E0000}"/>
    <cellStyle name="Note 8 2 2 3 3 2" xfId="25427" xr:uid="{00000000-0005-0000-0000-00008D4E0000}"/>
    <cellStyle name="Note 8 2 2 3 3 2 2" xfId="14651" xr:uid="{00000000-0005-0000-0000-00008E4E0000}"/>
    <cellStyle name="Note 8 2 2 3 3 2 3" xfId="14654" xr:uid="{00000000-0005-0000-0000-00008F4E0000}"/>
    <cellStyle name="Note 8 2 2 3 3 2 4" xfId="19242" xr:uid="{00000000-0005-0000-0000-0000904E0000}"/>
    <cellStyle name="Note 8 2 2 3 3 3" xfId="25428" xr:uid="{00000000-0005-0000-0000-0000914E0000}"/>
    <cellStyle name="Note 8 2 2 3 3 4" xfId="25430" xr:uid="{00000000-0005-0000-0000-0000924E0000}"/>
    <cellStyle name="Note 8 2 2 3 3 5" xfId="25432" xr:uid="{00000000-0005-0000-0000-0000934E0000}"/>
    <cellStyle name="Note 8 2 2 3 4" xfId="17462" xr:uid="{00000000-0005-0000-0000-0000944E0000}"/>
    <cellStyle name="Note 8 2 2 3 4 2" xfId="20465" xr:uid="{00000000-0005-0000-0000-0000954E0000}"/>
    <cellStyle name="Note 8 2 2 3 4 3" xfId="20467" xr:uid="{00000000-0005-0000-0000-0000964E0000}"/>
    <cellStyle name="Note 8 2 2 3 4 4" xfId="20470" xr:uid="{00000000-0005-0000-0000-0000974E0000}"/>
    <cellStyle name="Note 8 2 2 3 5" xfId="19862" xr:uid="{00000000-0005-0000-0000-0000984E0000}"/>
    <cellStyle name="Note 8 2 2 3 6" xfId="19868" xr:uid="{00000000-0005-0000-0000-0000994E0000}"/>
    <cellStyle name="Note 8 2 2 3 7" xfId="20482" xr:uid="{00000000-0005-0000-0000-00009A4E0000}"/>
    <cellStyle name="Note 8 2 2 4" xfId="22347" xr:uid="{00000000-0005-0000-0000-00009B4E0000}"/>
    <cellStyle name="Note 8 2 2 4 2" xfId="22349" xr:uid="{00000000-0005-0000-0000-00009C4E0000}"/>
    <cellStyle name="Note 8 2 2 4 2 2" xfId="25433" xr:uid="{00000000-0005-0000-0000-00009D4E0000}"/>
    <cellStyle name="Note 8 2 2 4 2 2 2" xfId="24467" xr:uid="{00000000-0005-0000-0000-00009E4E0000}"/>
    <cellStyle name="Note 8 2 2 4 2 2 3" xfId="24479" xr:uid="{00000000-0005-0000-0000-00009F4E0000}"/>
    <cellStyle name="Note 8 2 2 4 2 2 4" xfId="24485" xr:uid="{00000000-0005-0000-0000-0000A04E0000}"/>
    <cellStyle name="Note 8 2 2 4 2 3" xfId="25434" xr:uid="{00000000-0005-0000-0000-0000A14E0000}"/>
    <cellStyle name="Note 8 2 2 4 2 4" xfId="25436" xr:uid="{00000000-0005-0000-0000-0000A24E0000}"/>
    <cellStyle name="Note 8 2 2 4 2 5" xfId="25438" xr:uid="{00000000-0005-0000-0000-0000A34E0000}"/>
    <cellStyle name="Note 8 2 2 4 3" xfId="22351" xr:uid="{00000000-0005-0000-0000-0000A44E0000}"/>
    <cellStyle name="Note 8 2 2 4 3 2" xfId="25439" xr:uid="{00000000-0005-0000-0000-0000A54E0000}"/>
    <cellStyle name="Note 8 2 2 4 3 3" xfId="25440" xr:uid="{00000000-0005-0000-0000-0000A64E0000}"/>
    <cellStyle name="Note 8 2 2 4 3 4" xfId="25442" xr:uid="{00000000-0005-0000-0000-0000A74E0000}"/>
    <cellStyle name="Note 8 2 2 4 4" xfId="19874" xr:uid="{00000000-0005-0000-0000-0000A84E0000}"/>
    <cellStyle name="Note 8 2 2 4 5" xfId="19879" xr:uid="{00000000-0005-0000-0000-0000A94E0000}"/>
    <cellStyle name="Note 8 2 2 4 6" xfId="20493" xr:uid="{00000000-0005-0000-0000-0000AA4E0000}"/>
    <cellStyle name="Note 8 2 2 5" xfId="22353" xr:uid="{00000000-0005-0000-0000-0000AB4E0000}"/>
    <cellStyle name="Note 8 2 2 5 2" xfId="25443" xr:uid="{00000000-0005-0000-0000-0000AC4E0000}"/>
    <cellStyle name="Note 8 2 2 5 2 2" xfId="25444" xr:uid="{00000000-0005-0000-0000-0000AD4E0000}"/>
    <cellStyle name="Note 8 2 2 5 2 3" xfId="25445" xr:uid="{00000000-0005-0000-0000-0000AE4E0000}"/>
    <cellStyle name="Note 8 2 2 5 2 4" xfId="25447" xr:uid="{00000000-0005-0000-0000-0000AF4E0000}"/>
    <cellStyle name="Note 8 2 2 5 3" xfId="25448" xr:uid="{00000000-0005-0000-0000-0000B04E0000}"/>
    <cellStyle name="Note 8 2 2 5 4" xfId="19887" xr:uid="{00000000-0005-0000-0000-0000B14E0000}"/>
    <cellStyle name="Note 8 2 2 5 5" xfId="20495" xr:uid="{00000000-0005-0000-0000-0000B24E0000}"/>
    <cellStyle name="Note 8 2 2 6" xfId="22355" xr:uid="{00000000-0005-0000-0000-0000B34E0000}"/>
    <cellStyle name="Note 8 2 2 6 2" xfId="25450" xr:uid="{00000000-0005-0000-0000-0000B44E0000}"/>
    <cellStyle name="Note 8 2 2 6 3" xfId="25451" xr:uid="{00000000-0005-0000-0000-0000B54E0000}"/>
    <cellStyle name="Note 8 2 2 6 4" xfId="25452" xr:uid="{00000000-0005-0000-0000-0000B64E0000}"/>
    <cellStyle name="Note 8 2 2 7" xfId="22357" xr:uid="{00000000-0005-0000-0000-0000B74E0000}"/>
    <cellStyle name="Note 8 2 2 8" xfId="23109" xr:uid="{00000000-0005-0000-0000-0000B84E0000}"/>
    <cellStyle name="Note 8 2 2 9" xfId="23128" xr:uid="{00000000-0005-0000-0000-0000B94E0000}"/>
    <cellStyle name="Note 8 2 3" xfId="11847" xr:uid="{00000000-0005-0000-0000-0000BA4E0000}"/>
    <cellStyle name="Note 8 2 3 2" xfId="4267" xr:uid="{00000000-0005-0000-0000-0000BB4E0000}"/>
    <cellStyle name="Note 8 2 3 2 2" xfId="11850" xr:uid="{00000000-0005-0000-0000-0000BC4E0000}"/>
    <cellStyle name="Note 8 2 3 2 2 2" xfId="11855" xr:uid="{00000000-0005-0000-0000-0000BD4E0000}"/>
    <cellStyle name="Note 8 2 3 2 2 2 2" xfId="25453" xr:uid="{00000000-0005-0000-0000-0000BE4E0000}"/>
    <cellStyle name="Note 8 2 3 2 2 2 2 2" xfId="25454" xr:uid="{00000000-0005-0000-0000-0000BF4E0000}"/>
    <cellStyle name="Note 8 2 3 2 2 2 2 2 2" xfId="25455" xr:uid="{00000000-0005-0000-0000-0000C04E0000}"/>
    <cellStyle name="Note 8 2 3 2 2 2 2 2 3" xfId="25456" xr:uid="{00000000-0005-0000-0000-0000C14E0000}"/>
    <cellStyle name="Note 8 2 3 2 2 2 2 2 4" xfId="25457" xr:uid="{00000000-0005-0000-0000-0000C24E0000}"/>
    <cellStyle name="Note 8 2 3 2 2 2 2 3" xfId="25458" xr:uid="{00000000-0005-0000-0000-0000C34E0000}"/>
    <cellStyle name="Note 8 2 3 2 2 2 2 4" xfId="25459" xr:uid="{00000000-0005-0000-0000-0000C44E0000}"/>
    <cellStyle name="Note 8 2 3 2 2 2 2 5" xfId="25460" xr:uid="{00000000-0005-0000-0000-0000C54E0000}"/>
    <cellStyle name="Note 8 2 3 2 2 2 3" xfId="25461" xr:uid="{00000000-0005-0000-0000-0000C64E0000}"/>
    <cellStyle name="Note 8 2 3 2 2 2 3 2" xfId="7790" xr:uid="{00000000-0005-0000-0000-0000C74E0000}"/>
    <cellStyle name="Note 8 2 3 2 2 2 3 3" xfId="7794" xr:uid="{00000000-0005-0000-0000-0000C84E0000}"/>
    <cellStyle name="Note 8 2 3 2 2 2 3 4" xfId="9358" xr:uid="{00000000-0005-0000-0000-0000C94E0000}"/>
    <cellStyle name="Note 8 2 3 2 2 2 4" xfId="25462" xr:uid="{00000000-0005-0000-0000-0000CA4E0000}"/>
    <cellStyle name="Note 8 2 3 2 2 2 5" xfId="25463" xr:uid="{00000000-0005-0000-0000-0000CB4E0000}"/>
    <cellStyle name="Note 8 2 3 2 2 2 6" xfId="25464" xr:uid="{00000000-0005-0000-0000-0000CC4E0000}"/>
    <cellStyle name="Note 8 2 3 2 2 3" xfId="11859" xr:uid="{00000000-0005-0000-0000-0000CD4E0000}"/>
    <cellStyle name="Note 8 2 3 2 2 3 2" xfId="9339" xr:uid="{00000000-0005-0000-0000-0000CE4E0000}"/>
    <cellStyle name="Note 8 2 3 2 2 3 2 2" xfId="15307" xr:uid="{00000000-0005-0000-0000-0000CF4E0000}"/>
    <cellStyle name="Note 8 2 3 2 2 3 2 3" xfId="15309" xr:uid="{00000000-0005-0000-0000-0000D04E0000}"/>
    <cellStyle name="Note 8 2 3 2 2 3 2 4" xfId="15311" xr:uid="{00000000-0005-0000-0000-0000D14E0000}"/>
    <cellStyle name="Note 8 2 3 2 2 3 3" xfId="9343" xr:uid="{00000000-0005-0000-0000-0000D24E0000}"/>
    <cellStyle name="Note 8 2 3 2 2 3 4" xfId="9346" xr:uid="{00000000-0005-0000-0000-0000D34E0000}"/>
    <cellStyle name="Note 8 2 3 2 2 3 5" xfId="15313" xr:uid="{00000000-0005-0000-0000-0000D44E0000}"/>
    <cellStyle name="Note 8 2 3 2 2 4" xfId="11865" xr:uid="{00000000-0005-0000-0000-0000D54E0000}"/>
    <cellStyle name="Note 8 2 3 2 2 4 2" xfId="6011" xr:uid="{00000000-0005-0000-0000-0000D64E0000}"/>
    <cellStyle name="Note 8 2 3 2 2 4 3" xfId="6019" xr:uid="{00000000-0005-0000-0000-0000D74E0000}"/>
    <cellStyle name="Note 8 2 3 2 2 4 4" xfId="15320" xr:uid="{00000000-0005-0000-0000-0000D84E0000}"/>
    <cellStyle name="Note 8 2 3 2 2 5" xfId="25466" xr:uid="{00000000-0005-0000-0000-0000D94E0000}"/>
    <cellStyle name="Note 8 2 3 2 2 6" xfId="25468" xr:uid="{00000000-0005-0000-0000-0000DA4E0000}"/>
    <cellStyle name="Note 8 2 3 2 2 7" xfId="25470" xr:uid="{00000000-0005-0000-0000-0000DB4E0000}"/>
    <cellStyle name="Note 8 2 3 2 3" xfId="11869" xr:uid="{00000000-0005-0000-0000-0000DC4E0000}"/>
    <cellStyle name="Note 8 2 3 2 3 2" xfId="25471" xr:uid="{00000000-0005-0000-0000-0000DD4E0000}"/>
    <cellStyle name="Note 8 2 3 2 3 2 2" xfId="25472" xr:uid="{00000000-0005-0000-0000-0000DE4E0000}"/>
    <cellStyle name="Note 8 2 3 2 3 2 2 2" xfId="19789" xr:uid="{00000000-0005-0000-0000-0000DF4E0000}"/>
    <cellStyle name="Note 8 2 3 2 3 2 2 3" xfId="25473" xr:uid="{00000000-0005-0000-0000-0000E04E0000}"/>
    <cellStyle name="Note 8 2 3 2 3 2 2 4" xfId="25474" xr:uid="{00000000-0005-0000-0000-0000E14E0000}"/>
    <cellStyle name="Note 8 2 3 2 3 2 3" xfId="25475" xr:uid="{00000000-0005-0000-0000-0000E24E0000}"/>
    <cellStyle name="Note 8 2 3 2 3 2 4" xfId="25476" xr:uid="{00000000-0005-0000-0000-0000E34E0000}"/>
    <cellStyle name="Note 8 2 3 2 3 2 5" xfId="23024" xr:uid="{00000000-0005-0000-0000-0000E44E0000}"/>
    <cellStyle name="Note 8 2 3 2 3 3" xfId="25477" xr:uid="{00000000-0005-0000-0000-0000E54E0000}"/>
    <cellStyle name="Note 8 2 3 2 3 3 2" xfId="2357" xr:uid="{00000000-0005-0000-0000-0000E64E0000}"/>
    <cellStyle name="Note 8 2 3 2 3 3 3" xfId="4185" xr:uid="{00000000-0005-0000-0000-0000E74E0000}"/>
    <cellStyle name="Note 8 2 3 2 3 3 4" xfId="12616" xr:uid="{00000000-0005-0000-0000-0000E84E0000}"/>
    <cellStyle name="Note 8 2 3 2 3 4" xfId="25479" xr:uid="{00000000-0005-0000-0000-0000E94E0000}"/>
    <cellStyle name="Note 8 2 3 2 3 5" xfId="25481" xr:uid="{00000000-0005-0000-0000-0000EA4E0000}"/>
    <cellStyle name="Note 8 2 3 2 3 6" xfId="25483" xr:uid="{00000000-0005-0000-0000-0000EB4E0000}"/>
    <cellStyle name="Note 8 2 3 2 4" xfId="11873" xr:uid="{00000000-0005-0000-0000-0000EC4E0000}"/>
    <cellStyle name="Note 8 2 3 2 4 2" xfId="20500" xr:uid="{00000000-0005-0000-0000-0000ED4E0000}"/>
    <cellStyle name="Note 8 2 3 2 4 2 2" xfId="20505" xr:uid="{00000000-0005-0000-0000-0000EE4E0000}"/>
    <cellStyle name="Note 8 2 3 2 4 2 3" xfId="20512" xr:uid="{00000000-0005-0000-0000-0000EF4E0000}"/>
    <cellStyle name="Note 8 2 3 2 4 2 4" xfId="19064" xr:uid="{00000000-0005-0000-0000-0000F04E0000}"/>
    <cellStyle name="Note 8 2 3 2 4 3" xfId="20515" xr:uid="{00000000-0005-0000-0000-0000F14E0000}"/>
    <cellStyle name="Note 8 2 3 2 4 4" xfId="20519" xr:uid="{00000000-0005-0000-0000-0000F24E0000}"/>
    <cellStyle name="Note 8 2 3 2 4 5" xfId="20523" xr:uid="{00000000-0005-0000-0000-0000F34E0000}"/>
    <cellStyle name="Note 8 2 3 2 5" xfId="11883" xr:uid="{00000000-0005-0000-0000-0000F44E0000}"/>
    <cellStyle name="Note 8 2 3 2 5 2" xfId="20526" xr:uid="{00000000-0005-0000-0000-0000F54E0000}"/>
    <cellStyle name="Note 8 2 3 2 5 3" xfId="20529" xr:uid="{00000000-0005-0000-0000-0000F64E0000}"/>
    <cellStyle name="Note 8 2 3 2 5 4" xfId="20533" xr:uid="{00000000-0005-0000-0000-0000F74E0000}"/>
    <cellStyle name="Note 8 2 3 2 6" xfId="12189" xr:uid="{00000000-0005-0000-0000-0000F84E0000}"/>
    <cellStyle name="Note 8 2 3 2 7" xfId="20537" xr:uid="{00000000-0005-0000-0000-0000F94E0000}"/>
    <cellStyle name="Note 8 2 3 2 8" xfId="20540" xr:uid="{00000000-0005-0000-0000-0000FA4E0000}"/>
    <cellStyle name="Note 8 2 3 3" xfId="9618" xr:uid="{00000000-0005-0000-0000-0000FB4E0000}"/>
    <cellStyle name="Note 8 2 3 3 2" xfId="11892" xr:uid="{00000000-0005-0000-0000-0000FC4E0000}"/>
    <cellStyle name="Note 8 2 3 3 2 2" xfId="25484" xr:uid="{00000000-0005-0000-0000-0000FD4E0000}"/>
    <cellStyle name="Note 8 2 3 3 2 2 2" xfId="25485" xr:uid="{00000000-0005-0000-0000-0000FE4E0000}"/>
    <cellStyle name="Note 8 2 3 3 2 2 2 2" xfId="25486" xr:uid="{00000000-0005-0000-0000-0000FF4E0000}"/>
    <cellStyle name="Note 8 2 3 3 2 2 2 3" xfId="25487" xr:uid="{00000000-0005-0000-0000-0000004F0000}"/>
    <cellStyle name="Note 8 2 3 3 2 2 2 4" xfId="25488" xr:uid="{00000000-0005-0000-0000-0000014F0000}"/>
    <cellStyle name="Note 8 2 3 3 2 2 3" xfId="25489" xr:uid="{00000000-0005-0000-0000-0000024F0000}"/>
    <cellStyle name="Note 8 2 3 3 2 2 4" xfId="25490" xr:uid="{00000000-0005-0000-0000-0000034F0000}"/>
    <cellStyle name="Note 8 2 3 3 2 2 5" xfId="25491" xr:uid="{00000000-0005-0000-0000-0000044F0000}"/>
    <cellStyle name="Note 8 2 3 3 2 3" xfId="25492" xr:uid="{00000000-0005-0000-0000-0000054F0000}"/>
    <cellStyle name="Note 8 2 3 3 2 3 2" xfId="10432" xr:uid="{00000000-0005-0000-0000-0000064F0000}"/>
    <cellStyle name="Note 8 2 3 3 2 3 3" xfId="10435" xr:uid="{00000000-0005-0000-0000-0000074F0000}"/>
    <cellStyle name="Note 8 2 3 3 2 3 4" xfId="10438" xr:uid="{00000000-0005-0000-0000-0000084F0000}"/>
    <cellStyle name="Note 8 2 3 3 2 4" xfId="25494" xr:uid="{00000000-0005-0000-0000-0000094F0000}"/>
    <cellStyle name="Note 8 2 3 3 2 5" xfId="25496" xr:uid="{00000000-0005-0000-0000-00000A4F0000}"/>
    <cellStyle name="Note 8 2 3 3 2 6" xfId="25498" xr:uid="{00000000-0005-0000-0000-00000B4F0000}"/>
    <cellStyle name="Note 8 2 3 3 3" xfId="11895" xr:uid="{00000000-0005-0000-0000-00000C4F0000}"/>
    <cellStyle name="Note 8 2 3 3 3 2" xfId="25499" xr:uid="{00000000-0005-0000-0000-00000D4F0000}"/>
    <cellStyle name="Note 8 2 3 3 3 2 2" xfId="19854" xr:uid="{00000000-0005-0000-0000-00000E4F0000}"/>
    <cellStyle name="Note 8 2 3 3 3 2 3" xfId="19870" xr:uid="{00000000-0005-0000-0000-00000F4F0000}"/>
    <cellStyle name="Note 8 2 3 3 3 2 4" xfId="19883" xr:uid="{00000000-0005-0000-0000-0000104F0000}"/>
    <cellStyle name="Note 8 2 3 3 3 3" xfId="25500" xr:uid="{00000000-0005-0000-0000-0000114F0000}"/>
    <cellStyle name="Note 8 2 3 3 3 4" xfId="25502" xr:uid="{00000000-0005-0000-0000-0000124F0000}"/>
    <cellStyle name="Note 8 2 3 3 3 5" xfId="25504" xr:uid="{00000000-0005-0000-0000-0000134F0000}"/>
    <cellStyle name="Note 8 2 3 3 4" xfId="11898" xr:uid="{00000000-0005-0000-0000-0000144F0000}"/>
    <cellStyle name="Note 8 2 3 3 4 2" xfId="20545" xr:uid="{00000000-0005-0000-0000-0000154F0000}"/>
    <cellStyle name="Note 8 2 3 3 4 3" xfId="20548" xr:uid="{00000000-0005-0000-0000-0000164F0000}"/>
    <cellStyle name="Note 8 2 3 3 4 4" xfId="20552" xr:uid="{00000000-0005-0000-0000-0000174F0000}"/>
    <cellStyle name="Note 8 2 3 3 5" xfId="19917" xr:uid="{00000000-0005-0000-0000-0000184F0000}"/>
    <cellStyle name="Note 8 2 3 3 6" xfId="20557" xr:uid="{00000000-0005-0000-0000-0000194F0000}"/>
    <cellStyle name="Note 8 2 3 3 7" xfId="20562" xr:uid="{00000000-0005-0000-0000-00001A4F0000}"/>
    <cellStyle name="Note 8 2 3 4" xfId="7767" xr:uid="{00000000-0005-0000-0000-00001B4F0000}"/>
    <cellStyle name="Note 8 2 3 4 2" xfId="25505" xr:uid="{00000000-0005-0000-0000-00001C4F0000}"/>
    <cellStyle name="Note 8 2 3 4 2 2" xfId="25506" xr:uid="{00000000-0005-0000-0000-00001D4F0000}"/>
    <cellStyle name="Note 8 2 3 4 2 2 2" xfId="25507" xr:uid="{00000000-0005-0000-0000-00001E4F0000}"/>
    <cellStyle name="Note 8 2 3 4 2 2 3" xfId="25508" xr:uid="{00000000-0005-0000-0000-00001F4F0000}"/>
    <cellStyle name="Note 8 2 3 4 2 2 4" xfId="25509" xr:uid="{00000000-0005-0000-0000-0000204F0000}"/>
    <cellStyle name="Note 8 2 3 4 2 3" xfId="25510" xr:uid="{00000000-0005-0000-0000-0000214F0000}"/>
    <cellStyle name="Note 8 2 3 4 2 4" xfId="25512" xr:uid="{00000000-0005-0000-0000-0000224F0000}"/>
    <cellStyle name="Note 8 2 3 4 2 5" xfId="25514" xr:uid="{00000000-0005-0000-0000-0000234F0000}"/>
    <cellStyle name="Note 8 2 3 4 3" xfId="25515" xr:uid="{00000000-0005-0000-0000-0000244F0000}"/>
    <cellStyle name="Note 8 2 3 4 3 2" xfId="25516" xr:uid="{00000000-0005-0000-0000-0000254F0000}"/>
    <cellStyle name="Note 8 2 3 4 3 3" xfId="25517" xr:uid="{00000000-0005-0000-0000-0000264F0000}"/>
    <cellStyle name="Note 8 2 3 4 3 4" xfId="25519" xr:uid="{00000000-0005-0000-0000-0000274F0000}"/>
    <cellStyle name="Note 8 2 3 4 4" xfId="19923" xr:uid="{00000000-0005-0000-0000-0000284F0000}"/>
    <cellStyle name="Note 8 2 3 4 5" xfId="20565" xr:uid="{00000000-0005-0000-0000-0000294F0000}"/>
    <cellStyle name="Note 8 2 3 4 6" xfId="20569" xr:uid="{00000000-0005-0000-0000-00002A4F0000}"/>
    <cellStyle name="Note 8 2 3 5" xfId="11904" xr:uid="{00000000-0005-0000-0000-00002B4F0000}"/>
    <cellStyle name="Note 8 2 3 5 2" xfId="25520" xr:uid="{00000000-0005-0000-0000-00002C4F0000}"/>
    <cellStyle name="Note 8 2 3 5 2 2" xfId="25521" xr:uid="{00000000-0005-0000-0000-00002D4F0000}"/>
    <cellStyle name="Note 8 2 3 5 2 3" xfId="25522" xr:uid="{00000000-0005-0000-0000-00002E4F0000}"/>
    <cellStyle name="Note 8 2 3 5 2 4" xfId="25524" xr:uid="{00000000-0005-0000-0000-00002F4F0000}"/>
    <cellStyle name="Note 8 2 3 5 3" xfId="25525" xr:uid="{00000000-0005-0000-0000-0000304F0000}"/>
    <cellStyle name="Note 8 2 3 5 4" xfId="25526" xr:uid="{00000000-0005-0000-0000-0000314F0000}"/>
    <cellStyle name="Note 8 2 3 5 5" xfId="17501" xr:uid="{00000000-0005-0000-0000-0000324F0000}"/>
    <cellStyle name="Note 8 2 3 6" xfId="11910" xr:uid="{00000000-0005-0000-0000-0000334F0000}"/>
    <cellStyle name="Note 8 2 3 6 2" xfId="25527" xr:uid="{00000000-0005-0000-0000-0000344F0000}"/>
    <cellStyle name="Note 8 2 3 6 3" xfId="25528" xr:uid="{00000000-0005-0000-0000-0000354F0000}"/>
    <cellStyle name="Note 8 2 3 6 4" xfId="25530" xr:uid="{00000000-0005-0000-0000-0000364F0000}"/>
    <cellStyle name="Note 8 2 3 7" xfId="23144" xr:uid="{00000000-0005-0000-0000-0000374F0000}"/>
    <cellStyle name="Note 8 2 3 8" xfId="23154" xr:uid="{00000000-0005-0000-0000-0000384F0000}"/>
    <cellStyle name="Note 8 2 3 9" xfId="23163" xr:uid="{00000000-0005-0000-0000-0000394F0000}"/>
    <cellStyle name="Note 8 2 4" xfId="11915" xr:uid="{00000000-0005-0000-0000-00003A4F0000}"/>
    <cellStyle name="Note 8 2 4 2" xfId="1698" xr:uid="{00000000-0005-0000-0000-00003B4F0000}"/>
    <cellStyle name="Note 8 2 4 2 2" xfId="11919" xr:uid="{00000000-0005-0000-0000-00003C4F0000}"/>
    <cellStyle name="Note 8 2 4 2 2 2" xfId="24037" xr:uid="{00000000-0005-0000-0000-00003D4F0000}"/>
    <cellStyle name="Note 8 2 4 2 2 2 2" xfId="25532" xr:uid="{00000000-0005-0000-0000-00003E4F0000}"/>
    <cellStyle name="Note 8 2 4 2 2 2 2 2" xfId="25533" xr:uid="{00000000-0005-0000-0000-00003F4F0000}"/>
    <cellStyle name="Note 8 2 4 2 2 2 2 3" xfId="25534" xr:uid="{00000000-0005-0000-0000-0000404F0000}"/>
    <cellStyle name="Note 8 2 4 2 2 2 2 4" xfId="25536" xr:uid="{00000000-0005-0000-0000-0000414F0000}"/>
    <cellStyle name="Note 8 2 4 2 2 2 3" xfId="25537" xr:uid="{00000000-0005-0000-0000-0000424F0000}"/>
    <cellStyle name="Note 8 2 4 2 2 2 4" xfId="25538" xr:uid="{00000000-0005-0000-0000-0000434F0000}"/>
    <cellStyle name="Note 8 2 4 2 2 2 5" xfId="25539" xr:uid="{00000000-0005-0000-0000-0000444F0000}"/>
    <cellStyle name="Note 8 2 4 2 2 3" xfId="24039" xr:uid="{00000000-0005-0000-0000-0000454F0000}"/>
    <cellStyle name="Note 8 2 4 2 2 3 2" xfId="16119" xr:uid="{00000000-0005-0000-0000-0000464F0000}"/>
    <cellStyle name="Note 8 2 4 2 2 3 3" xfId="16128" xr:uid="{00000000-0005-0000-0000-0000474F0000}"/>
    <cellStyle name="Note 8 2 4 2 2 3 4" xfId="16131" xr:uid="{00000000-0005-0000-0000-0000484F0000}"/>
    <cellStyle name="Note 8 2 4 2 2 4" xfId="4000" xr:uid="{00000000-0005-0000-0000-0000494F0000}"/>
    <cellStyle name="Note 8 2 4 2 2 5" xfId="4815" xr:uid="{00000000-0005-0000-0000-00004A4F0000}"/>
    <cellStyle name="Note 8 2 4 2 2 6" xfId="4824" xr:uid="{00000000-0005-0000-0000-00004B4F0000}"/>
    <cellStyle name="Note 8 2 4 2 3" xfId="11923" xr:uid="{00000000-0005-0000-0000-00004C4F0000}"/>
    <cellStyle name="Note 8 2 4 2 3 2" xfId="24063" xr:uid="{00000000-0005-0000-0000-00004D4F0000}"/>
    <cellStyle name="Note 8 2 4 2 3 2 2" xfId="25541" xr:uid="{00000000-0005-0000-0000-00004E4F0000}"/>
    <cellStyle name="Note 8 2 4 2 3 2 3" xfId="25542" xr:uid="{00000000-0005-0000-0000-00004F4F0000}"/>
    <cellStyle name="Note 8 2 4 2 3 2 4" xfId="25543" xr:uid="{00000000-0005-0000-0000-0000504F0000}"/>
    <cellStyle name="Note 8 2 4 2 3 3" xfId="25544" xr:uid="{00000000-0005-0000-0000-0000514F0000}"/>
    <cellStyle name="Note 8 2 4 2 3 4" xfId="25546" xr:uid="{00000000-0005-0000-0000-0000524F0000}"/>
    <cellStyle name="Note 8 2 4 2 3 5" xfId="25548" xr:uid="{00000000-0005-0000-0000-0000534F0000}"/>
    <cellStyle name="Note 8 2 4 2 4" xfId="11926" xr:uid="{00000000-0005-0000-0000-0000544F0000}"/>
    <cellStyle name="Note 8 2 4 2 4 2" xfId="20572" xr:uid="{00000000-0005-0000-0000-0000554F0000}"/>
    <cellStyle name="Note 8 2 4 2 4 3" xfId="20575" xr:uid="{00000000-0005-0000-0000-0000564F0000}"/>
    <cellStyle name="Note 8 2 4 2 4 4" xfId="20579" xr:uid="{00000000-0005-0000-0000-0000574F0000}"/>
    <cellStyle name="Note 8 2 4 2 5" xfId="19654" xr:uid="{00000000-0005-0000-0000-0000584F0000}"/>
    <cellStyle name="Note 8 2 4 2 6" xfId="19661" xr:uid="{00000000-0005-0000-0000-0000594F0000}"/>
    <cellStyle name="Note 8 2 4 2 7" xfId="20583" xr:uid="{00000000-0005-0000-0000-00005A4F0000}"/>
    <cellStyle name="Note 8 2 4 3" xfId="9993" xr:uid="{00000000-0005-0000-0000-00005B4F0000}"/>
    <cellStyle name="Note 8 2 4 3 2" xfId="25550" xr:uid="{00000000-0005-0000-0000-00005C4F0000}"/>
    <cellStyle name="Note 8 2 4 3 2 2" xfId="24091" xr:uid="{00000000-0005-0000-0000-00005D4F0000}"/>
    <cellStyle name="Note 8 2 4 3 2 2 2" xfId="25551" xr:uid="{00000000-0005-0000-0000-00005E4F0000}"/>
    <cellStyle name="Note 8 2 4 3 2 2 3" xfId="25552" xr:uid="{00000000-0005-0000-0000-00005F4F0000}"/>
    <cellStyle name="Note 8 2 4 3 2 2 4" xfId="25553" xr:uid="{00000000-0005-0000-0000-0000604F0000}"/>
    <cellStyle name="Note 8 2 4 3 2 3" xfId="25554" xr:uid="{00000000-0005-0000-0000-0000614F0000}"/>
    <cellStyle name="Note 8 2 4 3 2 4" xfId="25556" xr:uid="{00000000-0005-0000-0000-0000624F0000}"/>
    <cellStyle name="Note 8 2 4 3 2 5" xfId="25558" xr:uid="{00000000-0005-0000-0000-0000634F0000}"/>
    <cellStyle name="Note 8 2 4 3 3" xfId="25560" xr:uid="{00000000-0005-0000-0000-0000644F0000}"/>
    <cellStyle name="Note 8 2 4 3 3 2" xfId="25561" xr:uid="{00000000-0005-0000-0000-0000654F0000}"/>
    <cellStyle name="Note 8 2 4 3 3 3" xfId="25562" xr:uid="{00000000-0005-0000-0000-0000664F0000}"/>
    <cellStyle name="Note 8 2 4 3 3 4" xfId="25564" xr:uid="{00000000-0005-0000-0000-0000674F0000}"/>
    <cellStyle name="Note 8 2 4 3 4" xfId="19937" xr:uid="{00000000-0005-0000-0000-0000684F0000}"/>
    <cellStyle name="Note 8 2 4 3 5" xfId="20586" xr:uid="{00000000-0005-0000-0000-0000694F0000}"/>
    <cellStyle name="Note 8 2 4 3 6" xfId="20590" xr:uid="{00000000-0005-0000-0000-00006A4F0000}"/>
    <cellStyle name="Note 8 2 4 4" xfId="10000" xr:uid="{00000000-0005-0000-0000-00006B4F0000}"/>
    <cellStyle name="Note 8 2 4 4 2" xfId="25566" xr:uid="{00000000-0005-0000-0000-00006C4F0000}"/>
    <cellStyle name="Note 8 2 4 4 2 2" xfId="25567" xr:uid="{00000000-0005-0000-0000-00006D4F0000}"/>
    <cellStyle name="Note 8 2 4 4 2 3" xfId="25568" xr:uid="{00000000-0005-0000-0000-00006E4F0000}"/>
    <cellStyle name="Note 8 2 4 4 2 4" xfId="25570" xr:uid="{00000000-0005-0000-0000-00006F4F0000}"/>
    <cellStyle name="Note 8 2 4 4 3" xfId="25572" xr:uid="{00000000-0005-0000-0000-0000704F0000}"/>
    <cellStyle name="Note 8 2 4 4 4" xfId="25573" xr:uid="{00000000-0005-0000-0000-0000714F0000}"/>
    <cellStyle name="Note 8 2 4 4 5" xfId="25574" xr:uid="{00000000-0005-0000-0000-0000724F0000}"/>
    <cellStyle name="Note 8 2 4 5" xfId="11934" xr:uid="{00000000-0005-0000-0000-0000734F0000}"/>
    <cellStyle name="Note 8 2 4 5 2" xfId="25576" xr:uid="{00000000-0005-0000-0000-0000744F0000}"/>
    <cellStyle name="Note 8 2 4 5 3" xfId="25577" xr:uid="{00000000-0005-0000-0000-0000754F0000}"/>
    <cellStyle name="Note 8 2 4 5 4" xfId="25578" xr:uid="{00000000-0005-0000-0000-0000764F0000}"/>
    <cellStyle name="Note 8 2 4 6" xfId="25579" xr:uid="{00000000-0005-0000-0000-0000774F0000}"/>
    <cellStyle name="Note 8 2 4 7" xfId="23178" xr:uid="{00000000-0005-0000-0000-0000784F0000}"/>
    <cellStyle name="Note 8 2 4 8" xfId="23186" xr:uid="{00000000-0005-0000-0000-0000794F0000}"/>
    <cellStyle name="Note 8 2 5" xfId="4503" xr:uid="{00000000-0005-0000-0000-00007A4F0000}"/>
    <cellStyle name="Note 8 2 5 2" xfId="4520" xr:uid="{00000000-0005-0000-0000-00007B4F0000}"/>
    <cellStyle name="Note 8 2 5 2 2" xfId="25580" xr:uid="{00000000-0005-0000-0000-00007C4F0000}"/>
    <cellStyle name="Note 8 2 5 2 2 2" xfId="24160" xr:uid="{00000000-0005-0000-0000-00007D4F0000}"/>
    <cellStyle name="Note 8 2 5 2 2 2 2" xfId="25581" xr:uid="{00000000-0005-0000-0000-00007E4F0000}"/>
    <cellStyle name="Note 8 2 5 2 2 2 3" xfId="25582" xr:uid="{00000000-0005-0000-0000-00007F4F0000}"/>
    <cellStyle name="Note 8 2 5 2 2 2 4" xfId="25583" xr:uid="{00000000-0005-0000-0000-0000804F0000}"/>
    <cellStyle name="Note 8 2 5 2 2 3" xfId="24162" xr:uid="{00000000-0005-0000-0000-0000814F0000}"/>
    <cellStyle name="Note 8 2 5 2 2 4" xfId="25585" xr:uid="{00000000-0005-0000-0000-0000824F0000}"/>
    <cellStyle name="Note 8 2 5 2 2 5" xfId="25587" xr:uid="{00000000-0005-0000-0000-0000834F0000}"/>
    <cellStyle name="Note 8 2 5 2 3" xfId="25588" xr:uid="{00000000-0005-0000-0000-0000844F0000}"/>
    <cellStyle name="Note 8 2 5 2 3 2" xfId="24176" xr:uid="{00000000-0005-0000-0000-0000854F0000}"/>
    <cellStyle name="Note 8 2 5 2 3 3" xfId="25589" xr:uid="{00000000-0005-0000-0000-0000864F0000}"/>
    <cellStyle name="Note 8 2 5 2 3 4" xfId="25591" xr:uid="{00000000-0005-0000-0000-0000874F0000}"/>
    <cellStyle name="Note 8 2 5 2 4" xfId="4556" xr:uid="{00000000-0005-0000-0000-0000884F0000}"/>
    <cellStyle name="Note 8 2 5 2 5" xfId="4565" xr:uid="{00000000-0005-0000-0000-0000894F0000}"/>
    <cellStyle name="Note 8 2 5 2 6" xfId="4574" xr:uid="{00000000-0005-0000-0000-00008A4F0000}"/>
    <cellStyle name="Note 8 2 5 3" xfId="4588" xr:uid="{00000000-0005-0000-0000-00008B4F0000}"/>
    <cellStyle name="Note 8 2 5 3 2" xfId="25593" xr:uid="{00000000-0005-0000-0000-00008C4F0000}"/>
    <cellStyle name="Note 8 2 5 3 2 2" xfId="24199" xr:uid="{00000000-0005-0000-0000-00008D4F0000}"/>
    <cellStyle name="Note 8 2 5 3 2 3" xfId="25594" xr:uid="{00000000-0005-0000-0000-00008E4F0000}"/>
    <cellStyle name="Note 8 2 5 3 2 4" xfId="25596" xr:uid="{00000000-0005-0000-0000-00008F4F0000}"/>
    <cellStyle name="Note 8 2 5 3 3" xfId="25598" xr:uid="{00000000-0005-0000-0000-0000904F0000}"/>
    <cellStyle name="Note 8 2 5 3 4" xfId="4604" xr:uid="{00000000-0005-0000-0000-0000914F0000}"/>
    <cellStyle name="Note 8 2 5 3 5" xfId="214" xr:uid="{00000000-0005-0000-0000-0000924F0000}"/>
    <cellStyle name="Note 8 2 5 4" xfId="4611" xr:uid="{00000000-0005-0000-0000-0000934F0000}"/>
    <cellStyle name="Note 8 2 5 4 2" xfId="23404" xr:uid="{00000000-0005-0000-0000-0000944F0000}"/>
    <cellStyle name="Note 8 2 5 4 3" xfId="3901" xr:uid="{00000000-0005-0000-0000-0000954F0000}"/>
    <cellStyle name="Note 8 2 5 4 4" xfId="2462" xr:uid="{00000000-0005-0000-0000-0000964F0000}"/>
    <cellStyle name="Note 8 2 5 5" xfId="4619" xr:uid="{00000000-0005-0000-0000-0000974F0000}"/>
    <cellStyle name="Note 8 2 5 6" xfId="4627" xr:uid="{00000000-0005-0000-0000-0000984F0000}"/>
    <cellStyle name="Note 8 2 5 7" xfId="23198" xr:uid="{00000000-0005-0000-0000-0000994F0000}"/>
    <cellStyle name="Note 8 2 6" xfId="4654" xr:uid="{00000000-0005-0000-0000-00009A4F0000}"/>
    <cellStyle name="Note 8 2 6 2" xfId="25599" xr:uid="{00000000-0005-0000-0000-00009B4F0000}"/>
    <cellStyle name="Note 8 2 6 2 2" xfId="25601" xr:uid="{00000000-0005-0000-0000-00009C4F0000}"/>
    <cellStyle name="Note 8 2 6 2 2 2" xfId="3905" xr:uid="{00000000-0005-0000-0000-00009D4F0000}"/>
    <cellStyle name="Note 8 2 6 2 2 3" xfId="2467" xr:uid="{00000000-0005-0000-0000-00009E4F0000}"/>
    <cellStyle name="Note 8 2 6 2 2 4" xfId="25605" xr:uid="{00000000-0005-0000-0000-00009F4F0000}"/>
    <cellStyle name="Note 8 2 6 2 3" xfId="25607" xr:uid="{00000000-0005-0000-0000-0000A04F0000}"/>
    <cellStyle name="Note 8 2 6 2 4" xfId="4667" xr:uid="{00000000-0005-0000-0000-0000A14F0000}"/>
    <cellStyle name="Note 8 2 6 2 5" xfId="28" xr:uid="{00000000-0005-0000-0000-0000A24F0000}"/>
    <cellStyle name="Note 8 2 6 3" xfId="25608" xr:uid="{00000000-0005-0000-0000-0000A34F0000}"/>
    <cellStyle name="Note 8 2 6 3 2" xfId="25610" xr:uid="{00000000-0005-0000-0000-0000A44F0000}"/>
    <cellStyle name="Note 8 2 6 3 3" xfId="25611" xr:uid="{00000000-0005-0000-0000-0000A54F0000}"/>
    <cellStyle name="Note 8 2 6 3 4" xfId="25612" xr:uid="{00000000-0005-0000-0000-0000A64F0000}"/>
    <cellStyle name="Note 8 2 6 4" xfId="25613" xr:uid="{00000000-0005-0000-0000-0000A74F0000}"/>
    <cellStyle name="Note 8 2 6 5" xfId="25614" xr:uid="{00000000-0005-0000-0000-0000A84F0000}"/>
    <cellStyle name="Note 8 2 6 6" xfId="25615" xr:uid="{00000000-0005-0000-0000-0000A94F0000}"/>
    <cellStyle name="Note 8 2 7" xfId="4714" xr:uid="{00000000-0005-0000-0000-0000AA4F0000}"/>
    <cellStyle name="Note 8 2 7 2" xfId="4717" xr:uid="{00000000-0005-0000-0000-0000AB4F0000}"/>
    <cellStyle name="Note 8 2 7 2 2" xfId="25616" xr:uid="{00000000-0005-0000-0000-0000AC4F0000}"/>
    <cellStyle name="Note 8 2 7 2 3" xfId="25617" xr:uid="{00000000-0005-0000-0000-0000AD4F0000}"/>
    <cellStyle name="Note 8 2 7 2 4" xfId="25618" xr:uid="{00000000-0005-0000-0000-0000AE4F0000}"/>
    <cellStyle name="Note 8 2 7 3" xfId="794" xr:uid="{00000000-0005-0000-0000-0000AF4F0000}"/>
    <cellStyle name="Note 8 2 7 4" xfId="806" xr:uid="{00000000-0005-0000-0000-0000B04F0000}"/>
    <cellStyle name="Note 8 2 7 5" xfId="25619" xr:uid="{00000000-0005-0000-0000-0000B14F0000}"/>
    <cellStyle name="Note 8 2 8" xfId="1894" xr:uid="{00000000-0005-0000-0000-0000B24F0000}"/>
    <cellStyle name="Note 8 2 8 2" xfId="25620" xr:uid="{00000000-0005-0000-0000-0000B34F0000}"/>
    <cellStyle name="Note 8 2 8 3" xfId="25621" xr:uid="{00000000-0005-0000-0000-0000B44F0000}"/>
    <cellStyle name="Note 8 2 8 4" xfId="3207" xr:uid="{00000000-0005-0000-0000-0000B54F0000}"/>
    <cellStyle name="Note 8 2 9" xfId="4741" xr:uid="{00000000-0005-0000-0000-0000B64F0000}"/>
    <cellStyle name="Note 8 3" xfId="25622" xr:uid="{00000000-0005-0000-0000-0000B74F0000}"/>
    <cellStyle name="Note 8 3 2" xfId="25623" xr:uid="{00000000-0005-0000-0000-0000B84F0000}"/>
    <cellStyle name="Note 8 3 2 2" xfId="19943" xr:uid="{00000000-0005-0000-0000-0000B94F0000}"/>
    <cellStyle name="Note 8 3 2 2 2" xfId="18706" xr:uid="{00000000-0005-0000-0000-0000BA4F0000}"/>
    <cellStyle name="Note 8 3 2 2 2 2" xfId="19173" xr:uid="{00000000-0005-0000-0000-0000BB4F0000}"/>
    <cellStyle name="Note 8 3 2 2 2 2 2" xfId="25625" xr:uid="{00000000-0005-0000-0000-0000BC4F0000}"/>
    <cellStyle name="Note 8 3 2 2 2 2 2 2" xfId="6601" xr:uid="{00000000-0005-0000-0000-0000BD4F0000}"/>
    <cellStyle name="Note 8 3 2 2 2 2 2 3" xfId="25627" xr:uid="{00000000-0005-0000-0000-0000BE4F0000}"/>
    <cellStyle name="Note 8 3 2 2 2 2 2 4" xfId="25628" xr:uid="{00000000-0005-0000-0000-0000BF4F0000}"/>
    <cellStyle name="Note 8 3 2 2 2 2 3" xfId="25630" xr:uid="{00000000-0005-0000-0000-0000C04F0000}"/>
    <cellStyle name="Note 8 3 2 2 2 2 4" xfId="25632" xr:uid="{00000000-0005-0000-0000-0000C14F0000}"/>
    <cellStyle name="Note 8 3 2 2 2 2 5" xfId="25633" xr:uid="{00000000-0005-0000-0000-0000C24F0000}"/>
    <cellStyle name="Note 8 3 2 2 2 3" xfId="19178" xr:uid="{00000000-0005-0000-0000-0000C34F0000}"/>
    <cellStyle name="Note 8 3 2 2 2 3 2" xfId="25634" xr:uid="{00000000-0005-0000-0000-0000C44F0000}"/>
    <cellStyle name="Note 8 3 2 2 2 3 3" xfId="20" xr:uid="{00000000-0005-0000-0000-0000C54F0000}"/>
    <cellStyle name="Note 8 3 2 2 2 3 4" xfId="178" xr:uid="{00000000-0005-0000-0000-0000C64F0000}"/>
    <cellStyle name="Note 8 3 2 2 2 4" xfId="19185" xr:uid="{00000000-0005-0000-0000-0000C74F0000}"/>
    <cellStyle name="Note 8 3 2 2 2 5" xfId="25637" xr:uid="{00000000-0005-0000-0000-0000C84F0000}"/>
    <cellStyle name="Note 8 3 2 2 2 6" xfId="25639" xr:uid="{00000000-0005-0000-0000-0000C94F0000}"/>
    <cellStyle name="Note 8 3 2 2 3" xfId="18712" xr:uid="{00000000-0005-0000-0000-0000CA4F0000}"/>
    <cellStyle name="Note 8 3 2 2 3 2" xfId="25642" xr:uid="{00000000-0005-0000-0000-0000CB4F0000}"/>
    <cellStyle name="Note 8 3 2 2 3 2 2" xfId="25643" xr:uid="{00000000-0005-0000-0000-0000CC4F0000}"/>
    <cellStyle name="Note 8 3 2 2 3 2 3" xfId="25644" xr:uid="{00000000-0005-0000-0000-0000CD4F0000}"/>
    <cellStyle name="Note 8 3 2 2 3 2 4" xfId="25645" xr:uid="{00000000-0005-0000-0000-0000CE4F0000}"/>
    <cellStyle name="Note 8 3 2 2 3 3" xfId="25648" xr:uid="{00000000-0005-0000-0000-0000CF4F0000}"/>
    <cellStyle name="Note 8 3 2 2 3 4" xfId="25652" xr:uid="{00000000-0005-0000-0000-0000D04F0000}"/>
    <cellStyle name="Note 8 3 2 2 3 5" xfId="25654" xr:uid="{00000000-0005-0000-0000-0000D14F0000}"/>
    <cellStyle name="Note 8 3 2 2 4" xfId="19188" xr:uid="{00000000-0005-0000-0000-0000D24F0000}"/>
    <cellStyle name="Note 8 3 2 2 4 2" xfId="12820" xr:uid="{00000000-0005-0000-0000-0000D34F0000}"/>
    <cellStyle name="Note 8 3 2 2 4 3" xfId="19977" xr:uid="{00000000-0005-0000-0000-0000D44F0000}"/>
    <cellStyle name="Note 8 3 2 2 4 4" xfId="19982" xr:uid="{00000000-0005-0000-0000-0000D54F0000}"/>
    <cellStyle name="Note 8 3 2 2 5" xfId="19194" xr:uid="{00000000-0005-0000-0000-0000D64F0000}"/>
    <cellStyle name="Note 8 3 2 2 6" xfId="19989" xr:uid="{00000000-0005-0000-0000-0000D74F0000}"/>
    <cellStyle name="Note 8 3 2 2 7" xfId="19993" xr:uid="{00000000-0005-0000-0000-0000D84F0000}"/>
    <cellStyle name="Note 8 3 2 3" xfId="19995" xr:uid="{00000000-0005-0000-0000-0000D94F0000}"/>
    <cellStyle name="Note 8 3 2 3 2" xfId="18738" xr:uid="{00000000-0005-0000-0000-0000DA4F0000}"/>
    <cellStyle name="Note 8 3 2 3 2 2" xfId="25656" xr:uid="{00000000-0005-0000-0000-0000DB4F0000}"/>
    <cellStyle name="Note 8 3 2 3 2 2 2" xfId="13010" xr:uid="{00000000-0005-0000-0000-0000DC4F0000}"/>
    <cellStyle name="Note 8 3 2 3 2 2 3" xfId="19793" xr:uid="{00000000-0005-0000-0000-0000DD4F0000}"/>
    <cellStyle name="Note 8 3 2 3 2 2 4" xfId="25657" xr:uid="{00000000-0005-0000-0000-0000DE4F0000}"/>
    <cellStyle name="Note 8 3 2 3 2 3" xfId="25659" xr:uid="{00000000-0005-0000-0000-0000DF4F0000}"/>
    <cellStyle name="Note 8 3 2 3 2 4" xfId="25662" xr:uid="{00000000-0005-0000-0000-0000E04F0000}"/>
    <cellStyle name="Note 8 3 2 3 2 5" xfId="25664" xr:uid="{00000000-0005-0000-0000-0000E14F0000}"/>
    <cellStyle name="Note 8 3 2 3 3" xfId="19216" xr:uid="{00000000-0005-0000-0000-0000E24F0000}"/>
    <cellStyle name="Note 8 3 2 3 3 2" xfId="25666" xr:uid="{00000000-0005-0000-0000-0000E34F0000}"/>
    <cellStyle name="Note 8 3 2 3 3 3" xfId="25668" xr:uid="{00000000-0005-0000-0000-0000E44F0000}"/>
    <cellStyle name="Note 8 3 2 3 3 4" xfId="25670" xr:uid="{00000000-0005-0000-0000-0000E54F0000}"/>
    <cellStyle name="Note 8 3 2 3 4" xfId="19221" xr:uid="{00000000-0005-0000-0000-0000E64F0000}"/>
    <cellStyle name="Note 8 3 2 3 5" xfId="20020" xr:uid="{00000000-0005-0000-0000-0000E74F0000}"/>
    <cellStyle name="Note 8 3 2 3 6" xfId="20026" xr:uid="{00000000-0005-0000-0000-0000E84F0000}"/>
    <cellStyle name="Note 8 3 2 4" xfId="22202" xr:uid="{00000000-0005-0000-0000-0000E94F0000}"/>
    <cellStyle name="Note 8 3 2 4 2" xfId="19236" xr:uid="{00000000-0005-0000-0000-0000EA4F0000}"/>
    <cellStyle name="Note 8 3 2 4 2 2" xfId="25672" xr:uid="{00000000-0005-0000-0000-0000EB4F0000}"/>
    <cellStyle name="Note 8 3 2 4 2 3" xfId="25674" xr:uid="{00000000-0005-0000-0000-0000EC4F0000}"/>
    <cellStyle name="Note 8 3 2 4 2 4" xfId="25676" xr:uid="{00000000-0005-0000-0000-0000ED4F0000}"/>
    <cellStyle name="Note 8 3 2 4 3" xfId="19240" xr:uid="{00000000-0005-0000-0000-0000EE4F0000}"/>
    <cellStyle name="Note 8 3 2 4 4" xfId="20037" xr:uid="{00000000-0005-0000-0000-0000EF4F0000}"/>
    <cellStyle name="Note 8 3 2 4 5" xfId="20041" xr:uid="{00000000-0005-0000-0000-0000F04F0000}"/>
    <cellStyle name="Note 8 3 2 5" xfId="22366" xr:uid="{00000000-0005-0000-0000-0000F14F0000}"/>
    <cellStyle name="Note 8 3 2 5 2" xfId="17118" xr:uid="{00000000-0005-0000-0000-0000F24F0000}"/>
    <cellStyle name="Note 8 3 2 5 3" xfId="23440" xr:uid="{00000000-0005-0000-0000-0000F34F0000}"/>
    <cellStyle name="Note 8 3 2 5 4" xfId="23442" xr:uid="{00000000-0005-0000-0000-0000F44F0000}"/>
    <cellStyle name="Note 8 3 2 6" xfId="22369" xr:uid="{00000000-0005-0000-0000-0000F54F0000}"/>
    <cellStyle name="Note 8 3 2 7" xfId="23857" xr:uid="{00000000-0005-0000-0000-0000F64F0000}"/>
    <cellStyle name="Note 8 3 2 8" xfId="23880" xr:uid="{00000000-0005-0000-0000-0000F74F0000}"/>
    <cellStyle name="Note 8 3 3" xfId="11942" xr:uid="{00000000-0005-0000-0000-0000F84F0000}"/>
    <cellStyle name="Note 8 3 3 2" xfId="10501" xr:uid="{00000000-0005-0000-0000-0000F94F0000}"/>
    <cellStyle name="Note 8 3 3 2 2" xfId="11946" xr:uid="{00000000-0005-0000-0000-0000FA4F0000}"/>
    <cellStyle name="Note 8 3 3 2 2 2" xfId="25678" xr:uid="{00000000-0005-0000-0000-0000FB4F0000}"/>
    <cellStyle name="Note 8 3 3 2 2 2 2" xfId="25680" xr:uid="{00000000-0005-0000-0000-0000FC4F0000}"/>
    <cellStyle name="Note 8 3 3 2 2 2 3" xfId="25682" xr:uid="{00000000-0005-0000-0000-0000FD4F0000}"/>
    <cellStyle name="Note 8 3 3 2 2 2 4" xfId="25684" xr:uid="{00000000-0005-0000-0000-0000FE4F0000}"/>
    <cellStyle name="Note 8 3 3 2 2 3" xfId="25686" xr:uid="{00000000-0005-0000-0000-0000FF4F0000}"/>
    <cellStyle name="Note 8 3 3 2 2 4" xfId="25689" xr:uid="{00000000-0005-0000-0000-000000500000}"/>
    <cellStyle name="Note 8 3 3 2 2 5" xfId="25692" xr:uid="{00000000-0005-0000-0000-000001500000}"/>
    <cellStyle name="Note 8 3 3 2 3" xfId="7222" xr:uid="{00000000-0005-0000-0000-000002500000}"/>
    <cellStyle name="Note 8 3 3 2 3 2" xfId="24005" xr:uid="{00000000-0005-0000-0000-000003500000}"/>
    <cellStyle name="Note 8 3 3 2 3 3" xfId="24008" xr:uid="{00000000-0005-0000-0000-000004500000}"/>
    <cellStyle name="Note 8 3 3 2 3 4" xfId="24012" xr:uid="{00000000-0005-0000-0000-000005500000}"/>
    <cellStyle name="Note 8 3 3 2 4" xfId="7228" xr:uid="{00000000-0005-0000-0000-000006500000}"/>
    <cellStyle name="Note 8 3 3 2 5" xfId="19030" xr:uid="{00000000-0005-0000-0000-000007500000}"/>
    <cellStyle name="Note 8 3 3 2 6" xfId="19042" xr:uid="{00000000-0005-0000-0000-000008500000}"/>
    <cellStyle name="Note 8 3 3 3" xfId="10506" xr:uid="{00000000-0005-0000-0000-000009500000}"/>
    <cellStyle name="Note 8 3 3 3 2" xfId="19268" xr:uid="{00000000-0005-0000-0000-00000A500000}"/>
    <cellStyle name="Note 8 3 3 3 2 2" xfId="25694" xr:uid="{00000000-0005-0000-0000-00000B500000}"/>
    <cellStyle name="Note 8 3 3 3 2 3" xfId="25696" xr:uid="{00000000-0005-0000-0000-00000C500000}"/>
    <cellStyle name="Note 8 3 3 3 2 4" xfId="25699" xr:uid="{00000000-0005-0000-0000-00000D500000}"/>
    <cellStyle name="Note 8 3 3 3 3" xfId="19271" xr:uid="{00000000-0005-0000-0000-00000E500000}"/>
    <cellStyle name="Note 8 3 3 3 4" xfId="19057" xr:uid="{00000000-0005-0000-0000-00000F500000}"/>
    <cellStyle name="Note 8 3 3 3 5" xfId="19077" xr:uid="{00000000-0005-0000-0000-000010500000}"/>
    <cellStyle name="Note 8 3 3 4" xfId="11951" xr:uid="{00000000-0005-0000-0000-000011500000}"/>
    <cellStyle name="Note 8 3 3 4 2" xfId="19277" xr:uid="{00000000-0005-0000-0000-000012500000}"/>
    <cellStyle name="Note 8 3 3 4 3" xfId="25700" xr:uid="{00000000-0005-0000-0000-000013500000}"/>
    <cellStyle name="Note 8 3 3 4 4" xfId="25701" xr:uid="{00000000-0005-0000-0000-000014500000}"/>
    <cellStyle name="Note 8 3 3 5" xfId="11956" xr:uid="{00000000-0005-0000-0000-000015500000}"/>
    <cellStyle name="Note 8 3 3 6" xfId="25703" xr:uid="{00000000-0005-0000-0000-000016500000}"/>
    <cellStyle name="Note 8 3 3 7" xfId="23918" xr:uid="{00000000-0005-0000-0000-000017500000}"/>
    <cellStyle name="Note 8 3 4" xfId="11961" xr:uid="{00000000-0005-0000-0000-000018500000}"/>
    <cellStyle name="Note 8 3 4 2" xfId="10086" xr:uid="{00000000-0005-0000-0000-000019500000}"/>
    <cellStyle name="Note 8 3 4 2 2" xfId="19291" xr:uid="{00000000-0005-0000-0000-00001A500000}"/>
    <cellStyle name="Note 8 3 4 2 2 2" xfId="24375" xr:uid="{00000000-0005-0000-0000-00001B500000}"/>
    <cellStyle name="Note 8 3 4 2 2 3" xfId="25705" xr:uid="{00000000-0005-0000-0000-00001C500000}"/>
    <cellStyle name="Note 8 3 4 2 2 4" xfId="25708" xr:uid="{00000000-0005-0000-0000-00001D500000}"/>
    <cellStyle name="Note 8 3 4 2 3" xfId="19295" xr:uid="{00000000-0005-0000-0000-00001E500000}"/>
    <cellStyle name="Note 8 3 4 2 4" xfId="19582" xr:uid="{00000000-0005-0000-0000-00001F500000}"/>
    <cellStyle name="Note 8 3 4 2 5" xfId="19739" xr:uid="{00000000-0005-0000-0000-000020500000}"/>
    <cellStyle name="Note 8 3 4 3" xfId="10096" xr:uid="{00000000-0005-0000-0000-000021500000}"/>
    <cellStyle name="Note 8 3 4 3 2" xfId="19304" xr:uid="{00000000-0005-0000-0000-000022500000}"/>
    <cellStyle name="Note 8 3 4 3 3" xfId="25710" xr:uid="{00000000-0005-0000-0000-000023500000}"/>
    <cellStyle name="Note 8 3 4 3 4" xfId="25711" xr:uid="{00000000-0005-0000-0000-000024500000}"/>
    <cellStyle name="Note 8 3 4 4" xfId="11969" xr:uid="{00000000-0005-0000-0000-000025500000}"/>
    <cellStyle name="Note 8 3 4 5" xfId="19590" xr:uid="{00000000-0005-0000-0000-000026500000}"/>
    <cellStyle name="Note 8 3 4 6" xfId="25713" xr:uid="{00000000-0005-0000-0000-000027500000}"/>
    <cellStyle name="Note 8 3 5" xfId="3389" xr:uid="{00000000-0005-0000-0000-000028500000}"/>
    <cellStyle name="Note 8 3 5 2" xfId="3838" xr:uid="{00000000-0005-0000-0000-000029500000}"/>
    <cellStyle name="Note 8 3 5 2 2" xfId="472" xr:uid="{00000000-0005-0000-0000-00002A500000}"/>
    <cellStyle name="Note 8 3 5 2 3" xfId="25714" xr:uid="{00000000-0005-0000-0000-00002B500000}"/>
    <cellStyle name="Note 8 3 5 2 4" xfId="546" xr:uid="{00000000-0005-0000-0000-00002C500000}"/>
    <cellStyle name="Note 8 3 5 3" xfId="1490" xr:uid="{00000000-0005-0000-0000-00002D500000}"/>
    <cellStyle name="Note 8 3 5 4" xfId="1582" xr:uid="{00000000-0005-0000-0000-00002E500000}"/>
    <cellStyle name="Note 8 3 5 5" xfId="25716" xr:uid="{00000000-0005-0000-0000-00002F500000}"/>
    <cellStyle name="Note 8 3 6" xfId="3403" xr:uid="{00000000-0005-0000-0000-000030500000}"/>
    <cellStyle name="Note 8 3 6 2" xfId="22011" xr:uid="{00000000-0005-0000-0000-000031500000}"/>
    <cellStyle name="Note 8 3 6 3" xfId="22013" xr:uid="{00000000-0005-0000-0000-000032500000}"/>
    <cellStyle name="Note 8 3 6 4" xfId="25718" xr:uid="{00000000-0005-0000-0000-000033500000}"/>
    <cellStyle name="Note 8 3 7" xfId="4773" xr:uid="{00000000-0005-0000-0000-000034500000}"/>
    <cellStyle name="Note 8 3 8" xfId="294" xr:uid="{00000000-0005-0000-0000-000035500000}"/>
    <cellStyle name="Note 8 3 9" xfId="114" xr:uid="{00000000-0005-0000-0000-000036500000}"/>
    <cellStyle name="Note 8 4" xfId="25719" xr:uid="{00000000-0005-0000-0000-000037500000}"/>
    <cellStyle name="Note 8 4 2" xfId="869" xr:uid="{00000000-0005-0000-0000-000038500000}"/>
    <cellStyle name="Note 8 4 2 2" xfId="889" xr:uid="{00000000-0005-0000-0000-000039500000}"/>
    <cellStyle name="Note 8 4 2 2 2" xfId="17990" xr:uid="{00000000-0005-0000-0000-00003A500000}"/>
    <cellStyle name="Note 8 4 2 2 2 2" xfId="19360" xr:uid="{00000000-0005-0000-0000-00003B500000}"/>
    <cellStyle name="Note 8 4 2 2 2 2 2" xfId="25720" xr:uid="{00000000-0005-0000-0000-00003C500000}"/>
    <cellStyle name="Note 8 4 2 2 2 2 2 2" xfId="7345" xr:uid="{00000000-0005-0000-0000-00003D500000}"/>
    <cellStyle name="Note 8 4 2 2 2 2 2 3" xfId="7348" xr:uid="{00000000-0005-0000-0000-00003E500000}"/>
    <cellStyle name="Note 8 4 2 2 2 2 2 4" xfId="25721" xr:uid="{00000000-0005-0000-0000-00003F500000}"/>
    <cellStyle name="Note 8 4 2 2 2 2 3" xfId="25722" xr:uid="{00000000-0005-0000-0000-000040500000}"/>
    <cellStyle name="Note 8 4 2 2 2 2 4" xfId="25723" xr:uid="{00000000-0005-0000-0000-000041500000}"/>
    <cellStyle name="Note 8 4 2 2 2 2 5" xfId="25724" xr:uid="{00000000-0005-0000-0000-000042500000}"/>
    <cellStyle name="Note 8 4 2 2 2 3" xfId="19363" xr:uid="{00000000-0005-0000-0000-000043500000}"/>
    <cellStyle name="Note 8 4 2 2 2 3 2" xfId="14381" xr:uid="{00000000-0005-0000-0000-000044500000}"/>
    <cellStyle name="Note 8 4 2 2 2 3 3" xfId="25725" xr:uid="{00000000-0005-0000-0000-000045500000}"/>
    <cellStyle name="Note 8 4 2 2 2 3 4" xfId="25726" xr:uid="{00000000-0005-0000-0000-000046500000}"/>
    <cellStyle name="Note 8 4 2 2 2 4" xfId="19368" xr:uid="{00000000-0005-0000-0000-000047500000}"/>
    <cellStyle name="Note 8 4 2 2 2 5" xfId="25728" xr:uid="{00000000-0005-0000-0000-000048500000}"/>
    <cellStyle name="Note 8 4 2 2 2 6" xfId="25730" xr:uid="{00000000-0005-0000-0000-000049500000}"/>
    <cellStyle name="Note 8 4 2 2 3" xfId="17998" xr:uid="{00000000-0005-0000-0000-00004A500000}"/>
    <cellStyle name="Note 8 4 2 2 3 2" xfId="25731" xr:uid="{00000000-0005-0000-0000-00004B500000}"/>
    <cellStyle name="Note 8 4 2 2 3 2 2" xfId="25732" xr:uid="{00000000-0005-0000-0000-00004C500000}"/>
    <cellStyle name="Note 8 4 2 2 3 2 3" xfId="25733" xr:uid="{00000000-0005-0000-0000-00004D500000}"/>
    <cellStyle name="Note 8 4 2 2 3 2 4" xfId="25734" xr:uid="{00000000-0005-0000-0000-00004E500000}"/>
    <cellStyle name="Note 8 4 2 2 3 3" xfId="25735" xr:uid="{00000000-0005-0000-0000-00004F500000}"/>
    <cellStyle name="Note 8 4 2 2 3 4" xfId="25737" xr:uid="{00000000-0005-0000-0000-000050500000}"/>
    <cellStyle name="Note 8 4 2 2 3 5" xfId="25739" xr:uid="{00000000-0005-0000-0000-000051500000}"/>
    <cellStyle name="Note 8 4 2 2 4" xfId="18509" xr:uid="{00000000-0005-0000-0000-000052500000}"/>
    <cellStyle name="Note 8 4 2 2 4 2" xfId="20609" xr:uid="{00000000-0005-0000-0000-000053500000}"/>
    <cellStyle name="Note 8 4 2 2 4 3" xfId="20611" xr:uid="{00000000-0005-0000-0000-000054500000}"/>
    <cellStyle name="Note 8 4 2 2 4 4" xfId="20614" xr:uid="{00000000-0005-0000-0000-000055500000}"/>
    <cellStyle name="Note 8 4 2 2 5" xfId="18517" xr:uid="{00000000-0005-0000-0000-000056500000}"/>
    <cellStyle name="Note 8 4 2 2 6" xfId="18525" xr:uid="{00000000-0005-0000-0000-000057500000}"/>
    <cellStyle name="Note 8 4 2 2 7" xfId="20619" xr:uid="{00000000-0005-0000-0000-000058500000}"/>
    <cellStyle name="Note 8 4 2 3" xfId="22227" xr:uid="{00000000-0005-0000-0000-000059500000}"/>
    <cellStyle name="Note 8 4 2 3 2" xfId="18033" xr:uid="{00000000-0005-0000-0000-00005A500000}"/>
    <cellStyle name="Note 8 4 2 3 2 2" xfId="24330" xr:uid="{00000000-0005-0000-0000-00005B500000}"/>
    <cellStyle name="Note 8 4 2 3 2 2 2" xfId="19952" xr:uid="{00000000-0005-0000-0000-00005C500000}"/>
    <cellStyle name="Note 8 4 2 3 2 2 3" xfId="19954" xr:uid="{00000000-0005-0000-0000-00005D500000}"/>
    <cellStyle name="Note 8 4 2 3 2 2 4" xfId="25740" xr:uid="{00000000-0005-0000-0000-00005E500000}"/>
    <cellStyle name="Note 8 4 2 3 2 3" xfId="24332" xr:uid="{00000000-0005-0000-0000-00005F500000}"/>
    <cellStyle name="Note 8 4 2 3 2 4" xfId="25742" xr:uid="{00000000-0005-0000-0000-000060500000}"/>
    <cellStyle name="Note 8 4 2 3 2 5" xfId="25744" xr:uid="{00000000-0005-0000-0000-000061500000}"/>
    <cellStyle name="Note 8 4 2 3 3" xfId="19379" xr:uid="{00000000-0005-0000-0000-000062500000}"/>
    <cellStyle name="Note 8 4 2 3 3 2" xfId="25745" xr:uid="{00000000-0005-0000-0000-000063500000}"/>
    <cellStyle name="Note 8 4 2 3 3 3" xfId="25746" xr:uid="{00000000-0005-0000-0000-000064500000}"/>
    <cellStyle name="Note 8 4 2 3 3 4" xfId="25748" xr:uid="{00000000-0005-0000-0000-000065500000}"/>
    <cellStyle name="Note 8 4 2 3 4" xfId="19383" xr:uid="{00000000-0005-0000-0000-000066500000}"/>
    <cellStyle name="Note 8 4 2 3 5" xfId="20093" xr:uid="{00000000-0005-0000-0000-000067500000}"/>
    <cellStyle name="Note 8 4 2 3 6" xfId="20623" xr:uid="{00000000-0005-0000-0000-000068500000}"/>
    <cellStyle name="Note 8 4 2 4" xfId="25750" xr:uid="{00000000-0005-0000-0000-000069500000}"/>
    <cellStyle name="Note 8 4 2 4 2" xfId="19394" xr:uid="{00000000-0005-0000-0000-00006A500000}"/>
    <cellStyle name="Note 8 4 2 4 2 2" xfId="25751" xr:uid="{00000000-0005-0000-0000-00006B500000}"/>
    <cellStyle name="Note 8 4 2 4 2 3" xfId="25752" xr:uid="{00000000-0005-0000-0000-00006C500000}"/>
    <cellStyle name="Note 8 4 2 4 2 4" xfId="25755" xr:uid="{00000000-0005-0000-0000-00006D500000}"/>
    <cellStyle name="Note 8 4 2 4 3" xfId="19400" xr:uid="{00000000-0005-0000-0000-00006E500000}"/>
    <cellStyle name="Note 8 4 2 4 4" xfId="25756" xr:uid="{00000000-0005-0000-0000-00006F500000}"/>
    <cellStyle name="Note 8 4 2 4 5" xfId="25757" xr:uid="{00000000-0005-0000-0000-000070500000}"/>
    <cellStyle name="Note 8 4 2 5" xfId="25759" xr:uid="{00000000-0005-0000-0000-000071500000}"/>
    <cellStyle name="Note 8 4 2 5 2" xfId="16998" xr:uid="{00000000-0005-0000-0000-000072500000}"/>
    <cellStyle name="Note 8 4 2 5 3" xfId="25760" xr:uid="{00000000-0005-0000-0000-000073500000}"/>
    <cellStyle name="Note 8 4 2 5 4" xfId="25761" xr:uid="{00000000-0005-0000-0000-000074500000}"/>
    <cellStyle name="Note 8 4 2 6" xfId="25764" xr:uid="{00000000-0005-0000-0000-000075500000}"/>
    <cellStyle name="Note 8 4 2 7" xfId="24617" xr:uid="{00000000-0005-0000-0000-000076500000}"/>
    <cellStyle name="Note 8 4 2 8" xfId="24655" xr:uid="{00000000-0005-0000-0000-000077500000}"/>
    <cellStyle name="Note 8 4 3" xfId="893" xr:uid="{00000000-0005-0000-0000-000078500000}"/>
    <cellStyle name="Note 8 4 3 2" xfId="10535" xr:uid="{00000000-0005-0000-0000-000079500000}"/>
    <cellStyle name="Note 8 4 3 2 2" xfId="18108" xr:uid="{00000000-0005-0000-0000-00007A500000}"/>
    <cellStyle name="Note 8 4 3 2 2 2" xfId="2334" xr:uid="{00000000-0005-0000-0000-00007B500000}"/>
    <cellStyle name="Note 8 4 3 2 2 2 2" xfId="25765" xr:uid="{00000000-0005-0000-0000-00007C500000}"/>
    <cellStyle name="Note 8 4 3 2 2 2 3" xfId="25766" xr:uid="{00000000-0005-0000-0000-00007D500000}"/>
    <cellStyle name="Note 8 4 3 2 2 2 4" xfId="25767" xr:uid="{00000000-0005-0000-0000-00007E500000}"/>
    <cellStyle name="Note 8 4 3 2 2 3" xfId="25769" xr:uid="{00000000-0005-0000-0000-00007F500000}"/>
    <cellStyle name="Note 8 4 3 2 2 4" xfId="25771" xr:uid="{00000000-0005-0000-0000-000080500000}"/>
    <cellStyle name="Note 8 4 3 2 2 5" xfId="25773" xr:uid="{00000000-0005-0000-0000-000081500000}"/>
    <cellStyle name="Note 8 4 3 2 3" xfId="19429" xr:uid="{00000000-0005-0000-0000-000082500000}"/>
    <cellStyle name="Note 8 4 3 2 3 2" xfId="351" xr:uid="{00000000-0005-0000-0000-000083500000}"/>
    <cellStyle name="Note 8 4 3 2 3 3" xfId="24084" xr:uid="{00000000-0005-0000-0000-000084500000}"/>
    <cellStyle name="Note 8 4 3 2 3 4" xfId="25775" xr:uid="{00000000-0005-0000-0000-000085500000}"/>
    <cellStyle name="Note 8 4 3 2 4" xfId="19432" xr:uid="{00000000-0005-0000-0000-000086500000}"/>
    <cellStyle name="Note 8 4 3 2 5" xfId="20101" xr:uid="{00000000-0005-0000-0000-000087500000}"/>
    <cellStyle name="Note 8 4 3 2 6" xfId="20626" xr:uid="{00000000-0005-0000-0000-000088500000}"/>
    <cellStyle name="Note 8 4 3 3" xfId="11976" xr:uid="{00000000-0005-0000-0000-000089500000}"/>
    <cellStyle name="Note 8 4 3 3 2" xfId="19447" xr:uid="{00000000-0005-0000-0000-00008A500000}"/>
    <cellStyle name="Note 8 4 3 3 2 2" xfId="25777" xr:uid="{00000000-0005-0000-0000-00008B500000}"/>
    <cellStyle name="Note 8 4 3 3 2 3" xfId="25779" xr:uid="{00000000-0005-0000-0000-00008C500000}"/>
    <cellStyle name="Note 8 4 3 3 2 4" xfId="25781" xr:uid="{00000000-0005-0000-0000-00008D500000}"/>
    <cellStyle name="Note 8 4 3 3 3" xfId="19450" xr:uid="{00000000-0005-0000-0000-00008E500000}"/>
    <cellStyle name="Note 8 4 3 3 4" xfId="25782" xr:uid="{00000000-0005-0000-0000-00008F500000}"/>
    <cellStyle name="Note 8 4 3 3 5" xfId="25783" xr:uid="{00000000-0005-0000-0000-000090500000}"/>
    <cellStyle name="Note 8 4 3 4" xfId="11979" xr:uid="{00000000-0005-0000-0000-000091500000}"/>
    <cellStyle name="Note 8 4 3 4 2" xfId="19457" xr:uid="{00000000-0005-0000-0000-000092500000}"/>
    <cellStyle name="Note 8 4 3 4 3" xfId="25784" xr:uid="{00000000-0005-0000-0000-000093500000}"/>
    <cellStyle name="Note 8 4 3 4 4" xfId="25785" xr:uid="{00000000-0005-0000-0000-000094500000}"/>
    <cellStyle name="Note 8 4 3 5" xfId="25786" xr:uid="{00000000-0005-0000-0000-000095500000}"/>
    <cellStyle name="Note 8 4 3 6" xfId="25788" xr:uid="{00000000-0005-0000-0000-000096500000}"/>
    <cellStyle name="Note 8 4 3 7" xfId="24706" xr:uid="{00000000-0005-0000-0000-000097500000}"/>
    <cellStyle name="Note 8 4 4" xfId="906" xr:uid="{00000000-0005-0000-0000-000098500000}"/>
    <cellStyle name="Note 8 4 4 2" xfId="18804" xr:uid="{00000000-0005-0000-0000-000099500000}"/>
    <cellStyle name="Note 8 4 4 2 2" xfId="17976" xr:uid="{00000000-0005-0000-0000-00009A500000}"/>
    <cellStyle name="Note 8 4 4 2 2 2" xfId="24508" xr:uid="{00000000-0005-0000-0000-00009B500000}"/>
    <cellStyle name="Note 8 4 4 2 2 3" xfId="25789" xr:uid="{00000000-0005-0000-0000-00009C500000}"/>
    <cellStyle name="Note 8 4 4 2 2 4" xfId="25791" xr:uid="{00000000-0005-0000-0000-00009D500000}"/>
    <cellStyle name="Note 8 4 4 2 3" xfId="19341" xr:uid="{00000000-0005-0000-0000-00009E500000}"/>
    <cellStyle name="Note 8 4 4 2 4" xfId="25792" xr:uid="{00000000-0005-0000-0000-00009F500000}"/>
    <cellStyle name="Note 8 4 4 2 5" xfId="25793" xr:uid="{00000000-0005-0000-0000-0000A0500000}"/>
    <cellStyle name="Note 8 4 4 3" xfId="18808" xr:uid="{00000000-0005-0000-0000-0000A1500000}"/>
    <cellStyle name="Note 8 4 4 3 2" xfId="19354" xr:uid="{00000000-0005-0000-0000-0000A2500000}"/>
    <cellStyle name="Note 8 4 4 3 3" xfId="25794" xr:uid="{00000000-0005-0000-0000-0000A3500000}"/>
    <cellStyle name="Note 8 4 4 3 4" xfId="25795" xr:uid="{00000000-0005-0000-0000-0000A4500000}"/>
    <cellStyle name="Note 8 4 4 4" xfId="19597" xr:uid="{00000000-0005-0000-0000-0000A5500000}"/>
    <cellStyle name="Note 8 4 4 5" xfId="25797" xr:uid="{00000000-0005-0000-0000-0000A6500000}"/>
    <cellStyle name="Note 8 4 4 6" xfId="25800" xr:uid="{00000000-0005-0000-0000-0000A7500000}"/>
    <cellStyle name="Note 8 4 5" xfId="4224" xr:uid="{00000000-0005-0000-0000-0000A8500000}"/>
    <cellStyle name="Note 8 4 5 2" xfId="25801" xr:uid="{00000000-0005-0000-0000-0000A9500000}"/>
    <cellStyle name="Note 8 4 5 2 2" xfId="3783" xr:uid="{00000000-0005-0000-0000-0000AA500000}"/>
    <cellStyle name="Note 8 4 5 2 3" xfId="25802" xr:uid="{00000000-0005-0000-0000-0000AB500000}"/>
    <cellStyle name="Note 8 4 5 2 4" xfId="25803" xr:uid="{00000000-0005-0000-0000-0000AC500000}"/>
    <cellStyle name="Note 8 4 5 3" xfId="25804" xr:uid="{00000000-0005-0000-0000-0000AD500000}"/>
    <cellStyle name="Note 8 4 5 4" xfId="25806" xr:uid="{00000000-0005-0000-0000-0000AE500000}"/>
    <cellStyle name="Note 8 4 5 5" xfId="25808" xr:uid="{00000000-0005-0000-0000-0000AF500000}"/>
    <cellStyle name="Note 8 4 6" xfId="4278" xr:uid="{00000000-0005-0000-0000-0000B0500000}"/>
    <cellStyle name="Note 8 4 6 2" xfId="22025" xr:uid="{00000000-0005-0000-0000-0000B1500000}"/>
    <cellStyle name="Note 8 4 6 3" xfId="25809" xr:uid="{00000000-0005-0000-0000-0000B2500000}"/>
    <cellStyle name="Note 8 4 6 4" xfId="25810" xr:uid="{00000000-0005-0000-0000-0000B3500000}"/>
    <cellStyle name="Note 8 4 7" xfId="4333" xr:uid="{00000000-0005-0000-0000-0000B4500000}"/>
    <cellStyle name="Note 8 4 8" xfId="25811" xr:uid="{00000000-0005-0000-0000-0000B5500000}"/>
    <cellStyle name="Note 8 4 9" xfId="25813" xr:uid="{00000000-0005-0000-0000-0000B6500000}"/>
    <cellStyle name="Note 8 5" xfId="18162" xr:uid="{00000000-0005-0000-0000-0000B7500000}"/>
    <cellStyle name="Note 8 5 2" xfId="18166" xr:uid="{00000000-0005-0000-0000-0000B8500000}"/>
    <cellStyle name="Note 8 5 2 2" xfId="18170" xr:uid="{00000000-0005-0000-0000-0000B9500000}"/>
    <cellStyle name="Note 8 5 2 2 2" xfId="4387" xr:uid="{00000000-0005-0000-0000-0000BA500000}"/>
    <cellStyle name="Note 8 5 2 2 2 2" xfId="18174" xr:uid="{00000000-0005-0000-0000-0000BB500000}"/>
    <cellStyle name="Note 8 5 2 2 2 2 2" xfId="25815" xr:uid="{00000000-0005-0000-0000-0000BC500000}"/>
    <cellStyle name="Note 8 5 2 2 2 2 3" xfId="25816" xr:uid="{00000000-0005-0000-0000-0000BD500000}"/>
    <cellStyle name="Note 8 5 2 2 2 2 4" xfId="25817" xr:uid="{00000000-0005-0000-0000-0000BE500000}"/>
    <cellStyle name="Note 8 5 2 2 2 3" xfId="18177" xr:uid="{00000000-0005-0000-0000-0000BF500000}"/>
    <cellStyle name="Note 8 5 2 2 2 4" xfId="18183" xr:uid="{00000000-0005-0000-0000-0000C0500000}"/>
    <cellStyle name="Note 8 5 2 2 2 5" xfId="25821" xr:uid="{00000000-0005-0000-0000-0000C1500000}"/>
    <cellStyle name="Note 8 5 2 2 3" xfId="4411" xr:uid="{00000000-0005-0000-0000-0000C2500000}"/>
    <cellStyle name="Note 8 5 2 2 3 2" xfId="25822" xr:uid="{00000000-0005-0000-0000-0000C3500000}"/>
    <cellStyle name="Note 8 5 2 2 3 3" xfId="25823" xr:uid="{00000000-0005-0000-0000-0000C4500000}"/>
    <cellStyle name="Note 8 5 2 2 3 4" xfId="25826" xr:uid="{00000000-0005-0000-0000-0000C5500000}"/>
    <cellStyle name="Note 8 5 2 2 4" xfId="4432" xr:uid="{00000000-0005-0000-0000-0000C6500000}"/>
    <cellStyle name="Note 8 5 2 2 5" xfId="14867" xr:uid="{00000000-0005-0000-0000-0000C7500000}"/>
    <cellStyle name="Note 8 5 2 2 6" xfId="14875" xr:uid="{00000000-0005-0000-0000-0000C8500000}"/>
    <cellStyle name="Note 8 5 2 3" xfId="18187" xr:uid="{00000000-0005-0000-0000-0000C9500000}"/>
    <cellStyle name="Note 8 5 2 3 2" xfId="4453" xr:uid="{00000000-0005-0000-0000-0000CA500000}"/>
    <cellStyle name="Note 8 5 2 3 2 2" xfId="25827" xr:uid="{00000000-0005-0000-0000-0000CB500000}"/>
    <cellStyle name="Note 8 5 2 3 2 3" xfId="25828" xr:uid="{00000000-0005-0000-0000-0000CC500000}"/>
    <cellStyle name="Note 8 5 2 3 2 4" xfId="25831" xr:uid="{00000000-0005-0000-0000-0000CD500000}"/>
    <cellStyle name="Note 8 5 2 3 3" xfId="4468" xr:uid="{00000000-0005-0000-0000-0000CE500000}"/>
    <cellStyle name="Note 8 5 2 3 4" xfId="14890" xr:uid="{00000000-0005-0000-0000-0000CF500000}"/>
    <cellStyle name="Note 8 5 2 3 5" xfId="14895" xr:uid="{00000000-0005-0000-0000-0000D0500000}"/>
    <cellStyle name="Note 8 5 2 4" xfId="18190" xr:uid="{00000000-0005-0000-0000-0000D1500000}"/>
    <cellStyle name="Note 8 5 2 4 2" xfId="19475" xr:uid="{00000000-0005-0000-0000-0000D2500000}"/>
    <cellStyle name="Note 8 5 2 4 3" xfId="25833" xr:uid="{00000000-0005-0000-0000-0000D3500000}"/>
    <cellStyle name="Note 8 5 2 4 4" xfId="17863" xr:uid="{00000000-0005-0000-0000-0000D4500000}"/>
    <cellStyle name="Note 8 5 2 5" xfId="18193" xr:uid="{00000000-0005-0000-0000-0000D5500000}"/>
    <cellStyle name="Note 8 5 2 6" xfId="18197" xr:uid="{00000000-0005-0000-0000-0000D6500000}"/>
    <cellStyle name="Note 8 5 2 7" xfId="25266" xr:uid="{00000000-0005-0000-0000-0000D7500000}"/>
    <cellStyle name="Note 8 5 3" xfId="9153" xr:uid="{00000000-0005-0000-0000-0000D8500000}"/>
    <cellStyle name="Note 8 5 3 2" xfId="18201" xr:uid="{00000000-0005-0000-0000-0000D9500000}"/>
    <cellStyle name="Note 8 5 3 2 2" xfId="4040" xr:uid="{00000000-0005-0000-0000-0000DA500000}"/>
    <cellStyle name="Note 8 5 3 2 2 2" xfId="25836" xr:uid="{00000000-0005-0000-0000-0000DB500000}"/>
    <cellStyle name="Note 8 5 3 2 2 3" xfId="25839" xr:uid="{00000000-0005-0000-0000-0000DC500000}"/>
    <cellStyle name="Note 8 5 3 2 2 4" xfId="25843" xr:uid="{00000000-0005-0000-0000-0000DD500000}"/>
    <cellStyle name="Note 8 5 3 2 3" xfId="4058" xr:uid="{00000000-0005-0000-0000-0000DE500000}"/>
    <cellStyle name="Note 8 5 3 2 4" xfId="7952" xr:uid="{00000000-0005-0000-0000-0000DF500000}"/>
    <cellStyle name="Note 8 5 3 2 5" xfId="7958" xr:uid="{00000000-0005-0000-0000-0000E0500000}"/>
    <cellStyle name="Note 8 5 3 3" xfId="18205" xr:uid="{00000000-0005-0000-0000-0000E1500000}"/>
    <cellStyle name="Note 8 5 3 3 2" xfId="19494" xr:uid="{00000000-0005-0000-0000-0000E2500000}"/>
    <cellStyle name="Note 8 5 3 3 3" xfId="25845" xr:uid="{00000000-0005-0000-0000-0000E3500000}"/>
    <cellStyle name="Note 8 5 3 3 4" xfId="7978" xr:uid="{00000000-0005-0000-0000-0000E4500000}"/>
    <cellStyle name="Note 8 5 3 4" xfId="18209" xr:uid="{00000000-0005-0000-0000-0000E5500000}"/>
    <cellStyle name="Note 8 5 3 5" xfId="18212" xr:uid="{00000000-0005-0000-0000-0000E6500000}"/>
    <cellStyle name="Note 8 5 3 6" xfId="25847" xr:uid="{00000000-0005-0000-0000-0000E7500000}"/>
    <cellStyle name="Note 8 5 4" xfId="11989" xr:uid="{00000000-0005-0000-0000-0000E8500000}"/>
    <cellStyle name="Note 8 5 4 2" xfId="18217" xr:uid="{00000000-0005-0000-0000-0000E9500000}"/>
    <cellStyle name="Note 8 5 4 2 2" xfId="19414" xr:uid="{00000000-0005-0000-0000-0000EA500000}"/>
    <cellStyle name="Note 8 5 4 2 3" xfId="25848" xr:uid="{00000000-0005-0000-0000-0000EB500000}"/>
    <cellStyle name="Note 8 5 4 2 4" xfId="5465" xr:uid="{00000000-0005-0000-0000-0000EC500000}"/>
    <cellStyle name="Note 8 5 4 3" xfId="18221" xr:uid="{00000000-0005-0000-0000-0000ED500000}"/>
    <cellStyle name="Note 8 5 4 4" xfId="18227" xr:uid="{00000000-0005-0000-0000-0000EE500000}"/>
    <cellStyle name="Note 8 5 4 5" xfId="25850" xr:uid="{00000000-0005-0000-0000-0000EF500000}"/>
    <cellStyle name="Note 8 5 5" xfId="4364" xr:uid="{00000000-0005-0000-0000-0000F0500000}"/>
    <cellStyle name="Note 8 5 5 2" xfId="25851" xr:uid="{00000000-0005-0000-0000-0000F1500000}"/>
    <cellStyle name="Note 8 5 5 3" xfId="25852" xr:uid="{00000000-0005-0000-0000-0000F2500000}"/>
    <cellStyle name="Note 8 5 5 4" xfId="25853" xr:uid="{00000000-0005-0000-0000-0000F3500000}"/>
    <cellStyle name="Note 8 5 6" xfId="4394" xr:uid="{00000000-0005-0000-0000-0000F4500000}"/>
    <cellStyle name="Note 8 5 7" xfId="4418" xr:uid="{00000000-0005-0000-0000-0000F5500000}"/>
    <cellStyle name="Note 8 5 8" xfId="4439" xr:uid="{00000000-0005-0000-0000-0000F6500000}"/>
    <cellStyle name="Note 8 6" xfId="18230" xr:uid="{00000000-0005-0000-0000-0000F7500000}"/>
    <cellStyle name="Note 8 6 2" xfId="18234" xr:uid="{00000000-0005-0000-0000-0000F8500000}"/>
    <cellStyle name="Note 8 6 2 2" xfId="18237" xr:uid="{00000000-0005-0000-0000-0000F9500000}"/>
    <cellStyle name="Note 8 6 2 2 2" xfId="6137" xr:uid="{00000000-0005-0000-0000-0000FA500000}"/>
    <cellStyle name="Note 8 6 2 2 2 2" xfId="25854" xr:uid="{00000000-0005-0000-0000-0000FB500000}"/>
    <cellStyle name="Note 8 6 2 2 2 3" xfId="25855" xr:uid="{00000000-0005-0000-0000-0000FC500000}"/>
    <cellStyle name="Note 8 6 2 2 2 4" xfId="25857" xr:uid="{00000000-0005-0000-0000-0000FD500000}"/>
    <cellStyle name="Note 8 6 2 2 3" xfId="6153" xr:uid="{00000000-0005-0000-0000-0000FE500000}"/>
    <cellStyle name="Note 8 6 2 2 4" xfId="6167" xr:uid="{00000000-0005-0000-0000-0000FF500000}"/>
    <cellStyle name="Note 8 6 2 2 5" xfId="15172" xr:uid="{00000000-0005-0000-0000-000000510000}"/>
    <cellStyle name="Note 8 6 2 3" xfId="18240" xr:uid="{00000000-0005-0000-0000-000001510000}"/>
    <cellStyle name="Note 8 6 2 3 2" xfId="6189" xr:uid="{00000000-0005-0000-0000-000002510000}"/>
    <cellStyle name="Note 8 6 2 3 3" xfId="6202" xr:uid="{00000000-0005-0000-0000-000003510000}"/>
    <cellStyle name="Note 8 6 2 3 4" xfId="17877" xr:uid="{00000000-0005-0000-0000-000004510000}"/>
    <cellStyle name="Note 8 6 2 4" xfId="18243" xr:uid="{00000000-0005-0000-0000-000005510000}"/>
    <cellStyle name="Note 8 6 2 5" xfId="18246" xr:uid="{00000000-0005-0000-0000-000006510000}"/>
    <cellStyle name="Note 8 6 2 6" xfId="25859" xr:uid="{00000000-0005-0000-0000-000007510000}"/>
    <cellStyle name="Note 8 6 3" xfId="18251" xr:uid="{00000000-0005-0000-0000-000008510000}"/>
    <cellStyle name="Note 8 6 3 2" xfId="18254" xr:uid="{00000000-0005-0000-0000-000009510000}"/>
    <cellStyle name="Note 8 6 3 2 2" xfId="4306" xr:uid="{00000000-0005-0000-0000-00000A510000}"/>
    <cellStyle name="Note 8 6 3 2 3" xfId="4325" xr:uid="{00000000-0005-0000-0000-00000B510000}"/>
    <cellStyle name="Note 8 6 3 2 4" xfId="25861" xr:uid="{00000000-0005-0000-0000-00000C510000}"/>
    <cellStyle name="Note 8 6 3 3" xfId="18257" xr:uid="{00000000-0005-0000-0000-00000D510000}"/>
    <cellStyle name="Note 8 6 3 4" xfId="18260" xr:uid="{00000000-0005-0000-0000-00000E510000}"/>
    <cellStyle name="Note 8 6 3 5" xfId="25862" xr:uid="{00000000-0005-0000-0000-00000F510000}"/>
    <cellStyle name="Note 8 6 4" xfId="18265" xr:uid="{00000000-0005-0000-0000-000010510000}"/>
    <cellStyle name="Note 8 6 4 2" xfId="25863" xr:uid="{00000000-0005-0000-0000-000011510000}"/>
    <cellStyle name="Note 8 6 4 3" xfId="25864" xr:uid="{00000000-0005-0000-0000-000012510000}"/>
    <cellStyle name="Note 8 6 4 4" xfId="25865" xr:uid="{00000000-0005-0000-0000-000013510000}"/>
    <cellStyle name="Note 8 6 5" xfId="58" xr:uid="{00000000-0005-0000-0000-000014510000}"/>
    <cellStyle name="Note 8 6 6" xfId="4458" xr:uid="{00000000-0005-0000-0000-000015510000}"/>
    <cellStyle name="Note 8 6 7" xfId="4465" xr:uid="{00000000-0005-0000-0000-000016510000}"/>
    <cellStyle name="Note 8 7" xfId="18269" xr:uid="{00000000-0005-0000-0000-000017510000}"/>
    <cellStyle name="Note 8 7 2" xfId="18274" xr:uid="{00000000-0005-0000-0000-000018510000}"/>
    <cellStyle name="Note 8 7 2 2" xfId="18278" xr:uid="{00000000-0005-0000-0000-000019510000}"/>
    <cellStyle name="Note 8 7 2 2 2" xfId="5573" xr:uid="{00000000-0005-0000-0000-00001A510000}"/>
    <cellStyle name="Note 8 7 2 2 3" xfId="5589" xr:uid="{00000000-0005-0000-0000-00001B510000}"/>
    <cellStyle name="Note 8 7 2 2 4" xfId="5602" xr:uid="{00000000-0005-0000-0000-00001C510000}"/>
    <cellStyle name="Note 8 7 2 3" xfId="18282" xr:uid="{00000000-0005-0000-0000-00001D510000}"/>
    <cellStyle name="Note 8 7 2 4" xfId="18286" xr:uid="{00000000-0005-0000-0000-00001E510000}"/>
    <cellStyle name="Note 8 7 2 5" xfId="25866" xr:uid="{00000000-0005-0000-0000-00001F510000}"/>
    <cellStyle name="Note 8 7 3" xfId="18291" xr:uid="{00000000-0005-0000-0000-000020510000}"/>
    <cellStyle name="Note 8 7 3 2" xfId="25867" xr:uid="{00000000-0005-0000-0000-000021510000}"/>
    <cellStyle name="Note 8 7 3 3" xfId="25868" xr:uid="{00000000-0005-0000-0000-000022510000}"/>
    <cellStyle name="Note 8 7 3 4" xfId="25869" xr:uid="{00000000-0005-0000-0000-000023510000}"/>
    <cellStyle name="Note 8 7 4" xfId="18297" xr:uid="{00000000-0005-0000-0000-000024510000}"/>
    <cellStyle name="Note 8 7 5" xfId="18302" xr:uid="{00000000-0005-0000-0000-000025510000}"/>
    <cellStyle name="Note 8 7 6" xfId="25870" xr:uid="{00000000-0005-0000-0000-000026510000}"/>
    <cellStyle name="Note 8 8" xfId="18306" xr:uid="{00000000-0005-0000-0000-000027510000}"/>
    <cellStyle name="Note 8 8 2" xfId="18311" xr:uid="{00000000-0005-0000-0000-000028510000}"/>
    <cellStyle name="Note 8 8 2 2" xfId="25871" xr:uid="{00000000-0005-0000-0000-000029510000}"/>
    <cellStyle name="Note 8 8 2 3" xfId="25872" xr:uid="{00000000-0005-0000-0000-00002A510000}"/>
    <cellStyle name="Note 8 8 2 4" xfId="25873" xr:uid="{00000000-0005-0000-0000-00002B510000}"/>
    <cellStyle name="Note 8 8 3" xfId="18316" xr:uid="{00000000-0005-0000-0000-00002C510000}"/>
    <cellStyle name="Note 8 8 4" xfId="18320" xr:uid="{00000000-0005-0000-0000-00002D510000}"/>
    <cellStyle name="Note 8 8 5" xfId="25874" xr:uid="{00000000-0005-0000-0000-00002E510000}"/>
    <cellStyle name="Note 8 9" xfId="14977" xr:uid="{00000000-0005-0000-0000-00002F510000}"/>
    <cellStyle name="Note 8 9 2" xfId="14815" xr:uid="{00000000-0005-0000-0000-000030510000}"/>
    <cellStyle name="Note 8 9 3" xfId="22786" xr:uid="{00000000-0005-0000-0000-000031510000}"/>
    <cellStyle name="Note 8 9 4" xfId="22788" xr:uid="{00000000-0005-0000-0000-000032510000}"/>
    <cellStyle name="Note 9" xfId="25875" xr:uid="{00000000-0005-0000-0000-000033510000}"/>
    <cellStyle name="Note 9 10" xfId="25878" xr:uid="{00000000-0005-0000-0000-000034510000}"/>
    <cellStyle name="Note 9 11" xfId="25880" xr:uid="{00000000-0005-0000-0000-000035510000}"/>
    <cellStyle name="Note 9 12" xfId="25882" xr:uid="{00000000-0005-0000-0000-000036510000}"/>
    <cellStyle name="Note 9 2" xfId="25883" xr:uid="{00000000-0005-0000-0000-000037510000}"/>
    <cellStyle name="Note 9 2 2" xfId="25884" xr:uid="{00000000-0005-0000-0000-000038510000}"/>
    <cellStyle name="Note 9 2 2 2" xfId="25886" xr:uid="{00000000-0005-0000-0000-000039510000}"/>
    <cellStyle name="Note 9 2 2 2 2" xfId="24461" xr:uid="{00000000-0005-0000-0000-00003A510000}"/>
    <cellStyle name="Note 9 2 2 2 2 2" xfId="25889" xr:uid="{00000000-0005-0000-0000-00003B510000}"/>
    <cellStyle name="Note 9 2 2 2 2 2 2" xfId="25891" xr:uid="{00000000-0005-0000-0000-00003C510000}"/>
    <cellStyle name="Note 9 2 2 2 2 2 2 2" xfId="25892" xr:uid="{00000000-0005-0000-0000-00003D510000}"/>
    <cellStyle name="Note 9 2 2 2 2 2 2 3" xfId="25893" xr:uid="{00000000-0005-0000-0000-00003E510000}"/>
    <cellStyle name="Note 9 2 2 2 2 2 2 4" xfId="25895" xr:uid="{00000000-0005-0000-0000-00003F510000}"/>
    <cellStyle name="Note 9 2 2 2 2 2 3" xfId="25896" xr:uid="{00000000-0005-0000-0000-000040510000}"/>
    <cellStyle name="Note 9 2 2 2 2 2 4" xfId="25897" xr:uid="{00000000-0005-0000-0000-000041510000}"/>
    <cellStyle name="Note 9 2 2 2 2 2 5" xfId="25899" xr:uid="{00000000-0005-0000-0000-000042510000}"/>
    <cellStyle name="Note 9 2 2 2 2 3" xfId="25901" xr:uid="{00000000-0005-0000-0000-000043510000}"/>
    <cellStyle name="Note 9 2 2 2 2 3 2" xfId="25902" xr:uid="{00000000-0005-0000-0000-000044510000}"/>
    <cellStyle name="Note 9 2 2 2 2 3 3" xfId="25903" xr:uid="{00000000-0005-0000-0000-000045510000}"/>
    <cellStyle name="Note 9 2 2 2 2 3 4" xfId="25904" xr:uid="{00000000-0005-0000-0000-000046510000}"/>
    <cellStyle name="Note 9 2 2 2 2 4" xfId="20121" xr:uid="{00000000-0005-0000-0000-000047510000}"/>
    <cellStyle name="Note 9 2 2 2 2 5" xfId="20126" xr:uid="{00000000-0005-0000-0000-000048510000}"/>
    <cellStyle name="Note 9 2 2 2 2 6" xfId="20205" xr:uid="{00000000-0005-0000-0000-000049510000}"/>
    <cellStyle name="Note 9 2 2 2 3" xfId="24465" xr:uid="{00000000-0005-0000-0000-00004A510000}"/>
    <cellStyle name="Note 9 2 2 2 3 2" xfId="25905" xr:uid="{00000000-0005-0000-0000-00004B510000}"/>
    <cellStyle name="Note 9 2 2 2 3 2 2" xfId="25906" xr:uid="{00000000-0005-0000-0000-00004C510000}"/>
    <cellStyle name="Note 9 2 2 2 3 2 3" xfId="13858" xr:uid="{00000000-0005-0000-0000-00004D510000}"/>
    <cellStyle name="Note 9 2 2 2 3 2 4" xfId="21888" xr:uid="{00000000-0005-0000-0000-00004E510000}"/>
    <cellStyle name="Note 9 2 2 2 3 3" xfId="25907" xr:uid="{00000000-0005-0000-0000-00004F510000}"/>
    <cellStyle name="Note 9 2 2 2 3 4" xfId="25908" xr:uid="{00000000-0005-0000-0000-000050510000}"/>
    <cellStyle name="Note 9 2 2 2 3 5" xfId="25909" xr:uid="{00000000-0005-0000-0000-000051510000}"/>
    <cellStyle name="Note 9 2 2 2 4" xfId="20137" xr:uid="{00000000-0005-0000-0000-000052510000}"/>
    <cellStyle name="Note 9 2 2 2 4 2" xfId="20700" xr:uid="{00000000-0005-0000-0000-000053510000}"/>
    <cellStyle name="Note 9 2 2 2 4 3" xfId="20702" xr:uid="{00000000-0005-0000-0000-000054510000}"/>
    <cellStyle name="Note 9 2 2 2 4 4" xfId="9418" xr:uid="{00000000-0005-0000-0000-000055510000}"/>
    <cellStyle name="Note 9 2 2 2 5" xfId="20143" xr:uid="{00000000-0005-0000-0000-000056510000}"/>
    <cellStyle name="Note 9 2 2 2 6" xfId="20148" xr:uid="{00000000-0005-0000-0000-000057510000}"/>
    <cellStyle name="Note 9 2 2 2 7" xfId="20705" xr:uid="{00000000-0005-0000-0000-000058510000}"/>
    <cellStyle name="Note 9 2 2 3" xfId="25911" xr:uid="{00000000-0005-0000-0000-000059510000}"/>
    <cellStyle name="Note 9 2 2 3 2" xfId="24474" xr:uid="{00000000-0005-0000-0000-00005A510000}"/>
    <cellStyle name="Note 9 2 2 3 2 2" xfId="25912" xr:uid="{00000000-0005-0000-0000-00005B510000}"/>
    <cellStyle name="Note 9 2 2 3 2 2 2" xfId="3124" xr:uid="{00000000-0005-0000-0000-00005C510000}"/>
    <cellStyle name="Note 9 2 2 3 2 2 3" xfId="2482" xr:uid="{00000000-0005-0000-0000-00005D510000}"/>
    <cellStyle name="Note 9 2 2 3 2 2 4" xfId="2491" xr:uid="{00000000-0005-0000-0000-00005E510000}"/>
    <cellStyle name="Note 9 2 2 3 2 3" xfId="25913" xr:uid="{00000000-0005-0000-0000-00005F510000}"/>
    <cellStyle name="Note 9 2 2 3 2 4" xfId="3149" xr:uid="{00000000-0005-0000-0000-000060510000}"/>
    <cellStyle name="Note 9 2 2 3 2 5" xfId="3159" xr:uid="{00000000-0005-0000-0000-000061510000}"/>
    <cellStyle name="Note 9 2 2 3 3" xfId="24477" xr:uid="{00000000-0005-0000-0000-000062510000}"/>
    <cellStyle name="Note 9 2 2 3 3 2" xfId="25914" xr:uid="{00000000-0005-0000-0000-000063510000}"/>
    <cellStyle name="Note 9 2 2 3 3 3" xfId="25915" xr:uid="{00000000-0005-0000-0000-000064510000}"/>
    <cellStyle name="Note 9 2 2 3 3 4" xfId="25916" xr:uid="{00000000-0005-0000-0000-000065510000}"/>
    <cellStyle name="Note 9 2 2 3 4" xfId="3164" xr:uid="{00000000-0005-0000-0000-000066510000}"/>
    <cellStyle name="Note 9 2 2 3 5" xfId="3169" xr:uid="{00000000-0005-0000-0000-000067510000}"/>
    <cellStyle name="Note 9 2 2 3 6" xfId="846" xr:uid="{00000000-0005-0000-0000-000068510000}"/>
    <cellStyle name="Note 9 2 2 4" xfId="22390" xr:uid="{00000000-0005-0000-0000-000069510000}"/>
    <cellStyle name="Note 9 2 2 4 2" xfId="24483" xr:uid="{00000000-0005-0000-0000-00006A510000}"/>
    <cellStyle name="Note 9 2 2 4 2 2" xfId="25917" xr:uid="{00000000-0005-0000-0000-00006B510000}"/>
    <cellStyle name="Note 9 2 2 4 2 3" xfId="25918" xr:uid="{00000000-0005-0000-0000-00006C510000}"/>
    <cellStyle name="Note 9 2 2 4 2 4" xfId="25919" xr:uid="{00000000-0005-0000-0000-00006D510000}"/>
    <cellStyle name="Note 9 2 2 4 3" xfId="25920" xr:uid="{00000000-0005-0000-0000-00006E510000}"/>
    <cellStyle name="Note 9 2 2 4 4" xfId="25921" xr:uid="{00000000-0005-0000-0000-00006F510000}"/>
    <cellStyle name="Note 9 2 2 4 5" xfId="25922" xr:uid="{00000000-0005-0000-0000-000070510000}"/>
    <cellStyle name="Note 9 2 2 5" xfId="22393" xr:uid="{00000000-0005-0000-0000-000071510000}"/>
    <cellStyle name="Note 9 2 2 5 2" xfId="23985" xr:uid="{00000000-0005-0000-0000-000072510000}"/>
    <cellStyle name="Note 9 2 2 5 3" xfId="23987" xr:uid="{00000000-0005-0000-0000-000073510000}"/>
    <cellStyle name="Note 9 2 2 5 4" xfId="3320" xr:uid="{00000000-0005-0000-0000-000074510000}"/>
    <cellStyle name="Note 9 2 2 6" xfId="22396" xr:uid="{00000000-0005-0000-0000-000075510000}"/>
    <cellStyle name="Note 9 2 2 7" xfId="25923" xr:uid="{00000000-0005-0000-0000-000076510000}"/>
    <cellStyle name="Note 9 2 2 8" xfId="25924" xr:uid="{00000000-0005-0000-0000-000077510000}"/>
    <cellStyle name="Note 9 2 3" xfId="12011" xr:uid="{00000000-0005-0000-0000-000078510000}"/>
    <cellStyle name="Note 9 2 3 2" xfId="10666" xr:uid="{00000000-0005-0000-0000-000079510000}"/>
    <cellStyle name="Note 9 2 3 2 2" xfId="10672" xr:uid="{00000000-0005-0000-0000-00007A510000}"/>
    <cellStyle name="Note 9 2 3 2 2 2" xfId="19800" xr:uid="{00000000-0005-0000-0000-00007B510000}"/>
    <cellStyle name="Note 9 2 3 2 2 2 2" xfId="13811" xr:uid="{00000000-0005-0000-0000-00007C510000}"/>
    <cellStyle name="Note 9 2 3 2 2 2 3" xfId="25925" xr:uid="{00000000-0005-0000-0000-00007D510000}"/>
    <cellStyle name="Note 9 2 3 2 2 2 4" xfId="25927" xr:uid="{00000000-0005-0000-0000-00007E510000}"/>
    <cellStyle name="Note 9 2 3 2 2 3" xfId="19805" xr:uid="{00000000-0005-0000-0000-00007F510000}"/>
    <cellStyle name="Note 9 2 3 2 2 4" xfId="19810" xr:uid="{00000000-0005-0000-0000-000080510000}"/>
    <cellStyle name="Note 9 2 3 2 2 5" xfId="25928" xr:uid="{00000000-0005-0000-0000-000081510000}"/>
    <cellStyle name="Note 9 2 3 2 3" xfId="10679" xr:uid="{00000000-0005-0000-0000-000082510000}"/>
    <cellStyle name="Note 9 2 3 2 3 2" xfId="19817" xr:uid="{00000000-0005-0000-0000-000083510000}"/>
    <cellStyle name="Note 9 2 3 2 3 3" xfId="19819" xr:uid="{00000000-0005-0000-0000-000084510000}"/>
    <cellStyle name="Note 9 2 3 2 3 4" xfId="25929" xr:uid="{00000000-0005-0000-0000-000085510000}"/>
    <cellStyle name="Note 9 2 3 2 4" xfId="10684" xr:uid="{00000000-0005-0000-0000-000086510000}"/>
    <cellStyle name="Note 9 2 3 2 5" xfId="20156" xr:uid="{00000000-0005-0000-0000-000087510000}"/>
    <cellStyle name="Note 9 2 3 2 6" xfId="20708" xr:uid="{00000000-0005-0000-0000-000088510000}"/>
    <cellStyle name="Note 9 2 3 3" xfId="10697" xr:uid="{00000000-0005-0000-0000-000089510000}"/>
    <cellStyle name="Note 9 2 3 3 2" xfId="24604" xr:uid="{00000000-0005-0000-0000-00008A510000}"/>
    <cellStyle name="Note 9 2 3 3 2 2" xfId="2097" xr:uid="{00000000-0005-0000-0000-00008B510000}"/>
    <cellStyle name="Note 9 2 3 3 2 3" xfId="3467" xr:uid="{00000000-0005-0000-0000-00008C510000}"/>
    <cellStyle name="Note 9 2 3 3 2 4" xfId="25930" xr:uid="{00000000-0005-0000-0000-00008D510000}"/>
    <cellStyle name="Note 9 2 3 3 3" xfId="24606" xr:uid="{00000000-0005-0000-0000-00008E510000}"/>
    <cellStyle name="Note 9 2 3 3 4" xfId="25932" xr:uid="{00000000-0005-0000-0000-00008F510000}"/>
    <cellStyle name="Note 9 2 3 3 5" xfId="25934" xr:uid="{00000000-0005-0000-0000-000090510000}"/>
    <cellStyle name="Note 9 2 3 4" xfId="10704" xr:uid="{00000000-0005-0000-0000-000091510000}"/>
    <cellStyle name="Note 9 2 3 4 2" xfId="24610" xr:uid="{00000000-0005-0000-0000-000092510000}"/>
    <cellStyle name="Note 9 2 3 4 3" xfId="25935" xr:uid="{00000000-0005-0000-0000-000093510000}"/>
    <cellStyle name="Note 9 2 3 4 4" xfId="25936" xr:uid="{00000000-0005-0000-0000-000094510000}"/>
    <cellStyle name="Note 9 2 3 5" xfId="10710" xr:uid="{00000000-0005-0000-0000-000095510000}"/>
    <cellStyle name="Note 9 2 3 6" xfId="25937" xr:uid="{00000000-0005-0000-0000-000096510000}"/>
    <cellStyle name="Note 9 2 3 7" xfId="20909" xr:uid="{00000000-0005-0000-0000-000097510000}"/>
    <cellStyle name="Note 9 2 4" xfId="12016" xr:uid="{00000000-0005-0000-0000-000098510000}"/>
    <cellStyle name="Note 9 2 4 2" xfId="10268" xr:uid="{00000000-0005-0000-0000-000099510000}"/>
    <cellStyle name="Note 9 2 4 2 2" xfId="24683" xr:uid="{00000000-0005-0000-0000-00009A510000}"/>
    <cellStyle name="Note 9 2 4 2 2 2" xfId="11861" xr:uid="{00000000-0005-0000-0000-00009B510000}"/>
    <cellStyle name="Note 9 2 4 2 2 3" xfId="19901" xr:uid="{00000000-0005-0000-0000-00009C510000}"/>
    <cellStyle name="Note 9 2 4 2 2 4" xfId="25939" xr:uid="{00000000-0005-0000-0000-00009D510000}"/>
    <cellStyle name="Note 9 2 4 2 3" xfId="24685" xr:uid="{00000000-0005-0000-0000-00009E510000}"/>
    <cellStyle name="Note 9 2 4 2 4" xfId="25941" xr:uid="{00000000-0005-0000-0000-00009F510000}"/>
    <cellStyle name="Note 9 2 4 2 5" xfId="25943" xr:uid="{00000000-0005-0000-0000-0000A0510000}"/>
    <cellStyle name="Note 9 2 4 3" xfId="10745" xr:uid="{00000000-0005-0000-0000-0000A1510000}"/>
    <cellStyle name="Note 9 2 4 3 2" xfId="24695" xr:uid="{00000000-0005-0000-0000-0000A2510000}"/>
    <cellStyle name="Note 9 2 4 3 3" xfId="25945" xr:uid="{00000000-0005-0000-0000-0000A3510000}"/>
    <cellStyle name="Note 9 2 4 3 4" xfId="25946" xr:uid="{00000000-0005-0000-0000-0000A4510000}"/>
    <cellStyle name="Note 9 2 4 4" xfId="10753" xr:uid="{00000000-0005-0000-0000-0000A5510000}"/>
    <cellStyle name="Note 9 2 4 5" xfId="25947" xr:uid="{00000000-0005-0000-0000-0000A6510000}"/>
    <cellStyle name="Note 9 2 4 6" xfId="25948" xr:uid="{00000000-0005-0000-0000-0000A7510000}"/>
    <cellStyle name="Note 9 2 5" xfId="4798" xr:uid="{00000000-0005-0000-0000-0000A8510000}"/>
    <cellStyle name="Note 9 2 5 2" xfId="25950" xr:uid="{00000000-0005-0000-0000-0000A9510000}"/>
    <cellStyle name="Note 9 2 5 2 2" xfId="24730" xr:uid="{00000000-0005-0000-0000-0000AA510000}"/>
    <cellStyle name="Note 9 2 5 2 3" xfId="25951" xr:uid="{00000000-0005-0000-0000-0000AB510000}"/>
    <cellStyle name="Note 9 2 5 2 4" xfId="4833" xr:uid="{00000000-0005-0000-0000-0000AC510000}"/>
    <cellStyle name="Note 9 2 5 3" xfId="25953" xr:uid="{00000000-0005-0000-0000-0000AD510000}"/>
    <cellStyle name="Note 9 2 5 4" xfId="25954" xr:uid="{00000000-0005-0000-0000-0000AE510000}"/>
    <cellStyle name="Note 9 2 5 5" xfId="25955" xr:uid="{00000000-0005-0000-0000-0000AF510000}"/>
    <cellStyle name="Note 9 2 6" xfId="4873" xr:uid="{00000000-0005-0000-0000-0000B0510000}"/>
    <cellStyle name="Note 9 2 6 2" xfId="25957" xr:uid="{00000000-0005-0000-0000-0000B1510000}"/>
    <cellStyle name="Note 9 2 6 3" xfId="25958" xr:uid="{00000000-0005-0000-0000-0000B2510000}"/>
    <cellStyle name="Note 9 2 6 4" xfId="25959" xr:uid="{00000000-0005-0000-0000-0000B3510000}"/>
    <cellStyle name="Note 9 2 7" xfId="4909" xr:uid="{00000000-0005-0000-0000-0000B4510000}"/>
    <cellStyle name="Note 9 2 8" xfId="4917" xr:uid="{00000000-0005-0000-0000-0000B5510000}"/>
    <cellStyle name="Note 9 2 9" xfId="4925" xr:uid="{00000000-0005-0000-0000-0000B6510000}"/>
    <cellStyle name="Note 9 3" xfId="25960" xr:uid="{00000000-0005-0000-0000-0000B7510000}"/>
    <cellStyle name="Note 9 3 2" xfId="25961" xr:uid="{00000000-0005-0000-0000-0000B8510000}"/>
    <cellStyle name="Note 9 3 2 2" xfId="12654" xr:uid="{00000000-0005-0000-0000-0000B9510000}"/>
    <cellStyle name="Note 9 3 2 2 2" xfId="19535" xr:uid="{00000000-0005-0000-0000-0000BA510000}"/>
    <cellStyle name="Note 9 3 2 2 2 2" xfId="25963" xr:uid="{00000000-0005-0000-0000-0000BB510000}"/>
    <cellStyle name="Note 9 3 2 2 2 2 2" xfId="13726" xr:uid="{00000000-0005-0000-0000-0000BC510000}"/>
    <cellStyle name="Note 9 3 2 2 2 2 2 2" xfId="25964" xr:uid="{00000000-0005-0000-0000-0000BD510000}"/>
    <cellStyle name="Note 9 3 2 2 2 2 2 3" xfId="25965" xr:uid="{00000000-0005-0000-0000-0000BE510000}"/>
    <cellStyle name="Note 9 3 2 2 2 2 2 4" xfId="25967" xr:uid="{00000000-0005-0000-0000-0000BF510000}"/>
    <cellStyle name="Note 9 3 2 2 2 2 3" xfId="13728" xr:uid="{00000000-0005-0000-0000-0000C0510000}"/>
    <cellStyle name="Note 9 3 2 2 2 2 4" xfId="25968" xr:uid="{00000000-0005-0000-0000-0000C1510000}"/>
    <cellStyle name="Note 9 3 2 2 2 2 5" xfId="25969" xr:uid="{00000000-0005-0000-0000-0000C2510000}"/>
    <cellStyle name="Note 9 3 2 2 2 3" xfId="25970" xr:uid="{00000000-0005-0000-0000-0000C3510000}"/>
    <cellStyle name="Note 9 3 2 2 2 3 2" xfId="13739" xr:uid="{00000000-0005-0000-0000-0000C4510000}"/>
    <cellStyle name="Note 9 3 2 2 2 3 3" xfId="25971" xr:uid="{00000000-0005-0000-0000-0000C5510000}"/>
    <cellStyle name="Note 9 3 2 2 2 3 4" xfId="25972" xr:uid="{00000000-0005-0000-0000-0000C6510000}"/>
    <cellStyle name="Note 9 3 2 2 2 4" xfId="25973" xr:uid="{00000000-0005-0000-0000-0000C7510000}"/>
    <cellStyle name="Note 9 3 2 2 2 5" xfId="25974" xr:uid="{00000000-0005-0000-0000-0000C8510000}"/>
    <cellStyle name="Note 9 3 2 2 2 6" xfId="25975" xr:uid="{00000000-0005-0000-0000-0000C9510000}"/>
    <cellStyle name="Note 9 3 2 2 3" xfId="19541" xr:uid="{00000000-0005-0000-0000-0000CA510000}"/>
    <cellStyle name="Note 9 3 2 2 3 2" xfId="25976" xr:uid="{00000000-0005-0000-0000-0000CB510000}"/>
    <cellStyle name="Note 9 3 2 2 3 2 2" xfId="13776" xr:uid="{00000000-0005-0000-0000-0000CC510000}"/>
    <cellStyle name="Note 9 3 2 2 3 2 3" xfId="22579" xr:uid="{00000000-0005-0000-0000-0000CD510000}"/>
    <cellStyle name="Note 9 3 2 2 3 2 4" xfId="22583" xr:uid="{00000000-0005-0000-0000-0000CE510000}"/>
    <cellStyle name="Note 9 3 2 2 3 3" xfId="25977" xr:uid="{00000000-0005-0000-0000-0000CF510000}"/>
    <cellStyle name="Note 9 3 2 2 3 4" xfId="25978" xr:uid="{00000000-0005-0000-0000-0000D0510000}"/>
    <cellStyle name="Note 9 3 2 2 3 5" xfId="25979" xr:uid="{00000000-0005-0000-0000-0000D1510000}"/>
    <cellStyle name="Note 9 3 2 2 4" xfId="19545" xr:uid="{00000000-0005-0000-0000-0000D2510000}"/>
    <cellStyle name="Note 9 3 2 2 4 2" xfId="25980" xr:uid="{00000000-0005-0000-0000-0000D3510000}"/>
    <cellStyle name="Note 9 3 2 2 4 3" xfId="25981" xr:uid="{00000000-0005-0000-0000-0000D4510000}"/>
    <cellStyle name="Note 9 3 2 2 4 4" xfId="25982" xr:uid="{00000000-0005-0000-0000-0000D5510000}"/>
    <cellStyle name="Note 9 3 2 2 5" xfId="20179" xr:uid="{00000000-0005-0000-0000-0000D6510000}"/>
    <cellStyle name="Note 9 3 2 2 6" xfId="20711" xr:uid="{00000000-0005-0000-0000-0000D7510000}"/>
    <cellStyle name="Note 9 3 2 2 7" xfId="25983" xr:uid="{00000000-0005-0000-0000-0000D8510000}"/>
    <cellStyle name="Note 9 3 2 3" xfId="12660" xr:uid="{00000000-0005-0000-0000-0000D9510000}"/>
    <cellStyle name="Note 9 3 2 3 2" xfId="4341" xr:uid="{00000000-0005-0000-0000-0000DA510000}"/>
    <cellStyle name="Note 9 3 2 3 2 2" xfId="25984" xr:uid="{00000000-0005-0000-0000-0000DB510000}"/>
    <cellStyle name="Note 9 3 2 3 2 2 2" xfId="13843" xr:uid="{00000000-0005-0000-0000-0000DC510000}"/>
    <cellStyle name="Note 9 3 2 3 2 2 3" xfId="25985" xr:uid="{00000000-0005-0000-0000-0000DD510000}"/>
    <cellStyle name="Note 9 3 2 3 2 2 4" xfId="25987" xr:uid="{00000000-0005-0000-0000-0000DE510000}"/>
    <cellStyle name="Note 9 3 2 3 2 3" xfId="25988" xr:uid="{00000000-0005-0000-0000-0000DF510000}"/>
    <cellStyle name="Note 9 3 2 3 2 4" xfId="25989" xr:uid="{00000000-0005-0000-0000-0000E0510000}"/>
    <cellStyle name="Note 9 3 2 3 2 5" xfId="22537" xr:uid="{00000000-0005-0000-0000-0000E1510000}"/>
    <cellStyle name="Note 9 3 2 3 3" xfId="4354" xr:uid="{00000000-0005-0000-0000-0000E2510000}"/>
    <cellStyle name="Note 9 3 2 3 3 2" xfId="25990" xr:uid="{00000000-0005-0000-0000-0000E3510000}"/>
    <cellStyle name="Note 9 3 2 3 3 3" xfId="25991" xr:uid="{00000000-0005-0000-0000-0000E4510000}"/>
    <cellStyle name="Note 9 3 2 3 3 4" xfId="25992" xr:uid="{00000000-0005-0000-0000-0000E5510000}"/>
    <cellStyle name="Note 9 3 2 3 4" xfId="198" xr:uid="{00000000-0005-0000-0000-0000E6510000}"/>
    <cellStyle name="Note 9 3 2 3 5" xfId="25993" xr:uid="{00000000-0005-0000-0000-0000E7510000}"/>
    <cellStyle name="Note 9 3 2 3 6" xfId="25995" xr:uid="{00000000-0005-0000-0000-0000E8510000}"/>
    <cellStyle name="Note 9 3 2 4" xfId="12667" xr:uid="{00000000-0005-0000-0000-0000E9510000}"/>
    <cellStyle name="Note 9 3 2 4 2" xfId="4428" xr:uid="{00000000-0005-0000-0000-0000EA510000}"/>
    <cellStyle name="Note 9 3 2 4 2 2" xfId="25996" xr:uid="{00000000-0005-0000-0000-0000EB510000}"/>
    <cellStyle name="Note 9 3 2 4 2 3" xfId="25997" xr:uid="{00000000-0005-0000-0000-0000EC510000}"/>
    <cellStyle name="Note 9 3 2 4 2 4" xfId="25998" xr:uid="{00000000-0005-0000-0000-0000ED510000}"/>
    <cellStyle name="Note 9 3 2 4 3" xfId="25999" xr:uid="{00000000-0005-0000-0000-0000EE510000}"/>
    <cellStyle name="Note 9 3 2 4 4" xfId="26001" xr:uid="{00000000-0005-0000-0000-0000EF510000}"/>
    <cellStyle name="Note 9 3 2 4 5" xfId="26003" xr:uid="{00000000-0005-0000-0000-0000F0510000}"/>
    <cellStyle name="Note 9 3 2 5" xfId="16695" xr:uid="{00000000-0005-0000-0000-0000F1510000}"/>
    <cellStyle name="Note 9 3 2 5 2" xfId="26004" xr:uid="{00000000-0005-0000-0000-0000F2510000}"/>
    <cellStyle name="Note 9 3 2 5 3" xfId="26005" xr:uid="{00000000-0005-0000-0000-0000F3510000}"/>
    <cellStyle name="Note 9 3 2 5 4" xfId="16636" xr:uid="{00000000-0005-0000-0000-0000F4510000}"/>
    <cellStyle name="Note 9 3 2 6" xfId="15441" xr:uid="{00000000-0005-0000-0000-0000F5510000}"/>
    <cellStyle name="Note 9 3 2 7" xfId="15458" xr:uid="{00000000-0005-0000-0000-0000F6510000}"/>
    <cellStyle name="Note 9 3 2 8" xfId="15465" xr:uid="{00000000-0005-0000-0000-0000F7510000}"/>
    <cellStyle name="Note 9 3 3" xfId="12025" xr:uid="{00000000-0005-0000-0000-0000F8510000}"/>
    <cellStyle name="Note 9 3 3 2" xfId="10805" xr:uid="{00000000-0005-0000-0000-0000F9510000}"/>
    <cellStyle name="Note 9 3 3 2 2" xfId="19558" xr:uid="{00000000-0005-0000-0000-0000FA510000}"/>
    <cellStyle name="Note 9 3 3 2 2 2" xfId="19180" xr:uid="{00000000-0005-0000-0000-0000FB510000}"/>
    <cellStyle name="Note 9 3 3 2 2 2 2" xfId="14515" xr:uid="{00000000-0005-0000-0000-0000FC510000}"/>
    <cellStyle name="Note 9 3 3 2 2 2 3" xfId="14517" xr:uid="{00000000-0005-0000-0000-0000FD510000}"/>
    <cellStyle name="Note 9 3 3 2 2 2 4" xfId="26007" xr:uid="{00000000-0005-0000-0000-0000FE510000}"/>
    <cellStyle name="Note 9 3 3 2 2 3" xfId="19956" xr:uid="{00000000-0005-0000-0000-0000FF510000}"/>
    <cellStyle name="Note 9 3 3 2 2 4" xfId="19958" xr:uid="{00000000-0005-0000-0000-000000520000}"/>
    <cellStyle name="Note 9 3 3 2 2 5" xfId="26008" xr:uid="{00000000-0005-0000-0000-000001520000}"/>
    <cellStyle name="Note 9 3 3 2 3" xfId="19563" xr:uid="{00000000-0005-0000-0000-000002520000}"/>
    <cellStyle name="Note 9 3 3 2 3 2" xfId="19970" xr:uid="{00000000-0005-0000-0000-000003520000}"/>
    <cellStyle name="Note 9 3 3 2 3 3" xfId="19973" xr:uid="{00000000-0005-0000-0000-000004520000}"/>
    <cellStyle name="Note 9 3 3 2 3 4" xfId="24145" xr:uid="{00000000-0005-0000-0000-000005520000}"/>
    <cellStyle name="Note 9 3 3 2 4" xfId="25254" xr:uid="{00000000-0005-0000-0000-000006520000}"/>
    <cellStyle name="Note 9 3 3 2 5" xfId="26010" xr:uid="{00000000-0005-0000-0000-000007520000}"/>
    <cellStyle name="Note 9 3 3 2 6" xfId="26012" xr:uid="{00000000-0005-0000-0000-000008520000}"/>
    <cellStyle name="Note 9 3 3 3" xfId="10814" xr:uid="{00000000-0005-0000-0000-000009520000}"/>
    <cellStyle name="Note 9 3 3 3 2" xfId="3972" xr:uid="{00000000-0005-0000-0000-00000A520000}"/>
    <cellStyle name="Note 9 3 3 3 2 2" xfId="20005" xr:uid="{00000000-0005-0000-0000-00000B520000}"/>
    <cellStyle name="Note 9 3 3 3 2 3" xfId="20008" xr:uid="{00000000-0005-0000-0000-00000C520000}"/>
    <cellStyle name="Note 9 3 3 3 2 4" xfId="26013" xr:uid="{00000000-0005-0000-0000-00000D520000}"/>
    <cellStyle name="Note 9 3 3 3 3" xfId="25256" xr:uid="{00000000-0005-0000-0000-00000E520000}"/>
    <cellStyle name="Note 9 3 3 3 4" xfId="26014" xr:uid="{00000000-0005-0000-0000-00000F520000}"/>
    <cellStyle name="Note 9 3 3 3 5" xfId="26015" xr:uid="{00000000-0005-0000-0000-000010520000}"/>
    <cellStyle name="Note 9 3 3 4" xfId="10822" xr:uid="{00000000-0005-0000-0000-000011520000}"/>
    <cellStyle name="Note 9 3 3 4 2" xfId="25260" xr:uid="{00000000-0005-0000-0000-000012520000}"/>
    <cellStyle name="Note 9 3 3 4 3" xfId="26016" xr:uid="{00000000-0005-0000-0000-000013520000}"/>
    <cellStyle name="Note 9 3 3 4 4" xfId="26018" xr:uid="{00000000-0005-0000-0000-000014520000}"/>
    <cellStyle name="Note 9 3 3 5" xfId="16701" xr:uid="{00000000-0005-0000-0000-000015520000}"/>
    <cellStyle name="Note 9 3 3 6" xfId="15478" xr:uid="{00000000-0005-0000-0000-000016520000}"/>
    <cellStyle name="Note 9 3 3 7" xfId="15483" xr:uid="{00000000-0005-0000-0000-000017520000}"/>
    <cellStyle name="Note 9 3 4" xfId="12029" xr:uid="{00000000-0005-0000-0000-000018520000}"/>
    <cellStyle name="Note 9 3 4 2" xfId="10835" xr:uid="{00000000-0005-0000-0000-000019520000}"/>
    <cellStyle name="Note 9 3 4 2 2" xfId="19574" xr:uid="{00000000-0005-0000-0000-00001A520000}"/>
    <cellStyle name="Note 9 3 4 2 2 2" xfId="20051" xr:uid="{00000000-0005-0000-0000-00001B520000}"/>
    <cellStyle name="Note 9 3 4 2 2 3" xfId="20054" xr:uid="{00000000-0005-0000-0000-00001C520000}"/>
    <cellStyle name="Note 9 3 4 2 2 4" xfId="26019" xr:uid="{00000000-0005-0000-0000-00001D520000}"/>
    <cellStyle name="Note 9 3 4 2 3" xfId="25307" xr:uid="{00000000-0005-0000-0000-00001E520000}"/>
    <cellStyle name="Note 9 3 4 2 4" xfId="26020" xr:uid="{00000000-0005-0000-0000-00001F520000}"/>
    <cellStyle name="Note 9 3 4 2 5" xfId="26021" xr:uid="{00000000-0005-0000-0000-000020520000}"/>
    <cellStyle name="Note 9 3 4 3" xfId="10844" xr:uid="{00000000-0005-0000-0000-000021520000}"/>
    <cellStyle name="Note 9 3 4 3 2" xfId="25314" xr:uid="{00000000-0005-0000-0000-000022520000}"/>
    <cellStyle name="Note 9 3 4 3 3" xfId="26022" xr:uid="{00000000-0005-0000-0000-000023520000}"/>
    <cellStyle name="Note 9 3 4 3 4" xfId="26023" xr:uid="{00000000-0005-0000-0000-000024520000}"/>
    <cellStyle name="Note 9 3 4 4" xfId="18338" xr:uid="{00000000-0005-0000-0000-000025520000}"/>
    <cellStyle name="Note 9 3 4 5" xfId="18343" xr:uid="{00000000-0005-0000-0000-000026520000}"/>
    <cellStyle name="Note 9 3 4 6" xfId="880" xr:uid="{00000000-0005-0000-0000-000027520000}"/>
    <cellStyle name="Note 9 3 5" xfId="4943" xr:uid="{00000000-0005-0000-0000-000028520000}"/>
    <cellStyle name="Note 9 3 5 2" xfId="26025" xr:uid="{00000000-0005-0000-0000-000029520000}"/>
    <cellStyle name="Note 9 3 5 2 2" xfId="25347" xr:uid="{00000000-0005-0000-0000-00002A520000}"/>
    <cellStyle name="Note 9 3 5 2 3" xfId="26026" xr:uid="{00000000-0005-0000-0000-00002B520000}"/>
    <cellStyle name="Note 9 3 5 2 4" xfId="26027" xr:uid="{00000000-0005-0000-0000-00002C520000}"/>
    <cellStyle name="Note 9 3 5 3" xfId="26028" xr:uid="{00000000-0005-0000-0000-00002D520000}"/>
    <cellStyle name="Note 9 3 5 4" xfId="26030" xr:uid="{00000000-0005-0000-0000-00002E520000}"/>
    <cellStyle name="Note 9 3 5 5" xfId="26032" xr:uid="{00000000-0005-0000-0000-00002F520000}"/>
    <cellStyle name="Note 9 3 6" xfId="4972" xr:uid="{00000000-0005-0000-0000-000030520000}"/>
    <cellStyle name="Note 9 3 6 2" xfId="22050" xr:uid="{00000000-0005-0000-0000-000031520000}"/>
    <cellStyle name="Note 9 3 6 3" xfId="26033" xr:uid="{00000000-0005-0000-0000-000032520000}"/>
    <cellStyle name="Note 9 3 6 4" xfId="26034" xr:uid="{00000000-0005-0000-0000-000033520000}"/>
    <cellStyle name="Note 9 3 7" xfId="4988" xr:uid="{00000000-0005-0000-0000-000034520000}"/>
    <cellStyle name="Note 9 3 8" xfId="22765" xr:uid="{00000000-0005-0000-0000-000035520000}"/>
    <cellStyle name="Note 9 3 9" xfId="22784" xr:uid="{00000000-0005-0000-0000-000036520000}"/>
    <cellStyle name="Note 9 4" xfId="26035" xr:uid="{00000000-0005-0000-0000-000037520000}"/>
    <cellStyle name="Note 9 4 2" xfId="210" xr:uid="{00000000-0005-0000-0000-000038520000}"/>
    <cellStyle name="Note 9 4 2 2" xfId="1023" xr:uid="{00000000-0005-0000-0000-000039520000}"/>
    <cellStyle name="Note 9 4 2 2 2" xfId="11968" xr:uid="{00000000-0005-0000-0000-00003A520000}"/>
    <cellStyle name="Note 9 4 2 2 2 2" xfId="26037" xr:uid="{00000000-0005-0000-0000-00003B520000}"/>
    <cellStyle name="Note 9 4 2 2 2 2 2" xfId="26039" xr:uid="{00000000-0005-0000-0000-00003C520000}"/>
    <cellStyle name="Note 9 4 2 2 2 2 3" xfId="26041" xr:uid="{00000000-0005-0000-0000-00003D520000}"/>
    <cellStyle name="Note 9 4 2 2 2 2 4" xfId="26043" xr:uid="{00000000-0005-0000-0000-00003E520000}"/>
    <cellStyle name="Note 9 4 2 2 2 3" xfId="26044" xr:uid="{00000000-0005-0000-0000-00003F520000}"/>
    <cellStyle name="Note 9 4 2 2 2 4" xfId="26045" xr:uid="{00000000-0005-0000-0000-000040520000}"/>
    <cellStyle name="Note 9 4 2 2 2 5" xfId="3494" xr:uid="{00000000-0005-0000-0000-000041520000}"/>
    <cellStyle name="Note 9 4 2 2 3" xfId="19589" xr:uid="{00000000-0005-0000-0000-000042520000}"/>
    <cellStyle name="Note 9 4 2 2 3 2" xfId="26046" xr:uid="{00000000-0005-0000-0000-000043520000}"/>
    <cellStyle name="Note 9 4 2 2 3 3" xfId="26047" xr:uid="{00000000-0005-0000-0000-000044520000}"/>
    <cellStyle name="Note 9 4 2 2 3 4" xfId="26048" xr:uid="{00000000-0005-0000-0000-000045520000}"/>
    <cellStyle name="Note 9 4 2 2 4" xfId="25712" xr:uid="{00000000-0005-0000-0000-000046520000}"/>
    <cellStyle name="Note 9 4 2 2 5" xfId="23952" xr:uid="{00000000-0005-0000-0000-000047520000}"/>
    <cellStyle name="Note 9 4 2 2 6" xfId="23957" xr:uid="{00000000-0005-0000-0000-000048520000}"/>
    <cellStyle name="Note 9 4 2 3" xfId="12695" xr:uid="{00000000-0005-0000-0000-000049520000}"/>
    <cellStyle name="Note 9 4 2 3 2" xfId="1581" xr:uid="{00000000-0005-0000-0000-00004A520000}"/>
    <cellStyle name="Note 9 4 2 3 2 2" xfId="732" xr:uid="{00000000-0005-0000-0000-00004B520000}"/>
    <cellStyle name="Note 9 4 2 3 2 3" xfId="766" xr:uid="{00000000-0005-0000-0000-00004C520000}"/>
    <cellStyle name="Note 9 4 2 3 2 4" xfId="26049" xr:uid="{00000000-0005-0000-0000-00004D520000}"/>
    <cellStyle name="Note 9 4 2 3 3" xfId="25715" xr:uid="{00000000-0005-0000-0000-00004E520000}"/>
    <cellStyle name="Note 9 4 2 3 4" xfId="26050" xr:uid="{00000000-0005-0000-0000-00004F520000}"/>
    <cellStyle name="Note 9 4 2 3 5" xfId="23969" xr:uid="{00000000-0005-0000-0000-000050520000}"/>
    <cellStyle name="Note 9 4 2 4" xfId="16719" xr:uid="{00000000-0005-0000-0000-000051520000}"/>
    <cellStyle name="Note 9 4 2 4 2" xfId="25717" xr:uid="{00000000-0005-0000-0000-000052520000}"/>
    <cellStyle name="Note 9 4 2 4 3" xfId="26051" xr:uid="{00000000-0005-0000-0000-000053520000}"/>
    <cellStyle name="Note 9 4 2 4 4" xfId="26053" xr:uid="{00000000-0005-0000-0000-000054520000}"/>
    <cellStyle name="Note 9 4 2 5" xfId="16723" xr:uid="{00000000-0005-0000-0000-000055520000}"/>
    <cellStyle name="Note 9 4 2 6" xfId="9208" xr:uid="{00000000-0005-0000-0000-000056520000}"/>
    <cellStyle name="Note 9 4 2 7" xfId="9231" xr:uid="{00000000-0005-0000-0000-000057520000}"/>
    <cellStyle name="Note 9 4 3" xfId="146" xr:uid="{00000000-0005-0000-0000-000058520000}"/>
    <cellStyle name="Note 9 4 3 2" xfId="22380" xr:uid="{00000000-0005-0000-0000-000059520000}"/>
    <cellStyle name="Note 9 4 3 2 2" xfId="19596" xr:uid="{00000000-0005-0000-0000-00005A520000}"/>
    <cellStyle name="Note 9 4 3 2 2 2" xfId="19365" xr:uid="{00000000-0005-0000-0000-00005B520000}"/>
    <cellStyle name="Note 9 4 3 2 2 3" xfId="20083" xr:uid="{00000000-0005-0000-0000-00005C520000}"/>
    <cellStyle name="Note 9 4 3 2 2 4" xfId="26054" xr:uid="{00000000-0005-0000-0000-00005D520000}"/>
    <cellStyle name="Note 9 4 3 2 3" xfId="25796" xr:uid="{00000000-0005-0000-0000-00005E520000}"/>
    <cellStyle name="Note 9 4 3 2 4" xfId="25799" xr:uid="{00000000-0005-0000-0000-00005F520000}"/>
    <cellStyle name="Note 9 4 3 2 5" xfId="24743" xr:uid="{00000000-0005-0000-0000-000060520000}"/>
    <cellStyle name="Note 9 4 3 3" xfId="26056" xr:uid="{00000000-0005-0000-0000-000061520000}"/>
    <cellStyle name="Note 9 4 3 3 2" xfId="25805" xr:uid="{00000000-0005-0000-0000-000062520000}"/>
    <cellStyle name="Note 9 4 3 3 3" xfId="25807" xr:uid="{00000000-0005-0000-0000-000063520000}"/>
    <cellStyle name="Note 9 4 3 3 4" xfId="26058" xr:uid="{00000000-0005-0000-0000-000064520000}"/>
    <cellStyle name="Note 9 4 3 4" xfId="26059" xr:uid="{00000000-0005-0000-0000-000065520000}"/>
    <cellStyle name="Note 9 4 3 5" xfId="26060" xr:uid="{00000000-0005-0000-0000-000066520000}"/>
    <cellStyle name="Note 9 4 3 6" xfId="9269" xr:uid="{00000000-0005-0000-0000-000067520000}"/>
    <cellStyle name="Note 9 4 4" xfId="236" xr:uid="{00000000-0005-0000-0000-000068520000}"/>
    <cellStyle name="Note 9 4 4 2" xfId="26062" xr:uid="{00000000-0005-0000-0000-000069520000}"/>
    <cellStyle name="Note 9 4 4 2 2" xfId="18226" xr:uid="{00000000-0005-0000-0000-00006A520000}"/>
    <cellStyle name="Note 9 4 4 2 3" xfId="25849" xr:uid="{00000000-0005-0000-0000-00006B520000}"/>
    <cellStyle name="Note 9 4 4 2 4" xfId="26064" xr:uid="{00000000-0005-0000-0000-00006C520000}"/>
    <cellStyle name="Note 9 4 4 3" xfId="26065" xr:uid="{00000000-0005-0000-0000-00006D520000}"/>
    <cellStyle name="Note 9 4 4 4" xfId="26067" xr:uid="{00000000-0005-0000-0000-00006E520000}"/>
    <cellStyle name="Note 9 4 4 5" xfId="26069" xr:uid="{00000000-0005-0000-0000-00006F520000}"/>
    <cellStyle name="Note 9 4 5" xfId="3858" xr:uid="{00000000-0005-0000-0000-000070520000}"/>
    <cellStyle name="Note 9 4 5 2" xfId="26070" xr:uid="{00000000-0005-0000-0000-000071520000}"/>
    <cellStyle name="Note 9 4 5 3" xfId="26071" xr:uid="{00000000-0005-0000-0000-000072520000}"/>
    <cellStyle name="Note 9 4 5 4" xfId="26072" xr:uid="{00000000-0005-0000-0000-000073520000}"/>
    <cellStyle name="Note 9 4 6" xfId="3936" xr:uid="{00000000-0005-0000-0000-000074520000}"/>
    <cellStyle name="Note 9 4 7" xfId="26073" xr:uid="{00000000-0005-0000-0000-000075520000}"/>
    <cellStyle name="Note 9 4 8" xfId="22804" xr:uid="{00000000-0005-0000-0000-000076520000}"/>
    <cellStyle name="Note 9 5" xfId="18323" xr:uid="{00000000-0005-0000-0000-000077520000}"/>
    <cellStyle name="Note 9 5 2" xfId="18327" xr:uid="{00000000-0005-0000-0000-000078520000}"/>
    <cellStyle name="Note 9 5 2 2" xfId="18332" xr:uid="{00000000-0005-0000-0000-000079520000}"/>
    <cellStyle name="Note 9 5 2 2 2" xfId="18337" xr:uid="{00000000-0005-0000-0000-00007A520000}"/>
    <cellStyle name="Note 9 5 2 2 2 2" xfId="26074" xr:uid="{00000000-0005-0000-0000-00007B520000}"/>
    <cellStyle name="Note 9 5 2 2 2 3" xfId="26075" xr:uid="{00000000-0005-0000-0000-00007C520000}"/>
    <cellStyle name="Note 9 5 2 2 2 4" xfId="26076" xr:uid="{00000000-0005-0000-0000-00007D520000}"/>
    <cellStyle name="Note 9 5 2 2 3" xfId="18342" xr:uid="{00000000-0005-0000-0000-00007E520000}"/>
    <cellStyle name="Note 9 5 2 2 4" xfId="879" xr:uid="{00000000-0005-0000-0000-00007F520000}"/>
    <cellStyle name="Note 9 5 2 2 5" xfId="15513" xr:uid="{00000000-0005-0000-0000-000080520000}"/>
    <cellStyle name="Note 9 5 2 3" xfId="18349" xr:uid="{00000000-0005-0000-0000-000081520000}"/>
    <cellStyle name="Note 9 5 2 3 2" xfId="26029" xr:uid="{00000000-0005-0000-0000-000082520000}"/>
    <cellStyle name="Note 9 5 2 3 3" xfId="26031" xr:uid="{00000000-0005-0000-0000-000083520000}"/>
    <cellStyle name="Note 9 5 2 3 4" xfId="15521" xr:uid="{00000000-0005-0000-0000-000084520000}"/>
    <cellStyle name="Note 9 5 2 4" xfId="18353" xr:uid="{00000000-0005-0000-0000-000085520000}"/>
    <cellStyle name="Note 9 5 2 5" xfId="18355" xr:uid="{00000000-0005-0000-0000-000086520000}"/>
    <cellStyle name="Note 9 5 2 6" xfId="664" xr:uid="{00000000-0005-0000-0000-000087520000}"/>
    <cellStyle name="Note 9 5 3" xfId="18361" xr:uid="{00000000-0005-0000-0000-000088520000}"/>
    <cellStyle name="Note 9 5 3 2" xfId="10897" xr:uid="{00000000-0005-0000-0000-000089520000}"/>
    <cellStyle name="Note 9 5 3 2 2" xfId="26066" xr:uid="{00000000-0005-0000-0000-00008A520000}"/>
    <cellStyle name="Note 9 5 3 2 3" xfId="26068" xr:uid="{00000000-0005-0000-0000-00008B520000}"/>
    <cellStyle name="Note 9 5 3 2 4" xfId="9315" xr:uid="{00000000-0005-0000-0000-00008C520000}"/>
    <cellStyle name="Note 9 5 3 3" xfId="18363" xr:uid="{00000000-0005-0000-0000-00008D520000}"/>
    <cellStyle name="Note 9 5 3 4" xfId="18365" xr:uid="{00000000-0005-0000-0000-00008E520000}"/>
    <cellStyle name="Note 9 5 3 5" xfId="26077" xr:uid="{00000000-0005-0000-0000-00008F520000}"/>
    <cellStyle name="Note 9 5 4" xfId="18371" xr:uid="{00000000-0005-0000-0000-000090520000}"/>
    <cellStyle name="Note 9 5 4 2" xfId="26078" xr:uid="{00000000-0005-0000-0000-000091520000}"/>
    <cellStyle name="Note 9 5 4 3" xfId="26079" xr:uid="{00000000-0005-0000-0000-000092520000}"/>
    <cellStyle name="Note 9 5 4 4" xfId="26080" xr:uid="{00000000-0005-0000-0000-000093520000}"/>
    <cellStyle name="Note 9 5 5" xfId="4023" xr:uid="{00000000-0005-0000-0000-000094520000}"/>
    <cellStyle name="Note 9 5 6" xfId="4036" xr:uid="{00000000-0005-0000-0000-000095520000}"/>
    <cellStyle name="Note 9 5 7" xfId="4055" xr:uid="{00000000-0005-0000-0000-000096520000}"/>
    <cellStyle name="Note 9 6" xfId="18374" xr:uid="{00000000-0005-0000-0000-000097520000}"/>
    <cellStyle name="Note 9 6 2" xfId="18377" xr:uid="{00000000-0005-0000-0000-000098520000}"/>
    <cellStyle name="Note 9 6 2 2" xfId="18380" xr:uid="{00000000-0005-0000-0000-000099520000}"/>
    <cellStyle name="Note 9 6 2 2 2" xfId="26082" xr:uid="{00000000-0005-0000-0000-00009A520000}"/>
    <cellStyle name="Note 9 6 2 2 3" xfId="26085" xr:uid="{00000000-0005-0000-0000-00009B520000}"/>
    <cellStyle name="Note 9 6 2 2 4" xfId="15842" xr:uid="{00000000-0005-0000-0000-00009C520000}"/>
    <cellStyle name="Note 9 6 2 3" xfId="18382" xr:uid="{00000000-0005-0000-0000-00009D520000}"/>
    <cellStyle name="Note 9 6 2 4" xfId="18384" xr:uid="{00000000-0005-0000-0000-00009E520000}"/>
    <cellStyle name="Note 9 6 2 5" xfId="26086" xr:uid="{00000000-0005-0000-0000-00009F520000}"/>
    <cellStyle name="Note 9 6 3" xfId="2150" xr:uid="{00000000-0005-0000-0000-0000A0520000}"/>
    <cellStyle name="Note 9 6 3 2" xfId="26087" xr:uid="{00000000-0005-0000-0000-0000A1520000}"/>
    <cellStyle name="Note 9 6 3 3" xfId="26088" xr:uid="{00000000-0005-0000-0000-0000A2520000}"/>
    <cellStyle name="Note 9 6 3 4" xfId="26089" xr:uid="{00000000-0005-0000-0000-0000A3520000}"/>
    <cellStyle name="Note 9 6 4" xfId="1195" xr:uid="{00000000-0005-0000-0000-0000A4520000}"/>
    <cellStyle name="Note 9 6 5" xfId="1306" xr:uid="{00000000-0005-0000-0000-0000A5520000}"/>
    <cellStyle name="Note 9 6 6" xfId="26090" xr:uid="{00000000-0005-0000-0000-0000A6520000}"/>
    <cellStyle name="Note 9 7" xfId="18388" xr:uid="{00000000-0005-0000-0000-0000A7520000}"/>
    <cellStyle name="Note 9 7 2" xfId="18390" xr:uid="{00000000-0005-0000-0000-0000A8520000}"/>
    <cellStyle name="Note 9 7 2 2" xfId="21900" xr:uid="{00000000-0005-0000-0000-0000A9520000}"/>
    <cellStyle name="Note 9 7 2 3" xfId="26091" xr:uid="{00000000-0005-0000-0000-0000AA520000}"/>
    <cellStyle name="Note 9 7 2 4" xfId="25270" xr:uid="{00000000-0005-0000-0000-0000AB520000}"/>
    <cellStyle name="Note 9 7 3" xfId="2166" xr:uid="{00000000-0005-0000-0000-0000AC520000}"/>
    <cellStyle name="Note 9 7 4" xfId="18392" xr:uid="{00000000-0005-0000-0000-0000AD520000}"/>
    <cellStyle name="Note 9 7 5" xfId="26092" xr:uid="{00000000-0005-0000-0000-0000AE520000}"/>
    <cellStyle name="Note 9 8" xfId="18396" xr:uid="{00000000-0005-0000-0000-0000AF520000}"/>
    <cellStyle name="Note 9 8 2" xfId="26093" xr:uid="{00000000-0005-0000-0000-0000B0520000}"/>
    <cellStyle name="Note 9 8 3" xfId="26094" xr:uid="{00000000-0005-0000-0000-0000B1520000}"/>
    <cellStyle name="Note 9 8 4" xfId="26095" xr:uid="{00000000-0005-0000-0000-0000B2520000}"/>
    <cellStyle name="Note 9 9" xfId="18400" xr:uid="{00000000-0005-0000-0000-0000B3520000}"/>
    <cellStyle name="Output 10" xfId="15650" xr:uid="{00000000-0005-0000-0000-0000B4520000}"/>
    <cellStyle name="Output 2" xfId="21757" xr:uid="{00000000-0005-0000-0000-0000B5520000}"/>
    <cellStyle name="Output 2 10" xfId="26096" xr:uid="{00000000-0005-0000-0000-0000B6520000}"/>
    <cellStyle name="Output 2 11" xfId="26097" xr:uid="{00000000-0005-0000-0000-0000B7520000}"/>
    <cellStyle name="Output 2 12" xfId="26098" xr:uid="{00000000-0005-0000-0000-0000B8520000}"/>
    <cellStyle name="Output 2 13" xfId="26100" xr:uid="{00000000-0005-0000-0000-0000B9520000}"/>
    <cellStyle name="Output 2 2" xfId="26101" xr:uid="{00000000-0005-0000-0000-0000BA520000}"/>
    <cellStyle name="Output 2 2 10" xfId="16004" xr:uid="{00000000-0005-0000-0000-0000BB520000}"/>
    <cellStyle name="Output 2 2 11" xfId="16008" xr:uid="{00000000-0005-0000-0000-0000BC520000}"/>
    <cellStyle name="Output 2 2 12" xfId="16012" xr:uid="{00000000-0005-0000-0000-0000BD520000}"/>
    <cellStyle name="Output 2 2 2" xfId="26102" xr:uid="{00000000-0005-0000-0000-0000BE520000}"/>
    <cellStyle name="Output 2 2 2 2" xfId="26103" xr:uid="{00000000-0005-0000-0000-0000BF520000}"/>
    <cellStyle name="Output 2 2 2 2 2" xfId="22912" xr:uid="{00000000-0005-0000-0000-0000C0520000}"/>
    <cellStyle name="Output 2 2 2 2 2 2" xfId="22914" xr:uid="{00000000-0005-0000-0000-0000C1520000}"/>
    <cellStyle name="Output 2 2 2 2 2 2 2" xfId="10471" xr:uid="{00000000-0005-0000-0000-0000C2520000}"/>
    <cellStyle name="Output 2 2 2 2 2 2 2 2" xfId="26105" xr:uid="{00000000-0005-0000-0000-0000C3520000}"/>
    <cellStyle name="Output 2 2 2 2 2 2 2 2 2" xfId="23644" xr:uid="{00000000-0005-0000-0000-0000C4520000}"/>
    <cellStyle name="Output 2 2 2 2 2 2 2 2 3" xfId="23661" xr:uid="{00000000-0005-0000-0000-0000C5520000}"/>
    <cellStyle name="Output 2 2 2 2 2 2 2 2 4" xfId="23666" xr:uid="{00000000-0005-0000-0000-0000C6520000}"/>
    <cellStyle name="Output 2 2 2 2 2 2 2 3" xfId="26107" xr:uid="{00000000-0005-0000-0000-0000C7520000}"/>
    <cellStyle name="Output 2 2 2 2 2 2 2 4" xfId="26108" xr:uid="{00000000-0005-0000-0000-0000C8520000}"/>
    <cellStyle name="Output 2 2 2 2 2 2 2 5" xfId="26110" xr:uid="{00000000-0005-0000-0000-0000C9520000}"/>
    <cellStyle name="Output 2 2 2 2 2 2 3" xfId="10474" xr:uid="{00000000-0005-0000-0000-0000CA520000}"/>
    <cellStyle name="Output 2 2 2 2 2 2 3 2" xfId="26112" xr:uid="{00000000-0005-0000-0000-0000CB520000}"/>
    <cellStyle name="Output 2 2 2 2 2 2 3 3" xfId="26113" xr:uid="{00000000-0005-0000-0000-0000CC520000}"/>
    <cellStyle name="Output 2 2 2 2 2 2 3 4" xfId="26114" xr:uid="{00000000-0005-0000-0000-0000CD520000}"/>
    <cellStyle name="Output 2 2 2 2 2 2 4" xfId="22916" xr:uid="{00000000-0005-0000-0000-0000CE520000}"/>
    <cellStyle name="Output 2 2 2 2 2 2 5" xfId="26115" xr:uid="{00000000-0005-0000-0000-0000CF520000}"/>
    <cellStyle name="Output 2 2 2 2 2 2 6" xfId="25890" xr:uid="{00000000-0005-0000-0000-0000D0520000}"/>
    <cellStyle name="Output 2 2 2 2 2 3" xfId="22918" xr:uid="{00000000-0005-0000-0000-0000D1520000}"/>
    <cellStyle name="Output 2 2 2 2 2 3 2" xfId="10481" xr:uid="{00000000-0005-0000-0000-0000D2520000}"/>
    <cellStyle name="Output 2 2 2 2 2 3 2 2" xfId="26117" xr:uid="{00000000-0005-0000-0000-0000D3520000}"/>
    <cellStyle name="Output 2 2 2 2 2 3 2 3" xfId="26118" xr:uid="{00000000-0005-0000-0000-0000D4520000}"/>
    <cellStyle name="Output 2 2 2 2 2 3 2 4" xfId="26119" xr:uid="{00000000-0005-0000-0000-0000D5520000}"/>
    <cellStyle name="Output 2 2 2 2 2 3 3" xfId="26120" xr:uid="{00000000-0005-0000-0000-0000D6520000}"/>
    <cellStyle name="Output 2 2 2 2 2 3 4" xfId="26121" xr:uid="{00000000-0005-0000-0000-0000D7520000}"/>
    <cellStyle name="Output 2 2 2 2 2 3 5" xfId="26122" xr:uid="{00000000-0005-0000-0000-0000D8520000}"/>
    <cellStyle name="Output 2 2 2 2 2 4" xfId="12178" xr:uid="{00000000-0005-0000-0000-0000D9520000}"/>
    <cellStyle name="Output 2 2 2 2 2 4 2" xfId="11877" xr:uid="{00000000-0005-0000-0000-0000DA520000}"/>
    <cellStyle name="Output 2 2 2 2 2 4 3" xfId="11887" xr:uid="{00000000-0005-0000-0000-0000DB520000}"/>
    <cellStyle name="Output 2 2 2 2 2 4 4" xfId="12183" xr:uid="{00000000-0005-0000-0000-0000DC520000}"/>
    <cellStyle name="Output 2 2 2 2 2 5" xfId="12193" xr:uid="{00000000-0005-0000-0000-0000DD520000}"/>
    <cellStyle name="Output 2 2 2 2 2 6" xfId="12201" xr:uid="{00000000-0005-0000-0000-0000DE520000}"/>
    <cellStyle name="Output 2 2 2 2 2 7" xfId="12208" xr:uid="{00000000-0005-0000-0000-0000DF520000}"/>
    <cellStyle name="Output 2 2 2 2 3" xfId="22921" xr:uid="{00000000-0005-0000-0000-0000E0520000}"/>
    <cellStyle name="Output 2 2 2 2 3 2" xfId="22923" xr:uid="{00000000-0005-0000-0000-0000E1520000}"/>
    <cellStyle name="Output 2 2 2 2 3 2 2" xfId="9978" xr:uid="{00000000-0005-0000-0000-0000E2520000}"/>
    <cellStyle name="Output 2 2 2 2 3 2 2 2" xfId="26123" xr:uid="{00000000-0005-0000-0000-0000E3520000}"/>
    <cellStyle name="Output 2 2 2 2 3 2 2 3" xfId="26124" xr:uid="{00000000-0005-0000-0000-0000E4520000}"/>
    <cellStyle name="Output 2 2 2 2 3 2 2 4" xfId="26125" xr:uid="{00000000-0005-0000-0000-0000E5520000}"/>
    <cellStyle name="Output 2 2 2 2 3 2 3" xfId="26126" xr:uid="{00000000-0005-0000-0000-0000E6520000}"/>
    <cellStyle name="Output 2 2 2 2 3 2 4" xfId="26127" xr:uid="{00000000-0005-0000-0000-0000E7520000}"/>
    <cellStyle name="Output 2 2 2 2 3 2 5" xfId="26128" xr:uid="{00000000-0005-0000-0000-0000E8520000}"/>
    <cellStyle name="Output 2 2 2 2 3 3" xfId="22926" xr:uid="{00000000-0005-0000-0000-0000E9520000}"/>
    <cellStyle name="Output 2 2 2 2 3 3 2" xfId="26130" xr:uid="{00000000-0005-0000-0000-0000EA520000}"/>
    <cellStyle name="Output 2 2 2 2 3 3 3" xfId="26131" xr:uid="{00000000-0005-0000-0000-0000EB520000}"/>
    <cellStyle name="Output 2 2 2 2 3 3 4" xfId="26132" xr:uid="{00000000-0005-0000-0000-0000EC520000}"/>
    <cellStyle name="Output 2 2 2 2 3 4" xfId="2056" xr:uid="{00000000-0005-0000-0000-0000ED520000}"/>
    <cellStyle name="Output 2 2 2 2 3 5" xfId="11259" xr:uid="{00000000-0005-0000-0000-0000EE520000}"/>
    <cellStyle name="Output 2 2 2 2 3 6" xfId="12219" xr:uid="{00000000-0005-0000-0000-0000EF520000}"/>
    <cellStyle name="Output 2 2 2 2 4" xfId="22929" xr:uid="{00000000-0005-0000-0000-0000F0520000}"/>
    <cellStyle name="Output 2 2 2 2 4 2" xfId="26133" xr:uid="{00000000-0005-0000-0000-0000F1520000}"/>
    <cellStyle name="Output 2 2 2 2 4 2 2" xfId="26135" xr:uid="{00000000-0005-0000-0000-0000F2520000}"/>
    <cellStyle name="Output 2 2 2 2 4 2 3" xfId="26137" xr:uid="{00000000-0005-0000-0000-0000F3520000}"/>
    <cellStyle name="Output 2 2 2 2 4 2 4" xfId="26139" xr:uid="{00000000-0005-0000-0000-0000F4520000}"/>
    <cellStyle name="Output 2 2 2 2 4 3" xfId="26140" xr:uid="{00000000-0005-0000-0000-0000F5520000}"/>
    <cellStyle name="Output 2 2 2 2 4 4" xfId="6850" xr:uid="{00000000-0005-0000-0000-0000F6520000}"/>
    <cellStyle name="Output 2 2 2 2 4 5" xfId="6869" xr:uid="{00000000-0005-0000-0000-0000F7520000}"/>
    <cellStyle name="Output 2 2 2 2 5" xfId="22094" xr:uid="{00000000-0005-0000-0000-0000F8520000}"/>
    <cellStyle name="Output 2 2 2 2 5 2" xfId="22097" xr:uid="{00000000-0005-0000-0000-0000F9520000}"/>
    <cellStyle name="Output 2 2 2 2 5 3" xfId="22099" xr:uid="{00000000-0005-0000-0000-0000FA520000}"/>
    <cellStyle name="Output 2 2 2 2 5 4" xfId="22101" xr:uid="{00000000-0005-0000-0000-0000FB520000}"/>
    <cellStyle name="Output 2 2 2 2 6" xfId="22103" xr:uid="{00000000-0005-0000-0000-0000FC520000}"/>
    <cellStyle name="Output 2 2 2 2 7" xfId="22106" xr:uid="{00000000-0005-0000-0000-0000FD520000}"/>
    <cellStyle name="Output 2 2 2 2 8" xfId="22108" xr:uid="{00000000-0005-0000-0000-0000FE520000}"/>
    <cellStyle name="Output 2 2 2 3" xfId="26141" xr:uid="{00000000-0005-0000-0000-0000FF520000}"/>
    <cellStyle name="Output 2 2 2 3 2" xfId="22948" xr:uid="{00000000-0005-0000-0000-000000530000}"/>
    <cellStyle name="Output 2 2 2 3 2 2" xfId="14218" xr:uid="{00000000-0005-0000-0000-000001530000}"/>
    <cellStyle name="Output 2 2 2 3 2 2 2" xfId="7142" xr:uid="{00000000-0005-0000-0000-000002530000}"/>
    <cellStyle name="Output 2 2 2 3 2 2 2 2" xfId="5685" xr:uid="{00000000-0005-0000-0000-000003530000}"/>
    <cellStyle name="Output 2 2 2 3 2 2 2 3" xfId="18870" xr:uid="{00000000-0005-0000-0000-000004530000}"/>
    <cellStyle name="Output 2 2 2 3 2 2 2 4" xfId="18899" xr:uid="{00000000-0005-0000-0000-000005530000}"/>
    <cellStyle name="Output 2 2 2 3 2 2 3" xfId="18910" xr:uid="{00000000-0005-0000-0000-000006530000}"/>
    <cellStyle name="Output 2 2 2 3 2 2 4" xfId="18932" xr:uid="{00000000-0005-0000-0000-000007530000}"/>
    <cellStyle name="Output 2 2 2 3 2 2 5" xfId="331" xr:uid="{00000000-0005-0000-0000-000008530000}"/>
    <cellStyle name="Output 2 2 2 3 2 3" xfId="14223" xr:uid="{00000000-0005-0000-0000-000009530000}"/>
    <cellStyle name="Output 2 2 2 3 2 3 2" xfId="18949" xr:uid="{00000000-0005-0000-0000-00000A530000}"/>
    <cellStyle name="Output 2 2 2 3 2 3 3" xfId="18982" xr:uid="{00000000-0005-0000-0000-00000B530000}"/>
    <cellStyle name="Output 2 2 2 3 2 3 4" xfId="18988" xr:uid="{00000000-0005-0000-0000-00000C530000}"/>
    <cellStyle name="Output 2 2 2 3 2 4" xfId="12236" xr:uid="{00000000-0005-0000-0000-00000D530000}"/>
    <cellStyle name="Output 2 2 2 3 2 5" xfId="12241" xr:uid="{00000000-0005-0000-0000-00000E530000}"/>
    <cellStyle name="Output 2 2 2 3 2 6" xfId="12249" xr:uid="{00000000-0005-0000-0000-00000F530000}"/>
    <cellStyle name="Output 2 2 2 3 3" xfId="22950" xr:uid="{00000000-0005-0000-0000-000010530000}"/>
    <cellStyle name="Output 2 2 2 3 3 2" xfId="11338" xr:uid="{00000000-0005-0000-0000-000011530000}"/>
    <cellStyle name="Output 2 2 2 3 3 2 2" xfId="18776" xr:uid="{00000000-0005-0000-0000-000012530000}"/>
    <cellStyle name="Output 2 2 2 3 3 2 3" xfId="18780" xr:uid="{00000000-0005-0000-0000-000013530000}"/>
    <cellStyle name="Output 2 2 2 3 3 2 4" xfId="18872" xr:uid="{00000000-0005-0000-0000-000014530000}"/>
    <cellStyle name="Output 2 2 2 3 3 3" xfId="18875" xr:uid="{00000000-0005-0000-0000-000015530000}"/>
    <cellStyle name="Output 2 2 2 3 3 4" xfId="18881" xr:uid="{00000000-0005-0000-0000-000016530000}"/>
    <cellStyle name="Output 2 2 2 3 3 5" xfId="18884" xr:uid="{00000000-0005-0000-0000-000017530000}"/>
    <cellStyle name="Output 2 2 2 3 4" xfId="22952" xr:uid="{00000000-0005-0000-0000-000018530000}"/>
    <cellStyle name="Output 2 2 2 3 4 2" xfId="18891" xr:uid="{00000000-0005-0000-0000-000019530000}"/>
    <cellStyle name="Output 2 2 2 3 4 3" xfId="18894" xr:uid="{00000000-0005-0000-0000-00001A530000}"/>
    <cellStyle name="Output 2 2 2 3 4 4" xfId="486" xr:uid="{00000000-0005-0000-0000-00001B530000}"/>
    <cellStyle name="Output 2 2 2 3 5" xfId="22111" xr:uid="{00000000-0005-0000-0000-00001C530000}"/>
    <cellStyle name="Output 2 2 2 3 6" xfId="22114" xr:uid="{00000000-0005-0000-0000-00001D530000}"/>
    <cellStyle name="Output 2 2 2 3 7" xfId="22116" xr:uid="{00000000-0005-0000-0000-00001E530000}"/>
    <cellStyle name="Output 2 2 2 4" xfId="26142" xr:uid="{00000000-0005-0000-0000-00001F530000}"/>
    <cellStyle name="Output 2 2 2 4 2" xfId="22957" xr:uid="{00000000-0005-0000-0000-000020530000}"/>
    <cellStyle name="Output 2 2 2 4 2 2" xfId="14246" xr:uid="{00000000-0005-0000-0000-000021530000}"/>
    <cellStyle name="Output 2 2 2 4 2 2 2" xfId="17037" xr:uid="{00000000-0005-0000-0000-000022530000}"/>
    <cellStyle name="Output 2 2 2 4 2 2 3" xfId="17041" xr:uid="{00000000-0005-0000-0000-000023530000}"/>
    <cellStyle name="Output 2 2 2 4 2 2 4" xfId="22071" xr:uid="{00000000-0005-0000-0000-000024530000}"/>
    <cellStyle name="Output 2 2 2 4 2 3" xfId="22090" xr:uid="{00000000-0005-0000-0000-000025530000}"/>
    <cellStyle name="Output 2 2 2 4 2 4" xfId="18538" xr:uid="{00000000-0005-0000-0000-000026530000}"/>
    <cellStyle name="Output 2 2 2 4 2 5" xfId="18541" xr:uid="{00000000-0005-0000-0000-000027530000}"/>
    <cellStyle name="Output 2 2 2 4 3" xfId="22959" xr:uid="{00000000-0005-0000-0000-000028530000}"/>
    <cellStyle name="Output 2 2 2 4 3 2" xfId="22234" xr:uid="{00000000-0005-0000-0000-000029530000}"/>
    <cellStyle name="Output 2 2 2 4 3 3" xfId="22246" xr:uid="{00000000-0005-0000-0000-00002A530000}"/>
    <cellStyle name="Output 2 2 2 4 3 4" xfId="17898" xr:uid="{00000000-0005-0000-0000-00002B530000}"/>
    <cellStyle name="Output 2 2 2 4 4" xfId="22961" xr:uid="{00000000-0005-0000-0000-00002C530000}"/>
    <cellStyle name="Output 2 2 2 4 5" xfId="26143" xr:uid="{00000000-0005-0000-0000-00002D530000}"/>
    <cellStyle name="Output 2 2 2 4 6" xfId="26144" xr:uid="{00000000-0005-0000-0000-00002E530000}"/>
    <cellStyle name="Output 2 2 2 5" xfId="26145" xr:uid="{00000000-0005-0000-0000-00002F530000}"/>
    <cellStyle name="Output 2 2 2 5 2" xfId="22970" xr:uid="{00000000-0005-0000-0000-000030530000}"/>
    <cellStyle name="Output 2 2 2 5 2 2" xfId="22763" xr:uid="{00000000-0005-0000-0000-000031530000}"/>
    <cellStyle name="Output 2 2 2 5 2 3" xfId="22802" xr:uid="{00000000-0005-0000-0000-000032530000}"/>
    <cellStyle name="Output 2 2 2 5 2 4" xfId="22828" xr:uid="{00000000-0005-0000-0000-000033530000}"/>
    <cellStyle name="Output 2 2 2 5 3" xfId="22973" xr:uid="{00000000-0005-0000-0000-000034530000}"/>
    <cellStyle name="Output 2 2 2 5 4" xfId="26146" xr:uid="{00000000-0005-0000-0000-000035530000}"/>
    <cellStyle name="Output 2 2 2 5 5" xfId="26147" xr:uid="{00000000-0005-0000-0000-000036530000}"/>
    <cellStyle name="Output 2 2 2 6" xfId="26148" xr:uid="{00000000-0005-0000-0000-000037530000}"/>
    <cellStyle name="Output 2 2 2 6 2" xfId="22977" xr:uid="{00000000-0005-0000-0000-000038530000}"/>
    <cellStyle name="Output 2 2 2 6 3" xfId="26149" xr:uid="{00000000-0005-0000-0000-000039530000}"/>
    <cellStyle name="Output 2 2 2 6 4" xfId="26150" xr:uid="{00000000-0005-0000-0000-00003A530000}"/>
    <cellStyle name="Output 2 2 2 7" xfId="26151" xr:uid="{00000000-0005-0000-0000-00003B530000}"/>
    <cellStyle name="Output 2 2 2 8" xfId="26152" xr:uid="{00000000-0005-0000-0000-00003C530000}"/>
    <cellStyle name="Output 2 2 2 9" xfId="26153" xr:uid="{00000000-0005-0000-0000-00003D530000}"/>
    <cellStyle name="Output 2 2 3" xfId="26154" xr:uid="{00000000-0005-0000-0000-00003E530000}"/>
    <cellStyle name="Output 2 2 3 2" xfId="11443" xr:uid="{00000000-0005-0000-0000-00003F530000}"/>
    <cellStyle name="Output 2 2 3 2 2" xfId="23008" xr:uid="{00000000-0005-0000-0000-000040530000}"/>
    <cellStyle name="Output 2 2 3 2 2 2" xfId="23010" xr:uid="{00000000-0005-0000-0000-000041530000}"/>
    <cellStyle name="Output 2 2 3 2 2 2 2" xfId="10621" xr:uid="{00000000-0005-0000-0000-000042530000}"/>
    <cellStyle name="Output 2 2 3 2 2 2 2 2" xfId="22552" xr:uid="{00000000-0005-0000-0000-000043530000}"/>
    <cellStyle name="Output 2 2 3 2 2 2 2 2 2" xfId="261" xr:uid="{00000000-0005-0000-0000-000044530000}"/>
    <cellStyle name="Output 2 2 3 2 2 2 2 2 3" xfId="6946" xr:uid="{00000000-0005-0000-0000-000045530000}"/>
    <cellStyle name="Output 2 2 3 2 2 2 2 2 4" xfId="26155" xr:uid="{00000000-0005-0000-0000-000046530000}"/>
    <cellStyle name="Output 2 2 3 2 2 2 2 3" xfId="26156" xr:uid="{00000000-0005-0000-0000-000047530000}"/>
    <cellStyle name="Output 2 2 3 2 2 2 2 4" xfId="9470" xr:uid="{00000000-0005-0000-0000-000048530000}"/>
    <cellStyle name="Output 2 2 3 2 2 2 2 5" xfId="9474" xr:uid="{00000000-0005-0000-0000-000049530000}"/>
    <cellStyle name="Output 2 2 3 2 2 2 3" xfId="10629" xr:uid="{00000000-0005-0000-0000-00004A530000}"/>
    <cellStyle name="Output 2 2 3 2 2 2 3 2" xfId="26157" xr:uid="{00000000-0005-0000-0000-00004B530000}"/>
    <cellStyle name="Output 2 2 3 2 2 2 3 3" xfId="26158" xr:uid="{00000000-0005-0000-0000-00004C530000}"/>
    <cellStyle name="Output 2 2 3 2 2 2 3 4" xfId="4491" xr:uid="{00000000-0005-0000-0000-00004D530000}"/>
    <cellStyle name="Output 2 2 3 2 2 2 4" xfId="10637" xr:uid="{00000000-0005-0000-0000-00004E530000}"/>
    <cellStyle name="Output 2 2 3 2 2 2 5" xfId="13807" xr:uid="{00000000-0005-0000-0000-00004F530000}"/>
    <cellStyle name="Output 2 2 3 2 2 2 6" xfId="13810" xr:uid="{00000000-0005-0000-0000-000050530000}"/>
    <cellStyle name="Output 2 2 3 2 2 3" xfId="23012" xr:uid="{00000000-0005-0000-0000-000051530000}"/>
    <cellStyle name="Output 2 2 3 2 2 3 2" xfId="10656" xr:uid="{00000000-0005-0000-0000-000052530000}"/>
    <cellStyle name="Output 2 2 3 2 2 3 2 2" xfId="26159" xr:uid="{00000000-0005-0000-0000-000053530000}"/>
    <cellStyle name="Output 2 2 3 2 2 3 2 3" xfId="26160" xr:uid="{00000000-0005-0000-0000-000054530000}"/>
    <cellStyle name="Output 2 2 3 2 2 3 2 4" xfId="9481" xr:uid="{00000000-0005-0000-0000-000055530000}"/>
    <cellStyle name="Output 2 2 3 2 2 3 3" xfId="10659" xr:uid="{00000000-0005-0000-0000-000056530000}"/>
    <cellStyle name="Output 2 2 3 2 2 3 4" xfId="26161" xr:uid="{00000000-0005-0000-0000-000057530000}"/>
    <cellStyle name="Output 2 2 3 2 2 3 5" xfId="26162" xr:uid="{00000000-0005-0000-0000-000058530000}"/>
    <cellStyle name="Output 2 2 3 2 2 4" xfId="11456" xr:uid="{00000000-0005-0000-0000-000059530000}"/>
    <cellStyle name="Output 2 2 3 2 2 4 2" xfId="10689" xr:uid="{00000000-0005-0000-0000-00005A530000}"/>
    <cellStyle name="Output 2 2 3 2 2 4 3" xfId="20159" xr:uid="{00000000-0005-0000-0000-00005B530000}"/>
    <cellStyle name="Output 2 2 3 2 2 4 4" xfId="26164" xr:uid="{00000000-0005-0000-0000-00005C530000}"/>
    <cellStyle name="Output 2 2 3 2 2 5" xfId="11464" xr:uid="{00000000-0005-0000-0000-00005D530000}"/>
    <cellStyle name="Output 2 2 3 2 2 6" xfId="12326" xr:uid="{00000000-0005-0000-0000-00005E530000}"/>
    <cellStyle name="Output 2 2 3 2 2 7" xfId="16251" xr:uid="{00000000-0005-0000-0000-00005F530000}"/>
    <cellStyle name="Output 2 2 3 2 3" xfId="23014" xr:uid="{00000000-0005-0000-0000-000060530000}"/>
    <cellStyle name="Output 2 2 3 2 3 2" xfId="23016" xr:uid="{00000000-0005-0000-0000-000061530000}"/>
    <cellStyle name="Output 2 2 3 2 3 2 2" xfId="10722" xr:uid="{00000000-0005-0000-0000-000062530000}"/>
    <cellStyle name="Output 2 2 3 2 3 2 2 2" xfId="26165" xr:uid="{00000000-0005-0000-0000-000063530000}"/>
    <cellStyle name="Output 2 2 3 2 3 2 2 3" xfId="26166" xr:uid="{00000000-0005-0000-0000-000064530000}"/>
    <cellStyle name="Output 2 2 3 2 3 2 2 4" xfId="9553" xr:uid="{00000000-0005-0000-0000-000065530000}"/>
    <cellStyle name="Output 2 2 3 2 3 2 3" xfId="10728" xr:uid="{00000000-0005-0000-0000-000066530000}"/>
    <cellStyle name="Output 2 2 3 2 3 2 4" xfId="26167" xr:uid="{00000000-0005-0000-0000-000067530000}"/>
    <cellStyle name="Output 2 2 3 2 3 2 5" xfId="26168" xr:uid="{00000000-0005-0000-0000-000068530000}"/>
    <cellStyle name="Output 2 2 3 2 3 3" xfId="23018" xr:uid="{00000000-0005-0000-0000-000069530000}"/>
    <cellStyle name="Output 2 2 3 2 3 3 2" xfId="10735" xr:uid="{00000000-0005-0000-0000-00006A530000}"/>
    <cellStyle name="Output 2 2 3 2 3 3 3" xfId="26169" xr:uid="{00000000-0005-0000-0000-00006B530000}"/>
    <cellStyle name="Output 2 2 3 2 3 3 4" xfId="26170" xr:uid="{00000000-0005-0000-0000-00006C530000}"/>
    <cellStyle name="Output 2 2 3 2 3 4" xfId="11486" xr:uid="{00000000-0005-0000-0000-00006D530000}"/>
    <cellStyle name="Output 2 2 3 2 3 5" xfId="18917" xr:uid="{00000000-0005-0000-0000-00006E530000}"/>
    <cellStyle name="Output 2 2 3 2 3 6" xfId="19684" xr:uid="{00000000-0005-0000-0000-00006F530000}"/>
    <cellStyle name="Output 2 2 3 2 4" xfId="23020" xr:uid="{00000000-0005-0000-0000-000070530000}"/>
    <cellStyle name="Output 2 2 3 2 4 2" xfId="26171" xr:uid="{00000000-0005-0000-0000-000071530000}"/>
    <cellStyle name="Output 2 2 3 2 4 2 2" xfId="10758" xr:uid="{00000000-0005-0000-0000-000072530000}"/>
    <cellStyle name="Output 2 2 3 2 4 2 3" xfId="18654" xr:uid="{00000000-0005-0000-0000-000073530000}"/>
    <cellStyle name="Output 2 2 3 2 4 2 4" xfId="18670" xr:uid="{00000000-0005-0000-0000-000074530000}"/>
    <cellStyle name="Output 2 2 3 2 4 3" xfId="26172" xr:uid="{00000000-0005-0000-0000-000075530000}"/>
    <cellStyle name="Output 2 2 3 2 4 4" xfId="26173" xr:uid="{00000000-0005-0000-0000-000076530000}"/>
    <cellStyle name="Output 2 2 3 2 4 5" xfId="26174" xr:uid="{00000000-0005-0000-0000-000077530000}"/>
    <cellStyle name="Output 2 2 3 2 5" xfId="22125" xr:uid="{00000000-0005-0000-0000-000078530000}"/>
    <cellStyle name="Output 2 2 3 2 5 2" xfId="26175" xr:uid="{00000000-0005-0000-0000-000079530000}"/>
    <cellStyle name="Output 2 2 3 2 5 3" xfId="26176" xr:uid="{00000000-0005-0000-0000-00007A530000}"/>
    <cellStyle name="Output 2 2 3 2 5 4" xfId="26177" xr:uid="{00000000-0005-0000-0000-00007B530000}"/>
    <cellStyle name="Output 2 2 3 2 6" xfId="22128" xr:uid="{00000000-0005-0000-0000-00007C530000}"/>
    <cellStyle name="Output 2 2 3 2 7" xfId="11651" xr:uid="{00000000-0005-0000-0000-00007D530000}"/>
    <cellStyle name="Output 2 2 3 2 8" xfId="10586" xr:uid="{00000000-0005-0000-0000-00007E530000}"/>
    <cellStyle name="Output 2 2 3 3" xfId="11493" xr:uid="{00000000-0005-0000-0000-00007F530000}"/>
    <cellStyle name="Output 2 2 3 3 2" xfId="23033" xr:uid="{00000000-0005-0000-0000-000080530000}"/>
    <cellStyle name="Output 2 2 3 3 2 2" xfId="11499" xr:uid="{00000000-0005-0000-0000-000081530000}"/>
    <cellStyle name="Output 2 2 3 3 2 2 2" xfId="8467" xr:uid="{00000000-0005-0000-0000-000082530000}"/>
    <cellStyle name="Output 2 2 3 3 2 2 2 2" xfId="22677" xr:uid="{00000000-0005-0000-0000-000083530000}"/>
    <cellStyle name="Output 2 2 3 3 2 2 2 3" xfId="23247" xr:uid="{00000000-0005-0000-0000-000084530000}"/>
    <cellStyle name="Output 2 2 3 3 2 2 2 4" xfId="8501" xr:uid="{00000000-0005-0000-0000-000085530000}"/>
    <cellStyle name="Output 2 2 3 3 2 2 3" xfId="8515" xr:uid="{00000000-0005-0000-0000-000086530000}"/>
    <cellStyle name="Output 2 2 3 3 2 2 4" xfId="8539" xr:uid="{00000000-0005-0000-0000-000087530000}"/>
    <cellStyle name="Output 2 2 3 3 2 2 5" xfId="8555" xr:uid="{00000000-0005-0000-0000-000088530000}"/>
    <cellStyle name="Output 2 2 3 3 2 3" xfId="23035" xr:uid="{00000000-0005-0000-0000-000089530000}"/>
    <cellStyle name="Output 2 2 3 3 2 3 2" xfId="8604" xr:uid="{00000000-0005-0000-0000-00008A530000}"/>
    <cellStyle name="Output 2 2 3 3 2 3 3" xfId="26178" xr:uid="{00000000-0005-0000-0000-00008B530000}"/>
    <cellStyle name="Output 2 2 3 3 2 3 4" xfId="26180" xr:uid="{00000000-0005-0000-0000-00008C530000}"/>
    <cellStyle name="Output 2 2 3 3 2 4" xfId="23037" xr:uid="{00000000-0005-0000-0000-00008D530000}"/>
    <cellStyle name="Output 2 2 3 3 2 5" xfId="26181" xr:uid="{00000000-0005-0000-0000-00008E530000}"/>
    <cellStyle name="Output 2 2 3 3 2 6" xfId="26183" xr:uid="{00000000-0005-0000-0000-00008F530000}"/>
    <cellStyle name="Output 2 2 3 3 3" xfId="23039" xr:uid="{00000000-0005-0000-0000-000090530000}"/>
    <cellStyle name="Output 2 2 3 3 3 2" xfId="26184" xr:uid="{00000000-0005-0000-0000-000091530000}"/>
    <cellStyle name="Output 2 2 3 3 3 2 2" xfId="8757" xr:uid="{00000000-0005-0000-0000-000092530000}"/>
    <cellStyle name="Output 2 2 3 3 3 2 3" xfId="26185" xr:uid="{00000000-0005-0000-0000-000093530000}"/>
    <cellStyle name="Output 2 2 3 3 3 2 4" xfId="26187" xr:uid="{00000000-0005-0000-0000-000094530000}"/>
    <cellStyle name="Output 2 2 3 3 3 3" xfId="26188" xr:uid="{00000000-0005-0000-0000-000095530000}"/>
    <cellStyle name="Output 2 2 3 3 3 4" xfId="26189" xr:uid="{00000000-0005-0000-0000-000096530000}"/>
    <cellStyle name="Output 2 2 3 3 3 5" xfId="26190" xr:uid="{00000000-0005-0000-0000-000097530000}"/>
    <cellStyle name="Output 2 2 3 3 4" xfId="23041" xr:uid="{00000000-0005-0000-0000-000098530000}"/>
    <cellStyle name="Output 2 2 3 3 4 2" xfId="26191" xr:uid="{00000000-0005-0000-0000-000099530000}"/>
    <cellStyle name="Output 2 2 3 3 4 3" xfId="26192" xr:uid="{00000000-0005-0000-0000-00009A530000}"/>
    <cellStyle name="Output 2 2 3 3 4 4" xfId="26193" xr:uid="{00000000-0005-0000-0000-00009B530000}"/>
    <cellStyle name="Output 2 2 3 3 5" xfId="23043" xr:uid="{00000000-0005-0000-0000-00009C530000}"/>
    <cellStyle name="Output 2 2 3 3 6" xfId="26194" xr:uid="{00000000-0005-0000-0000-00009D530000}"/>
    <cellStyle name="Output 2 2 3 3 7" xfId="11658" xr:uid="{00000000-0005-0000-0000-00009E530000}"/>
    <cellStyle name="Output 2 2 3 4" xfId="26195" xr:uid="{00000000-0005-0000-0000-00009F530000}"/>
    <cellStyle name="Output 2 2 3 4 2" xfId="23050" xr:uid="{00000000-0005-0000-0000-0000A0530000}"/>
    <cellStyle name="Output 2 2 3 4 2 2" xfId="26196" xr:uid="{00000000-0005-0000-0000-0000A1530000}"/>
    <cellStyle name="Output 2 2 3 4 2 2 2" xfId="9016" xr:uid="{00000000-0005-0000-0000-0000A2530000}"/>
    <cellStyle name="Output 2 2 3 4 2 2 3" xfId="17145" xr:uid="{00000000-0005-0000-0000-0000A3530000}"/>
    <cellStyle name="Output 2 2 3 4 2 2 4" xfId="9058" xr:uid="{00000000-0005-0000-0000-0000A4530000}"/>
    <cellStyle name="Output 2 2 3 4 2 3" xfId="26197" xr:uid="{00000000-0005-0000-0000-0000A5530000}"/>
    <cellStyle name="Output 2 2 3 4 2 4" xfId="26198" xr:uid="{00000000-0005-0000-0000-0000A6530000}"/>
    <cellStyle name="Output 2 2 3 4 2 5" xfId="26199" xr:uid="{00000000-0005-0000-0000-0000A7530000}"/>
    <cellStyle name="Output 2 2 3 4 3" xfId="23052" xr:uid="{00000000-0005-0000-0000-0000A8530000}"/>
    <cellStyle name="Output 2 2 3 4 3 2" xfId="26200" xr:uid="{00000000-0005-0000-0000-0000A9530000}"/>
    <cellStyle name="Output 2 2 3 4 3 3" xfId="26201" xr:uid="{00000000-0005-0000-0000-0000AA530000}"/>
    <cellStyle name="Output 2 2 3 4 3 4" xfId="26202" xr:uid="{00000000-0005-0000-0000-0000AB530000}"/>
    <cellStyle name="Output 2 2 3 4 4" xfId="23054" xr:uid="{00000000-0005-0000-0000-0000AC530000}"/>
    <cellStyle name="Output 2 2 3 4 5" xfId="25321" xr:uid="{00000000-0005-0000-0000-0000AD530000}"/>
    <cellStyle name="Output 2 2 3 4 6" xfId="16349" xr:uid="{00000000-0005-0000-0000-0000AE530000}"/>
    <cellStyle name="Output 2 2 3 5" xfId="26203" xr:uid="{00000000-0005-0000-0000-0000AF530000}"/>
    <cellStyle name="Output 2 2 3 5 2" xfId="23062" xr:uid="{00000000-0005-0000-0000-0000B0530000}"/>
    <cellStyle name="Output 2 2 3 5 2 2" xfId="26204" xr:uid="{00000000-0005-0000-0000-0000B1530000}"/>
    <cellStyle name="Output 2 2 3 5 2 3" xfId="26205" xr:uid="{00000000-0005-0000-0000-0000B2530000}"/>
    <cellStyle name="Output 2 2 3 5 2 4" xfId="26206" xr:uid="{00000000-0005-0000-0000-0000B3530000}"/>
    <cellStyle name="Output 2 2 3 5 3" xfId="23064" xr:uid="{00000000-0005-0000-0000-0000B4530000}"/>
    <cellStyle name="Output 2 2 3 5 4" xfId="26207" xr:uid="{00000000-0005-0000-0000-0000B5530000}"/>
    <cellStyle name="Output 2 2 3 5 5" xfId="25326" xr:uid="{00000000-0005-0000-0000-0000B6530000}"/>
    <cellStyle name="Output 2 2 3 6" xfId="26208" xr:uid="{00000000-0005-0000-0000-0000B7530000}"/>
    <cellStyle name="Output 2 2 3 6 2" xfId="21929" xr:uid="{00000000-0005-0000-0000-0000B8530000}"/>
    <cellStyle name="Output 2 2 3 6 3" xfId="18767" xr:uid="{00000000-0005-0000-0000-0000B9530000}"/>
    <cellStyle name="Output 2 2 3 6 4" xfId="18770" xr:uid="{00000000-0005-0000-0000-0000BA530000}"/>
    <cellStyle name="Output 2 2 3 7" xfId="26209" xr:uid="{00000000-0005-0000-0000-0000BB530000}"/>
    <cellStyle name="Output 2 2 3 8" xfId="26210" xr:uid="{00000000-0005-0000-0000-0000BC530000}"/>
    <cellStyle name="Output 2 2 3 9" xfId="26211" xr:uid="{00000000-0005-0000-0000-0000BD530000}"/>
    <cellStyle name="Output 2 2 4" xfId="26212" xr:uid="{00000000-0005-0000-0000-0000BE530000}"/>
    <cellStyle name="Output 2 2 4 2" xfId="11535" xr:uid="{00000000-0005-0000-0000-0000BF530000}"/>
    <cellStyle name="Output 2 2 4 2 2" xfId="23096" xr:uid="{00000000-0005-0000-0000-0000C0530000}"/>
    <cellStyle name="Output 2 2 4 2 2 2" xfId="9355" xr:uid="{00000000-0005-0000-0000-0000C1530000}"/>
    <cellStyle name="Output 2 2 4 2 2 2 2" xfId="2779" xr:uid="{00000000-0005-0000-0000-0000C2530000}"/>
    <cellStyle name="Output 2 2 4 2 2 2 2 2" xfId="26214" xr:uid="{00000000-0005-0000-0000-0000C3530000}"/>
    <cellStyle name="Output 2 2 4 2 2 2 2 3" xfId="26215" xr:uid="{00000000-0005-0000-0000-0000C4530000}"/>
    <cellStyle name="Output 2 2 4 2 2 2 2 4" xfId="26217" xr:uid="{00000000-0005-0000-0000-0000C5530000}"/>
    <cellStyle name="Output 2 2 4 2 2 2 3" xfId="2799" xr:uid="{00000000-0005-0000-0000-0000C6530000}"/>
    <cellStyle name="Output 2 2 4 2 2 2 4" xfId="2818" xr:uid="{00000000-0005-0000-0000-0000C7530000}"/>
    <cellStyle name="Output 2 2 4 2 2 2 5" xfId="26218" xr:uid="{00000000-0005-0000-0000-0000C8530000}"/>
    <cellStyle name="Output 2 2 4 2 2 3" xfId="9384" xr:uid="{00000000-0005-0000-0000-0000C9530000}"/>
    <cellStyle name="Output 2 2 4 2 2 3 2" xfId="2853" xr:uid="{00000000-0005-0000-0000-0000CA530000}"/>
    <cellStyle name="Output 2 2 4 2 2 3 3" xfId="2865" xr:uid="{00000000-0005-0000-0000-0000CB530000}"/>
    <cellStyle name="Output 2 2 4 2 2 3 4" xfId="26220" xr:uid="{00000000-0005-0000-0000-0000CC530000}"/>
    <cellStyle name="Output 2 2 4 2 2 4" xfId="23099" xr:uid="{00000000-0005-0000-0000-0000CD530000}"/>
    <cellStyle name="Output 2 2 4 2 2 5" xfId="26222" xr:uid="{00000000-0005-0000-0000-0000CE530000}"/>
    <cellStyle name="Output 2 2 4 2 2 6" xfId="26225" xr:uid="{00000000-0005-0000-0000-0000CF530000}"/>
    <cellStyle name="Output 2 2 4 2 3" xfId="23101" xr:uid="{00000000-0005-0000-0000-0000D0530000}"/>
    <cellStyle name="Output 2 2 4 2 3 2" xfId="9468" xr:uid="{00000000-0005-0000-0000-0000D1530000}"/>
    <cellStyle name="Output 2 2 4 2 3 2 2" xfId="2980" xr:uid="{00000000-0005-0000-0000-0000D2530000}"/>
    <cellStyle name="Output 2 2 4 2 3 2 3" xfId="1518" xr:uid="{00000000-0005-0000-0000-0000D3530000}"/>
    <cellStyle name="Output 2 2 4 2 3 2 4" xfId="26226" xr:uid="{00000000-0005-0000-0000-0000D4530000}"/>
    <cellStyle name="Output 2 2 4 2 3 3" xfId="26228" xr:uid="{00000000-0005-0000-0000-0000D5530000}"/>
    <cellStyle name="Output 2 2 4 2 3 4" xfId="26230" xr:uid="{00000000-0005-0000-0000-0000D6530000}"/>
    <cellStyle name="Output 2 2 4 2 3 5" xfId="26232" xr:uid="{00000000-0005-0000-0000-0000D7530000}"/>
    <cellStyle name="Output 2 2 4 2 4" xfId="23104" xr:uid="{00000000-0005-0000-0000-0000D8530000}"/>
    <cellStyle name="Output 2 2 4 2 4 2" xfId="26233" xr:uid="{00000000-0005-0000-0000-0000D9530000}"/>
    <cellStyle name="Output 2 2 4 2 4 3" xfId="26235" xr:uid="{00000000-0005-0000-0000-0000DA530000}"/>
    <cellStyle name="Output 2 2 4 2 4 4" xfId="26237" xr:uid="{00000000-0005-0000-0000-0000DB530000}"/>
    <cellStyle name="Output 2 2 4 2 5" xfId="23107" xr:uid="{00000000-0005-0000-0000-0000DC530000}"/>
    <cellStyle name="Output 2 2 4 2 6" xfId="26239" xr:uid="{00000000-0005-0000-0000-0000DD530000}"/>
    <cellStyle name="Output 2 2 4 2 7" xfId="3578" xr:uid="{00000000-0005-0000-0000-0000DE530000}"/>
    <cellStyle name="Output 2 2 4 3" xfId="11545" xr:uid="{00000000-0005-0000-0000-0000DF530000}"/>
    <cellStyle name="Output 2 2 4 3 2" xfId="23122" xr:uid="{00000000-0005-0000-0000-0000E0530000}"/>
    <cellStyle name="Output 2 2 4 3 2 2" xfId="3724" xr:uid="{00000000-0005-0000-0000-0000E1530000}"/>
    <cellStyle name="Output 2 2 4 3 2 2 2" xfId="572" xr:uid="{00000000-0005-0000-0000-0000E2530000}"/>
    <cellStyle name="Output 2 2 4 3 2 2 3" xfId="3186" xr:uid="{00000000-0005-0000-0000-0000E3530000}"/>
    <cellStyle name="Output 2 2 4 3 2 2 4" xfId="26241" xr:uid="{00000000-0005-0000-0000-0000E4530000}"/>
    <cellStyle name="Output 2 2 4 3 2 3" xfId="26243" xr:uid="{00000000-0005-0000-0000-0000E5530000}"/>
    <cellStyle name="Output 2 2 4 3 2 4" xfId="26246" xr:uid="{00000000-0005-0000-0000-0000E6530000}"/>
    <cellStyle name="Output 2 2 4 3 2 5" xfId="26249" xr:uid="{00000000-0005-0000-0000-0000E7530000}"/>
    <cellStyle name="Output 2 2 4 3 3" xfId="23124" xr:uid="{00000000-0005-0000-0000-0000E8530000}"/>
    <cellStyle name="Output 2 2 4 3 3 2" xfId="26250" xr:uid="{00000000-0005-0000-0000-0000E9530000}"/>
    <cellStyle name="Output 2 2 4 3 3 3" xfId="26253" xr:uid="{00000000-0005-0000-0000-0000EA530000}"/>
    <cellStyle name="Output 2 2 4 3 3 4" xfId="26257" xr:uid="{00000000-0005-0000-0000-0000EB530000}"/>
    <cellStyle name="Output 2 2 4 3 4" xfId="23126" xr:uid="{00000000-0005-0000-0000-0000EC530000}"/>
    <cellStyle name="Output 2 2 4 3 5" xfId="26258" xr:uid="{00000000-0005-0000-0000-0000ED530000}"/>
    <cellStyle name="Output 2 2 4 3 6" xfId="26259" xr:uid="{00000000-0005-0000-0000-0000EE530000}"/>
    <cellStyle name="Output 2 2 4 4" xfId="26260" xr:uid="{00000000-0005-0000-0000-0000EF530000}"/>
    <cellStyle name="Output 2 2 4 4 2" xfId="23134" xr:uid="{00000000-0005-0000-0000-0000F0530000}"/>
    <cellStyle name="Output 2 2 4 4 2 2" xfId="26261" xr:uid="{00000000-0005-0000-0000-0000F1530000}"/>
    <cellStyle name="Output 2 2 4 4 2 3" xfId="26263" xr:uid="{00000000-0005-0000-0000-0000F2530000}"/>
    <cellStyle name="Output 2 2 4 4 2 4" xfId="26266" xr:uid="{00000000-0005-0000-0000-0000F3530000}"/>
    <cellStyle name="Output 2 2 4 4 3" xfId="23137" xr:uid="{00000000-0005-0000-0000-0000F4530000}"/>
    <cellStyle name="Output 2 2 4 4 4" xfId="26268" xr:uid="{00000000-0005-0000-0000-0000F5530000}"/>
    <cellStyle name="Output 2 2 4 4 5" xfId="25338" xr:uid="{00000000-0005-0000-0000-0000F6530000}"/>
    <cellStyle name="Output 2 2 4 5" xfId="26269" xr:uid="{00000000-0005-0000-0000-0000F7530000}"/>
    <cellStyle name="Output 2 2 4 5 2" xfId="23141" xr:uid="{00000000-0005-0000-0000-0000F8530000}"/>
    <cellStyle name="Output 2 2 4 5 3" xfId="26270" xr:uid="{00000000-0005-0000-0000-0000F9530000}"/>
    <cellStyle name="Output 2 2 4 5 4" xfId="26271" xr:uid="{00000000-0005-0000-0000-0000FA530000}"/>
    <cellStyle name="Output 2 2 4 6" xfId="26272" xr:uid="{00000000-0005-0000-0000-0000FB530000}"/>
    <cellStyle name="Output 2 2 4 7" xfId="26273" xr:uid="{00000000-0005-0000-0000-0000FC530000}"/>
    <cellStyle name="Output 2 2 4 8" xfId="26274" xr:uid="{00000000-0005-0000-0000-0000FD530000}"/>
    <cellStyle name="Output 2 2 5" xfId="26275" xr:uid="{00000000-0005-0000-0000-0000FE530000}"/>
    <cellStyle name="Output 2 2 5 2" xfId="11579" xr:uid="{00000000-0005-0000-0000-0000FF530000}"/>
    <cellStyle name="Output 2 2 5 2 2" xfId="23148" xr:uid="{00000000-0005-0000-0000-000000540000}"/>
    <cellStyle name="Output 2 2 5 2 2 2" xfId="6249" xr:uid="{00000000-0005-0000-0000-000001540000}"/>
    <cellStyle name="Output 2 2 5 2 2 2 2" xfId="4106" xr:uid="{00000000-0005-0000-0000-000002540000}"/>
    <cellStyle name="Output 2 2 5 2 2 2 3" xfId="11231" xr:uid="{00000000-0005-0000-0000-000003540000}"/>
    <cellStyle name="Output 2 2 5 2 2 2 4" xfId="26276" xr:uid="{00000000-0005-0000-0000-000004540000}"/>
    <cellStyle name="Output 2 2 5 2 2 3" xfId="15981" xr:uid="{00000000-0005-0000-0000-000005540000}"/>
    <cellStyle name="Output 2 2 5 2 2 4" xfId="26278" xr:uid="{00000000-0005-0000-0000-000006540000}"/>
    <cellStyle name="Output 2 2 5 2 2 5" xfId="26280" xr:uid="{00000000-0005-0000-0000-000007540000}"/>
    <cellStyle name="Output 2 2 5 2 3" xfId="23150" xr:uid="{00000000-0005-0000-0000-000008540000}"/>
    <cellStyle name="Output 2 2 5 2 3 2" xfId="26281" xr:uid="{00000000-0005-0000-0000-000009540000}"/>
    <cellStyle name="Output 2 2 5 2 3 3" xfId="26283" xr:uid="{00000000-0005-0000-0000-00000A540000}"/>
    <cellStyle name="Output 2 2 5 2 3 4" xfId="26285" xr:uid="{00000000-0005-0000-0000-00000B540000}"/>
    <cellStyle name="Output 2 2 5 2 4" xfId="23152" xr:uid="{00000000-0005-0000-0000-00000C540000}"/>
    <cellStyle name="Output 2 2 5 2 5" xfId="26286" xr:uid="{00000000-0005-0000-0000-00000D540000}"/>
    <cellStyle name="Output 2 2 5 2 6" xfId="26287" xr:uid="{00000000-0005-0000-0000-00000E540000}"/>
    <cellStyle name="Output 2 2 5 3" xfId="26289" xr:uid="{00000000-0005-0000-0000-00000F540000}"/>
    <cellStyle name="Output 2 2 5 3 2" xfId="23158" xr:uid="{00000000-0005-0000-0000-000010540000}"/>
    <cellStyle name="Output 2 2 5 3 2 2" xfId="26290" xr:uid="{00000000-0005-0000-0000-000011540000}"/>
    <cellStyle name="Output 2 2 5 3 2 3" xfId="26292" xr:uid="{00000000-0005-0000-0000-000012540000}"/>
    <cellStyle name="Output 2 2 5 3 2 4" xfId="26295" xr:uid="{00000000-0005-0000-0000-000013540000}"/>
    <cellStyle name="Output 2 2 5 3 3" xfId="23160" xr:uid="{00000000-0005-0000-0000-000014540000}"/>
    <cellStyle name="Output 2 2 5 3 4" xfId="26296" xr:uid="{00000000-0005-0000-0000-000015540000}"/>
    <cellStyle name="Output 2 2 5 3 5" xfId="26297" xr:uid="{00000000-0005-0000-0000-000016540000}"/>
    <cellStyle name="Output 2 2 5 4" xfId="26299" xr:uid="{00000000-0005-0000-0000-000017540000}"/>
    <cellStyle name="Output 2 2 5 4 2" xfId="23170" xr:uid="{00000000-0005-0000-0000-000018540000}"/>
    <cellStyle name="Output 2 2 5 4 3" xfId="26301" xr:uid="{00000000-0005-0000-0000-000019540000}"/>
    <cellStyle name="Output 2 2 5 4 4" xfId="26302" xr:uid="{00000000-0005-0000-0000-00001A540000}"/>
    <cellStyle name="Output 2 2 5 5" xfId="26303" xr:uid="{00000000-0005-0000-0000-00001B540000}"/>
    <cellStyle name="Output 2 2 5 6" xfId="26304" xr:uid="{00000000-0005-0000-0000-00001C540000}"/>
    <cellStyle name="Output 2 2 5 7" xfId="26305" xr:uid="{00000000-0005-0000-0000-00001D540000}"/>
    <cellStyle name="Output 2 2 6" xfId="26306" xr:uid="{00000000-0005-0000-0000-00001E540000}"/>
    <cellStyle name="Output 2 2 6 2" xfId="26309" xr:uid="{00000000-0005-0000-0000-00001F540000}"/>
    <cellStyle name="Output 2 2 6 2 2" xfId="23182" xr:uid="{00000000-0005-0000-0000-000020540000}"/>
    <cellStyle name="Output 2 2 6 2 2 2" xfId="26310" xr:uid="{00000000-0005-0000-0000-000021540000}"/>
    <cellStyle name="Output 2 2 6 2 2 3" xfId="26314" xr:uid="{00000000-0005-0000-0000-000022540000}"/>
    <cellStyle name="Output 2 2 6 2 2 4" xfId="26318" xr:uid="{00000000-0005-0000-0000-000023540000}"/>
    <cellStyle name="Output 2 2 6 2 3" xfId="23184" xr:uid="{00000000-0005-0000-0000-000024540000}"/>
    <cellStyle name="Output 2 2 6 2 4" xfId="26319" xr:uid="{00000000-0005-0000-0000-000025540000}"/>
    <cellStyle name="Output 2 2 6 2 5" xfId="26320" xr:uid="{00000000-0005-0000-0000-000026540000}"/>
    <cellStyle name="Output 2 2 6 3" xfId="26323" xr:uid="{00000000-0005-0000-0000-000027540000}"/>
    <cellStyle name="Output 2 2 6 3 2" xfId="23190" xr:uid="{00000000-0005-0000-0000-000028540000}"/>
    <cellStyle name="Output 2 2 6 3 3" xfId="26324" xr:uid="{00000000-0005-0000-0000-000029540000}"/>
    <cellStyle name="Output 2 2 6 3 4" xfId="26325" xr:uid="{00000000-0005-0000-0000-00002A540000}"/>
    <cellStyle name="Output 2 2 6 4" xfId="26326" xr:uid="{00000000-0005-0000-0000-00002B540000}"/>
    <cellStyle name="Output 2 2 6 5" xfId="26327" xr:uid="{00000000-0005-0000-0000-00002C540000}"/>
    <cellStyle name="Output 2 2 6 6" xfId="26328" xr:uid="{00000000-0005-0000-0000-00002D540000}"/>
    <cellStyle name="Output 2 2 7" xfId="26329" xr:uid="{00000000-0005-0000-0000-00002E540000}"/>
    <cellStyle name="Output 2 2 7 2" xfId="1345" xr:uid="{00000000-0005-0000-0000-00002F540000}"/>
    <cellStyle name="Output 2 2 7 2 2" xfId="23202" xr:uid="{00000000-0005-0000-0000-000030540000}"/>
    <cellStyle name="Output 2 2 7 2 3" xfId="26330" xr:uid="{00000000-0005-0000-0000-000031540000}"/>
    <cellStyle name="Output 2 2 7 2 4" xfId="26331" xr:uid="{00000000-0005-0000-0000-000032540000}"/>
    <cellStyle name="Output 2 2 7 3" xfId="1358" xr:uid="{00000000-0005-0000-0000-000033540000}"/>
    <cellStyle name="Output 2 2 7 4" xfId="1367" xr:uid="{00000000-0005-0000-0000-000034540000}"/>
    <cellStyle name="Output 2 2 7 5" xfId="26332" xr:uid="{00000000-0005-0000-0000-000035540000}"/>
    <cellStyle name="Output 2 2 8" xfId="26333" xr:uid="{00000000-0005-0000-0000-000036540000}"/>
    <cellStyle name="Output 2 2 8 2" xfId="174" xr:uid="{00000000-0005-0000-0000-000037540000}"/>
    <cellStyle name="Output 2 2 8 3" xfId="8492" xr:uid="{00000000-0005-0000-0000-000038540000}"/>
    <cellStyle name="Output 2 2 8 4" xfId="26334" xr:uid="{00000000-0005-0000-0000-000039540000}"/>
    <cellStyle name="Output 2 2 9" xfId="26335" xr:uid="{00000000-0005-0000-0000-00003A540000}"/>
    <cellStyle name="Output 2 3" xfId="26336" xr:uid="{00000000-0005-0000-0000-00003B540000}"/>
    <cellStyle name="Output 2 3 2" xfId="26337" xr:uid="{00000000-0005-0000-0000-00003C540000}"/>
    <cellStyle name="Output 2 3 2 2" xfId="26338" xr:uid="{00000000-0005-0000-0000-00003D540000}"/>
    <cellStyle name="Output 2 3 2 2 2" xfId="23660" xr:uid="{00000000-0005-0000-0000-00003E540000}"/>
    <cellStyle name="Output 2 3 2 2 2 2" xfId="5851" xr:uid="{00000000-0005-0000-0000-00003F540000}"/>
    <cellStyle name="Output 2 3 2 2 2 2 2" xfId="23663" xr:uid="{00000000-0005-0000-0000-000040540000}"/>
    <cellStyle name="Output 2 3 2 2 2 2 2 2" xfId="26339" xr:uid="{00000000-0005-0000-0000-000041540000}"/>
    <cellStyle name="Output 2 3 2 2 2 2 2 3" xfId="26340" xr:uid="{00000000-0005-0000-0000-000042540000}"/>
    <cellStyle name="Output 2 3 2 2 2 2 2 4" xfId="26341" xr:uid="{00000000-0005-0000-0000-000043540000}"/>
    <cellStyle name="Output 2 3 2 2 2 2 3" xfId="13704" xr:uid="{00000000-0005-0000-0000-000044540000}"/>
    <cellStyle name="Output 2 3 2 2 2 2 4" xfId="13716" xr:uid="{00000000-0005-0000-0000-000045540000}"/>
    <cellStyle name="Output 2 3 2 2 2 2 5" xfId="13724" xr:uid="{00000000-0005-0000-0000-000046540000}"/>
    <cellStyle name="Output 2 3 2 2 2 3" xfId="7455" xr:uid="{00000000-0005-0000-0000-000047540000}"/>
    <cellStyle name="Output 2 3 2 2 2 3 2" xfId="26342" xr:uid="{00000000-0005-0000-0000-000048540000}"/>
    <cellStyle name="Output 2 3 2 2 2 3 3" xfId="13731" xr:uid="{00000000-0005-0000-0000-000049540000}"/>
    <cellStyle name="Output 2 3 2 2 2 3 4" xfId="13736" xr:uid="{00000000-0005-0000-0000-00004A540000}"/>
    <cellStyle name="Output 2 3 2 2 2 4" xfId="8905" xr:uid="{00000000-0005-0000-0000-00004B540000}"/>
    <cellStyle name="Output 2 3 2 2 2 5" xfId="10172" xr:uid="{00000000-0005-0000-0000-00004C540000}"/>
    <cellStyle name="Output 2 3 2 2 2 6" xfId="12503" xr:uid="{00000000-0005-0000-0000-00004D540000}"/>
    <cellStyle name="Output 2 3 2 2 3" xfId="23665" xr:uid="{00000000-0005-0000-0000-00004E540000}"/>
    <cellStyle name="Output 2 3 2 2 3 2" xfId="5018" xr:uid="{00000000-0005-0000-0000-00004F540000}"/>
    <cellStyle name="Output 2 3 2 2 3 2 2" xfId="26343" xr:uid="{00000000-0005-0000-0000-000050540000}"/>
    <cellStyle name="Output 2 3 2 2 3 2 3" xfId="92" xr:uid="{00000000-0005-0000-0000-000051540000}"/>
    <cellStyle name="Output 2 3 2 2 3 2 4" xfId="524" xr:uid="{00000000-0005-0000-0000-000052540000}"/>
    <cellStyle name="Output 2 3 2 2 3 3" xfId="23668" xr:uid="{00000000-0005-0000-0000-000053540000}"/>
    <cellStyle name="Output 2 3 2 2 3 4" xfId="16314" xr:uid="{00000000-0005-0000-0000-000054540000}"/>
    <cellStyle name="Output 2 3 2 2 3 5" xfId="16322" xr:uid="{00000000-0005-0000-0000-000055540000}"/>
    <cellStyle name="Output 2 3 2 2 4" xfId="23670" xr:uid="{00000000-0005-0000-0000-000056540000}"/>
    <cellStyle name="Output 2 3 2 2 4 2" xfId="26344" xr:uid="{00000000-0005-0000-0000-000057540000}"/>
    <cellStyle name="Output 2 3 2 2 4 3" xfId="26345" xr:uid="{00000000-0005-0000-0000-000058540000}"/>
    <cellStyle name="Output 2 3 2 2 4 4" xfId="26346" xr:uid="{00000000-0005-0000-0000-000059540000}"/>
    <cellStyle name="Output 2 3 2 2 5" xfId="22144" xr:uid="{00000000-0005-0000-0000-00005A540000}"/>
    <cellStyle name="Output 2 3 2 2 6" xfId="22147" xr:uid="{00000000-0005-0000-0000-00005B540000}"/>
    <cellStyle name="Output 2 3 2 2 7" xfId="22151" xr:uid="{00000000-0005-0000-0000-00005C540000}"/>
    <cellStyle name="Output 2 3 2 3" xfId="26347" xr:uid="{00000000-0005-0000-0000-00005D540000}"/>
    <cellStyle name="Output 2 3 2 3 2" xfId="23695" xr:uid="{00000000-0005-0000-0000-00005E540000}"/>
    <cellStyle name="Output 2 3 2 3 2 2" xfId="7496" xr:uid="{00000000-0005-0000-0000-00005F540000}"/>
    <cellStyle name="Output 2 3 2 3 2 2 2" xfId="26348" xr:uid="{00000000-0005-0000-0000-000060540000}"/>
    <cellStyle name="Output 2 3 2 3 2 2 3" xfId="13834" xr:uid="{00000000-0005-0000-0000-000061540000}"/>
    <cellStyle name="Output 2 3 2 3 2 2 4" xfId="13838" xr:uid="{00000000-0005-0000-0000-000062540000}"/>
    <cellStyle name="Output 2 3 2 3 2 3" xfId="23697" xr:uid="{00000000-0005-0000-0000-000063540000}"/>
    <cellStyle name="Output 2 3 2 3 2 4" xfId="16333" xr:uid="{00000000-0005-0000-0000-000064540000}"/>
    <cellStyle name="Output 2 3 2 3 2 5" xfId="12940" xr:uid="{00000000-0005-0000-0000-000065540000}"/>
    <cellStyle name="Output 2 3 2 3 3" xfId="23699" xr:uid="{00000000-0005-0000-0000-000066540000}"/>
    <cellStyle name="Output 2 3 2 3 3 2" xfId="17310" xr:uid="{00000000-0005-0000-0000-000067540000}"/>
    <cellStyle name="Output 2 3 2 3 3 3" xfId="26349" xr:uid="{00000000-0005-0000-0000-000068540000}"/>
    <cellStyle name="Output 2 3 2 3 3 4" xfId="26350" xr:uid="{00000000-0005-0000-0000-000069540000}"/>
    <cellStyle name="Output 2 3 2 3 4" xfId="23701" xr:uid="{00000000-0005-0000-0000-00006A540000}"/>
    <cellStyle name="Output 2 3 2 3 5" xfId="23703" xr:uid="{00000000-0005-0000-0000-00006B540000}"/>
    <cellStyle name="Output 2 3 2 3 6" xfId="23770" xr:uid="{00000000-0005-0000-0000-00006C540000}"/>
    <cellStyle name="Output 2 3 2 4" xfId="26351" xr:uid="{00000000-0005-0000-0000-00006D540000}"/>
    <cellStyle name="Output 2 3 2 4 2" xfId="23713" xr:uid="{00000000-0005-0000-0000-00006E540000}"/>
    <cellStyle name="Output 2 3 2 4 2 2" xfId="26352" xr:uid="{00000000-0005-0000-0000-00006F540000}"/>
    <cellStyle name="Output 2 3 2 4 2 3" xfId="26353" xr:uid="{00000000-0005-0000-0000-000070540000}"/>
    <cellStyle name="Output 2 3 2 4 2 4" xfId="26354" xr:uid="{00000000-0005-0000-0000-000071540000}"/>
    <cellStyle name="Output 2 3 2 4 3" xfId="23715" xr:uid="{00000000-0005-0000-0000-000072540000}"/>
    <cellStyle name="Output 2 3 2 4 4" xfId="18970" xr:uid="{00000000-0005-0000-0000-000073540000}"/>
    <cellStyle name="Output 2 3 2 4 5" xfId="18975" xr:uid="{00000000-0005-0000-0000-000074540000}"/>
    <cellStyle name="Output 2 3 2 5" xfId="26355" xr:uid="{00000000-0005-0000-0000-000075540000}"/>
    <cellStyle name="Output 2 3 2 5 2" xfId="23725" xr:uid="{00000000-0005-0000-0000-000076540000}"/>
    <cellStyle name="Output 2 3 2 5 3" xfId="23728" xr:uid="{00000000-0005-0000-0000-000077540000}"/>
    <cellStyle name="Output 2 3 2 5 4" xfId="20668" xr:uid="{00000000-0005-0000-0000-000078540000}"/>
    <cellStyle name="Output 2 3 2 6" xfId="26356" xr:uid="{00000000-0005-0000-0000-000079540000}"/>
    <cellStyle name="Output 2 3 2 7" xfId="26357" xr:uid="{00000000-0005-0000-0000-00007A540000}"/>
    <cellStyle name="Output 2 3 2 8" xfId="26358" xr:uid="{00000000-0005-0000-0000-00007B540000}"/>
    <cellStyle name="Output 2 3 3" xfId="26359" xr:uid="{00000000-0005-0000-0000-00007C540000}"/>
    <cellStyle name="Output 2 3 3 2" xfId="11664" xr:uid="{00000000-0005-0000-0000-00007D540000}"/>
    <cellStyle name="Output 2 3 3 2 2" xfId="23775" xr:uid="{00000000-0005-0000-0000-00007E540000}"/>
    <cellStyle name="Output 2 3 3 2 2 2" xfId="7516" xr:uid="{00000000-0005-0000-0000-00007F540000}"/>
    <cellStyle name="Output 2 3 3 2 2 2 2" xfId="4402" xr:uid="{00000000-0005-0000-0000-000080540000}"/>
    <cellStyle name="Output 2 3 3 2 2 2 3" xfId="4421" xr:uid="{00000000-0005-0000-0000-000081540000}"/>
    <cellStyle name="Output 2 3 3 2 2 2 4" xfId="4442" xr:uid="{00000000-0005-0000-0000-000082540000}"/>
    <cellStyle name="Output 2 3 3 2 2 3" xfId="23777" xr:uid="{00000000-0005-0000-0000-000083540000}"/>
    <cellStyle name="Output 2 3 3 2 2 4" xfId="11670" xr:uid="{00000000-0005-0000-0000-000084540000}"/>
    <cellStyle name="Output 2 3 3 2 2 5" xfId="9900" xr:uid="{00000000-0005-0000-0000-000085540000}"/>
    <cellStyle name="Output 2 3 3 2 3" xfId="23779" xr:uid="{00000000-0005-0000-0000-000086540000}"/>
    <cellStyle name="Output 2 3 3 2 3 2" xfId="23781" xr:uid="{00000000-0005-0000-0000-000087540000}"/>
    <cellStyle name="Output 2 3 3 2 3 3" xfId="23783" xr:uid="{00000000-0005-0000-0000-000088540000}"/>
    <cellStyle name="Output 2 3 3 2 3 4" xfId="23785" xr:uid="{00000000-0005-0000-0000-000089540000}"/>
    <cellStyle name="Output 2 3 3 2 4" xfId="6991" xr:uid="{00000000-0005-0000-0000-00008A540000}"/>
    <cellStyle name="Output 2 3 3 2 5" xfId="4370" xr:uid="{00000000-0005-0000-0000-00008B540000}"/>
    <cellStyle name="Output 2 3 3 2 6" xfId="4401" xr:uid="{00000000-0005-0000-0000-00008C540000}"/>
    <cellStyle name="Output 2 3 3 3" xfId="26360" xr:uid="{00000000-0005-0000-0000-00008D540000}"/>
    <cellStyle name="Output 2 3 3 3 2" xfId="23817" xr:uid="{00000000-0005-0000-0000-00008E540000}"/>
    <cellStyle name="Output 2 3 3 3 2 2" xfId="23819" xr:uid="{00000000-0005-0000-0000-00008F540000}"/>
    <cellStyle name="Output 2 3 3 3 2 3" xfId="23821" xr:uid="{00000000-0005-0000-0000-000090540000}"/>
    <cellStyle name="Output 2 3 3 3 2 4" xfId="23823" xr:uid="{00000000-0005-0000-0000-000091540000}"/>
    <cellStyle name="Output 2 3 3 3 3" xfId="23825" xr:uid="{00000000-0005-0000-0000-000092540000}"/>
    <cellStyle name="Output 2 3 3 3 4" xfId="7028" xr:uid="{00000000-0005-0000-0000-000093540000}"/>
    <cellStyle name="Output 2 3 3 3 5" xfId="62" xr:uid="{00000000-0005-0000-0000-000094540000}"/>
    <cellStyle name="Output 2 3 3 4" xfId="26361" xr:uid="{00000000-0005-0000-0000-000095540000}"/>
    <cellStyle name="Output 2 3 3 4 2" xfId="23837" xr:uid="{00000000-0005-0000-0000-000096540000}"/>
    <cellStyle name="Output 2 3 3 4 3" xfId="23839" xr:uid="{00000000-0005-0000-0000-000097540000}"/>
    <cellStyle name="Output 2 3 3 4 4" xfId="7046" xr:uid="{00000000-0005-0000-0000-000098540000}"/>
    <cellStyle name="Output 2 3 3 5" xfId="26362" xr:uid="{00000000-0005-0000-0000-000099540000}"/>
    <cellStyle name="Output 2 3 3 6" xfId="26363" xr:uid="{00000000-0005-0000-0000-00009A540000}"/>
    <cellStyle name="Output 2 3 3 7" xfId="26364" xr:uid="{00000000-0005-0000-0000-00009B540000}"/>
    <cellStyle name="Output 2 3 4" xfId="26365" xr:uid="{00000000-0005-0000-0000-00009C540000}"/>
    <cellStyle name="Output 2 3 4 2" xfId="3535" xr:uid="{00000000-0005-0000-0000-00009D540000}"/>
    <cellStyle name="Output 2 3 4 2 2" xfId="23873" xr:uid="{00000000-0005-0000-0000-00009E540000}"/>
    <cellStyle name="Output 2 3 4 2 2 2" xfId="10359" xr:uid="{00000000-0005-0000-0000-00009F540000}"/>
    <cellStyle name="Output 2 3 4 2 2 3" xfId="10365" xr:uid="{00000000-0005-0000-0000-0000A0540000}"/>
    <cellStyle name="Output 2 3 4 2 2 4" xfId="23876" xr:uid="{00000000-0005-0000-0000-0000A1540000}"/>
    <cellStyle name="Output 2 3 4 2 3" xfId="23878" xr:uid="{00000000-0005-0000-0000-0000A2540000}"/>
    <cellStyle name="Output 2 3 4 2 4" xfId="8277" xr:uid="{00000000-0005-0000-0000-0000A3540000}"/>
    <cellStyle name="Output 2 3 4 2 5" xfId="8290" xr:uid="{00000000-0005-0000-0000-0000A4540000}"/>
    <cellStyle name="Output 2 3 4 3" xfId="26367" xr:uid="{00000000-0005-0000-0000-0000A5540000}"/>
    <cellStyle name="Output 2 3 4 3 2" xfId="23895" xr:uid="{00000000-0005-0000-0000-0000A6540000}"/>
    <cellStyle name="Output 2 3 4 3 3" xfId="23898" xr:uid="{00000000-0005-0000-0000-0000A7540000}"/>
    <cellStyle name="Output 2 3 4 3 4" xfId="23901" xr:uid="{00000000-0005-0000-0000-0000A8540000}"/>
    <cellStyle name="Output 2 3 4 4" xfId="26369" xr:uid="{00000000-0005-0000-0000-0000A9540000}"/>
    <cellStyle name="Output 2 3 4 5" xfId="26371" xr:uid="{00000000-0005-0000-0000-0000AA540000}"/>
    <cellStyle name="Output 2 3 4 6" xfId="26373" xr:uid="{00000000-0005-0000-0000-0000AB540000}"/>
    <cellStyle name="Output 2 3 5" xfId="26374" xr:uid="{00000000-0005-0000-0000-0000AC540000}"/>
    <cellStyle name="Output 2 3 5 2" xfId="26376" xr:uid="{00000000-0005-0000-0000-0000AD540000}"/>
    <cellStyle name="Output 2 3 5 2 2" xfId="11724" xr:uid="{00000000-0005-0000-0000-0000AE540000}"/>
    <cellStyle name="Output 2 3 5 2 3" xfId="23929" xr:uid="{00000000-0005-0000-0000-0000AF540000}"/>
    <cellStyle name="Output 2 3 5 2 4" xfId="23931" xr:uid="{00000000-0005-0000-0000-0000B0540000}"/>
    <cellStyle name="Output 2 3 5 3" xfId="26379" xr:uid="{00000000-0005-0000-0000-0000B1540000}"/>
    <cellStyle name="Output 2 3 5 4" xfId="26381" xr:uid="{00000000-0005-0000-0000-0000B2540000}"/>
    <cellStyle name="Output 2 3 5 5" xfId="26383" xr:uid="{00000000-0005-0000-0000-0000B3540000}"/>
    <cellStyle name="Output 2 3 6" xfId="26384" xr:uid="{00000000-0005-0000-0000-0000B4540000}"/>
    <cellStyle name="Output 2 3 6 2" xfId="26385" xr:uid="{00000000-0005-0000-0000-0000B5540000}"/>
    <cellStyle name="Output 2 3 6 3" xfId="26386" xr:uid="{00000000-0005-0000-0000-0000B6540000}"/>
    <cellStyle name="Output 2 3 6 4" xfId="26387" xr:uid="{00000000-0005-0000-0000-0000B7540000}"/>
    <cellStyle name="Output 2 3 7" xfId="26388" xr:uid="{00000000-0005-0000-0000-0000B8540000}"/>
    <cellStyle name="Output 2 3 8" xfId="26389" xr:uid="{00000000-0005-0000-0000-0000B9540000}"/>
    <cellStyle name="Output 2 3 9" xfId="26390" xr:uid="{00000000-0005-0000-0000-0000BA540000}"/>
    <cellStyle name="Output 2 4" xfId="26391" xr:uid="{00000000-0005-0000-0000-0000BB540000}"/>
    <cellStyle name="Output 2 4 2" xfId="26392" xr:uid="{00000000-0005-0000-0000-0000BC540000}"/>
    <cellStyle name="Output 2 4 2 2" xfId="26393" xr:uid="{00000000-0005-0000-0000-0000BD540000}"/>
    <cellStyle name="Output 2 4 2 2 2" xfId="23216" xr:uid="{00000000-0005-0000-0000-0000BE540000}"/>
    <cellStyle name="Output 2 4 2 2 2 2" xfId="24401" xr:uid="{00000000-0005-0000-0000-0000BF540000}"/>
    <cellStyle name="Output 2 4 2 2 2 2 2" xfId="24403" xr:uid="{00000000-0005-0000-0000-0000C0540000}"/>
    <cellStyle name="Output 2 4 2 2 2 2 2 2" xfId="26394" xr:uid="{00000000-0005-0000-0000-0000C1540000}"/>
    <cellStyle name="Output 2 4 2 2 2 2 2 3" xfId="26395" xr:uid="{00000000-0005-0000-0000-0000C2540000}"/>
    <cellStyle name="Output 2 4 2 2 2 2 2 4" xfId="26396" xr:uid="{00000000-0005-0000-0000-0000C3540000}"/>
    <cellStyle name="Output 2 4 2 2 2 2 3" xfId="24405" xr:uid="{00000000-0005-0000-0000-0000C4540000}"/>
    <cellStyle name="Output 2 4 2 2 2 2 4" xfId="24407" xr:uid="{00000000-0005-0000-0000-0000C5540000}"/>
    <cellStyle name="Output 2 4 2 2 2 2 5" xfId="26398" xr:uid="{00000000-0005-0000-0000-0000C6540000}"/>
    <cellStyle name="Output 2 4 2 2 2 3" xfId="24410" xr:uid="{00000000-0005-0000-0000-0000C7540000}"/>
    <cellStyle name="Output 2 4 2 2 2 3 2" xfId="26399" xr:uid="{00000000-0005-0000-0000-0000C8540000}"/>
    <cellStyle name="Output 2 4 2 2 2 3 3" xfId="24782" xr:uid="{00000000-0005-0000-0000-0000C9540000}"/>
    <cellStyle name="Output 2 4 2 2 2 3 4" xfId="24787" xr:uid="{00000000-0005-0000-0000-0000CA540000}"/>
    <cellStyle name="Output 2 4 2 2 2 4" xfId="10936" xr:uid="{00000000-0005-0000-0000-0000CB540000}"/>
    <cellStyle name="Output 2 4 2 2 2 5" xfId="10963" xr:uid="{00000000-0005-0000-0000-0000CC540000}"/>
    <cellStyle name="Output 2 4 2 2 2 6" xfId="10971" xr:uid="{00000000-0005-0000-0000-0000CD540000}"/>
    <cellStyle name="Output 2 4 2 2 3" xfId="23219" xr:uid="{00000000-0005-0000-0000-0000CE540000}"/>
    <cellStyle name="Output 2 4 2 2 3 2" xfId="24412" xr:uid="{00000000-0005-0000-0000-0000CF540000}"/>
    <cellStyle name="Output 2 4 2 2 3 2 2" xfId="26400" xr:uid="{00000000-0005-0000-0000-0000D0540000}"/>
    <cellStyle name="Output 2 4 2 2 3 2 3" xfId="26401" xr:uid="{00000000-0005-0000-0000-0000D1540000}"/>
    <cellStyle name="Output 2 4 2 2 3 2 4" xfId="26402" xr:uid="{00000000-0005-0000-0000-0000D2540000}"/>
    <cellStyle name="Output 2 4 2 2 3 3" xfId="24414" xr:uid="{00000000-0005-0000-0000-0000D3540000}"/>
    <cellStyle name="Output 2 4 2 2 3 4" xfId="10982" xr:uid="{00000000-0005-0000-0000-0000D4540000}"/>
    <cellStyle name="Output 2 4 2 2 3 5" xfId="10988" xr:uid="{00000000-0005-0000-0000-0000D5540000}"/>
    <cellStyle name="Output 2 4 2 2 4" xfId="23222" xr:uid="{00000000-0005-0000-0000-0000D6540000}"/>
    <cellStyle name="Output 2 4 2 2 4 2" xfId="22864" xr:uid="{00000000-0005-0000-0000-0000D7540000}"/>
    <cellStyle name="Output 2 4 2 2 4 3" xfId="22866" xr:uid="{00000000-0005-0000-0000-0000D8540000}"/>
    <cellStyle name="Output 2 4 2 2 4 4" xfId="26213" xr:uid="{00000000-0005-0000-0000-0000D9540000}"/>
    <cellStyle name="Output 2 4 2 2 5" xfId="24416" xr:uid="{00000000-0005-0000-0000-0000DA540000}"/>
    <cellStyle name="Output 2 4 2 2 6" xfId="23807" xr:uid="{00000000-0005-0000-0000-0000DB540000}"/>
    <cellStyle name="Output 2 4 2 2 7" xfId="23810" xr:uid="{00000000-0005-0000-0000-0000DC540000}"/>
    <cellStyle name="Output 2 4 2 3" xfId="26403" xr:uid="{00000000-0005-0000-0000-0000DD540000}"/>
    <cellStyle name="Output 2 4 2 3 2" xfId="24439" xr:uid="{00000000-0005-0000-0000-0000DE540000}"/>
    <cellStyle name="Output 2 4 2 3 2 2" xfId="24441" xr:uid="{00000000-0005-0000-0000-0000DF540000}"/>
    <cellStyle name="Output 2 4 2 3 2 2 2" xfId="26404" xr:uid="{00000000-0005-0000-0000-0000E0540000}"/>
    <cellStyle name="Output 2 4 2 3 2 2 3" xfId="26405" xr:uid="{00000000-0005-0000-0000-0000E1540000}"/>
    <cellStyle name="Output 2 4 2 3 2 2 4" xfId="26406" xr:uid="{00000000-0005-0000-0000-0000E2540000}"/>
    <cellStyle name="Output 2 4 2 3 2 3" xfId="24443" xr:uid="{00000000-0005-0000-0000-0000E3540000}"/>
    <cellStyle name="Output 2 4 2 3 2 4" xfId="3019" xr:uid="{00000000-0005-0000-0000-0000E4540000}"/>
    <cellStyle name="Output 2 4 2 3 2 5" xfId="2190" xr:uid="{00000000-0005-0000-0000-0000E5540000}"/>
    <cellStyle name="Output 2 4 2 3 3" xfId="24445" xr:uid="{00000000-0005-0000-0000-0000E6540000}"/>
    <cellStyle name="Output 2 4 2 3 3 2" xfId="26407" xr:uid="{00000000-0005-0000-0000-0000E7540000}"/>
    <cellStyle name="Output 2 4 2 3 3 3" xfId="26408" xr:uid="{00000000-0005-0000-0000-0000E8540000}"/>
    <cellStyle name="Output 2 4 2 3 3 4" xfId="26409" xr:uid="{00000000-0005-0000-0000-0000E9540000}"/>
    <cellStyle name="Output 2 4 2 3 4" xfId="24447" xr:uid="{00000000-0005-0000-0000-0000EA540000}"/>
    <cellStyle name="Output 2 4 2 3 5" xfId="24449" xr:uid="{00000000-0005-0000-0000-0000EB540000}"/>
    <cellStyle name="Output 2 4 2 3 6" xfId="26410" xr:uid="{00000000-0005-0000-0000-0000EC540000}"/>
    <cellStyle name="Output 2 4 2 4" xfId="25885" xr:uid="{00000000-0005-0000-0000-0000ED540000}"/>
    <cellStyle name="Output 2 4 2 4 2" xfId="24460" xr:uid="{00000000-0005-0000-0000-0000EE540000}"/>
    <cellStyle name="Output 2 4 2 4 2 2" xfId="25888" xr:uid="{00000000-0005-0000-0000-0000EF540000}"/>
    <cellStyle name="Output 2 4 2 4 2 3" xfId="25900" xr:uid="{00000000-0005-0000-0000-0000F0540000}"/>
    <cellStyle name="Output 2 4 2 4 2 4" xfId="20120" xr:uid="{00000000-0005-0000-0000-0000F1540000}"/>
    <cellStyle name="Output 2 4 2 4 3" xfId="24464" xr:uid="{00000000-0005-0000-0000-0000F2540000}"/>
    <cellStyle name="Output 2 4 2 4 4" xfId="20136" xr:uid="{00000000-0005-0000-0000-0000F3540000}"/>
    <cellStyle name="Output 2 4 2 4 5" xfId="20142" xr:uid="{00000000-0005-0000-0000-0000F4540000}"/>
    <cellStyle name="Output 2 4 2 5" xfId="25910" xr:uid="{00000000-0005-0000-0000-0000F5540000}"/>
    <cellStyle name="Output 2 4 2 5 2" xfId="24473" xr:uid="{00000000-0005-0000-0000-0000F6540000}"/>
    <cellStyle name="Output 2 4 2 5 3" xfId="24476" xr:uid="{00000000-0005-0000-0000-0000F7540000}"/>
    <cellStyle name="Output 2 4 2 5 4" xfId="3163" xr:uid="{00000000-0005-0000-0000-0000F8540000}"/>
    <cellStyle name="Output 2 4 2 6" xfId="22389" xr:uid="{00000000-0005-0000-0000-0000F9540000}"/>
    <cellStyle name="Output 2 4 2 7" xfId="22392" xr:uid="{00000000-0005-0000-0000-0000FA540000}"/>
    <cellStyle name="Output 2 4 2 8" xfId="22395" xr:uid="{00000000-0005-0000-0000-0000FB540000}"/>
    <cellStyle name="Output 2 4 3" xfId="26411" xr:uid="{00000000-0005-0000-0000-0000FC540000}"/>
    <cellStyle name="Output 2 4 3 2" xfId="26412" xr:uid="{00000000-0005-0000-0000-0000FD540000}"/>
    <cellStyle name="Output 2 4 3 2 2" xfId="24536" xr:uid="{00000000-0005-0000-0000-0000FE540000}"/>
    <cellStyle name="Output 2 4 3 2 2 2" xfId="24538" xr:uid="{00000000-0005-0000-0000-0000FF540000}"/>
    <cellStyle name="Output 2 4 3 2 2 2 2" xfId="10589" xr:uid="{00000000-0005-0000-0000-000000550000}"/>
    <cellStyle name="Output 2 4 3 2 2 2 3" xfId="10594" xr:uid="{00000000-0005-0000-0000-000001550000}"/>
    <cellStyle name="Output 2 4 3 2 2 2 4" xfId="24540" xr:uid="{00000000-0005-0000-0000-000002550000}"/>
    <cellStyle name="Output 2 4 3 2 2 3" xfId="24542" xr:uid="{00000000-0005-0000-0000-000003550000}"/>
    <cellStyle name="Output 2 4 3 2 2 4" xfId="10605" xr:uid="{00000000-0005-0000-0000-000004550000}"/>
    <cellStyle name="Output 2 4 3 2 2 5" xfId="10611" xr:uid="{00000000-0005-0000-0000-000005550000}"/>
    <cellStyle name="Output 2 4 3 2 3" xfId="24544" xr:uid="{00000000-0005-0000-0000-000006550000}"/>
    <cellStyle name="Output 2 4 3 2 3 2" xfId="24546" xr:uid="{00000000-0005-0000-0000-000007550000}"/>
    <cellStyle name="Output 2 4 3 2 3 3" xfId="24548" xr:uid="{00000000-0005-0000-0000-000008550000}"/>
    <cellStyle name="Output 2 4 3 2 3 4" xfId="24550" xr:uid="{00000000-0005-0000-0000-000009550000}"/>
    <cellStyle name="Output 2 4 3 2 4" xfId="10626" xr:uid="{00000000-0005-0000-0000-00000A550000}"/>
    <cellStyle name="Output 2 4 3 2 5" xfId="10634" xr:uid="{00000000-0005-0000-0000-00000B550000}"/>
    <cellStyle name="Output 2 4 3 2 6" xfId="10641" xr:uid="{00000000-0005-0000-0000-00000C550000}"/>
    <cellStyle name="Output 2 4 3 3" xfId="26413" xr:uid="{00000000-0005-0000-0000-00000D550000}"/>
    <cellStyle name="Output 2 4 3 3 2" xfId="24579" xr:uid="{00000000-0005-0000-0000-00000E550000}"/>
    <cellStyle name="Output 2 4 3 3 2 2" xfId="24581" xr:uid="{00000000-0005-0000-0000-00000F550000}"/>
    <cellStyle name="Output 2 4 3 3 2 3" xfId="24583" xr:uid="{00000000-0005-0000-0000-000010550000}"/>
    <cellStyle name="Output 2 4 3 3 2 4" xfId="24585" xr:uid="{00000000-0005-0000-0000-000011550000}"/>
    <cellStyle name="Output 2 4 3 3 3" xfId="24587" xr:uid="{00000000-0005-0000-0000-000012550000}"/>
    <cellStyle name="Output 2 4 3 3 4" xfId="24589" xr:uid="{00000000-0005-0000-0000-000013550000}"/>
    <cellStyle name="Output 2 4 3 3 5" xfId="24591" xr:uid="{00000000-0005-0000-0000-000014550000}"/>
    <cellStyle name="Output 2 4 3 4" xfId="10665" xr:uid="{00000000-0005-0000-0000-000015550000}"/>
    <cellStyle name="Output 2 4 3 4 2" xfId="10671" xr:uid="{00000000-0005-0000-0000-000016550000}"/>
    <cellStyle name="Output 2 4 3 4 3" xfId="10678" xr:uid="{00000000-0005-0000-0000-000017550000}"/>
    <cellStyle name="Output 2 4 3 4 4" xfId="10683" xr:uid="{00000000-0005-0000-0000-000018550000}"/>
    <cellStyle name="Output 2 4 3 5" xfId="10696" xr:uid="{00000000-0005-0000-0000-000019550000}"/>
    <cellStyle name="Output 2 4 3 6" xfId="10703" xr:uid="{00000000-0005-0000-0000-00001A550000}"/>
    <cellStyle name="Output 2 4 3 7" xfId="10709" xr:uid="{00000000-0005-0000-0000-00001B550000}"/>
    <cellStyle name="Output 2 4 4" xfId="26414" xr:uid="{00000000-0005-0000-0000-00001C550000}"/>
    <cellStyle name="Output 2 4 4 2" xfId="26415" xr:uid="{00000000-0005-0000-0000-00001D550000}"/>
    <cellStyle name="Output 2 4 4 2 2" xfId="24643" xr:uid="{00000000-0005-0000-0000-00001E550000}"/>
    <cellStyle name="Output 2 4 4 2 2 2" xfId="10467" xr:uid="{00000000-0005-0000-0000-00001F550000}"/>
    <cellStyle name="Output 2 4 4 2 2 3" xfId="24646" xr:uid="{00000000-0005-0000-0000-000020550000}"/>
    <cellStyle name="Output 2 4 4 2 2 4" xfId="24649" xr:uid="{00000000-0005-0000-0000-000021550000}"/>
    <cellStyle name="Output 2 4 4 2 3" xfId="24652" xr:uid="{00000000-0005-0000-0000-000022550000}"/>
    <cellStyle name="Output 2 4 4 2 4" xfId="10719" xr:uid="{00000000-0005-0000-0000-000023550000}"/>
    <cellStyle name="Output 2 4 4 2 5" xfId="10725" xr:uid="{00000000-0005-0000-0000-000024550000}"/>
    <cellStyle name="Output 2 4 4 3" xfId="26417" xr:uid="{00000000-0005-0000-0000-000025550000}"/>
    <cellStyle name="Output 2 4 4 3 2" xfId="24671" xr:uid="{00000000-0005-0000-0000-000026550000}"/>
    <cellStyle name="Output 2 4 4 3 3" xfId="24673" xr:uid="{00000000-0005-0000-0000-000027550000}"/>
    <cellStyle name="Output 2 4 4 3 4" xfId="24675" xr:uid="{00000000-0005-0000-0000-000028550000}"/>
    <cellStyle name="Output 2 4 4 4" xfId="10267" xr:uid="{00000000-0005-0000-0000-000029550000}"/>
    <cellStyle name="Output 2 4 4 5" xfId="10744" xr:uid="{00000000-0005-0000-0000-00002A550000}"/>
    <cellStyle name="Output 2 4 4 6" xfId="10752" xr:uid="{00000000-0005-0000-0000-00002B550000}"/>
    <cellStyle name="Output 2 4 5" xfId="26418" xr:uid="{00000000-0005-0000-0000-00002C550000}"/>
    <cellStyle name="Output 2 4 5 2" xfId="26419" xr:uid="{00000000-0005-0000-0000-00002D550000}"/>
    <cellStyle name="Output 2 4 5 2 2" xfId="24711" xr:uid="{00000000-0005-0000-0000-00002E550000}"/>
    <cellStyle name="Output 2 4 5 2 3" xfId="24713" xr:uid="{00000000-0005-0000-0000-00002F550000}"/>
    <cellStyle name="Output 2 4 5 2 4" xfId="24715" xr:uid="{00000000-0005-0000-0000-000030550000}"/>
    <cellStyle name="Output 2 4 5 3" xfId="26420" xr:uid="{00000000-0005-0000-0000-000031550000}"/>
    <cellStyle name="Output 2 4 5 4" xfId="25949" xr:uid="{00000000-0005-0000-0000-000032550000}"/>
    <cellStyle name="Output 2 4 5 5" xfId="25952" xr:uid="{00000000-0005-0000-0000-000033550000}"/>
    <cellStyle name="Output 2 4 6" xfId="26421" xr:uid="{00000000-0005-0000-0000-000034550000}"/>
    <cellStyle name="Output 2 4 6 2" xfId="26422" xr:uid="{00000000-0005-0000-0000-000035550000}"/>
    <cellStyle name="Output 2 4 6 3" xfId="26423" xr:uid="{00000000-0005-0000-0000-000036550000}"/>
    <cellStyle name="Output 2 4 6 4" xfId="25956" xr:uid="{00000000-0005-0000-0000-000037550000}"/>
    <cellStyle name="Output 2 4 7" xfId="26424" xr:uid="{00000000-0005-0000-0000-000038550000}"/>
    <cellStyle name="Output 2 4 8" xfId="10765" xr:uid="{00000000-0005-0000-0000-000039550000}"/>
    <cellStyle name="Output 2 4 9" xfId="10768" xr:uid="{00000000-0005-0000-0000-00003A550000}"/>
    <cellStyle name="Output 2 5" xfId="26425" xr:uid="{00000000-0005-0000-0000-00003B550000}"/>
    <cellStyle name="Output 2 5 2" xfId="22312" xr:uid="{00000000-0005-0000-0000-00003C550000}"/>
    <cellStyle name="Output 2 5 2 2" xfId="17760" xr:uid="{00000000-0005-0000-0000-00003D550000}"/>
    <cellStyle name="Output 2 5 2 2 2" xfId="20507" xr:uid="{00000000-0005-0000-0000-00003E550000}"/>
    <cellStyle name="Output 2 5 2 2 2 2" xfId="22315" xr:uid="{00000000-0005-0000-0000-00003F550000}"/>
    <cellStyle name="Output 2 5 2 2 2 2 2" xfId="13168" xr:uid="{00000000-0005-0000-0000-000040550000}"/>
    <cellStyle name="Output 2 5 2 2 2 2 3" xfId="13172" xr:uid="{00000000-0005-0000-0000-000041550000}"/>
    <cellStyle name="Output 2 5 2 2 2 2 4" xfId="13176" xr:uid="{00000000-0005-0000-0000-000042550000}"/>
    <cellStyle name="Output 2 5 2 2 2 3" xfId="22318" xr:uid="{00000000-0005-0000-0000-000043550000}"/>
    <cellStyle name="Output 2 5 2 2 2 4" xfId="11107" xr:uid="{00000000-0005-0000-0000-000044550000}"/>
    <cellStyle name="Output 2 5 2 2 2 5" xfId="11113" xr:uid="{00000000-0005-0000-0000-000045550000}"/>
    <cellStyle name="Output 2 5 2 2 3" xfId="19059" xr:uid="{00000000-0005-0000-0000-000046550000}"/>
    <cellStyle name="Output 2 5 2 2 3 2" xfId="25137" xr:uid="{00000000-0005-0000-0000-000047550000}"/>
    <cellStyle name="Output 2 5 2 2 3 3" xfId="23368" xr:uid="{00000000-0005-0000-0000-000048550000}"/>
    <cellStyle name="Output 2 5 2 2 3 4" xfId="23373" xr:uid="{00000000-0005-0000-0000-000049550000}"/>
    <cellStyle name="Output 2 5 2 2 4" xfId="22321" xr:uid="{00000000-0005-0000-0000-00004A550000}"/>
    <cellStyle name="Output 2 5 2 2 5" xfId="22324" xr:uid="{00000000-0005-0000-0000-00004B550000}"/>
    <cellStyle name="Output 2 5 2 2 6" xfId="25139" xr:uid="{00000000-0005-0000-0000-00004C550000}"/>
    <cellStyle name="Output 2 5 2 3" xfId="12639" xr:uid="{00000000-0005-0000-0000-00004D550000}"/>
    <cellStyle name="Output 2 5 2 3 2" xfId="12643" xr:uid="{00000000-0005-0000-0000-00004E550000}"/>
    <cellStyle name="Output 2 5 2 3 2 2" xfId="25166" xr:uid="{00000000-0005-0000-0000-00004F550000}"/>
    <cellStyle name="Output 2 5 2 3 2 3" xfId="25168" xr:uid="{00000000-0005-0000-0000-000050550000}"/>
    <cellStyle name="Output 2 5 2 3 2 4" xfId="25170" xr:uid="{00000000-0005-0000-0000-000051550000}"/>
    <cellStyle name="Output 2 5 2 3 3" xfId="22327" xr:uid="{00000000-0005-0000-0000-000052550000}"/>
    <cellStyle name="Output 2 5 2 3 4" xfId="22330" xr:uid="{00000000-0005-0000-0000-000053550000}"/>
    <cellStyle name="Output 2 5 2 3 5" xfId="25172" xr:uid="{00000000-0005-0000-0000-000054550000}"/>
    <cellStyle name="Output 2 5 2 4" xfId="12653" xr:uid="{00000000-0005-0000-0000-000055550000}"/>
    <cellStyle name="Output 2 5 2 4 2" xfId="19534" xr:uid="{00000000-0005-0000-0000-000056550000}"/>
    <cellStyle name="Output 2 5 2 4 3" xfId="19540" xr:uid="{00000000-0005-0000-0000-000057550000}"/>
    <cellStyle name="Output 2 5 2 4 4" xfId="19544" xr:uid="{00000000-0005-0000-0000-000058550000}"/>
    <cellStyle name="Output 2 5 2 5" xfId="12659" xr:uid="{00000000-0005-0000-0000-000059550000}"/>
    <cellStyle name="Output 2 5 2 6" xfId="12666" xr:uid="{00000000-0005-0000-0000-00005A550000}"/>
    <cellStyle name="Output 2 5 2 7" xfId="16694" xr:uid="{00000000-0005-0000-0000-00005B550000}"/>
    <cellStyle name="Output 2 5 3" xfId="22333" xr:uid="{00000000-0005-0000-0000-00005C550000}"/>
    <cellStyle name="Output 2 5 3 2" xfId="10772" xr:uid="{00000000-0005-0000-0000-00005D550000}"/>
    <cellStyle name="Output 2 5 3 2 2" xfId="21975" xr:uid="{00000000-0005-0000-0000-00005E550000}"/>
    <cellStyle name="Output 2 5 3 2 2 2" xfId="10779" xr:uid="{00000000-0005-0000-0000-00005F550000}"/>
    <cellStyle name="Output 2 5 3 2 2 3" xfId="25218" xr:uid="{00000000-0005-0000-0000-000060550000}"/>
    <cellStyle name="Output 2 5 3 2 2 4" xfId="25220" xr:uid="{00000000-0005-0000-0000-000061550000}"/>
    <cellStyle name="Output 2 5 3 2 3" xfId="21979" xr:uid="{00000000-0005-0000-0000-000062550000}"/>
    <cellStyle name="Output 2 5 3 2 4" xfId="22335" xr:uid="{00000000-0005-0000-0000-000063550000}"/>
    <cellStyle name="Output 2 5 3 2 5" xfId="25224" xr:uid="{00000000-0005-0000-0000-000064550000}"/>
    <cellStyle name="Output 2 5 3 3" xfId="10792" xr:uid="{00000000-0005-0000-0000-000065550000}"/>
    <cellStyle name="Output 2 5 3 3 2" xfId="21990" xr:uid="{00000000-0005-0000-0000-000066550000}"/>
    <cellStyle name="Output 2 5 3 3 3" xfId="25244" xr:uid="{00000000-0005-0000-0000-000067550000}"/>
    <cellStyle name="Output 2 5 3 3 4" xfId="25246" xr:uid="{00000000-0005-0000-0000-000068550000}"/>
    <cellStyle name="Output 2 5 3 4" xfId="10804" xr:uid="{00000000-0005-0000-0000-000069550000}"/>
    <cellStyle name="Output 2 5 3 5" xfId="10813" xr:uid="{00000000-0005-0000-0000-00006A550000}"/>
    <cellStyle name="Output 2 5 3 6" xfId="10821" xr:uid="{00000000-0005-0000-0000-00006B550000}"/>
    <cellStyle name="Output 2 5 4" xfId="22338" xr:uid="{00000000-0005-0000-0000-00006C550000}"/>
    <cellStyle name="Output 2 5 4 2" xfId="2514" xr:uid="{00000000-0005-0000-0000-00006D550000}"/>
    <cellStyle name="Output 2 5 4 2 2" xfId="22068" xr:uid="{00000000-0005-0000-0000-00006E550000}"/>
    <cellStyle name="Output 2 5 4 2 3" xfId="25287" xr:uid="{00000000-0005-0000-0000-00006F550000}"/>
    <cellStyle name="Output 2 5 4 2 4" xfId="25289" xr:uid="{00000000-0005-0000-0000-000070550000}"/>
    <cellStyle name="Output 2 5 4 3" xfId="22340" xr:uid="{00000000-0005-0000-0000-000071550000}"/>
    <cellStyle name="Output 2 5 4 4" xfId="10834" xr:uid="{00000000-0005-0000-0000-000072550000}"/>
    <cellStyle name="Output 2 5 4 5" xfId="10843" xr:uid="{00000000-0005-0000-0000-000073550000}"/>
    <cellStyle name="Output 2 5 5" xfId="22342" xr:uid="{00000000-0005-0000-0000-000074550000}"/>
    <cellStyle name="Output 2 5 5 2" xfId="26426" xr:uid="{00000000-0005-0000-0000-000075550000}"/>
    <cellStyle name="Output 2 5 5 3" xfId="26427" xr:uid="{00000000-0005-0000-0000-000076550000}"/>
    <cellStyle name="Output 2 5 5 4" xfId="26024" xr:uid="{00000000-0005-0000-0000-000077550000}"/>
    <cellStyle name="Output 2 5 6" xfId="22045" xr:uid="{00000000-0005-0000-0000-000078550000}"/>
    <cellStyle name="Output 2 5 7" xfId="22052" xr:uid="{00000000-0005-0000-0000-000079550000}"/>
    <cellStyle name="Output 2 5 8" xfId="10859" xr:uid="{00000000-0005-0000-0000-00007A550000}"/>
    <cellStyle name="Output 2 6" xfId="26428" xr:uid="{00000000-0005-0000-0000-00007B550000}"/>
    <cellStyle name="Output 2 6 2" xfId="22361" xr:uid="{00000000-0005-0000-0000-00007C550000}"/>
    <cellStyle name="Output 2 6 2 2" xfId="22363" xr:uid="{00000000-0005-0000-0000-00007D550000}"/>
    <cellStyle name="Output 2 6 2 2 2" xfId="22201" xr:uid="{00000000-0005-0000-0000-00007E550000}"/>
    <cellStyle name="Output 2 6 2 2 2 2" xfId="19235" xr:uid="{00000000-0005-0000-0000-00007F550000}"/>
    <cellStyle name="Output 2 6 2 2 2 3" xfId="19239" xr:uid="{00000000-0005-0000-0000-000080550000}"/>
    <cellStyle name="Output 2 6 2 2 2 4" xfId="20036" xr:uid="{00000000-0005-0000-0000-000081550000}"/>
    <cellStyle name="Output 2 6 2 2 3" xfId="22365" xr:uid="{00000000-0005-0000-0000-000082550000}"/>
    <cellStyle name="Output 2 6 2 2 4" xfId="22368" xr:uid="{00000000-0005-0000-0000-000083550000}"/>
    <cellStyle name="Output 2 6 2 2 5" xfId="23856" xr:uid="{00000000-0005-0000-0000-000084550000}"/>
    <cellStyle name="Output 2 6 2 3" xfId="22371" xr:uid="{00000000-0005-0000-0000-000085550000}"/>
    <cellStyle name="Output 2 6 2 3 2" xfId="11950" xr:uid="{00000000-0005-0000-0000-000086550000}"/>
    <cellStyle name="Output 2 6 2 3 3" xfId="11955" xr:uid="{00000000-0005-0000-0000-000087550000}"/>
    <cellStyle name="Output 2 6 2 3 4" xfId="25702" xr:uid="{00000000-0005-0000-0000-000088550000}"/>
    <cellStyle name="Output 2 6 2 4" xfId="1022" xr:uid="{00000000-0005-0000-0000-000089550000}"/>
    <cellStyle name="Output 2 6 2 5" xfId="12694" xr:uid="{00000000-0005-0000-0000-00008A550000}"/>
    <cellStyle name="Output 2 6 2 6" xfId="16718" xr:uid="{00000000-0005-0000-0000-00008B550000}"/>
    <cellStyle name="Output 2 6 3" xfId="22373" xr:uid="{00000000-0005-0000-0000-00008C550000}"/>
    <cellStyle name="Output 2 6 3 2" xfId="22375" xr:uid="{00000000-0005-0000-0000-00008D550000}"/>
    <cellStyle name="Output 2 6 3 2 2" xfId="25749" xr:uid="{00000000-0005-0000-0000-00008E550000}"/>
    <cellStyle name="Output 2 6 3 2 3" xfId="25758" xr:uid="{00000000-0005-0000-0000-00008F550000}"/>
    <cellStyle name="Output 2 6 3 2 4" xfId="25763" xr:uid="{00000000-0005-0000-0000-000090550000}"/>
    <cellStyle name="Output 2 6 3 3" xfId="22377" xr:uid="{00000000-0005-0000-0000-000091550000}"/>
    <cellStyle name="Output 2 6 3 4" xfId="22379" xr:uid="{00000000-0005-0000-0000-000092550000}"/>
    <cellStyle name="Output 2 6 3 5" xfId="26055" xr:uid="{00000000-0005-0000-0000-000093550000}"/>
    <cellStyle name="Output 2 6 4" xfId="22382" xr:uid="{00000000-0005-0000-0000-000094550000}"/>
    <cellStyle name="Output 2 6 4 2" xfId="26429" xr:uid="{00000000-0005-0000-0000-000095550000}"/>
    <cellStyle name="Output 2 6 4 3" xfId="26430" xr:uid="{00000000-0005-0000-0000-000096550000}"/>
    <cellStyle name="Output 2 6 4 4" xfId="26061" xr:uid="{00000000-0005-0000-0000-000097550000}"/>
    <cellStyle name="Output 2 6 5" xfId="22384" xr:uid="{00000000-0005-0000-0000-000098550000}"/>
    <cellStyle name="Output 2 6 6" xfId="22056" xr:uid="{00000000-0005-0000-0000-000099550000}"/>
    <cellStyle name="Output 2 6 7" xfId="22059" xr:uid="{00000000-0005-0000-0000-00009A550000}"/>
    <cellStyle name="Output 2 7" xfId="26431" xr:uid="{00000000-0005-0000-0000-00009B550000}"/>
    <cellStyle name="Output 2 7 2" xfId="22400" xr:uid="{00000000-0005-0000-0000-00009C550000}"/>
    <cellStyle name="Output 2 7 2 2" xfId="20952" xr:uid="{00000000-0005-0000-0000-00009D550000}"/>
    <cellStyle name="Output 2 7 2 2 2" xfId="12665" xr:uid="{00000000-0005-0000-0000-00009E550000}"/>
    <cellStyle name="Output 2 7 2 2 3" xfId="16693" xr:uid="{00000000-0005-0000-0000-00009F550000}"/>
    <cellStyle name="Output 2 7 2 2 4" xfId="15440" xr:uid="{00000000-0005-0000-0000-0000A0550000}"/>
    <cellStyle name="Output 2 7 2 3" xfId="20956" xr:uid="{00000000-0005-0000-0000-0000A1550000}"/>
    <cellStyle name="Output 2 7 2 4" xfId="18331" xr:uid="{00000000-0005-0000-0000-0000A2550000}"/>
    <cellStyle name="Output 2 7 2 5" xfId="18348" xr:uid="{00000000-0005-0000-0000-0000A3550000}"/>
    <cellStyle name="Output 2 7 3" xfId="22402" xr:uid="{00000000-0005-0000-0000-0000A4550000}"/>
    <cellStyle name="Output 2 7 3 2" xfId="26432" xr:uid="{00000000-0005-0000-0000-0000A5550000}"/>
    <cellStyle name="Output 2 7 3 3" xfId="26433" xr:uid="{00000000-0005-0000-0000-0000A6550000}"/>
    <cellStyle name="Output 2 7 3 4" xfId="10896" xr:uid="{00000000-0005-0000-0000-0000A7550000}"/>
    <cellStyle name="Output 2 7 4" xfId="22404" xr:uid="{00000000-0005-0000-0000-0000A8550000}"/>
    <cellStyle name="Output 2 7 5" xfId="22406" xr:uid="{00000000-0005-0000-0000-0000A9550000}"/>
    <cellStyle name="Output 2 7 6" xfId="25268" xr:uid="{00000000-0005-0000-0000-0000AA550000}"/>
    <cellStyle name="Output 2 8" xfId="26434" xr:uid="{00000000-0005-0000-0000-0000AB550000}"/>
    <cellStyle name="Output 2 8 2" xfId="22415" xr:uid="{00000000-0005-0000-0000-0000AC550000}"/>
    <cellStyle name="Output 2 8 2 2" xfId="26435" xr:uid="{00000000-0005-0000-0000-0000AD550000}"/>
    <cellStyle name="Output 2 8 2 3" xfId="26436" xr:uid="{00000000-0005-0000-0000-0000AE550000}"/>
    <cellStyle name="Output 2 8 2 4" xfId="18379" xr:uid="{00000000-0005-0000-0000-0000AF550000}"/>
    <cellStyle name="Output 2 8 3" xfId="22417" xr:uid="{00000000-0005-0000-0000-0000B0550000}"/>
    <cellStyle name="Output 2 8 4" xfId="22419" xr:uid="{00000000-0005-0000-0000-0000B1550000}"/>
    <cellStyle name="Output 2 8 5" xfId="26437" xr:uid="{00000000-0005-0000-0000-0000B2550000}"/>
    <cellStyle name="Output 2 9" xfId="21895" xr:uid="{00000000-0005-0000-0000-0000B3550000}"/>
    <cellStyle name="Output 2 9 2" xfId="21897" xr:uid="{00000000-0005-0000-0000-0000B4550000}"/>
    <cellStyle name="Output 2 9 3" xfId="21902" xr:uid="{00000000-0005-0000-0000-0000B5550000}"/>
    <cellStyle name="Output 2 9 4" xfId="21905" xr:uid="{00000000-0005-0000-0000-0000B6550000}"/>
    <cellStyle name="Output 3" xfId="2656" xr:uid="{00000000-0005-0000-0000-0000B7550000}"/>
    <cellStyle name="Output 3 10" xfId="20340" xr:uid="{00000000-0005-0000-0000-0000B8550000}"/>
    <cellStyle name="Output 3 11" xfId="20432" xr:uid="{00000000-0005-0000-0000-0000B9550000}"/>
    <cellStyle name="Output 3 12" xfId="20592" xr:uid="{00000000-0005-0000-0000-0000BA550000}"/>
    <cellStyle name="Output 3 13" xfId="18505" xr:uid="{00000000-0005-0000-0000-0000BB550000}"/>
    <cellStyle name="Output 3 2" xfId="8633" xr:uid="{00000000-0005-0000-0000-0000BC550000}"/>
    <cellStyle name="Output 3 2 10" xfId="361" xr:uid="{00000000-0005-0000-0000-0000BD550000}"/>
    <cellStyle name="Output 3 2 11" xfId="2256" xr:uid="{00000000-0005-0000-0000-0000BE550000}"/>
    <cellStyle name="Output 3 2 12" xfId="2677" xr:uid="{00000000-0005-0000-0000-0000BF550000}"/>
    <cellStyle name="Output 3 2 2" xfId="26438" xr:uid="{00000000-0005-0000-0000-0000C0550000}"/>
    <cellStyle name="Output 3 2 2 2" xfId="16184" xr:uid="{00000000-0005-0000-0000-0000C1550000}"/>
    <cellStyle name="Output 3 2 2 2 2" xfId="16186" xr:uid="{00000000-0005-0000-0000-0000C2550000}"/>
    <cellStyle name="Output 3 2 2 2 2 2" xfId="16189" xr:uid="{00000000-0005-0000-0000-0000C3550000}"/>
    <cellStyle name="Output 3 2 2 2 2 2 2" xfId="24906" xr:uid="{00000000-0005-0000-0000-0000C4550000}"/>
    <cellStyle name="Output 3 2 2 2 2 2 2 2" xfId="24908" xr:uid="{00000000-0005-0000-0000-0000C5550000}"/>
    <cellStyle name="Output 3 2 2 2 2 2 2 2 2" xfId="24910" xr:uid="{00000000-0005-0000-0000-0000C6550000}"/>
    <cellStyle name="Output 3 2 2 2 2 2 2 2 3" xfId="17246" xr:uid="{00000000-0005-0000-0000-0000C7550000}"/>
    <cellStyle name="Output 3 2 2 2 2 2 2 2 4" xfId="17257" xr:uid="{00000000-0005-0000-0000-0000C8550000}"/>
    <cellStyle name="Output 3 2 2 2 2 2 2 3" xfId="24912" xr:uid="{00000000-0005-0000-0000-0000C9550000}"/>
    <cellStyle name="Output 3 2 2 2 2 2 2 4" xfId="24914" xr:uid="{00000000-0005-0000-0000-0000CA550000}"/>
    <cellStyle name="Output 3 2 2 2 2 2 2 5" xfId="24916" xr:uid="{00000000-0005-0000-0000-0000CB550000}"/>
    <cellStyle name="Output 3 2 2 2 2 2 3" xfId="24918" xr:uid="{00000000-0005-0000-0000-0000CC550000}"/>
    <cellStyle name="Output 3 2 2 2 2 2 3 2" xfId="24920" xr:uid="{00000000-0005-0000-0000-0000CD550000}"/>
    <cellStyle name="Output 3 2 2 2 2 2 3 3" xfId="21648" xr:uid="{00000000-0005-0000-0000-0000CE550000}"/>
    <cellStyle name="Output 3 2 2 2 2 2 3 4" xfId="21663" xr:uid="{00000000-0005-0000-0000-0000CF550000}"/>
    <cellStyle name="Output 3 2 2 2 2 2 4" xfId="24922" xr:uid="{00000000-0005-0000-0000-0000D0550000}"/>
    <cellStyle name="Output 3 2 2 2 2 2 5" xfId="24924" xr:uid="{00000000-0005-0000-0000-0000D1550000}"/>
    <cellStyle name="Output 3 2 2 2 2 2 6" xfId="24927" xr:uid="{00000000-0005-0000-0000-0000D2550000}"/>
    <cellStyle name="Output 3 2 2 2 2 3" xfId="16191" xr:uid="{00000000-0005-0000-0000-0000D3550000}"/>
    <cellStyle name="Output 3 2 2 2 2 3 2" xfId="24943" xr:uid="{00000000-0005-0000-0000-0000D4550000}"/>
    <cellStyle name="Output 3 2 2 2 2 3 2 2" xfId="24945" xr:uid="{00000000-0005-0000-0000-0000D5550000}"/>
    <cellStyle name="Output 3 2 2 2 2 3 2 3" xfId="24947" xr:uid="{00000000-0005-0000-0000-0000D6550000}"/>
    <cellStyle name="Output 3 2 2 2 2 3 2 4" xfId="24949" xr:uid="{00000000-0005-0000-0000-0000D7550000}"/>
    <cellStyle name="Output 3 2 2 2 2 3 3" xfId="24951" xr:uid="{00000000-0005-0000-0000-0000D8550000}"/>
    <cellStyle name="Output 3 2 2 2 2 3 4" xfId="24954" xr:uid="{00000000-0005-0000-0000-0000D9550000}"/>
    <cellStyle name="Output 3 2 2 2 2 3 5" xfId="24957" xr:uid="{00000000-0005-0000-0000-0000DA550000}"/>
    <cellStyle name="Output 3 2 2 2 2 4" xfId="16193" xr:uid="{00000000-0005-0000-0000-0000DB550000}"/>
    <cellStyle name="Output 3 2 2 2 2 4 2" xfId="22294" xr:uid="{00000000-0005-0000-0000-0000DC550000}"/>
    <cellStyle name="Output 3 2 2 2 2 4 3" xfId="24967" xr:uid="{00000000-0005-0000-0000-0000DD550000}"/>
    <cellStyle name="Output 3 2 2 2 2 4 4" xfId="24970" xr:uid="{00000000-0005-0000-0000-0000DE550000}"/>
    <cellStyle name="Output 3 2 2 2 2 5" xfId="16424" xr:uid="{00000000-0005-0000-0000-0000DF550000}"/>
    <cellStyle name="Output 3 2 2 2 2 6" xfId="3088" xr:uid="{00000000-0005-0000-0000-0000E0550000}"/>
    <cellStyle name="Output 3 2 2 2 2 7" xfId="26440" xr:uid="{00000000-0005-0000-0000-0000E1550000}"/>
    <cellStyle name="Output 3 2 2 2 3" xfId="16198" xr:uid="{00000000-0005-0000-0000-0000E2550000}"/>
    <cellStyle name="Output 3 2 2 2 3 2" xfId="26441" xr:uid="{00000000-0005-0000-0000-0000E3550000}"/>
    <cellStyle name="Output 3 2 2 2 3 2 2" xfId="25002" xr:uid="{00000000-0005-0000-0000-0000E4550000}"/>
    <cellStyle name="Output 3 2 2 2 3 2 2 2" xfId="25004" xr:uid="{00000000-0005-0000-0000-0000E5550000}"/>
    <cellStyle name="Output 3 2 2 2 3 2 2 3" xfId="25006" xr:uid="{00000000-0005-0000-0000-0000E6550000}"/>
    <cellStyle name="Output 3 2 2 2 3 2 2 4" xfId="25009" xr:uid="{00000000-0005-0000-0000-0000E7550000}"/>
    <cellStyle name="Output 3 2 2 2 3 2 3" xfId="25011" xr:uid="{00000000-0005-0000-0000-0000E8550000}"/>
    <cellStyle name="Output 3 2 2 2 3 2 4" xfId="25013" xr:uid="{00000000-0005-0000-0000-0000E9550000}"/>
    <cellStyle name="Output 3 2 2 2 3 2 5" xfId="25015" xr:uid="{00000000-0005-0000-0000-0000EA550000}"/>
    <cellStyle name="Output 3 2 2 2 3 3" xfId="26443" xr:uid="{00000000-0005-0000-0000-0000EB550000}"/>
    <cellStyle name="Output 3 2 2 2 3 3 2" xfId="25031" xr:uid="{00000000-0005-0000-0000-0000EC550000}"/>
    <cellStyle name="Output 3 2 2 2 3 3 3" xfId="25033" xr:uid="{00000000-0005-0000-0000-0000ED550000}"/>
    <cellStyle name="Output 3 2 2 2 3 3 4" xfId="25036" xr:uid="{00000000-0005-0000-0000-0000EE550000}"/>
    <cellStyle name="Output 3 2 2 2 3 4" xfId="19618" xr:uid="{00000000-0005-0000-0000-0000EF550000}"/>
    <cellStyle name="Output 3 2 2 2 3 5" xfId="19624" xr:uid="{00000000-0005-0000-0000-0000F0550000}"/>
    <cellStyle name="Output 3 2 2 2 3 6" xfId="3136" xr:uid="{00000000-0005-0000-0000-0000F1550000}"/>
    <cellStyle name="Output 3 2 2 2 4" xfId="6625" xr:uid="{00000000-0005-0000-0000-0000F2550000}"/>
    <cellStyle name="Output 3 2 2 2 4 2" xfId="6634" xr:uid="{00000000-0005-0000-0000-0000F3550000}"/>
    <cellStyle name="Output 3 2 2 2 4 2 2" xfId="3960" xr:uid="{00000000-0005-0000-0000-0000F4550000}"/>
    <cellStyle name="Output 3 2 2 2 4 2 3" xfId="3979" xr:uid="{00000000-0005-0000-0000-0000F5550000}"/>
    <cellStyle name="Output 3 2 2 2 4 2 4" xfId="4006" xr:uid="{00000000-0005-0000-0000-0000F6550000}"/>
    <cellStyle name="Output 3 2 2 2 4 3" xfId="6640" xr:uid="{00000000-0005-0000-0000-0000F7550000}"/>
    <cellStyle name="Output 3 2 2 2 4 4" xfId="6645" xr:uid="{00000000-0005-0000-0000-0000F8550000}"/>
    <cellStyle name="Output 3 2 2 2 4 5" xfId="2987" xr:uid="{00000000-0005-0000-0000-0000F9550000}"/>
    <cellStyle name="Output 3 2 2 2 5" xfId="5418" xr:uid="{00000000-0005-0000-0000-0000FA550000}"/>
    <cellStyle name="Output 3 2 2 2 5 2" xfId="5423" xr:uid="{00000000-0005-0000-0000-0000FB550000}"/>
    <cellStyle name="Output 3 2 2 2 5 3" xfId="5452" xr:uid="{00000000-0005-0000-0000-0000FC550000}"/>
    <cellStyle name="Output 3 2 2 2 5 4" xfId="5494" xr:uid="{00000000-0005-0000-0000-0000FD550000}"/>
    <cellStyle name="Output 3 2 2 2 6" xfId="5511" xr:uid="{00000000-0005-0000-0000-0000FE550000}"/>
    <cellStyle name="Output 3 2 2 2 7" xfId="5562" xr:uid="{00000000-0005-0000-0000-0000FF550000}"/>
    <cellStyle name="Output 3 2 2 2 8" xfId="5613" xr:uid="{00000000-0005-0000-0000-000000560000}"/>
    <cellStyle name="Output 3 2 2 3" xfId="16200" xr:uid="{00000000-0005-0000-0000-000001560000}"/>
    <cellStyle name="Output 3 2 2 3 2" xfId="15653" xr:uid="{00000000-0005-0000-0000-000002560000}"/>
    <cellStyle name="Output 3 2 2 3 2 2" xfId="14933" xr:uid="{00000000-0005-0000-0000-000003560000}"/>
    <cellStyle name="Output 3 2 2 3 2 2 2" xfId="25151" xr:uid="{00000000-0005-0000-0000-000004560000}"/>
    <cellStyle name="Output 3 2 2 3 2 2 2 2" xfId="3888" xr:uid="{00000000-0005-0000-0000-000005560000}"/>
    <cellStyle name="Output 3 2 2 3 2 2 2 3" xfId="26444" xr:uid="{00000000-0005-0000-0000-000006560000}"/>
    <cellStyle name="Output 3 2 2 3 2 2 2 4" xfId="19727" xr:uid="{00000000-0005-0000-0000-000007560000}"/>
    <cellStyle name="Output 3 2 2 3 2 2 3" xfId="25153" xr:uid="{00000000-0005-0000-0000-000008560000}"/>
    <cellStyle name="Output 3 2 2 3 2 2 4" xfId="25155" xr:uid="{00000000-0005-0000-0000-000009560000}"/>
    <cellStyle name="Output 3 2 2 3 2 2 5" xfId="26445" xr:uid="{00000000-0005-0000-0000-00000A560000}"/>
    <cellStyle name="Output 3 2 2 3 2 3" xfId="14940" xr:uid="{00000000-0005-0000-0000-00000B560000}"/>
    <cellStyle name="Output 3 2 2 3 2 3 2" xfId="25162" xr:uid="{00000000-0005-0000-0000-00000C560000}"/>
    <cellStyle name="Output 3 2 2 3 2 3 3" xfId="25164" xr:uid="{00000000-0005-0000-0000-00000D560000}"/>
    <cellStyle name="Output 3 2 2 3 2 3 4" xfId="26447" xr:uid="{00000000-0005-0000-0000-00000E560000}"/>
    <cellStyle name="Output 3 2 2 3 2 4" xfId="11125" xr:uid="{00000000-0005-0000-0000-00000F560000}"/>
    <cellStyle name="Output 3 2 2 3 2 5" xfId="3200" xr:uid="{00000000-0005-0000-0000-000010560000}"/>
    <cellStyle name="Output 3 2 2 3 2 6" xfId="3236" xr:uid="{00000000-0005-0000-0000-000011560000}"/>
    <cellStyle name="Output 3 2 2 3 3" xfId="4530" xr:uid="{00000000-0005-0000-0000-000012560000}"/>
    <cellStyle name="Output 3 2 2 3 3 2" xfId="7106" xr:uid="{00000000-0005-0000-0000-000013560000}"/>
    <cellStyle name="Output 3 2 2 3 3 2 2" xfId="19513" xr:uid="{00000000-0005-0000-0000-000014560000}"/>
    <cellStyle name="Output 3 2 2 3 3 2 3" xfId="19517" xr:uid="{00000000-0005-0000-0000-000015560000}"/>
    <cellStyle name="Output 3 2 2 3 3 2 4" xfId="26448" xr:uid="{00000000-0005-0000-0000-000016560000}"/>
    <cellStyle name="Output 3 2 2 3 3 3" xfId="26449" xr:uid="{00000000-0005-0000-0000-000017560000}"/>
    <cellStyle name="Output 3 2 2 3 3 4" xfId="19637" xr:uid="{00000000-0005-0000-0000-000018560000}"/>
    <cellStyle name="Output 3 2 2 3 3 5" xfId="19642" xr:uid="{00000000-0005-0000-0000-000019560000}"/>
    <cellStyle name="Output 3 2 2 3 4" xfId="4507" xr:uid="{00000000-0005-0000-0000-00001A560000}"/>
    <cellStyle name="Output 3 2 2 3 4 2" xfId="6658" xr:uid="{00000000-0005-0000-0000-00001B560000}"/>
    <cellStyle name="Output 3 2 2 3 4 3" xfId="6662" xr:uid="{00000000-0005-0000-0000-00001C560000}"/>
    <cellStyle name="Output 3 2 2 3 4 4" xfId="6667" xr:uid="{00000000-0005-0000-0000-00001D560000}"/>
    <cellStyle name="Output 3 2 2 3 5" xfId="5637" xr:uid="{00000000-0005-0000-0000-00001E560000}"/>
    <cellStyle name="Output 3 2 2 3 6" xfId="5677" xr:uid="{00000000-0005-0000-0000-00001F560000}"/>
    <cellStyle name="Output 3 2 2 3 7" xfId="5683" xr:uid="{00000000-0005-0000-0000-000020560000}"/>
    <cellStyle name="Output 3 2 2 4" xfId="16203" xr:uid="{00000000-0005-0000-0000-000021560000}"/>
    <cellStyle name="Output 3 2 2 4 2" xfId="26452" xr:uid="{00000000-0005-0000-0000-000022560000}"/>
    <cellStyle name="Output 3 2 2 4 2 2" xfId="15002" xr:uid="{00000000-0005-0000-0000-000023560000}"/>
    <cellStyle name="Output 3 2 2 4 2 2 2" xfId="20738" xr:uid="{00000000-0005-0000-0000-000024560000}"/>
    <cellStyle name="Output 3 2 2 4 2 2 3" xfId="25234" xr:uid="{00000000-0005-0000-0000-000025560000}"/>
    <cellStyle name="Output 3 2 2 4 2 2 4" xfId="25236" xr:uid="{00000000-0005-0000-0000-000026560000}"/>
    <cellStyle name="Output 3 2 2 4 2 3" xfId="26454" xr:uid="{00000000-0005-0000-0000-000027560000}"/>
    <cellStyle name="Output 3 2 2 4 2 4" xfId="26456" xr:uid="{00000000-0005-0000-0000-000028560000}"/>
    <cellStyle name="Output 3 2 2 4 2 5" xfId="26457" xr:uid="{00000000-0005-0000-0000-000029560000}"/>
    <cellStyle name="Output 3 2 2 4 3" xfId="26459" xr:uid="{00000000-0005-0000-0000-00002A560000}"/>
    <cellStyle name="Output 3 2 2 4 3 2" xfId="26460" xr:uid="{00000000-0005-0000-0000-00002B560000}"/>
    <cellStyle name="Output 3 2 2 4 3 3" xfId="26461" xr:uid="{00000000-0005-0000-0000-00002C560000}"/>
    <cellStyle name="Output 3 2 2 4 3 4" xfId="26462" xr:uid="{00000000-0005-0000-0000-00002D560000}"/>
    <cellStyle name="Output 3 2 2 4 4" xfId="6681" xr:uid="{00000000-0005-0000-0000-00002E560000}"/>
    <cellStyle name="Output 3 2 2 4 5" xfId="5706" xr:uid="{00000000-0005-0000-0000-00002F560000}"/>
    <cellStyle name="Output 3 2 2 4 6" xfId="5732" xr:uid="{00000000-0005-0000-0000-000030560000}"/>
    <cellStyle name="Output 3 2 2 5" xfId="16206" xr:uid="{00000000-0005-0000-0000-000031560000}"/>
    <cellStyle name="Output 3 2 2 5 2" xfId="26465" xr:uid="{00000000-0005-0000-0000-000032560000}"/>
    <cellStyle name="Output 3 2 2 5 2 2" xfId="12987" xr:uid="{00000000-0005-0000-0000-000033560000}"/>
    <cellStyle name="Output 3 2 2 5 2 3" xfId="12992" xr:uid="{00000000-0005-0000-0000-000034560000}"/>
    <cellStyle name="Output 3 2 2 5 2 4" xfId="12998" xr:uid="{00000000-0005-0000-0000-000035560000}"/>
    <cellStyle name="Output 3 2 2 5 3" xfId="26467" xr:uid="{00000000-0005-0000-0000-000036560000}"/>
    <cellStyle name="Output 3 2 2 5 4" xfId="6698" xr:uid="{00000000-0005-0000-0000-000037560000}"/>
    <cellStyle name="Output 3 2 2 5 5" xfId="799" xr:uid="{00000000-0005-0000-0000-000038560000}"/>
    <cellStyle name="Output 3 2 2 6" xfId="16209" xr:uid="{00000000-0005-0000-0000-000039560000}"/>
    <cellStyle name="Output 3 2 2 6 2" xfId="26469" xr:uid="{00000000-0005-0000-0000-00003A560000}"/>
    <cellStyle name="Output 3 2 2 6 3" xfId="26470" xr:uid="{00000000-0005-0000-0000-00003B560000}"/>
    <cellStyle name="Output 3 2 2 6 4" xfId="26471" xr:uid="{00000000-0005-0000-0000-00003C560000}"/>
    <cellStyle name="Output 3 2 2 7" xfId="26473" xr:uid="{00000000-0005-0000-0000-00003D560000}"/>
    <cellStyle name="Output 3 2 2 8" xfId="26475" xr:uid="{00000000-0005-0000-0000-00003E560000}"/>
    <cellStyle name="Output 3 2 2 9" xfId="26476" xr:uid="{00000000-0005-0000-0000-00003F560000}"/>
    <cellStyle name="Output 3 2 3" xfId="20379" xr:uid="{00000000-0005-0000-0000-000040560000}"/>
    <cellStyle name="Output 3 2 3 2" xfId="12164" xr:uid="{00000000-0005-0000-0000-000041560000}"/>
    <cellStyle name="Output 3 2 3 2 2" xfId="12171" xr:uid="{00000000-0005-0000-0000-000042560000}"/>
    <cellStyle name="Output 3 2 3 2 2 2" xfId="12176" xr:uid="{00000000-0005-0000-0000-000043560000}"/>
    <cellStyle name="Output 3 2 3 2 2 2 2" xfId="11872" xr:uid="{00000000-0005-0000-0000-000044560000}"/>
    <cellStyle name="Output 3 2 3 2 2 2 2 2" xfId="20499" xr:uid="{00000000-0005-0000-0000-000045560000}"/>
    <cellStyle name="Output 3 2 3 2 2 2 2 2 2" xfId="20504" xr:uid="{00000000-0005-0000-0000-000046560000}"/>
    <cellStyle name="Output 3 2 3 2 2 2 2 2 3" xfId="20511" xr:uid="{00000000-0005-0000-0000-000047560000}"/>
    <cellStyle name="Output 3 2 3 2 2 2 2 2 4" xfId="19063" xr:uid="{00000000-0005-0000-0000-000048560000}"/>
    <cellStyle name="Output 3 2 3 2 2 2 2 3" xfId="20514" xr:uid="{00000000-0005-0000-0000-000049560000}"/>
    <cellStyle name="Output 3 2 3 2 2 2 2 4" xfId="20518" xr:uid="{00000000-0005-0000-0000-00004A560000}"/>
    <cellStyle name="Output 3 2 3 2 2 2 2 5" xfId="20522" xr:uid="{00000000-0005-0000-0000-00004B560000}"/>
    <cellStyle name="Output 3 2 3 2 2 2 3" xfId="11882" xr:uid="{00000000-0005-0000-0000-00004C560000}"/>
    <cellStyle name="Output 3 2 3 2 2 2 3 2" xfId="20525" xr:uid="{00000000-0005-0000-0000-00004D560000}"/>
    <cellStyle name="Output 3 2 3 2 2 2 3 3" xfId="20528" xr:uid="{00000000-0005-0000-0000-00004E560000}"/>
    <cellStyle name="Output 3 2 3 2 2 2 3 4" xfId="20532" xr:uid="{00000000-0005-0000-0000-00004F560000}"/>
    <cellStyle name="Output 3 2 3 2 2 2 4" xfId="12188" xr:uid="{00000000-0005-0000-0000-000050560000}"/>
    <cellStyle name="Output 3 2 3 2 2 2 5" xfId="20536" xr:uid="{00000000-0005-0000-0000-000051560000}"/>
    <cellStyle name="Output 3 2 3 2 2 2 6" xfId="20539" xr:uid="{00000000-0005-0000-0000-000052560000}"/>
    <cellStyle name="Output 3 2 3 2 2 3" xfId="12191" xr:uid="{00000000-0005-0000-0000-000053560000}"/>
    <cellStyle name="Output 3 2 3 2 2 3 2" xfId="11897" xr:uid="{00000000-0005-0000-0000-000054560000}"/>
    <cellStyle name="Output 3 2 3 2 2 3 2 2" xfId="20544" xr:uid="{00000000-0005-0000-0000-000055560000}"/>
    <cellStyle name="Output 3 2 3 2 2 3 2 3" xfId="20547" xr:uid="{00000000-0005-0000-0000-000056560000}"/>
    <cellStyle name="Output 3 2 3 2 2 3 2 4" xfId="20551" xr:uid="{00000000-0005-0000-0000-000057560000}"/>
    <cellStyle name="Output 3 2 3 2 2 3 3" xfId="19916" xr:uid="{00000000-0005-0000-0000-000058560000}"/>
    <cellStyle name="Output 3 2 3 2 2 3 4" xfId="20556" xr:uid="{00000000-0005-0000-0000-000059560000}"/>
    <cellStyle name="Output 3 2 3 2 2 3 5" xfId="20561" xr:uid="{00000000-0005-0000-0000-00005A560000}"/>
    <cellStyle name="Output 3 2 3 2 2 4" xfId="12197" xr:uid="{00000000-0005-0000-0000-00005B560000}"/>
    <cellStyle name="Output 3 2 3 2 2 4 2" xfId="19922" xr:uid="{00000000-0005-0000-0000-00005C560000}"/>
    <cellStyle name="Output 3 2 3 2 2 4 3" xfId="20564" xr:uid="{00000000-0005-0000-0000-00005D560000}"/>
    <cellStyle name="Output 3 2 3 2 2 4 4" xfId="20568" xr:uid="{00000000-0005-0000-0000-00005E560000}"/>
    <cellStyle name="Output 3 2 3 2 2 5" xfId="12204" xr:uid="{00000000-0005-0000-0000-00005F560000}"/>
    <cellStyle name="Output 3 2 3 2 2 6" xfId="380" xr:uid="{00000000-0005-0000-0000-000060560000}"/>
    <cellStyle name="Output 3 2 3 2 2 7" xfId="11578" xr:uid="{00000000-0005-0000-0000-000061560000}"/>
    <cellStyle name="Output 3 2 3 2 3" xfId="7333" xr:uid="{00000000-0005-0000-0000-000062560000}"/>
    <cellStyle name="Output 3 2 3 2 3 2" xfId="2052" xr:uid="{00000000-0005-0000-0000-000063560000}"/>
    <cellStyle name="Output 3 2 3 2 3 2 2" xfId="11925" xr:uid="{00000000-0005-0000-0000-000064560000}"/>
    <cellStyle name="Output 3 2 3 2 3 2 2 2" xfId="20571" xr:uid="{00000000-0005-0000-0000-000065560000}"/>
    <cellStyle name="Output 3 2 3 2 3 2 2 3" xfId="20574" xr:uid="{00000000-0005-0000-0000-000066560000}"/>
    <cellStyle name="Output 3 2 3 2 3 2 2 4" xfId="20578" xr:uid="{00000000-0005-0000-0000-000067560000}"/>
    <cellStyle name="Output 3 2 3 2 3 2 3" xfId="19653" xr:uid="{00000000-0005-0000-0000-000068560000}"/>
    <cellStyle name="Output 3 2 3 2 3 2 4" xfId="19660" xr:uid="{00000000-0005-0000-0000-000069560000}"/>
    <cellStyle name="Output 3 2 3 2 3 2 5" xfId="20582" xr:uid="{00000000-0005-0000-0000-00006A560000}"/>
    <cellStyle name="Output 3 2 3 2 3 3" xfId="11255" xr:uid="{00000000-0005-0000-0000-00006B560000}"/>
    <cellStyle name="Output 3 2 3 2 3 3 2" xfId="19936" xr:uid="{00000000-0005-0000-0000-00006C560000}"/>
    <cellStyle name="Output 3 2 3 2 3 3 3" xfId="20585" xr:uid="{00000000-0005-0000-0000-00006D560000}"/>
    <cellStyle name="Output 3 2 3 2 3 3 4" xfId="20589" xr:uid="{00000000-0005-0000-0000-00006E560000}"/>
    <cellStyle name="Output 3 2 3 2 3 4" xfId="12213" xr:uid="{00000000-0005-0000-0000-00006F560000}"/>
    <cellStyle name="Output 3 2 3 2 3 5" xfId="19663" xr:uid="{00000000-0005-0000-0000-000070560000}"/>
    <cellStyle name="Output 3 2 3 2 3 6" xfId="11607" xr:uid="{00000000-0005-0000-0000-000071560000}"/>
    <cellStyle name="Output 3 2 3 2 4" xfId="6834" xr:uid="{00000000-0005-0000-0000-000072560000}"/>
    <cellStyle name="Output 3 2 3 2 4 2" xfId="6845" xr:uid="{00000000-0005-0000-0000-000073560000}"/>
    <cellStyle name="Output 3 2 3 2 4 2 2" xfId="4555" xr:uid="{00000000-0005-0000-0000-000074560000}"/>
    <cellStyle name="Output 3 2 3 2 4 2 3" xfId="4564" xr:uid="{00000000-0005-0000-0000-000075560000}"/>
    <cellStyle name="Output 3 2 3 2 4 2 4" xfId="4573" xr:uid="{00000000-0005-0000-0000-000076560000}"/>
    <cellStyle name="Output 3 2 3 2 4 3" xfId="6864" xr:uid="{00000000-0005-0000-0000-000077560000}"/>
    <cellStyle name="Output 3 2 3 2 4 4" xfId="6872" xr:uid="{00000000-0005-0000-0000-000078560000}"/>
    <cellStyle name="Output 3 2 3 2 4 5" xfId="6880" xr:uid="{00000000-0005-0000-0000-000079560000}"/>
    <cellStyle name="Output 3 2 3 2 5" xfId="5954" xr:uid="{00000000-0005-0000-0000-00007A560000}"/>
    <cellStyle name="Output 3 2 3 2 5 2" xfId="2790" xr:uid="{00000000-0005-0000-0000-00007B560000}"/>
    <cellStyle name="Output 3 2 3 2 5 3" xfId="2810" xr:uid="{00000000-0005-0000-0000-00007C560000}"/>
    <cellStyle name="Output 3 2 3 2 5 4" xfId="2214" xr:uid="{00000000-0005-0000-0000-00007D560000}"/>
    <cellStyle name="Output 3 2 3 2 6" xfId="6025" xr:uid="{00000000-0005-0000-0000-00007E560000}"/>
    <cellStyle name="Output 3 2 3 2 7" xfId="6075" xr:uid="{00000000-0005-0000-0000-00007F560000}"/>
    <cellStyle name="Output 3 2 3 2 8" xfId="6114" xr:uid="{00000000-0005-0000-0000-000080560000}"/>
    <cellStyle name="Output 3 2 3 3" xfId="12223" xr:uid="{00000000-0005-0000-0000-000081560000}"/>
    <cellStyle name="Output 3 2 3 3 2" xfId="12228" xr:uid="{00000000-0005-0000-0000-000082560000}"/>
    <cellStyle name="Output 3 2 3 3 2 2" xfId="12233" xr:uid="{00000000-0005-0000-0000-000083560000}"/>
    <cellStyle name="Output 3 2 3 3 2 2 2" xfId="7227" xr:uid="{00000000-0005-0000-0000-000084560000}"/>
    <cellStyle name="Output 3 2 3 3 2 2 2 2" xfId="19001" xr:uid="{00000000-0005-0000-0000-000085560000}"/>
    <cellStyle name="Output 3 2 3 3 2 2 2 3" xfId="19014" xr:uid="{00000000-0005-0000-0000-000086560000}"/>
    <cellStyle name="Output 3 2 3 3 2 2 2 4" xfId="19023" xr:uid="{00000000-0005-0000-0000-000087560000}"/>
    <cellStyle name="Output 3 2 3 3 2 2 3" xfId="19029" xr:uid="{00000000-0005-0000-0000-000088560000}"/>
    <cellStyle name="Output 3 2 3 3 2 2 4" xfId="19041" xr:uid="{00000000-0005-0000-0000-000089560000}"/>
    <cellStyle name="Output 3 2 3 3 2 2 5" xfId="19049" xr:uid="{00000000-0005-0000-0000-00008A560000}"/>
    <cellStyle name="Output 3 2 3 3 2 3" xfId="12246" xr:uid="{00000000-0005-0000-0000-00008B560000}"/>
    <cellStyle name="Output 3 2 3 3 2 3 2" xfId="19056" xr:uid="{00000000-0005-0000-0000-00008C560000}"/>
    <cellStyle name="Output 3 2 3 3 2 3 3" xfId="19076" xr:uid="{00000000-0005-0000-0000-00008D560000}"/>
    <cellStyle name="Output 3 2 3 3 2 3 4" xfId="19089" xr:uid="{00000000-0005-0000-0000-00008E560000}"/>
    <cellStyle name="Output 3 2 3 3 2 4" xfId="12254" xr:uid="{00000000-0005-0000-0000-00008F560000}"/>
    <cellStyle name="Output 3 2 3 3 2 5" xfId="19103" xr:uid="{00000000-0005-0000-0000-000090560000}"/>
    <cellStyle name="Output 3 2 3 3 2 6" xfId="3563" xr:uid="{00000000-0005-0000-0000-000091560000}"/>
    <cellStyle name="Output 3 2 3 3 3" xfId="12256" xr:uid="{00000000-0005-0000-0000-000092560000}"/>
    <cellStyle name="Output 3 2 3 3 3 2" xfId="18878" xr:uid="{00000000-0005-0000-0000-000093560000}"/>
    <cellStyle name="Output 3 2 3 3 3 2 2" xfId="19581" xr:uid="{00000000-0005-0000-0000-000094560000}"/>
    <cellStyle name="Output 3 2 3 3 3 2 3" xfId="19738" xr:uid="{00000000-0005-0000-0000-000095560000}"/>
    <cellStyle name="Output 3 2 3 3 3 2 4" xfId="19746" xr:uid="{00000000-0005-0000-0000-000096560000}"/>
    <cellStyle name="Output 3 2 3 3 3 3" xfId="18888" xr:uid="{00000000-0005-0000-0000-000097560000}"/>
    <cellStyle name="Output 3 2 3 3 3 4" xfId="19677" xr:uid="{00000000-0005-0000-0000-000098560000}"/>
    <cellStyle name="Output 3 2 3 3 3 5" xfId="19773" xr:uid="{00000000-0005-0000-0000-000099560000}"/>
    <cellStyle name="Output 3 2 3 3 4" xfId="3843" xr:uid="{00000000-0005-0000-0000-00009A560000}"/>
    <cellStyle name="Output 3 2 3 3 4 2" xfId="481" xr:uid="{00000000-0005-0000-0000-00009B560000}"/>
    <cellStyle name="Output 3 2 3 3 4 3" xfId="505" xr:uid="{00000000-0005-0000-0000-00009C560000}"/>
    <cellStyle name="Output 3 2 3 3 4 4" xfId="563" xr:uid="{00000000-0005-0000-0000-00009D560000}"/>
    <cellStyle name="Output 3 2 3 3 5" xfId="1496" xr:uid="{00000000-0005-0000-0000-00009E560000}"/>
    <cellStyle name="Output 3 2 3 3 6" xfId="1569" xr:uid="{00000000-0005-0000-0000-00009F560000}"/>
    <cellStyle name="Output 3 2 3 3 7" xfId="1588" xr:uid="{00000000-0005-0000-0000-0000A0560000}"/>
    <cellStyle name="Output 3 2 3 4" xfId="12264" xr:uid="{00000000-0005-0000-0000-0000A1560000}"/>
    <cellStyle name="Output 3 2 3 4 2" xfId="9402" xr:uid="{00000000-0005-0000-0000-0000A2560000}"/>
    <cellStyle name="Output 3 2 3 4 2 2" xfId="18536" xr:uid="{00000000-0005-0000-0000-0000A3560000}"/>
    <cellStyle name="Output 3 2 3 4 2 2 2" xfId="19431" xr:uid="{00000000-0005-0000-0000-0000A4560000}"/>
    <cellStyle name="Output 3 2 3 4 2 2 3" xfId="20100" xr:uid="{00000000-0005-0000-0000-0000A5560000}"/>
    <cellStyle name="Output 3 2 3 4 2 2 4" xfId="20625" xr:uid="{00000000-0005-0000-0000-0000A6560000}"/>
    <cellStyle name="Output 3 2 3 4 2 3" xfId="18545" xr:uid="{00000000-0005-0000-0000-0000A7560000}"/>
    <cellStyle name="Output 3 2 3 4 2 4" xfId="18551" xr:uid="{00000000-0005-0000-0000-0000A8560000}"/>
    <cellStyle name="Output 3 2 3 4 2 5" xfId="20631" xr:uid="{00000000-0005-0000-0000-0000A9560000}"/>
    <cellStyle name="Output 3 2 3 4 3" xfId="12270" xr:uid="{00000000-0005-0000-0000-0000AA560000}"/>
    <cellStyle name="Output 3 2 3 4 3 2" xfId="17894" xr:uid="{00000000-0005-0000-0000-0000AB560000}"/>
    <cellStyle name="Output 3 2 3 4 3 3" xfId="17901" xr:uid="{00000000-0005-0000-0000-0000AC560000}"/>
    <cellStyle name="Output 3 2 3 4 3 4" xfId="17906" xr:uid="{00000000-0005-0000-0000-0000AD560000}"/>
    <cellStyle name="Output 3 2 3 4 4" xfId="6526" xr:uid="{00000000-0005-0000-0000-0000AE560000}"/>
    <cellStyle name="Output 3 2 3 4 5" xfId="6136" xr:uid="{00000000-0005-0000-0000-0000AF560000}"/>
    <cellStyle name="Output 3 2 3 4 6" xfId="6152" xr:uid="{00000000-0005-0000-0000-0000B0560000}"/>
    <cellStyle name="Output 3 2 3 5" xfId="12283" xr:uid="{00000000-0005-0000-0000-0000B1560000}"/>
    <cellStyle name="Output 3 2 3 5 2" xfId="15715" xr:uid="{00000000-0005-0000-0000-0000B2560000}"/>
    <cellStyle name="Output 3 2 3 5 2 2" xfId="15020" xr:uid="{00000000-0005-0000-0000-0000B3560000}"/>
    <cellStyle name="Output 3 2 3 5 2 3" xfId="15031" xr:uid="{00000000-0005-0000-0000-0000B4560000}"/>
    <cellStyle name="Output 3 2 3 5 2 4" xfId="15041" xr:uid="{00000000-0005-0000-0000-0000B5560000}"/>
    <cellStyle name="Output 3 2 3 5 3" xfId="17868" xr:uid="{00000000-0005-0000-0000-0000B6560000}"/>
    <cellStyle name="Output 3 2 3 5 4" xfId="6893" xr:uid="{00000000-0005-0000-0000-0000B7560000}"/>
    <cellStyle name="Output 3 2 3 5 5" xfId="6188" xr:uid="{00000000-0005-0000-0000-0000B8560000}"/>
    <cellStyle name="Output 3 2 3 6" xfId="26478" xr:uid="{00000000-0005-0000-0000-0000B9560000}"/>
    <cellStyle name="Output 3 2 3 6 2" xfId="18562" xr:uid="{00000000-0005-0000-0000-0000BA560000}"/>
    <cellStyle name="Output 3 2 3 6 3" xfId="18566" xr:uid="{00000000-0005-0000-0000-0000BB560000}"/>
    <cellStyle name="Output 3 2 3 6 4" xfId="20633" xr:uid="{00000000-0005-0000-0000-0000BC560000}"/>
    <cellStyle name="Output 3 2 3 7" xfId="26480" xr:uid="{00000000-0005-0000-0000-0000BD560000}"/>
    <cellStyle name="Output 3 2 3 8" xfId="26481" xr:uid="{00000000-0005-0000-0000-0000BE560000}"/>
    <cellStyle name="Output 3 2 3 9" xfId="26482" xr:uid="{00000000-0005-0000-0000-0000BF560000}"/>
    <cellStyle name="Output 3 2 4" xfId="20381" xr:uid="{00000000-0005-0000-0000-0000C0560000}"/>
    <cellStyle name="Output 3 2 4 2" xfId="12317" xr:uid="{00000000-0005-0000-0000-0000C1560000}"/>
    <cellStyle name="Output 3 2 4 2 2" xfId="12319" xr:uid="{00000000-0005-0000-0000-0000C2560000}"/>
    <cellStyle name="Output 3 2 4 2 2 2" xfId="11453" xr:uid="{00000000-0005-0000-0000-0000C3560000}"/>
    <cellStyle name="Output 3 2 4 2 2 2 2" xfId="10682" xr:uid="{00000000-0005-0000-0000-0000C4560000}"/>
    <cellStyle name="Output 3 2 4 2 2 2 2 2" xfId="19836" xr:uid="{00000000-0005-0000-0000-0000C5560000}"/>
    <cellStyle name="Output 3 2 4 2 2 2 2 3" xfId="26483" xr:uid="{00000000-0005-0000-0000-0000C6560000}"/>
    <cellStyle name="Output 3 2 4 2 2 2 2 4" xfId="26484" xr:uid="{00000000-0005-0000-0000-0000C7560000}"/>
    <cellStyle name="Output 3 2 4 2 2 2 3" xfId="20155" xr:uid="{00000000-0005-0000-0000-0000C8560000}"/>
    <cellStyle name="Output 3 2 4 2 2 2 4" xfId="20707" xr:uid="{00000000-0005-0000-0000-0000C9560000}"/>
    <cellStyle name="Output 3 2 4 2 2 2 5" xfId="26485" xr:uid="{00000000-0005-0000-0000-0000CA560000}"/>
    <cellStyle name="Output 3 2 4 2 2 3" xfId="11461" xr:uid="{00000000-0005-0000-0000-0000CB560000}"/>
    <cellStyle name="Output 3 2 4 2 2 3 2" xfId="25931" xr:uid="{00000000-0005-0000-0000-0000CC560000}"/>
    <cellStyle name="Output 3 2 4 2 2 3 3" xfId="25933" xr:uid="{00000000-0005-0000-0000-0000CD560000}"/>
    <cellStyle name="Output 3 2 4 2 2 3 4" xfId="26487" xr:uid="{00000000-0005-0000-0000-0000CE560000}"/>
    <cellStyle name="Output 3 2 4 2 2 4" xfId="12323" xr:uid="{00000000-0005-0000-0000-0000CF560000}"/>
    <cellStyle name="Output 3 2 4 2 2 5" xfId="16247" xr:uid="{00000000-0005-0000-0000-0000D0560000}"/>
    <cellStyle name="Output 3 2 4 2 2 6" xfId="12367" xr:uid="{00000000-0005-0000-0000-0000D1560000}"/>
    <cellStyle name="Output 3 2 4 2 3" xfId="12330" xr:uid="{00000000-0005-0000-0000-0000D2560000}"/>
    <cellStyle name="Output 3 2 4 2 3 2" xfId="11482" xr:uid="{00000000-0005-0000-0000-0000D3560000}"/>
    <cellStyle name="Output 3 2 4 2 3 2 2" xfId="25940" xr:uid="{00000000-0005-0000-0000-0000D4560000}"/>
    <cellStyle name="Output 3 2 4 2 3 2 3" xfId="25942" xr:uid="{00000000-0005-0000-0000-0000D5560000}"/>
    <cellStyle name="Output 3 2 4 2 3 2 4" xfId="26488" xr:uid="{00000000-0005-0000-0000-0000D6560000}"/>
    <cellStyle name="Output 3 2 4 2 3 3" xfId="18914" xr:uid="{00000000-0005-0000-0000-0000D7560000}"/>
    <cellStyle name="Output 3 2 4 2 3 4" xfId="19680" xr:uid="{00000000-0005-0000-0000-0000D8560000}"/>
    <cellStyle name="Output 3 2 4 2 3 5" xfId="16260" xr:uid="{00000000-0005-0000-0000-0000D9560000}"/>
    <cellStyle name="Output 3 2 4 2 4" xfId="6935" xr:uid="{00000000-0005-0000-0000-0000DA560000}"/>
    <cellStyle name="Output 3 2 4 2 4 2" xfId="3702" xr:uid="{00000000-0005-0000-0000-0000DB560000}"/>
    <cellStyle name="Output 3 2 4 2 4 3" xfId="3712" xr:uid="{00000000-0005-0000-0000-0000DC560000}"/>
    <cellStyle name="Output 3 2 4 2 4 4" xfId="263" xr:uid="{00000000-0005-0000-0000-0000DD560000}"/>
    <cellStyle name="Output 3 2 4 2 5" xfId="6332" xr:uid="{00000000-0005-0000-0000-0000DE560000}"/>
    <cellStyle name="Output 3 2 4 2 6" xfId="6363" xr:uid="{00000000-0005-0000-0000-0000DF560000}"/>
    <cellStyle name="Output 3 2 4 2 7" xfId="311" xr:uid="{00000000-0005-0000-0000-0000E0560000}"/>
    <cellStyle name="Output 3 2 4 3" xfId="12337" xr:uid="{00000000-0005-0000-0000-0000E1560000}"/>
    <cellStyle name="Output 3 2 4 3 2" xfId="12339" xr:uid="{00000000-0005-0000-0000-0000E2560000}"/>
    <cellStyle name="Output 3 2 4 3 2 2" xfId="11503" xr:uid="{00000000-0005-0000-0000-0000E3560000}"/>
    <cellStyle name="Output 3 2 4 3 2 2 2" xfId="25253" xr:uid="{00000000-0005-0000-0000-0000E4560000}"/>
    <cellStyle name="Output 3 2 4 3 2 2 3" xfId="26009" xr:uid="{00000000-0005-0000-0000-0000E5560000}"/>
    <cellStyle name="Output 3 2 4 3 2 2 4" xfId="26011" xr:uid="{00000000-0005-0000-0000-0000E6560000}"/>
    <cellStyle name="Output 3 2 4 3 2 3" xfId="20713" xr:uid="{00000000-0005-0000-0000-0000E7560000}"/>
    <cellStyle name="Output 3 2 4 3 2 4" xfId="20716" xr:uid="{00000000-0005-0000-0000-0000E8560000}"/>
    <cellStyle name="Output 3 2 4 3 2 5" xfId="16646" xr:uid="{00000000-0005-0000-0000-0000E9560000}"/>
    <cellStyle name="Output 3 2 4 3 3" xfId="12344" xr:uid="{00000000-0005-0000-0000-0000EA560000}"/>
    <cellStyle name="Output 3 2 4 3 3 2" xfId="18924" xr:uid="{00000000-0005-0000-0000-0000EB560000}"/>
    <cellStyle name="Output 3 2 4 3 3 3" xfId="26489" xr:uid="{00000000-0005-0000-0000-0000EC560000}"/>
    <cellStyle name="Output 3 2 4 3 3 4" xfId="26491" xr:uid="{00000000-0005-0000-0000-0000ED560000}"/>
    <cellStyle name="Output 3 2 4 3 4" xfId="4245" xr:uid="{00000000-0005-0000-0000-0000EE560000}"/>
    <cellStyle name="Output 3 2 4 3 5" xfId="1672" xr:uid="{00000000-0005-0000-0000-0000EF560000}"/>
    <cellStyle name="Output 3 2 4 3 6" xfId="1715" xr:uid="{00000000-0005-0000-0000-0000F0560000}"/>
    <cellStyle name="Output 3 2 4 4" xfId="12353" xr:uid="{00000000-0005-0000-0000-0000F1560000}"/>
    <cellStyle name="Output 3 2 4 4 2" xfId="15731" xr:uid="{00000000-0005-0000-0000-0000F2560000}"/>
    <cellStyle name="Output 3 2 4 4 2 2" xfId="26493" xr:uid="{00000000-0005-0000-0000-0000F3560000}"/>
    <cellStyle name="Output 3 2 4 4 2 3" xfId="26495" xr:uid="{00000000-0005-0000-0000-0000F4560000}"/>
    <cellStyle name="Output 3 2 4 4 2 4" xfId="26498" xr:uid="{00000000-0005-0000-0000-0000F5560000}"/>
    <cellStyle name="Output 3 2 4 4 3" xfId="17940" xr:uid="{00000000-0005-0000-0000-0000F6560000}"/>
    <cellStyle name="Output 3 2 4 4 4" xfId="4289" xr:uid="{00000000-0005-0000-0000-0000F7560000}"/>
    <cellStyle name="Output 3 2 4 4 5" xfId="4305" xr:uid="{00000000-0005-0000-0000-0000F8560000}"/>
    <cellStyle name="Output 3 2 4 5" xfId="26500" xr:uid="{00000000-0005-0000-0000-0000F9560000}"/>
    <cellStyle name="Output 3 2 4 5 2" xfId="18595" xr:uid="{00000000-0005-0000-0000-0000FA560000}"/>
    <cellStyle name="Output 3 2 4 5 3" xfId="18599" xr:uid="{00000000-0005-0000-0000-0000FB560000}"/>
    <cellStyle name="Output 3 2 4 5 4" xfId="26501" xr:uid="{00000000-0005-0000-0000-0000FC560000}"/>
    <cellStyle name="Output 3 2 4 6" xfId="26503" xr:uid="{00000000-0005-0000-0000-0000FD560000}"/>
    <cellStyle name="Output 3 2 4 7" xfId="26504" xr:uid="{00000000-0005-0000-0000-0000FE560000}"/>
    <cellStyle name="Output 3 2 4 8" xfId="26505" xr:uid="{00000000-0005-0000-0000-0000FF560000}"/>
    <cellStyle name="Output 3 2 5" xfId="20386" xr:uid="{00000000-0005-0000-0000-000000570000}"/>
    <cellStyle name="Output 3 2 5 2" xfId="12375" xr:uid="{00000000-0005-0000-0000-000001570000}"/>
    <cellStyle name="Output 3 2 5 2 2" xfId="12378" xr:uid="{00000000-0005-0000-0000-000002570000}"/>
    <cellStyle name="Output 3 2 5 2 2 2" xfId="9410" xr:uid="{00000000-0005-0000-0000-000003570000}"/>
    <cellStyle name="Output 3 2 5 2 2 2 2" xfId="2886" xr:uid="{00000000-0005-0000-0000-000004570000}"/>
    <cellStyle name="Output 3 2 5 2 2 2 3" xfId="2899" xr:uid="{00000000-0005-0000-0000-000005570000}"/>
    <cellStyle name="Output 3 2 5 2 2 2 4" xfId="6092" xr:uid="{00000000-0005-0000-0000-000006570000}"/>
    <cellStyle name="Output 3 2 5 2 2 3" xfId="9421" xr:uid="{00000000-0005-0000-0000-000007570000}"/>
    <cellStyle name="Output 3 2 5 2 2 4" xfId="9426" xr:uid="{00000000-0005-0000-0000-000008570000}"/>
    <cellStyle name="Output 3 2 5 2 2 5" xfId="9429" xr:uid="{00000000-0005-0000-0000-000009570000}"/>
    <cellStyle name="Output 3 2 5 2 3" xfId="12386" xr:uid="{00000000-0005-0000-0000-00000A570000}"/>
    <cellStyle name="Output 3 2 5 2 3 2" xfId="9492" xr:uid="{00000000-0005-0000-0000-00000B570000}"/>
    <cellStyle name="Output 3 2 5 2 3 3" xfId="9506" xr:uid="{00000000-0005-0000-0000-00000C570000}"/>
    <cellStyle name="Output 3 2 5 2 3 4" xfId="9511" xr:uid="{00000000-0005-0000-0000-00000D570000}"/>
    <cellStyle name="Output 3 2 5 2 4" xfId="6998" xr:uid="{00000000-0005-0000-0000-00000E570000}"/>
    <cellStyle name="Output 3 2 5 2 5" xfId="6438" xr:uid="{00000000-0005-0000-0000-00000F570000}"/>
    <cellStyle name="Output 3 2 5 2 6" xfId="6455" xr:uid="{00000000-0005-0000-0000-000010570000}"/>
    <cellStyle name="Output 3 2 5 3" xfId="12399" xr:uid="{00000000-0005-0000-0000-000011570000}"/>
    <cellStyle name="Output 3 2 5 3 2" xfId="8347" xr:uid="{00000000-0005-0000-0000-000012570000}"/>
    <cellStyle name="Output 3 2 5 3 2 2" xfId="3729" xr:uid="{00000000-0005-0000-0000-000013570000}"/>
    <cellStyle name="Output 3 2 5 3 2 3" xfId="3736" xr:uid="{00000000-0005-0000-0000-000014570000}"/>
    <cellStyle name="Output 3 2 5 3 2 4" xfId="10442" xr:uid="{00000000-0005-0000-0000-000015570000}"/>
    <cellStyle name="Output 3 2 5 3 3" xfId="20734" xr:uid="{00000000-0005-0000-0000-000016570000}"/>
    <cellStyle name="Output 3 2 5 3 4" xfId="4382" xr:uid="{00000000-0005-0000-0000-000017570000}"/>
    <cellStyle name="Output 3 2 5 3 5" xfId="1825" xr:uid="{00000000-0005-0000-0000-000018570000}"/>
    <cellStyle name="Output 3 2 5 4" xfId="26507" xr:uid="{00000000-0005-0000-0000-000019570000}"/>
    <cellStyle name="Output 3 2 5 4 2" xfId="18616" xr:uid="{00000000-0005-0000-0000-00001A570000}"/>
    <cellStyle name="Output 3 2 5 4 3" xfId="18620" xr:uid="{00000000-0005-0000-0000-00001B570000}"/>
    <cellStyle name="Output 3 2 5 4 4" xfId="19327" xr:uid="{00000000-0005-0000-0000-00001C570000}"/>
    <cellStyle name="Output 3 2 5 5" xfId="26509" xr:uid="{00000000-0005-0000-0000-00001D570000}"/>
    <cellStyle name="Output 3 2 5 6" xfId="26510" xr:uid="{00000000-0005-0000-0000-00001E570000}"/>
    <cellStyle name="Output 3 2 5 7" xfId="26511" xr:uid="{00000000-0005-0000-0000-00001F570000}"/>
    <cellStyle name="Output 3 2 6" xfId="20392" xr:uid="{00000000-0005-0000-0000-000020570000}"/>
    <cellStyle name="Output 3 2 6 2" xfId="12429" xr:uid="{00000000-0005-0000-0000-000021570000}"/>
    <cellStyle name="Output 3 2 6 2 2" xfId="17669" xr:uid="{00000000-0005-0000-0000-000022570000}"/>
    <cellStyle name="Output 3 2 6 2 2 2" xfId="20773" xr:uid="{00000000-0005-0000-0000-000023570000}"/>
    <cellStyle name="Output 3 2 6 2 2 3" xfId="20777" xr:uid="{00000000-0005-0000-0000-000024570000}"/>
    <cellStyle name="Output 3 2 6 2 2 4" xfId="20782" xr:uid="{00000000-0005-0000-0000-000025570000}"/>
    <cellStyle name="Output 3 2 6 2 3" xfId="20785" xr:uid="{00000000-0005-0000-0000-000026570000}"/>
    <cellStyle name="Output 3 2 6 2 4" xfId="7034" xr:uid="{00000000-0005-0000-0000-000027570000}"/>
    <cellStyle name="Output 3 2 6 2 5" xfId="6506" xr:uid="{00000000-0005-0000-0000-000028570000}"/>
    <cellStyle name="Output 3 2 6 3" xfId="26513" xr:uid="{00000000-0005-0000-0000-000029570000}"/>
    <cellStyle name="Output 3 2 6 3 2" xfId="20792" xr:uid="{00000000-0005-0000-0000-00002A570000}"/>
    <cellStyle name="Output 3 2 6 3 3" xfId="20794" xr:uid="{00000000-0005-0000-0000-00002B570000}"/>
    <cellStyle name="Output 3 2 6 3 4" xfId="20796" xr:uid="{00000000-0005-0000-0000-00002C570000}"/>
    <cellStyle name="Output 3 2 6 4" xfId="26515" xr:uid="{00000000-0005-0000-0000-00002D570000}"/>
    <cellStyle name="Output 3 2 6 5" xfId="26516" xr:uid="{00000000-0005-0000-0000-00002E570000}"/>
    <cellStyle name="Output 3 2 6 6" xfId="2070" xr:uid="{00000000-0005-0000-0000-00002F570000}"/>
    <cellStyle name="Output 3 2 7" xfId="21006" xr:uid="{00000000-0005-0000-0000-000030570000}"/>
    <cellStyle name="Output 3 2 7 2" xfId="8618" xr:uid="{00000000-0005-0000-0000-000031570000}"/>
    <cellStyle name="Output 3 2 7 2 2" xfId="20816" xr:uid="{00000000-0005-0000-0000-000032570000}"/>
    <cellStyle name="Output 3 2 7 2 3" xfId="20820" xr:uid="{00000000-0005-0000-0000-000033570000}"/>
    <cellStyle name="Output 3 2 7 2 4" xfId="20823" xr:uid="{00000000-0005-0000-0000-000034570000}"/>
    <cellStyle name="Output 3 2 7 3" xfId="8622" xr:uid="{00000000-0005-0000-0000-000035570000}"/>
    <cellStyle name="Output 3 2 7 4" xfId="26517" xr:uid="{00000000-0005-0000-0000-000036570000}"/>
    <cellStyle name="Output 3 2 7 5" xfId="26518" xr:uid="{00000000-0005-0000-0000-000037570000}"/>
    <cellStyle name="Output 3 2 8" xfId="13266" xr:uid="{00000000-0005-0000-0000-000038570000}"/>
    <cellStyle name="Output 3 2 8 2" xfId="26520" xr:uid="{00000000-0005-0000-0000-000039570000}"/>
    <cellStyle name="Output 3 2 8 3" xfId="26521" xr:uid="{00000000-0005-0000-0000-00003A570000}"/>
    <cellStyle name="Output 3 2 8 4" xfId="26522" xr:uid="{00000000-0005-0000-0000-00003B570000}"/>
    <cellStyle name="Output 3 2 9" xfId="13269" xr:uid="{00000000-0005-0000-0000-00003C570000}"/>
    <cellStyle name="Output 3 3" xfId="8639" xr:uid="{00000000-0005-0000-0000-00003D570000}"/>
    <cellStyle name="Output 3 3 2" xfId="26523" xr:uid="{00000000-0005-0000-0000-00003E570000}"/>
    <cellStyle name="Output 3 3 2 2" xfId="16591" xr:uid="{00000000-0005-0000-0000-00003F570000}"/>
    <cellStyle name="Output 3 3 2 2 2" xfId="16593" xr:uid="{00000000-0005-0000-0000-000040570000}"/>
    <cellStyle name="Output 3 3 2 2 2 2" xfId="7320" xr:uid="{00000000-0005-0000-0000-000041570000}"/>
    <cellStyle name="Output 3 3 2 2 2 2 2" xfId="26524" xr:uid="{00000000-0005-0000-0000-000042570000}"/>
    <cellStyle name="Output 3 3 2 2 2 2 2 2" xfId="13006" xr:uid="{00000000-0005-0000-0000-000043570000}"/>
    <cellStyle name="Output 3 3 2 2 2 2 2 3" xfId="13013" xr:uid="{00000000-0005-0000-0000-000044570000}"/>
    <cellStyle name="Output 3 3 2 2 2 2 2 4" xfId="13016" xr:uid="{00000000-0005-0000-0000-000045570000}"/>
    <cellStyle name="Output 3 3 2 2 2 2 3" xfId="26525" xr:uid="{00000000-0005-0000-0000-000046570000}"/>
    <cellStyle name="Output 3 3 2 2 2 2 4" xfId="26526" xr:uid="{00000000-0005-0000-0000-000047570000}"/>
    <cellStyle name="Output 3 3 2 2 2 2 5" xfId="26527" xr:uid="{00000000-0005-0000-0000-000048570000}"/>
    <cellStyle name="Output 3 3 2 2 2 3" xfId="8368" xr:uid="{00000000-0005-0000-0000-000049570000}"/>
    <cellStyle name="Output 3 3 2 2 2 3 2" xfId="26528" xr:uid="{00000000-0005-0000-0000-00004A570000}"/>
    <cellStyle name="Output 3 3 2 2 2 3 3" xfId="21330" xr:uid="{00000000-0005-0000-0000-00004B570000}"/>
    <cellStyle name="Output 3 3 2 2 2 3 4" xfId="21332" xr:uid="{00000000-0005-0000-0000-00004C570000}"/>
    <cellStyle name="Output 3 3 2 2 2 4" xfId="8376" xr:uid="{00000000-0005-0000-0000-00004D570000}"/>
    <cellStyle name="Output 3 3 2 2 2 5" xfId="4299" xr:uid="{00000000-0005-0000-0000-00004E570000}"/>
    <cellStyle name="Output 3 3 2 2 2 6" xfId="26530" xr:uid="{00000000-0005-0000-0000-00004F570000}"/>
    <cellStyle name="Output 3 3 2 2 3" xfId="16596" xr:uid="{00000000-0005-0000-0000-000050570000}"/>
    <cellStyle name="Output 3 3 2 2 3 2" xfId="7197" xr:uid="{00000000-0005-0000-0000-000051570000}"/>
    <cellStyle name="Output 3 3 2 2 3 2 2" xfId="26531" xr:uid="{00000000-0005-0000-0000-000052570000}"/>
    <cellStyle name="Output 3 3 2 2 3 2 3" xfId="26532" xr:uid="{00000000-0005-0000-0000-000053570000}"/>
    <cellStyle name="Output 3 3 2 2 3 2 4" xfId="26533" xr:uid="{00000000-0005-0000-0000-000054570000}"/>
    <cellStyle name="Output 3 3 2 2 3 3" xfId="26534" xr:uid="{00000000-0005-0000-0000-000055570000}"/>
    <cellStyle name="Output 3 3 2 2 3 4" xfId="19694" xr:uid="{00000000-0005-0000-0000-000056570000}"/>
    <cellStyle name="Output 3 3 2 2 3 5" xfId="19700" xr:uid="{00000000-0005-0000-0000-000057570000}"/>
    <cellStyle name="Output 3 3 2 2 4" xfId="7382" xr:uid="{00000000-0005-0000-0000-000058570000}"/>
    <cellStyle name="Output 3 3 2 2 4 2" xfId="7693" xr:uid="{00000000-0005-0000-0000-000059570000}"/>
    <cellStyle name="Output 3 3 2 2 4 3" xfId="7705" xr:uid="{00000000-0005-0000-0000-00005A570000}"/>
    <cellStyle name="Output 3 3 2 2 4 4" xfId="7712" xr:uid="{00000000-0005-0000-0000-00005B570000}"/>
    <cellStyle name="Output 3 3 2 2 5" xfId="5152" xr:uid="{00000000-0005-0000-0000-00005C570000}"/>
    <cellStyle name="Output 3 3 2 2 6" xfId="5238" xr:uid="{00000000-0005-0000-0000-00005D570000}"/>
    <cellStyle name="Output 3 3 2 2 7" xfId="5265" xr:uid="{00000000-0005-0000-0000-00005E570000}"/>
    <cellStyle name="Output 3 3 2 3" xfId="16598" xr:uid="{00000000-0005-0000-0000-00005F570000}"/>
    <cellStyle name="Output 3 3 2 3 2" xfId="15903" xr:uid="{00000000-0005-0000-0000-000060570000}"/>
    <cellStyle name="Output 3 3 2 3 2 2" xfId="8866" xr:uid="{00000000-0005-0000-0000-000061570000}"/>
    <cellStyle name="Output 3 3 2 3 2 2 2" xfId="26535" xr:uid="{00000000-0005-0000-0000-000062570000}"/>
    <cellStyle name="Output 3 3 2 3 2 2 3" xfId="26536" xr:uid="{00000000-0005-0000-0000-000063570000}"/>
    <cellStyle name="Output 3 3 2 3 2 2 4" xfId="20191" xr:uid="{00000000-0005-0000-0000-000064570000}"/>
    <cellStyle name="Output 3 3 2 3 2 3" xfId="26537" xr:uid="{00000000-0005-0000-0000-000065570000}"/>
    <cellStyle name="Output 3 3 2 3 2 4" xfId="26538" xr:uid="{00000000-0005-0000-0000-000066570000}"/>
    <cellStyle name="Output 3 3 2 3 2 5" xfId="26539" xr:uid="{00000000-0005-0000-0000-000067570000}"/>
    <cellStyle name="Output 3 3 2 3 3" xfId="15908" xr:uid="{00000000-0005-0000-0000-000068570000}"/>
    <cellStyle name="Output 3 3 2 3 3 2" xfId="26540" xr:uid="{00000000-0005-0000-0000-000069570000}"/>
    <cellStyle name="Output 3 3 2 3 3 3" xfId="26541" xr:uid="{00000000-0005-0000-0000-00006A570000}"/>
    <cellStyle name="Output 3 3 2 3 3 4" xfId="26542" xr:uid="{00000000-0005-0000-0000-00006B570000}"/>
    <cellStyle name="Output 3 3 2 3 4" xfId="7719" xr:uid="{00000000-0005-0000-0000-00006C570000}"/>
    <cellStyle name="Output 3 3 2 3 5" xfId="5312" xr:uid="{00000000-0005-0000-0000-00006D570000}"/>
    <cellStyle name="Output 3 3 2 3 6" xfId="5355" xr:uid="{00000000-0005-0000-0000-00006E570000}"/>
    <cellStyle name="Output 3 3 2 4" xfId="16601" xr:uid="{00000000-0005-0000-0000-00006F570000}"/>
    <cellStyle name="Output 3 3 2 4 2" xfId="26545" xr:uid="{00000000-0005-0000-0000-000070570000}"/>
    <cellStyle name="Output 3 3 2 4 2 2" xfId="26546" xr:uid="{00000000-0005-0000-0000-000071570000}"/>
    <cellStyle name="Output 3 3 2 4 2 3" xfId="26547" xr:uid="{00000000-0005-0000-0000-000072570000}"/>
    <cellStyle name="Output 3 3 2 4 2 4" xfId="26548" xr:uid="{00000000-0005-0000-0000-000073570000}"/>
    <cellStyle name="Output 3 3 2 4 3" xfId="26550" xr:uid="{00000000-0005-0000-0000-000074570000}"/>
    <cellStyle name="Output 3 3 2 4 4" xfId="7434" xr:uid="{00000000-0005-0000-0000-000075570000}"/>
    <cellStyle name="Output 3 3 2 4 5" xfId="5385" xr:uid="{00000000-0005-0000-0000-000076570000}"/>
    <cellStyle name="Output 3 3 2 5" xfId="16604" xr:uid="{00000000-0005-0000-0000-000077570000}"/>
    <cellStyle name="Output 3 3 2 5 2" xfId="1888" xr:uid="{00000000-0005-0000-0000-000078570000}"/>
    <cellStyle name="Output 3 3 2 5 3" xfId="4735" xr:uid="{00000000-0005-0000-0000-000079570000}"/>
    <cellStyle name="Output 3 3 2 5 4" xfId="7740" xr:uid="{00000000-0005-0000-0000-00007A570000}"/>
    <cellStyle name="Output 3 3 2 6" xfId="16607" xr:uid="{00000000-0005-0000-0000-00007B570000}"/>
    <cellStyle name="Output 3 3 2 7" xfId="26552" xr:uid="{00000000-0005-0000-0000-00007C570000}"/>
    <cellStyle name="Output 3 3 2 8" xfId="26553" xr:uid="{00000000-0005-0000-0000-00007D570000}"/>
    <cellStyle name="Output 3 3 3" xfId="20395" xr:uid="{00000000-0005-0000-0000-00007E570000}"/>
    <cellStyle name="Output 3 3 3 2" xfId="12488" xr:uid="{00000000-0005-0000-0000-00007F570000}"/>
    <cellStyle name="Output 3 3 3 2 2" xfId="12492" xr:uid="{00000000-0005-0000-0000-000080570000}"/>
    <cellStyle name="Output 3 3 3 2 2 2" xfId="8902" xr:uid="{00000000-0005-0000-0000-000081570000}"/>
    <cellStyle name="Output 3 3 3 2 2 2 2" xfId="12101" xr:uid="{00000000-0005-0000-0000-000082570000}"/>
    <cellStyle name="Output 3 3 3 2 2 2 3" xfId="12108" xr:uid="{00000000-0005-0000-0000-000083570000}"/>
    <cellStyle name="Output 3 3 3 2 2 2 4" xfId="13747" xr:uid="{00000000-0005-0000-0000-000084570000}"/>
    <cellStyle name="Output 3 3 3 2 2 3" xfId="10169" xr:uid="{00000000-0005-0000-0000-000085570000}"/>
    <cellStyle name="Output 3 3 3 2 2 4" xfId="12498" xr:uid="{00000000-0005-0000-0000-000086570000}"/>
    <cellStyle name="Output 3 3 3 2 2 5" xfId="16305" xr:uid="{00000000-0005-0000-0000-000087570000}"/>
    <cellStyle name="Output 3 3 3 2 3" xfId="12506" xr:uid="{00000000-0005-0000-0000-000088570000}"/>
    <cellStyle name="Output 3 3 3 2 3 2" xfId="16311" xr:uid="{00000000-0005-0000-0000-000089570000}"/>
    <cellStyle name="Output 3 3 3 2 3 3" xfId="16318" xr:uid="{00000000-0005-0000-0000-00008A570000}"/>
    <cellStyle name="Output 3 3 3 2 3 4" xfId="16325" xr:uid="{00000000-0005-0000-0000-00008B570000}"/>
    <cellStyle name="Output 3 3 3 2 4" xfId="7996" xr:uid="{00000000-0005-0000-0000-00008C570000}"/>
    <cellStyle name="Output 3 3 3 2 5" xfId="5425" xr:uid="{00000000-0005-0000-0000-00008D570000}"/>
    <cellStyle name="Output 3 3 3 2 6" xfId="5454" xr:uid="{00000000-0005-0000-0000-00008E570000}"/>
    <cellStyle name="Output 3 3 3 3" xfId="12513" xr:uid="{00000000-0005-0000-0000-00008F570000}"/>
    <cellStyle name="Output 3 3 3 3 2" xfId="12517" xr:uid="{00000000-0005-0000-0000-000090570000}"/>
    <cellStyle name="Output 3 3 3 3 2 2" xfId="16331" xr:uid="{00000000-0005-0000-0000-000091570000}"/>
    <cellStyle name="Output 3 3 3 3 2 3" xfId="12936" xr:uid="{00000000-0005-0000-0000-000092570000}"/>
    <cellStyle name="Output 3 3 3 3 2 4" xfId="16336" xr:uid="{00000000-0005-0000-0000-000093570000}"/>
    <cellStyle name="Output 3 3 3 3 3" xfId="12523" xr:uid="{00000000-0005-0000-0000-000094570000}"/>
    <cellStyle name="Output 3 3 3 3 4" xfId="8041" xr:uid="{00000000-0005-0000-0000-000095570000}"/>
    <cellStyle name="Output 3 3 3 3 5" xfId="5516" xr:uid="{00000000-0005-0000-0000-000096570000}"/>
    <cellStyle name="Output 3 3 3 4" xfId="7441" xr:uid="{00000000-0005-0000-0000-000097570000}"/>
    <cellStyle name="Output 3 3 3 4 2" xfId="15428" xr:uid="{00000000-0005-0000-0000-000098570000}"/>
    <cellStyle name="Output 3 3 3 4 3" xfId="16340" xr:uid="{00000000-0005-0000-0000-000099570000}"/>
    <cellStyle name="Output 3 3 3 4 4" xfId="8070" xr:uid="{00000000-0005-0000-0000-00009A570000}"/>
    <cellStyle name="Output 3 3 3 5" xfId="7447" xr:uid="{00000000-0005-0000-0000-00009B570000}"/>
    <cellStyle name="Output 3 3 3 6" xfId="26555" xr:uid="{00000000-0005-0000-0000-00009C570000}"/>
    <cellStyle name="Output 3 3 3 7" xfId="26556" xr:uid="{00000000-0005-0000-0000-00009D570000}"/>
    <cellStyle name="Output 3 3 4" xfId="20397" xr:uid="{00000000-0005-0000-0000-00009E570000}"/>
    <cellStyle name="Output 3 3 4 2" xfId="3694" xr:uid="{00000000-0005-0000-0000-00009F570000}"/>
    <cellStyle name="Output 3 3 4 2 2" xfId="10340" xr:uid="{00000000-0005-0000-0000-0000A0570000}"/>
    <cellStyle name="Output 3 3 4 2 2 2" xfId="11667" xr:uid="{00000000-0005-0000-0000-0000A1570000}"/>
    <cellStyle name="Output 3 3 4 2 2 3" xfId="9895" xr:uid="{00000000-0005-0000-0000-0000A2570000}"/>
    <cellStyle name="Output 3 3 4 2 2 4" xfId="9903" xr:uid="{00000000-0005-0000-0000-0000A3570000}"/>
    <cellStyle name="Output 3 3 4 2 3" xfId="10347" xr:uid="{00000000-0005-0000-0000-0000A4570000}"/>
    <cellStyle name="Output 3 3 4 2 4" xfId="8187" xr:uid="{00000000-0005-0000-0000-0000A5570000}"/>
    <cellStyle name="Output 3 3 4 2 5" xfId="5642" xr:uid="{00000000-0005-0000-0000-0000A6570000}"/>
    <cellStyle name="Output 3 3 4 3" xfId="9307" xr:uid="{00000000-0005-0000-0000-0000A7570000}"/>
    <cellStyle name="Output 3 3 4 3 2" xfId="15470" xr:uid="{00000000-0005-0000-0000-0000A8570000}"/>
    <cellStyle name="Output 3 3 4 3 3" xfId="16358" xr:uid="{00000000-0005-0000-0000-0000A9570000}"/>
    <cellStyle name="Output 3 3 4 3 4" xfId="8205" xr:uid="{00000000-0005-0000-0000-0000AA570000}"/>
    <cellStyle name="Output 3 3 4 4" xfId="46" xr:uid="{00000000-0005-0000-0000-0000AB570000}"/>
    <cellStyle name="Output 3 3 4 5" xfId="26558" xr:uid="{00000000-0005-0000-0000-0000AC570000}"/>
    <cellStyle name="Output 3 3 4 6" xfId="26559" xr:uid="{00000000-0005-0000-0000-0000AD570000}"/>
    <cellStyle name="Output 3 3 5" xfId="20401" xr:uid="{00000000-0005-0000-0000-0000AE570000}"/>
    <cellStyle name="Output 3 3 5 2" xfId="10389" xr:uid="{00000000-0005-0000-0000-0000AF570000}"/>
    <cellStyle name="Output 3 3 5 2 2" xfId="15487" xr:uid="{00000000-0005-0000-0000-0000B0570000}"/>
    <cellStyle name="Output 3 3 5 2 3" xfId="16366" xr:uid="{00000000-0005-0000-0000-0000B1570000}"/>
    <cellStyle name="Output 3 3 5 2 4" xfId="8284" xr:uid="{00000000-0005-0000-0000-0000B2570000}"/>
    <cellStyle name="Output 3 3 5 3" xfId="10396" xr:uid="{00000000-0005-0000-0000-0000B3570000}"/>
    <cellStyle name="Output 3 3 5 4" xfId="26561" xr:uid="{00000000-0005-0000-0000-0000B4570000}"/>
    <cellStyle name="Output 3 3 5 5" xfId="26562" xr:uid="{00000000-0005-0000-0000-0000B5570000}"/>
    <cellStyle name="Output 3 3 6" xfId="26564" xr:uid="{00000000-0005-0000-0000-0000B6570000}"/>
    <cellStyle name="Output 3 3 6 2" xfId="10415" xr:uid="{00000000-0005-0000-0000-0000B7570000}"/>
    <cellStyle name="Output 3 3 6 3" xfId="26565" xr:uid="{00000000-0005-0000-0000-0000B8570000}"/>
    <cellStyle name="Output 3 3 6 4" xfId="26566" xr:uid="{00000000-0005-0000-0000-0000B9570000}"/>
    <cellStyle name="Output 3 3 7" xfId="26568" xr:uid="{00000000-0005-0000-0000-0000BA570000}"/>
    <cellStyle name="Output 3 3 8" xfId="26570" xr:uid="{00000000-0005-0000-0000-0000BB570000}"/>
    <cellStyle name="Output 3 3 9" xfId="26571" xr:uid="{00000000-0005-0000-0000-0000BC570000}"/>
    <cellStyle name="Output 3 4" xfId="10024" xr:uid="{00000000-0005-0000-0000-0000BD570000}"/>
    <cellStyle name="Output 3 4 2" xfId="20337" xr:uid="{00000000-0005-0000-0000-0000BE570000}"/>
    <cellStyle name="Output 3 4 2 2" xfId="16927" xr:uid="{00000000-0005-0000-0000-0000BF570000}"/>
    <cellStyle name="Output 3 4 2 2 2" xfId="16929" xr:uid="{00000000-0005-0000-0000-0000C0570000}"/>
    <cellStyle name="Output 3 4 2 2 2 2" xfId="16931" xr:uid="{00000000-0005-0000-0000-0000C1570000}"/>
    <cellStyle name="Output 3 4 2 2 2 2 2" xfId="23925" xr:uid="{00000000-0005-0000-0000-0000C2570000}"/>
    <cellStyle name="Output 3 4 2 2 2 2 2 2" xfId="26572" xr:uid="{00000000-0005-0000-0000-0000C3570000}"/>
    <cellStyle name="Output 3 4 2 2 2 2 2 3" xfId="26573" xr:uid="{00000000-0005-0000-0000-0000C4570000}"/>
    <cellStyle name="Output 3 4 2 2 2 2 2 4" xfId="26574" xr:uid="{00000000-0005-0000-0000-0000C5570000}"/>
    <cellStyle name="Output 3 4 2 2 2 2 3" xfId="26575" xr:uid="{00000000-0005-0000-0000-0000C6570000}"/>
    <cellStyle name="Output 3 4 2 2 2 2 4" xfId="26576" xr:uid="{00000000-0005-0000-0000-0000C7570000}"/>
    <cellStyle name="Output 3 4 2 2 2 2 5" xfId="16787" xr:uid="{00000000-0005-0000-0000-0000C8570000}"/>
    <cellStyle name="Output 3 4 2 2 2 3" xfId="16933" xr:uid="{00000000-0005-0000-0000-0000C9570000}"/>
    <cellStyle name="Output 3 4 2 2 2 3 2" xfId="26578" xr:uid="{00000000-0005-0000-0000-0000CA570000}"/>
    <cellStyle name="Output 3 4 2 2 2 3 3" xfId="25095" xr:uid="{00000000-0005-0000-0000-0000CB570000}"/>
    <cellStyle name="Output 3 4 2 2 2 3 4" xfId="25098" xr:uid="{00000000-0005-0000-0000-0000CC570000}"/>
    <cellStyle name="Output 3 4 2 2 2 4" xfId="11219" xr:uid="{00000000-0005-0000-0000-0000CD570000}"/>
    <cellStyle name="Output 3 4 2 2 2 5" xfId="11223" xr:uid="{00000000-0005-0000-0000-0000CE570000}"/>
    <cellStyle name="Output 3 4 2 2 2 6" xfId="11229" xr:uid="{00000000-0005-0000-0000-0000CF570000}"/>
    <cellStyle name="Output 3 4 2 2 3" xfId="16936" xr:uid="{00000000-0005-0000-0000-0000D0570000}"/>
    <cellStyle name="Output 3 4 2 2 3 2" xfId="26579" xr:uid="{00000000-0005-0000-0000-0000D1570000}"/>
    <cellStyle name="Output 3 4 2 2 3 2 2" xfId="26580" xr:uid="{00000000-0005-0000-0000-0000D2570000}"/>
    <cellStyle name="Output 3 4 2 2 3 2 3" xfId="26581" xr:uid="{00000000-0005-0000-0000-0000D3570000}"/>
    <cellStyle name="Output 3 4 2 2 3 2 4" xfId="26582" xr:uid="{00000000-0005-0000-0000-0000D4570000}"/>
    <cellStyle name="Output 3 4 2 2 3 3" xfId="26583" xr:uid="{00000000-0005-0000-0000-0000D5570000}"/>
    <cellStyle name="Output 3 4 2 2 3 4" xfId="26584" xr:uid="{00000000-0005-0000-0000-0000D6570000}"/>
    <cellStyle name="Output 3 4 2 2 3 5" xfId="26585" xr:uid="{00000000-0005-0000-0000-0000D7570000}"/>
    <cellStyle name="Output 3 4 2 2 4" xfId="1952" xr:uid="{00000000-0005-0000-0000-0000D8570000}"/>
    <cellStyle name="Output 3 4 2 2 4 2" xfId="2558" xr:uid="{00000000-0005-0000-0000-0000D9570000}"/>
    <cellStyle name="Output 3 4 2 2 4 3" xfId="2591" xr:uid="{00000000-0005-0000-0000-0000DA570000}"/>
    <cellStyle name="Output 3 4 2 2 4 4" xfId="2598" xr:uid="{00000000-0005-0000-0000-0000DB570000}"/>
    <cellStyle name="Output 3 4 2 2 5" xfId="2609" xr:uid="{00000000-0005-0000-0000-0000DC570000}"/>
    <cellStyle name="Output 3 4 2 2 6" xfId="2634" xr:uid="{00000000-0005-0000-0000-0000DD570000}"/>
    <cellStyle name="Output 3 4 2 2 7" xfId="2648" xr:uid="{00000000-0005-0000-0000-0000DE570000}"/>
    <cellStyle name="Output 3 4 2 3" xfId="16939" xr:uid="{00000000-0005-0000-0000-0000DF570000}"/>
    <cellStyle name="Output 3 4 2 3 2" xfId="16074" xr:uid="{00000000-0005-0000-0000-0000E0570000}"/>
    <cellStyle name="Output 3 4 2 3 2 2" xfId="26587" xr:uid="{00000000-0005-0000-0000-0000E1570000}"/>
    <cellStyle name="Output 3 4 2 3 2 2 2" xfId="26589" xr:uid="{00000000-0005-0000-0000-0000E2570000}"/>
    <cellStyle name="Output 3 4 2 3 2 2 3" xfId="26591" xr:uid="{00000000-0005-0000-0000-0000E3570000}"/>
    <cellStyle name="Output 3 4 2 3 2 2 4" xfId="20874" xr:uid="{00000000-0005-0000-0000-0000E4570000}"/>
    <cellStyle name="Output 3 4 2 3 2 3" xfId="26593" xr:uid="{00000000-0005-0000-0000-0000E5570000}"/>
    <cellStyle name="Output 3 4 2 3 2 4" xfId="26595" xr:uid="{00000000-0005-0000-0000-0000E6570000}"/>
    <cellStyle name="Output 3 4 2 3 2 5" xfId="26597" xr:uid="{00000000-0005-0000-0000-0000E7570000}"/>
    <cellStyle name="Output 3 4 2 3 3" xfId="16080" xr:uid="{00000000-0005-0000-0000-0000E8570000}"/>
    <cellStyle name="Output 3 4 2 3 3 2" xfId="26599" xr:uid="{00000000-0005-0000-0000-0000E9570000}"/>
    <cellStyle name="Output 3 4 2 3 3 3" xfId="26601" xr:uid="{00000000-0005-0000-0000-0000EA570000}"/>
    <cellStyle name="Output 3 4 2 3 3 4" xfId="26603" xr:uid="{00000000-0005-0000-0000-0000EB570000}"/>
    <cellStyle name="Output 3 4 2 3 4" xfId="285" xr:uid="{00000000-0005-0000-0000-0000EC570000}"/>
    <cellStyle name="Output 3 4 2 3 5" xfId="103" xr:uid="{00000000-0005-0000-0000-0000ED570000}"/>
    <cellStyle name="Output 3 4 2 3 6" xfId="536" xr:uid="{00000000-0005-0000-0000-0000EE570000}"/>
    <cellStyle name="Output 3 4 2 4" xfId="16944" xr:uid="{00000000-0005-0000-0000-0000EF570000}"/>
    <cellStyle name="Output 3 4 2 4 2" xfId="26605" xr:uid="{00000000-0005-0000-0000-0000F0570000}"/>
    <cellStyle name="Output 3 4 2 4 2 2" xfId="26607" xr:uid="{00000000-0005-0000-0000-0000F1570000}"/>
    <cellStyle name="Output 3 4 2 4 2 3" xfId="26609" xr:uid="{00000000-0005-0000-0000-0000F2570000}"/>
    <cellStyle name="Output 3 4 2 4 2 4" xfId="26611" xr:uid="{00000000-0005-0000-0000-0000F3570000}"/>
    <cellStyle name="Output 3 4 2 4 3" xfId="26614" xr:uid="{00000000-0005-0000-0000-0000F4570000}"/>
    <cellStyle name="Output 3 4 2 4 4" xfId="2697" xr:uid="{00000000-0005-0000-0000-0000F5570000}"/>
    <cellStyle name="Output 3 4 2 4 5" xfId="2710" xr:uid="{00000000-0005-0000-0000-0000F6570000}"/>
    <cellStyle name="Output 3 4 2 5" xfId="16949" xr:uid="{00000000-0005-0000-0000-0000F7570000}"/>
    <cellStyle name="Output 3 4 2 5 2" xfId="26616" xr:uid="{00000000-0005-0000-0000-0000F8570000}"/>
    <cellStyle name="Output 3 4 2 5 3" xfId="26618" xr:uid="{00000000-0005-0000-0000-0000F9570000}"/>
    <cellStyle name="Output 3 4 2 5 4" xfId="1092" xr:uid="{00000000-0005-0000-0000-0000FA570000}"/>
    <cellStyle name="Output 3 4 2 6" xfId="16954" xr:uid="{00000000-0005-0000-0000-0000FB570000}"/>
    <cellStyle name="Output 3 4 2 7" xfId="26620" xr:uid="{00000000-0005-0000-0000-0000FC570000}"/>
    <cellStyle name="Output 3 4 2 8" xfId="26622" xr:uid="{00000000-0005-0000-0000-0000FD570000}"/>
    <cellStyle name="Output 3 4 3" xfId="26623" xr:uid="{00000000-0005-0000-0000-0000FE570000}"/>
    <cellStyle name="Output 3 4 3 2" xfId="2110" xr:uid="{00000000-0005-0000-0000-0000FF570000}"/>
    <cellStyle name="Output 3 4 3 2 2" xfId="9679" xr:uid="{00000000-0005-0000-0000-000000580000}"/>
    <cellStyle name="Output 3 4 3 2 2 2" xfId="10934" xr:uid="{00000000-0005-0000-0000-000001580000}"/>
    <cellStyle name="Output 3 4 3 2 2 2 2" xfId="10940" xr:uid="{00000000-0005-0000-0000-000002580000}"/>
    <cellStyle name="Output 3 4 3 2 2 2 3" xfId="10948" xr:uid="{00000000-0005-0000-0000-000003580000}"/>
    <cellStyle name="Output 3 4 3 2 2 2 4" xfId="10955" xr:uid="{00000000-0005-0000-0000-000004580000}"/>
    <cellStyle name="Output 3 4 3 2 2 3" xfId="10961" xr:uid="{00000000-0005-0000-0000-000005580000}"/>
    <cellStyle name="Output 3 4 3 2 2 4" xfId="10967" xr:uid="{00000000-0005-0000-0000-000006580000}"/>
    <cellStyle name="Output 3 4 3 2 2 5" xfId="10974" xr:uid="{00000000-0005-0000-0000-000007580000}"/>
    <cellStyle name="Output 3 4 3 2 3" xfId="2759" xr:uid="{00000000-0005-0000-0000-000008580000}"/>
    <cellStyle name="Output 3 4 3 2 3 2" xfId="10979" xr:uid="{00000000-0005-0000-0000-000009580000}"/>
    <cellStyle name="Output 3 4 3 2 3 3" xfId="10986" xr:uid="{00000000-0005-0000-0000-00000A580000}"/>
    <cellStyle name="Output 3 4 3 2 3 4" xfId="10991" xr:uid="{00000000-0005-0000-0000-00000B580000}"/>
    <cellStyle name="Output 3 4 3 2 4" xfId="2772" xr:uid="{00000000-0005-0000-0000-00000C580000}"/>
    <cellStyle name="Output 3 4 3 2 5" xfId="2795" xr:uid="{00000000-0005-0000-0000-00000D580000}"/>
    <cellStyle name="Output 3 4 3 2 6" xfId="2814" xr:uid="{00000000-0005-0000-0000-00000E580000}"/>
    <cellStyle name="Output 3 4 3 3" xfId="3175" xr:uid="{00000000-0005-0000-0000-00000F580000}"/>
    <cellStyle name="Output 3 4 3 3 2" xfId="10996" xr:uid="{00000000-0005-0000-0000-000010580000}"/>
    <cellStyle name="Output 3 4 3 3 2 2" xfId="3017" xr:uid="{00000000-0005-0000-0000-000011580000}"/>
    <cellStyle name="Output 3 4 3 3 2 3" xfId="2188" xr:uid="{00000000-0005-0000-0000-000012580000}"/>
    <cellStyle name="Output 3 4 3 3 2 4" xfId="11003" xr:uid="{00000000-0005-0000-0000-000013580000}"/>
    <cellStyle name="Output 3 4 3 3 3" xfId="11007" xr:uid="{00000000-0005-0000-0000-000014580000}"/>
    <cellStyle name="Output 3 4 3 3 4" xfId="2849" xr:uid="{00000000-0005-0000-0000-000015580000}"/>
    <cellStyle name="Output 3 4 3 3 5" xfId="2861" xr:uid="{00000000-0005-0000-0000-000016580000}"/>
    <cellStyle name="Output 3 4 3 4" xfId="9693" xr:uid="{00000000-0005-0000-0000-000017580000}"/>
    <cellStyle name="Output 3 4 3 4 2" xfId="7309" xr:uid="{00000000-0005-0000-0000-000018580000}"/>
    <cellStyle name="Output 3 4 3 4 3" xfId="11013" xr:uid="{00000000-0005-0000-0000-000019580000}"/>
    <cellStyle name="Output 3 4 3 4 4" xfId="2885" xr:uid="{00000000-0005-0000-0000-00001A580000}"/>
    <cellStyle name="Output 3 4 3 5" xfId="9702" xr:uid="{00000000-0005-0000-0000-00001B580000}"/>
    <cellStyle name="Output 3 4 3 6" xfId="11023" xr:uid="{00000000-0005-0000-0000-00001C580000}"/>
    <cellStyle name="Output 3 4 3 7" xfId="26626" xr:uid="{00000000-0005-0000-0000-00001D580000}"/>
    <cellStyle name="Output 3 4 4" xfId="26627" xr:uid="{00000000-0005-0000-0000-00001E580000}"/>
    <cellStyle name="Output 3 4 4 2" xfId="1926" xr:uid="{00000000-0005-0000-0000-00001F580000}"/>
    <cellStyle name="Output 3 4 4 2 2" xfId="9243" xr:uid="{00000000-0005-0000-0000-000020580000}"/>
    <cellStyle name="Output 3 4 4 2 2 2" xfId="10601" xr:uid="{00000000-0005-0000-0000-000021580000}"/>
    <cellStyle name="Output 3 4 4 2 2 3" xfId="10608" xr:uid="{00000000-0005-0000-0000-000022580000}"/>
    <cellStyle name="Output 3 4 4 2 2 4" xfId="11028" xr:uid="{00000000-0005-0000-0000-000023580000}"/>
    <cellStyle name="Output 3 4 4 2 3" xfId="11032" xr:uid="{00000000-0005-0000-0000-000024580000}"/>
    <cellStyle name="Output 3 4 4 2 4" xfId="2977" xr:uid="{00000000-0005-0000-0000-000025580000}"/>
    <cellStyle name="Output 3 4 4 2 5" xfId="1515" xr:uid="{00000000-0005-0000-0000-000026580000}"/>
    <cellStyle name="Output 3 4 4 3" xfId="9707" xr:uid="{00000000-0005-0000-0000-000027580000}"/>
    <cellStyle name="Output 3 4 4 3 2" xfId="11039" xr:uid="{00000000-0005-0000-0000-000028580000}"/>
    <cellStyle name="Output 3 4 4 3 3" xfId="11045" xr:uid="{00000000-0005-0000-0000-000029580000}"/>
    <cellStyle name="Output 3 4 4 3 4" xfId="615" xr:uid="{00000000-0005-0000-0000-00002A580000}"/>
    <cellStyle name="Output 3 4 4 4" xfId="9720" xr:uid="{00000000-0005-0000-0000-00002B580000}"/>
    <cellStyle name="Output 3 4 4 5" xfId="26629" xr:uid="{00000000-0005-0000-0000-00002C580000}"/>
    <cellStyle name="Output 3 4 4 6" xfId="26631" xr:uid="{00000000-0005-0000-0000-00002D580000}"/>
    <cellStyle name="Output 3 4 5" xfId="26633" xr:uid="{00000000-0005-0000-0000-00002E580000}"/>
    <cellStyle name="Output 3 4 5 2" xfId="406" xr:uid="{00000000-0005-0000-0000-00002F580000}"/>
    <cellStyle name="Output 3 4 5 2 2" xfId="11058" xr:uid="{00000000-0005-0000-0000-000030580000}"/>
    <cellStyle name="Output 3 4 5 2 3" xfId="11063" xr:uid="{00000000-0005-0000-0000-000031580000}"/>
    <cellStyle name="Output 3 4 5 2 4" xfId="2995" xr:uid="{00000000-0005-0000-0000-000032580000}"/>
    <cellStyle name="Output 3 4 5 3" xfId="9729" xr:uid="{00000000-0005-0000-0000-000033580000}"/>
    <cellStyle name="Output 3 4 5 4" xfId="26635" xr:uid="{00000000-0005-0000-0000-000034580000}"/>
    <cellStyle name="Output 3 4 5 5" xfId="26637" xr:uid="{00000000-0005-0000-0000-000035580000}"/>
    <cellStyle name="Output 3 4 6" xfId="26639" xr:uid="{00000000-0005-0000-0000-000036580000}"/>
    <cellStyle name="Output 3 4 6 2" xfId="9744" xr:uid="{00000000-0005-0000-0000-000037580000}"/>
    <cellStyle name="Output 3 4 6 3" xfId="26641" xr:uid="{00000000-0005-0000-0000-000038580000}"/>
    <cellStyle name="Output 3 4 6 4" xfId="26643" xr:uid="{00000000-0005-0000-0000-000039580000}"/>
    <cellStyle name="Output 3 4 7" xfId="26645" xr:uid="{00000000-0005-0000-0000-00003A580000}"/>
    <cellStyle name="Output 3 4 8" xfId="11079" xr:uid="{00000000-0005-0000-0000-00003B580000}"/>
    <cellStyle name="Output 3 4 9" xfId="11088" xr:uid="{00000000-0005-0000-0000-00003C580000}"/>
    <cellStyle name="Output 3 5" xfId="26646" xr:uid="{00000000-0005-0000-0000-00003D580000}"/>
    <cellStyle name="Output 3 5 2" xfId="22428" xr:uid="{00000000-0005-0000-0000-00003E580000}"/>
    <cellStyle name="Output 3 5 2 2" xfId="17273" xr:uid="{00000000-0005-0000-0000-00003F580000}"/>
    <cellStyle name="Output 3 5 2 2 2" xfId="17276" xr:uid="{00000000-0005-0000-0000-000040580000}"/>
    <cellStyle name="Output 3 5 2 2 2 2" xfId="26647" xr:uid="{00000000-0005-0000-0000-000041580000}"/>
    <cellStyle name="Output 3 5 2 2 2 2 2" xfId="26648" xr:uid="{00000000-0005-0000-0000-000042580000}"/>
    <cellStyle name="Output 3 5 2 2 2 2 3" xfId="26649" xr:uid="{00000000-0005-0000-0000-000043580000}"/>
    <cellStyle name="Output 3 5 2 2 2 2 4" xfId="26650" xr:uid="{00000000-0005-0000-0000-000044580000}"/>
    <cellStyle name="Output 3 5 2 2 2 3" xfId="26651" xr:uid="{00000000-0005-0000-0000-000045580000}"/>
    <cellStyle name="Output 3 5 2 2 2 4" xfId="26652" xr:uid="{00000000-0005-0000-0000-000046580000}"/>
    <cellStyle name="Output 3 5 2 2 2 5" xfId="26653" xr:uid="{00000000-0005-0000-0000-000047580000}"/>
    <cellStyle name="Output 3 5 2 2 3" xfId="17281" xr:uid="{00000000-0005-0000-0000-000048580000}"/>
    <cellStyle name="Output 3 5 2 2 3 2" xfId="26654" xr:uid="{00000000-0005-0000-0000-000049580000}"/>
    <cellStyle name="Output 3 5 2 2 3 3" xfId="23510" xr:uid="{00000000-0005-0000-0000-00004A580000}"/>
    <cellStyle name="Output 3 5 2 2 3 4" xfId="23512" xr:uid="{00000000-0005-0000-0000-00004B580000}"/>
    <cellStyle name="Output 3 5 2 2 4" xfId="2007" xr:uid="{00000000-0005-0000-0000-00004C580000}"/>
    <cellStyle name="Output 3 5 2 2 5" xfId="3068" xr:uid="{00000000-0005-0000-0000-00004D580000}"/>
    <cellStyle name="Output 3 5 2 2 6" xfId="2934" xr:uid="{00000000-0005-0000-0000-00004E580000}"/>
    <cellStyle name="Output 3 5 2 3" xfId="12778" xr:uid="{00000000-0005-0000-0000-00004F580000}"/>
    <cellStyle name="Output 3 5 2 3 2" xfId="22632" xr:uid="{00000000-0005-0000-0000-000050580000}"/>
    <cellStyle name="Output 3 5 2 3 2 2" xfId="12614" xr:uid="{00000000-0005-0000-0000-000051580000}"/>
    <cellStyle name="Output 3 5 2 3 2 3" xfId="26656" xr:uid="{00000000-0005-0000-0000-000052580000}"/>
    <cellStyle name="Output 3 5 2 3 2 4" xfId="26658" xr:uid="{00000000-0005-0000-0000-000053580000}"/>
    <cellStyle name="Output 3 5 2 3 3" xfId="26660" xr:uid="{00000000-0005-0000-0000-000054580000}"/>
    <cellStyle name="Output 3 5 2 3 4" xfId="3091" xr:uid="{00000000-0005-0000-0000-000055580000}"/>
    <cellStyle name="Output 3 5 2 3 5" xfId="3097" xr:uid="{00000000-0005-0000-0000-000056580000}"/>
    <cellStyle name="Output 3 5 2 4" xfId="12787" xr:uid="{00000000-0005-0000-0000-000057580000}"/>
    <cellStyle name="Output 3 5 2 4 2" xfId="19621" xr:uid="{00000000-0005-0000-0000-000058580000}"/>
    <cellStyle name="Output 3 5 2 4 3" xfId="19627" xr:uid="{00000000-0005-0000-0000-000059580000}"/>
    <cellStyle name="Output 3 5 2 4 4" xfId="3130" xr:uid="{00000000-0005-0000-0000-00005A580000}"/>
    <cellStyle name="Output 3 5 2 5" xfId="12794" xr:uid="{00000000-0005-0000-0000-00005B580000}"/>
    <cellStyle name="Output 3 5 2 6" xfId="16429" xr:uid="{00000000-0005-0000-0000-00005C580000}"/>
    <cellStyle name="Output 3 5 2 7" xfId="16743" xr:uid="{00000000-0005-0000-0000-00005D580000}"/>
    <cellStyle name="Output 3 5 3" xfId="22430" xr:uid="{00000000-0005-0000-0000-00005E580000}"/>
    <cellStyle name="Output 3 5 3 2" xfId="3223" xr:uid="{00000000-0005-0000-0000-00005F580000}"/>
    <cellStyle name="Output 3 5 3 2 2" xfId="11098" xr:uid="{00000000-0005-0000-0000-000060580000}"/>
    <cellStyle name="Output 3 5 3 2 2 2" xfId="11105" xr:uid="{00000000-0005-0000-0000-000061580000}"/>
    <cellStyle name="Output 3 5 3 2 2 3" xfId="11111" xr:uid="{00000000-0005-0000-0000-000062580000}"/>
    <cellStyle name="Output 3 5 3 2 2 4" xfId="11116" xr:uid="{00000000-0005-0000-0000-000063580000}"/>
    <cellStyle name="Output 3 5 3 2 3" xfId="510" xr:uid="{00000000-0005-0000-0000-000064580000}"/>
    <cellStyle name="Output 3 5 3 2 4" xfId="569" xr:uid="{00000000-0005-0000-0000-000065580000}"/>
    <cellStyle name="Output 3 5 3 2 5" xfId="3183" xr:uid="{00000000-0005-0000-0000-000066580000}"/>
    <cellStyle name="Output 3 5 3 3" xfId="9777" xr:uid="{00000000-0005-0000-0000-000067580000}"/>
    <cellStyle name="Output 3 5 3 3 2" xfId="11121" xr:uid="{00000000-0005-0000-0000-000068580000}"/>
    <cellStyle name="Output 3 5 3 3 3" xfId="3198" xr:uid="{00000000-0005-0000-0000-000069580000}"/>
    <cellStyle name="Output 3 5 3 3 4" xfId="3232" xr:uid="{00000000-0005-0000-0000-00006A580000}"/>
    <cellStyle name="Output 3 5 3 4" xfId="9792" xr:uid="{00000000-0005-0000-0000-00006B580000}"/>
    <cellStyle name="Output 3 5 3 5" xfId="26662" xr:uid="{00000000-0005-0000-0000-00006C580000}"/>
    <cellStyle name="Output 3 5 3 6" xfId="26664" xr:uid="{00000000-0005-0000-0000-00006D580000}"/>
    <cellStyle name="Output 3 5 4" xfId="22432" xr:uid="{00000000-0005-0000-0000-00006E580000}"/>
    <cellStyle name="Output 3 5 4 2" xfId="9815" xr:uid="{00000000-0005-0000-0000-00006F580000}"/>
    <cellStyle name="Output 3 5 4 2 2" xfId="11138" xr:uid="{00000000-0005-0000-0000-000070580000}"/>
    <cellStyle name="Output 3 5 4 2 3" xfId="3282" xr:uid="{00000000-0005-0000-0000-000071580000}"/>
    <cellStyle name="Output 3 5 4 2 4" xfId="3306" xr:uid="{00000000-0005-0000-0000-000072580000}"/>
    <cellStyle name="Output 3 5 4 3" xfId="9825" xr:uid="{00000000-0005-0000-0000-000073580000}"/>
    <cellStyle name="Output 3 5 4 4" xfId="26666" xr:uid="{00000000-0005-0000-0000-000074580000}"/>
    <cellStyle name="Output 3 5 4 5" xfId="26668" xr:uid="{00000000-0005-0000-0000-000075580000}"/>
    <cellStyle name="Output 3 5 5" xfId="22434" xr:uid="{00000000-0005-0000-0000-000076580000}"/>
    <cellStyle name="Output 3 5 5 2" xfId="9839" xr:uid="{00000000-0005-0000-0000-000077580000}"/>
    <cellStyle name="Output 3 5 5 3" xfId="26670" xr:uid="{00000000-0005-0000-0000-000078580000}"/>
    <cellStyle name="Output 3 5 5 4" xfId="26672" xr:uid="{00000000-0005-0000-0000-000079580000}"/>
    <cellStyle name="Output 3 5 6" xfId="22074" xr:uid="{00000000-0005-0000-0000-00007A580000}"/>
    <cellStyle name="Output 3 5 7" xfId="22077" xr:uid="{00000000-0005-0000-0000-00007B580000}"/>
    <cellStyle name="Output 3 5 8" xfId="6766" xr:uid="{00000000-0005-0000-0000-00007C580000}"/>
    <cellStyle name="Output 3 6" xfId="26673" xr:uid="{00000000-0005-0000-0000-00007D580000}"/>
    <cellStyle name="Output 3 6 2" xfId="22440" xr:uid="{00000000-0005-0000-0000-00007E580000}"/>
    <cellStyle name="Output 3 6 2 2" xfId="17381" xr:uid="{00000000-0005-0000-0000-00007F580000}"/>
    <cellStyle name="Output 3 6 2 2 2" xfId="22910" xr:uid="{00000000-0005-0000-0000-000080580000}"/>
    <cellStyle name="Output 3 6 2 2 2 2" xfId="19877" xr:uid="{00000000-0005-0000-0000-000081580000}"/>
    <cellStyle name="Output 3 6 2 2 2 3" xfId="19881" xr:uid="{00000000-0005-0000-0000-000082580000}"/>
    <cellStyle name="Output 3 6 2 2 2 4" xfId="20490" xr:uid="{00000000-0005-0000-0000-000083580000}"/>
    <cellStyle name="Output 3 6 2 2 3" xfId="26674" xr:uid="{00000000-0005-0000-0000-000084580000}"/>
    <cellStyle name="Output 3 6 2 2 4" xfId="11529" xr:uid="{00000000-0005-0000-0000-000085580000}"/>
    <cellStyle name="Output 3 6 2 2 5" xfId="11538" xr:uid="{00000000-0005-0000-0000-000086580000}"/>
    <cellStyle name="Output 3 6 2 3" xfId="16435" xr:uid="{00000000-0005-0000-0000-000087580000}"/>
    <cellStyle name="Output 3 6 2 3 2" xfId="12200" xr:uid="{00000000-0005-0000-0000-000088580000}"/>
    <cellStyle name="Output 3 6 2 3 3" xfId="12207" xr:uid="{00000000-0005-0000-0000-000089580000}"/>
    <cellStyle name="Output 3 6 2 3 4" xfId="383" xr:uid="{00000000-0005-0000-0000-00008A580000}"/>
    <cellStyle name="Output 3 6 2 4" xfId="1133" xr:uid="{00000000-0005-0000-0000-00008B580000}"/>
    <cellStyle name="Output 3 6 2 5" xfId="26677" xr:uid="{00000000-0005-0000-0000-00008C580000}"/>
    <cellStyle name="Output 3 6 2 6" xfId="26680" xr:uid="{00000000-0005-0000-0000-00008D580000}"/>
    <cellStyle name="Output 3 6 3" xfId="22442" xr:uid="{00000000-0005-0000-0000-00008E580000}"/>
    <cellStyle name="Output 3 6 3 2" xfId="9119" xr:uid="{00000000-0005-0000-0000-00008F580000}"/>
    <cellStyle name="Output 3 6 3 2 2" xfId="11162" xr:uid="{00000000-0005-0000-0000-000090580000}"/>
    <cellStyle name="Output 3 6 3 2 3" xfId="2313" xr:uid="{00000000-0005-0000-0000-000091580000}"/>
    <cellStyle name="Output 3 6 3 2 4" xfId="3525" xr:uid="{00000000-0005-0000-0000-000092580000}"/>
    <cellStyle name="Output 3 6 3 3" xfId="9130" xr:uid="{00000000-0005-0000-0000-000093580000}"/>
    <cellStyle name="Output 3 6 3 4" xfId="26683" xr:uid="{00000000-0005-0000-0000-000094580000}"/>
    <cellStyle name="Output 3 6 3 5" xfId="26686" xr:uid="{00000000-0005-0000-0000-000095580000}"/>
    <cellStyle name="Output 3 6 4" xfId="22444" xr:uid="{00000000-0005-0000-0000-000096580000}"/>
    <cellStyle name="Output 3 6 4 2" xfId="9861" xr:uid="{00000000-0005-0000-0000-000097580000}"/>
    <cellStyle name="Output 3 6 4 3" xfId="26688" xr:uid="{00000000-0005-0000-0000-000098580000}"/>
    <cellStyle name="Output 3 6 4 4" xfId="26691" xr:uid="{00000000-0005-0000-0000-000099580000}"/>
    <cellStyle name="Output 3 6 5" xfId="22446" xr:uid="{00000000-0005-0000-0000-00009A580000}"/>
    <cellStyle name="Output 3 6 6" xfId="26692" xr:uid="{00000000-0005-0000-0000-00009B580000}"/>
    <cellStyle name="Output 3 6 7" xfId="26693" xr:uid="{00000000-0005-0000-0000-00009C580000}"/>
    <cellStyle name="Output 3 7" xfId="26694" xr:uid="{00000000-0005-0000-0000-00009D580000}"/>
    <cellStyle name="Output 3 7 2" xfId="22455" xr:uid="{00000000-0005-0000-0000-00009E580000}"/>
    <cellStyle name="Output 3 7 2 2" xfId="26695" xr:uid="{00000000-0005-0000-0000-00009F580000}"/>
    <cellStyle name="Output 3 7 2 2 2" xfId="16805" xr:uid="{00000000-0005-0000-0000-0000A0580000}"/>
    <cellStyle name="Output 3 7 2 2 3" xfId="16237" xr:uid="{00000000-0005-0000-0000-0000A1580000}"/>
    <cellStyle name="Output 3 7 2 2 4" xfId="12295" xr:uid="{00000000-0005-0000-0000-0000A2580000}"/>
    <cellStyle name="Output 3 7 2 3" xfId="26697" xr:uid="{00000000-0005-0000-0000-0000A3580000}"/>
    <cellStyle name="Output 3 7 2 4" xfId="18412" xr:uid="{00000000-0005-0000-0000-0000A4580000}"/>
    <cellStyle name="Output 3 7 2 5" xfId="18417" xr:uid="{00000000-0005-0000-0000-0000A5580000}"/>
    <cellStyle name="Output 3 7 3" xfId="22458" xr:uid="{00000000-0005-0000-0000-0000A6580000}"/>
    <cellStyle name="Output 3 7 3 2" xfId="9876" xr:uid="{00000000-0005-0000-0000-0000A7580000}"/>
    <cellStyle name="Output 3 7 3 3" xfId="26699" xr:uid="{00000000-0005-0000-0000-0000A8580000}"/>
    <cellStyle name="Output 3 7 3 4" xfId="26702" xr:uid="{00000000-0005-0000-0000-0000A9580000}"/>
    <cellStyle name="Output 3 7 4" xfId="22461" xr:uid="{00000000-0005-0000-0000-0000AA580000}"/>
    <cellStyle name="Output 3 7 5" xfId="26704" xr:uid="{00000000-0005-0000-0000-0000AB580000}"/>
    <cellStyle name="Output 3 7 6" xfId="25294" xr:uid="{00000000-0005-0000-0000-0000AC580000}"/>
    <cellStyle name="Output 3 8" xfId="26705" xr:uid="{00000000-0005-0000-0000-0000AD580000}"/>
    <cellStyle name="Output 3 8 2" xfId="22465" xr:uid="{00000000-0005-0000-0000-0000AE580000}"/>
    <cellStyle name="Output 3 8 2 2" xfId="26706" xr:uid="{00000000-0005-0000-0000-0000AF580000}"/>
    <cellStyle name="Output 3 8 2 3" xfId="26708" xr:uid="{00000000-0005-0000-0000-0000B0580000}"/>
    <cellStyle name="Output 3 8 2 4" xfId="26711" xr:uid="{00000000-0005-0000-0000-0000B1580000}"/>
    <cellStyle name="Output 3 8 3" xfId="22467" xr:uid="{00000000-0005-0000-0000-0000B2580000}"/>
    <cellStyle name="Output 3 8 4" xfId="26712" xr:uid="{00000000-0005-0000-0000-0000B3580000}"/>
    <cellStyle name="Output 3 8 5" xfId="26713" xr:uid="{00000000-0005-0000-0000-0000B4580000}"/>
    <cellStyle name="Output 3 9" xfId="13866" xr:uid="{00000000-0005-0000-0000-0000B5580000}"/>
    <cellStyle name="Output 3 9 2" xfId="21912" xr:uid="{00000000-0005-0000-0000-0000B6580000}"/>
    <cellStyle name="Output 3 9 3" xfId="21914" xr:uid="{00000000-0005-0000-0000-0000B7580000}"/>
    <cellStyle name="Output 3 9 4" xfId="21916" xr:uid="{00000000-0005-0000-0000-0000B8580000}"/>
    <cellStyle name="Output 4" xfId="1735" xr:uid="{00000000-0005-0000-0000-0000B9580000}"/>
    <cellStyle name="Output 4 10" xfId="20836" xr:uid="{00000000-0005-0000-0000-0000BA580000}"/>
    <cellStyle name="Output 4 11" xfId="20844" xr:uid="{00000000-0005-0000-0000-0000BB580000}"/>
    <cellStyle name="Output 4 12" xfId="20850" xr:uid="{00000000-0005-0000-0000-0000BC580000}"/>
    <cellStyle name="Output 4 13" xfId="20853" xr:uid="{00000000-0005-0000-0000-0000BD580000}"/>
    <cellStyle name="Output 4 2" xfId="26714" xr:uid="{00000000-0005-0000-0000-0000BE580000}"/>
    <cellStyle name="Output 4 2 10" xfId="7141" xr:uid="{00000000-0005-0000-0000-0000BF580000}"/>
    <cellStyle name="Output 4 2 11" xfId="18909" xr:uid="{00000000-0005-0000-0000-0000C0580000}"/>
    <cellStyle name="Output 4 2 12" xfId="18931" xr:uid="{00000000-0005-0000-0000-0000C1580000}"/>
    <cellStyle name="Output 4 2 2" xfId="26715" xr:uid="{00000000-0005-0000-0000-0000C2580000}"/>
    <cellStyle name="Output 4 2 2 2" xfId="26716" xr:uid="{00000000-0005-0000-0000-0000C3580000}"/>
    <cellStyle name="Output 4 2 2 2 2" xfId="16938" xr:uid="{00000000-0005-0000-0000-0000C4580000}"/>
    <cellStyle name="Output 4 2 2 2 2 2" xfId="16073" xr:uid="{00000000-0005-0000-0000-0000C5580000}"/>
    <cellStyle name="Output 4 2 2 2 2 2 2" xfId="26586" xr:uid="{00000000-0005-0000-0000-0000C6580000}"/>
    <cellStyle name="Output 4 2 2 2 2 2 2 2" xfId="26588" xr:uid="{00000000-0005-0000-0000-0000C7580000}"/>
    <cellStyle name="Output 4 2 2 2 2 2 2 2 2" xfId="26717" xr:uid="{00000000-0005-0000-0000-0000C8580000}"/>
    <cellStyle name="Output 4 2 2 2 2 2 2 2 3" xfId="26718" xr:uid="{00000000-0005-0000-0000-0000C9580000}"/>
    <cellStyle name="Output 4 2 2 2 2 2 2 2 4" xfId="26719" xr:uid="{00000000-0005-0000-0000-0000CA580000}"/>
    <cellStyle name="Output 4 2 2 2 2 2 2 3" xfId="26590" xr:uid="{00000000-0005-0000-0000-0000CB580000}"/>
    <cellStyle name="Output 4 2 2 2 2 2 2 4" xfId="20873" xr:uid="{00000000-0005-0000-0000-0000CC580000}"/>
    <cellStyle name="Output 4 2 2 2 2 2 2 5" xfId="16881" xr:uid="{00000000-0005-0000-0000-0000CD580000}"/>
    <cellStyle name="Output 4 2 2 2 2 2 3" xfId="26592" xr:uid="{00000000-0005-0000-0000-0000CE580000}"/>
    <cellStyle name="Output 4 2 2 2 2 2 3 2" xfId="26721" xr:uid="{00000000-0005-0000-0000-0000CF580000}"/>
    <cellStyle name="Output 4 2 2 2 2 2 3 3" xfId="26723" xr:uid="{00000000-0005-0000-0000-0000D0580000}"/>
    <cellStyle name="Output 4 2 2 2 2 2 3 4" xfId="26725" xr:uid="{00000000-0005-0000-0000-0000D1580000}"/>
    <cellStyle name="Output 4 2 2 2 2 2 4" xfId="26594" xr:uid="{00000000-0005-0000-0000-0000D2580000}"/>
    <cellStyle name="Output 4 2 2 2 2 2 5" xfId="26596" xr:uid="{00000000-0005-0000-0000-0000D3580000}"/>
    <cellStyle name="Output 4 2 2 2 2 2 6" xfId="26726" xr:uid="{00000000-0005-0000-0000-0000D4580000}"/>
    <cellStyle name="Output 4 2 2 2 2 3" xfId="16079" xr:uid="{00000000-0005-0000-0000-0000D5580000}"/>
    <cellStyle name="Output 4 2 2 2 2 3 2" xfId="26598" xr:uid="{00000000-0005-0000-0000-0000D6580000}"/>
    <cellStyle name="Output 4 2 2 2 2 3 2 2" xfId="19692" xr:uid="{00000000-0005-0000-0000-0000D7580000}"/>
    <cellStyle name="Output 4 2 2 2 2 3 2 3" xfId="26727" xr:uid="{00000000-0005-0000-0000-0000D8580000}"/>
    <cellStyle name="Output 4 2 2 2 2 3 2 4" xfId="26728" xr:uid="{00000000-0005-0000-0000-0000D9580000}"/>
    <cellStyle name="Output 4 2 2 2 2 3 3" xfId="26600" xr:uid="{00000000-0005-0000-0000-0000DA580000}"/>
    <cellStyle name="Output 4 2 2 2 2 3 4" xfId="26602" xr:uid="{00000000-0005-0000-0000-0000DB580000}"/>
    <cellStyle name="Output 4 2 2 2 2 3 5" xfId="26729" xr:uid="{00000000-0005-0000-0000-0000DC580000}"/>
    <cellStyle name="Output 4 2 2 2 2 4" xfId="284" xr:uid="{00000000-0005-0000-0000-0000DD580000}"/>
    <cellStyle name="Output 4 2 2 2 2 4 2" xfId="369" xr:uid="{00000000-0005-0000-0000-0000DE580000}"/>
    <cellStyle name="Output 4 2 2 2 2 4 3" xfId="2264" xr:uid="{00000000-0005-0000-0000-0000DF580000}"/>
    <cellStyle name="Output 4 2 2 2 2 4 4" xfId="2681" xr:uid="{00000000-0005-0000-0000-0000E0580000}"/>
    <cellStyle name="Output 4 2 2 2 2 5" xfId="102" xr:uid="{00000000-0005-0000-0000-0000E1580000}"/>
    <cellStyle name="Output 4 2 2 2 2 6" xfId="535" xr:uid="{00000000-0005-0000-0000-0000E2580000}"/>
    <cellStyle name="Output 4 2 2 2 2 7" xfId="594" xr:uid="{00000000-0005-0000-0000-0000E3580000}"/>
    <cellStyle name="Output 4 2 2 2 3" xfId="16943" xr:uid="{00000000-0005-0000-0000-0000E4580000}"/>
    <cellStyle name="Output 4 2 2 2 3 2" xfId="26604" xr:uid="{00000000-0005-0000-0000-0000E5580000}"/>
    <cellStyle name="Output 4 2 2 2 3 2 2" xfId="26606" xr:uid="{00000000-0005-0000-0000-0000E6580000}"/>
    <cellStyle name="Output 4 2 2 2 3 2 2 2" xfId="24926" xr:uid="{00000000-0005-0000-0000-0000E7580000}"/>
    <cellStyle name="Output 4 2 2 2 3 2 2 3" xfId="26730" xr:uid="{00000000-0005-0000-0000-0000E8580000}"/>
    <cellStyle name="Output 4 2 2 2 3 2 2 4" xfId="26731" xr:uid="{00000000-0005-0000-0000-0000E9580000}"/>
    <cellStyle name="Output 4 2 2 2 3 2 3" xfId="26608" xr:uid="{00000000-0005-0000-0000-0000EA580000}"/>
    <cellStyle name="Output 4 2 2 2 3 2 4" xfId="26610" xr:uid="{00000000-0005-0000-0000-0000EB580000}"/>
    <cellStyle name="Output 4 2 2 2 3 2 5" xfId="26732" xr:uid="{00000000-0005-0000-0000-0000EC580000}"/>
    <cellStyle name="Output 4 2 2 2 3 3" xfId="26613" xr:uid="{00000000-0005-0000-0000-0000ED580000}"/>
    <cellStyle name="Output 4 2 2 2 3 3 2" xfId="1003" xr:uid="{00000000-0005-0000-0000-0000EE580000}"/>
    <cellStyle name="Output 4 2 2 2 3 3 3" xfId="1012" xr:uid="{00000000-0005-0000-0000-0000EF580000}"/>
    <cellStyle name="Output 4 2 2 2 3 3 4" xfId="207" xr:uid="{00000000-0005-0000-0000-0000F0580000}"/>
    <cellStyle name="Output 4 2 2 2 3 4" xfId="2696" xr:uid="{00000000-0005-0000-0000-0000F1580000}"/>
    <cellStyle name="Output 4 2 2 2 3 5" xfId="2709" xr:uid="{00000000-0005-0000-0000-0000F2580000}"/>
    <cellStyle name="Output 4 2 2 2 3 6" xfId="2736" xr:uid="{00000000-0005-0000-0000-0000F3580000}"/>
    <cellStyle name="Output 4 2 2 2 4" xfId="16948" xr:uid="{00000000-0005-0000-0000-0000F4580000}"/>
    <cellStyle name="Output 4 2 2 2 4 2" xfId="26615" xr:uid="{00000000-0005-0000-0000-0000F5580000}"/>
    <cellStyle name="Output 4 2 2 2 4 2 2" xfId="2715" xr:uid="{00000000-0005-0000-0000-0000F6580000}"/>
    <cellStyle name="Output 4 2 2 2 4 2 3" xfId="2740" xr:uid="{00000000-0005-0000-0000-0000F7580000}"/>
    <cellStyle name="Output 4 2 2 2 4 2 4" xfId="5942" xr:uid="{00000000-0005-0000-0000-0000F8580000}"/>
    <cellStyle name="Output 4 2 2 2 4 3" xfId="26617" xr:uid="{00000000-0005-0000-0000-0000F9580000}"/>
    <cellStyle name="Output 4 2 2 2 4 4" xfId="1091" xr:uid="{00000000-0005-0000-0000-0000FA580000}"/>
    <cellStyle name="Output 4 2 2 2 4 5" xfId="1056" xr:uid="{00000000-0005-0000-0000-0000FB580000}"/>
    <cellStyle name="Output 4 2 2 2 5" xfId="16953" xr:uid="{00000000-0005-0000-0000-0000FC580000}"/>
    <cellStyle name="Output 4 2 2 2 5 2" xfId="6085" xr:uid="{00000000-0005-0000-0000-0000FD580000}"/>
    <cellStyle name="Output 4 2 2 2 5 3" xfId="6123" xr:uid="{00000000-0005-0000-0000-0000FE580000}"/>
    <cellStyle name="Output 4 2 2 2 5 4" xfId="6132" xr:uid="{00000000-0005-0000-0000-0000FF580000}"/>
    <cellStyle name="Output 4 2 2 2 6" xfId="26619" xr:uid="{00000000-0005-0000-0000-000000590000}"/>
    <cellStyle name="Output 4 2 2 2 7" xfId="26621" xr:uid="{00000000-0005-0000-0000-000001590000}"/>
    <cellStyle name="Output 4 2 2 2 8" xfId="26733" xr:uid="{00000000-0005-0000-0000-000002590000}"/>
    <cellStyle name="Output 4 2 2 3" xfId="26734" xr:uid="{00000000-0005-0000-0000-000003590000}"/>
    <cellStyle name="Output 4 2 2 3 2" xfId="3174" xr:uid="{00000000-0005-0000-0000-000004590000}"/>
    <cellStyle name="Output 4 2 2 3 2 2" xfId="10995" xr:uid="{00000000-0005-0000-0000-000005590000}"/>
    <cellStyle name="Output 4 2 2 3 2 2 2" xfId="3016" xr:uid="{00000000-0005-0000-0000-000006590000}"/>
    <cellStyle name="Output 4 2 2 3 2 2 2 2" xfId="13742" xr:uid="{00000000-0005-0000-0000-000007590000}"/>
    <cellStyle name="Output 4 2 2 3 2 2 2 3" xfId="13749" xr:uid="{00000000-0005-0000-0000-000008590000}"/>
    <cellStyle name="Output 4 2 2 3 2 2 2 4" xfId="21022" xr:uid="{00000000-0005-0000-0000-000009590000}"/>
    <cellStyle name="Output 4 2 2 3 2 2 3" xfId="2187" xr:uid="{00000000-0005-0000-0000-00000A590000}"/>
    <cellStyle name="Output 4 2 2 3 2 2 4" xfId="11002" xr:uid="{00000000-0005-0000-0000-00000B590000}"/>
    <cellStyle name="Output 4 2 2 3 2 2 5" xfId="21497" xr:uid="{00000000-0005-0000-0000-00000C590000}"/>
    <cellStyle name="Output 4 2 2 3 2 3" xfId="11006" xr:uid="{00000000-0005-0000-0000-00000D590000}"/>
    <cellStyle name="Output 4 2 2 3 2 3 2" xfId="21499" xr:uid="{00000000-0005-0000-0000-00000E590000}"/>
    <cellStyle name="Output 4 2 2 3 2 3 3" xfId="21502" xr:uid="{00000000-0005-0000-0000-00000F590000}"/>
    <cellStyle name="Output 4 2 2 3 2 3 4" xfId="21504" xr:uid="{00000000-0005-0000-0000-000010590000}"/>
    <cellStyle name="Output 4 2 2 3 2 4" xfId="2848" xr:uid="{00000000-0005-0000-0000-000011590000}"/>
    <cellStyle name="Output 4 2 2 3 2 5" xfId="2860" xr:uid="{00000000-0005-0000-0000-000012590000}"/>
    <cellStyle name="Output 4 2 2 3 2 6" xfId="2877" xr:uid="{00000000-0005-0000-0000-000013590000}"/>
    <cellStyle name="Output 4 2 2 3 3" xfId="9692" xr:uid="{00000000-0005-0000-0000-000014590000}"/>
    <cellStyle name="Output 4 2 2 3 3 2" xfId="7308" xr:uid="{00000000-0005-0000-0000-000015590000}"/>
    <cellStyle name="Output 4 2 2 3 3 2 2" xfId="20117" xr:uid="{00000000-0005-0000-0000-000016590000}"/>
    <cellStyle name="Output 4 2 2 3 3 2 3" xfId="20123" xr:uid="{00000000-0005-0000-0000-000017590000}"/>
    <cellStyle name="Output 4 2 2 3 3 2 4" xfId="20203" xr:uid="{00000000-0005-0000-0000-000018590000}"/>
    <cellStyle name="Output 4 2 2 3 3 3" xfId="11012" xr:uid="{00000000-0005-0000-0000-000019590000}"/>
    <cellStyle name="Output 4 2 2 3 3 4" xfId="2884" xr:uid="{00000000-0005-0000-0000-00001A590000}"/>
    <cellStyle name="Output 4 2 2 3 3 5" xfId="2898" xr:uid="{00000000-0005-0000-0000-00001B590000}"/>
    <cellStyle name="Output 4 2 2 3 4" xfId="9701" xr:uid="{00000000-0005-0000-0000-00001C590000}"/>
    <cellStyle name="Output 4 2 2 3 4 2" xfId="6317" xr:uid="{00000000-0005-0000-0000-00001D590000}"/>
    <cellStyle name="Output 4 2 2 3 4 3" xfId="1201" xr:uid="{00000000-0005-0000-0000-00001E590000}"/>
    <cellStyle name="Output 4 2 2 3 4 4" xfId="1227" xr:uid="{00000000-0005-0000-0000-00001F590000}"/>
    <cellStyle name="Output 4 2 2 3 5" xfId="11022" xr:uid="{00000000-0005-0000-0000-000020590000}"/>
    <cellStyle name="Output 4 2 2 3 6" xfId="26625" xr:uid="{00000000-0005-0000-0000-000021590000}"/>
    <cellStyle name="Output 4 2 2 3 7" xfId="26736" xr:uid="{00000000-0005-0000-0000-000022590000}"/>
    <cellStyle name="Output 4 2 2 4" xfId="26738" xr:uid="{00000000-0005-0000-0000-000023590000}"/>
    <cellStyle name="Output 4 2 2 4 2" xfId="9706" xr:uid="{00000000-0005-0000-0000-000024590000}"/>
    <cellStyle name="Output 4 2 2 4 2 2" xfId="11038" xr:uid="{00000000-0005-0000-0000-000025590000}"/>
    <cellStyle name="Output 4 2 2 4 2 2 2" xfId="10651" xr:uid="{00000000-0005-0000-0000-000026590000}"/>
    <cellStyle name="Output 4 2 2 4 2 2 3" xfId="21586" xr:uid="{00000000-0005-0000-0000-000027590000}"/>
    <cellStyle name="Output 4 2 2 4 2 2 4" xfId="21589" xr:uid="{00000000-0005-0000-0000-000028590000}"/>
    <cellStyle name="Output 4 2 2 4 2 3" xfId="11044" xr:uid="{00000000-0005-0000-0000-000029590000}"/>
    <cellStyle name="Output 4 2 2 4 2 4" xfId="616" xr:uid="{00000000-0005-0000-0000-00002A590000}"/>
    <cellStyle name="Output 4 2 2 4 2 5" xfId="715" xr:uid="{00000000-0005-0000-0000-00002B590000}"/>
    <cellStyle name="Output 4 2 2 4 3" xfId="9719" xr:uid="{00000000-0005-0000-0000-00002C590000}"/>
    <cellStyle name="Output 4 2 2 4 3 2" xfId="20208" xr:uid="{00000000-0005-0000-0000-00002D590000}"/>
    <cellStyle name="Output 4 2 2 4 3 3" xfId="20212" xr:uid="{00000000-0005-0000-0000-00002E590000}"/>
    <cellStyle name="Output 4 2 2 4 3 4" xfId="9497" xr:uid="{00000000-0005-0000-0000-00002F590000}"/>
    <cellStyle name="Output 4 2 2 4 4" xfId="26628" xr:uid="{00000000-0005-0000-0000-000030590000}"/>
    <cellStyle name="Output 4 2 2 4 5" xfId="26630" xr:uid="{00000000-0005-0000-0000-000031590000}"/>
    <cellStyle name="Output 4 2 2 4 6" xfId="26740" xr:uid="{00000000-0005-0000-0000-000032590000}"/>
    <cellStyle name="Output 4 2 2 5" xfId="26742" xr:uid="{00000000-0005-0000-0000-000033590000}"/>
    <cellStyle name="Output 4 2 2 5 2" xfId="9728" xr:uid="{00000000-0005-0000-0000-000034590000}"/>
    <cellStyle name="Output 4 2 2 5 2 2" xfId="13430" xr:uid="{00000000-0005-0000-0000-000035590000}"/>
    <cellStyle name="Output 4 2 2 5 2 3" xfId="13435" xr:uid="{00000000-0005-0000-0000-000036590000}"/>
    <cellStyle name="Output 4 2 2 5 2 4" xfId="9557" xr:uid="{00000000-0005-0000-0000-000037590000}"/>
    <cellStyle name="Output 4 2 2 5 3" xfId="26634" xr:uid="{00000000-0005-0000-0000-000038590000}"/>
    <cellStyle name="Output 4 2 2 5 4" xfId="26636" xr:uid="{00000000-0005-0000-0000-000039590000}"/>
    <cellStyle name="Output 4 2 2 5 5" xfId="26743" xr:uid="{00000000-0005-0000-0000-00003A590000}"/>
    <cellStyle name="Output 4 2 2 6" xfId="26745" xr:uid="{00000000-0005-0000-0000-00003B590000}"/>
    <cellStyle name="Output 4 2 2 6 2" xfId="26640" xr:uid="{00000000-0005-0000-0000-00003C590000}"/>
    <cellStyle name="Output 4 2 2 6 3" xfId="26642" xr:uid="{00000000-0005-0000-0000-00003D590000}"/>
    <cellStyle name="Output 4 2 2 6 4" xfId="26746" xr:uid="{00000000-0005-0000-0000-00003E590000}"/>
    <cellStyle name="Output 4 2 2 7" xfId="26747" xr:uid="{00000000-0005-0000-0000-00003F590000}"/>
    <cellStyle name="Output 4 2 2 8" xfId="26748" xr:uid="{00000000-0005-0000-0000-000040590000}"/>
    <cellStyle name="Output 4 2 2 9" xfId="26749" xr:uid="{00000000-0005-0000-0000-000041590000}"/>
    <cellStyle name="Output 4 2 3" xfId="20415" xr:uid="{00000000-0005-0000-0000-000042590000}"/>
    <cellStyle name="Output 4 2 3 2" xfId="26750" xr:uid="{00000000-0005-0000-0000-000043590000}"/>
    <cellStyle name="Output 4 2 3 2 2" xfId="12777" xr:uid="{00000000-0005-0000-0000-000044590000}"/>
    <cellStyle name="Output 4 2 3 2 2 2" xfId="22631" xr:uid="{00000000-0005-0000-0000-000045590000}"/>
    <cellStyle name="Output 4 2 3 2 2 2 2" xfId="12613" xr:uid="{00000000-0005-0000-0000-000046590000}"/>
    <cellStyle name="Output 4 2 3 2 2 2 2 2" xfId="26751" xr:uid="{00000000-0005-0000-0000-000047590000}"/>
    <cellStyle name="Output 4 2 3 2 2 2 2 2 2" xfId="26752" xr:uid="{00000000-0005-0000-0000-000048590000}"/>
    <cellStyle name="Output 4 2 3 2 2 2 2 2 3" xfId="26753" xr:uid="{00000000-0005-0000-0000-000049590000}"/>
    <cellStyle name="Output 4 2 3 2 2 2 2 2 4" xfId="16103" xr:uid="{00000000-0005-0000-0000-00004A590000}"/>
    <cellStyle name="Output 4 2 3 2 2 2 2 3" xfId="26754" xr:uid="{00000000-0005-0000-0000-00004B590000}"/>
    <cellStyle name="Output 4 2 3 2 2 2 2 4" xfId="26755" xr:uid="{00000000-0005-0000-0000-00004C590000}"/>
    <cellStyle name="Output 4 2 3 2 2 2 2 5" xfId="26756" xr:uid="{00000000-0005-0000-0000-00004D590000}"/>
    <cellStyle name="Output 4 2 3 2 2 2 3" xfId="26655" xr:uid="{00000000-0005-0000-0000-00004E590000}"/>
    <cellStyle name="Output 4 2 3 2 2 2 3 2" xfId="21294" xr:uid="{00000000-0005-0000-0000-00004F590000}"/>
    <cellStyle name="Output 4 2 3 2 2 2 3 3" xfId="26757" xr:uid="{00000000-0005-0000-0000-000050590000}"/>
    <cellStyle name="Output 4 2 3 2 2 2 3 4" xfId="26758" xr:uid="{00000000-0005-0000-0000-000051590000}"/>
    <cellStyle name="Output 4 2 3 2 2 2 4" xfId="26657" xr:uid="{00000000-0005-0000-0000-000052590000}"/>
    <cellStyle name="Output 4 2 3 2 2 2 5" xfId="26759" xr:uid="{00000000-0005-0000-0000-000053590000}"/>
    <cellStyle name="Output 4 2 3 2 2 2 6" xfId="26760" xr:uid="{00000000-0005-0000-0000-000054590000}"/>
    <cellStyle name="Output 4 2 3 2 2 3" xfId="26659" xr:uid="{00000000-0005-0000-0000-000055590000}"/>
    <cellStyle name="Output 4 2 3 2 2 3 2" xfId="26761" xr:uid="{00000000-0005-0000-0000-000056590000}"/>
    <cellStyle name="Output 4 2 3 2 2 3 2 2" xfId="26762" xr:uid="{00000000-0005-0000-0000-000057590000}"/>
    <cellStyle name="Output 4 2 3 2 2 3 2 3" xfId="26763" xr:uid="{00000000-0005-0000-0000-000058590000}"/>
    <cellStyle name="Output 4 2 3 2 2 3 2 4" xfId="26764" xr:uid="{00000000-0005-0000-0000-000059590000}"/>
    <cellStyle name="Output 4 2 3 2 2 3 3" xfId="26765" xr:uid="{00000000-0005-0000-0000-00005A590000}"/>
    <cellStyle name="Output 4 2 3 2 2 3 4" xfId="26766" xr:uid="{00000000-0005-0000-0000-00005B590000}"/>
    <cellStyle name="Output 4 2 3 2 2 3 5" xfId="26767" xr:uid="{00000000-0005-0000-0000-00005C590000}"/>
    <cellStyle name="Output 4 2 3 2 2 4" xfId="3090" xr:uid="{00000000-0005-0000-0000-00005D590000}"/>
    <cellStyle name="Output 4 2 3 2 2 4 2" xfId="254" xr:uid="{00000000-0005-0000-0000-00005E590000}"/>
    <cellStyle name="Output 4 2 3 2 2 4 3" xfId="2502" xr:uid="{00000000-0005-0000-0000-00005F590000}"/>
    <cellStyle name="Output 4 2 3 2 2 4 4" xfId="2517" xr:uid="{00000000-0005-0000-0000-000060590000}"/>
    <cellStyle name="Output 4 2 3 2 2 5" xfId="3096" xr:uid="{00000000-0005-0000-0000-000061590000}"/>
    <cellStyle name="Output 4 2 3 2 2 6" xfId="3105" xr:uid="{00000000-0005-0000-0000-000062590000}"/>
    <cellStyle name="Output 4 2 3 2 2 7" xfId="3114" xr:uid="{00000000-0005-0000-0000-000063590000}"/>
    <cellStyle name="Output 4 2 3 2 3" xfId="12786" xr:uid="{00000000-0005-0000-0000-000064590000}"/>
    <cellStyle name="Output 4 2 3 2 3 2" xfId="19620" xr:uid="{00000000-0005-0000-0000-000065590000}"/>
    <cellStyle name="Output 4 2 3 2 3 2 2" xfId="26768" xr:uid="{00000000-0005-0000-0000-000066590000}"/>
    <cellStyle name="Output 4 2 3 2 3 2 2 2" xfId="26769" xr:uid="{00000000-0005-0000-0000-000067590000}"/>
    <cellStyle name="Output 4 2 3 2 3 2 2 3" xfId="26770" xr:uid="{00000000-0005-0000-0000-000068590000}"/>
    <cellStyle name="Output 4 2 3 2 3 2 2 4" xfId="26771" xr:uid="{00000000-0005-0000-0000-000069590000}"/>
    <cellStyle name="Output 4 2 3 2 3 2 3" xfId="26772" xr:uid="{00000000-0005-0000-0000-00006A590000}"/>
    <cellStyle name="Output 4 2 3 2 3 2 4" xfId="26773" xr:uid="{00000000-0005-0000-0000-00006B590000}"/>
    <cellStyle name="Output 4 2 3 2 3 2 5" xfId="26774" xr:uid="{00000000-0005-0000-0000-00006C590000}"/>
    <cellStyle name="Output 4 2 3 2 3 3" xfId="19626" xr:uid="{00000000-0005-0000-0000-00006D590000}"/>
    <cellStyle name="Output 4 2 3 2 3 3 2" xfId="26776" xr:uid="{00000000-0005-0000-0000-00006E590000}"/>
    <cellStyle name="Output 4 2 3 2 3 3 3" xfId="2480" xr:uid="{00000000-0005-0000-0000-00006F590000}"/>
    <cellStyle name="Output 4 2 3 2 3 3 4" xfId="2489" xr:uid="{00000000-0005-0000-0000-000070590000}"/>
    <cellStyle name="Output 4 2 3 2 3 4" xfId="3129" xr:uid="{00000000-0005-0000-0000-000071590000}"/>
    <cellStyle name="Output 4 2 3 2 3 5" xfId="3140" xr:uid="{00000000-0005-0000-0000-000072590000}"/>
    <cellStyle name="Output 4 2 3 2 3 6" xfId="3153" xr:uid="{00000000-0005-0000-0000-000073590000}"/>
    <cellStyle name="Output 4 2 3 2 4" xfId="12793" xr:uid="{00000000-0005-0000-0000-000074590000}"/>
    <cellStyle name="Output 4 2 3 2 4 2" xfId="6649" xr:uid="{00000000-0005-0000-0000-000075590000}"/>
    <cellStyle name="Output 4 2 3 2 4 2 2" xfId="3434" xr:uid="{00000000-0005-0000-0000-000076590000}"/>
    <cellStyle name="Output 4 2 3 2 4 2 3" xfId="26778" xr:uid="{00000000-0005-0000-0000-000077590000}"/>
    <cellStyle name="Output 4 2 3 2 4 2 4" xfId="26780" xr:uid="{00000000-0005-0000-0000-000078590000}"/>
    <cellStyle name="Output 4 2 3 2 4 3" xfId="2991" xr:uid="{00000000-0005-0000-0000-000079590000}"/>
    <cellStyle name="Output 4 2 3 2 4 4" xfId="3005" xr:uid="{00000000-0005-0000-0000-00007A590000}"/>
    <cellStyle name="Output 4 2 3 2 4 5" xfId="1205" xr:uid="{00000000-0005-0000-0000-00007B590000}"/>
    <cellStyle name="Output 4 2 3 2 5" xfId="16428" xr:uid="{00000000-0005-0000-0000-00007C590000}"/>
    <cellStyle name="Output 4 2 3 2 5 2" xfId="5492" xr:uid="{00000000-0005-0000-0000-00007D590000}"/>
    <cellStyle name="Output 4 2 3 2 5 3" xfId="26781" xr:uid="{00000000-0005-0000-0000-00007E590000}"/>
    <cellStyle name="Output 4 2 3 2 5 4" xfId="26783" xr:uid="{00000000-0005-0000-0000-00007F590000}"/>
    <cellStyle name="Output 4 2 3 2 6" xfId="16742" xr:uid="{00000000-0005-0000-0000-000080590000}"/>
    <cellStyle name="Output 4 2 3 2 7" xfId="15804" xr:uid="{00000000-0005-0000-0000-000081590000}"/>
    <cellStyle name="Output 4 2 3 2 8" xfId="15812" xr:uid="{00000000-0005-0000-0000-000082590000}"/>
    <cellStyle name="Output 4 2 3 3" xfId="26784" xr:uid="{00000000-0005-0000-0000-000083590000}"/>
    <cellStyle name="Output 4 2 3 3 2" xfId="9776" xr:uid="{00000000-0005-0000-0000-000084590000}"/>
    <cellStyle name="Output 4 2 3 3 2 2" xfId="11120" xr:uid="{00000000-0005-0000-0000-000085590000}"/>
    <cellStyle name="Output 4 2 3 3 2 2 2" xfId="21678" xr:uid="{00000000-0005-0000-0000-000086590000}"/>
    <cellStyle name="Output 4 2 3 3 2 2 2 2" xfId="10957" xr:uid="{00000000-0005-0000-0000-000087590000}"/>
    <cellStyle name="Output 4 2 3 3 2 2 2 3" xfId="24792" xr:uid="{00000000-0005-0000-0000-000088590000}"/>
    <cellStyle name="Output 4 2 3 3 2 2 2 4" xfId="26785" xr:uid="{00000000-0005-0000-0000-000089590000}"/>
    <cellStyle name="Output 4 2 3 3 2 2 3" xfId="21680" xr:uid="{00000000-0005-0000-0000-00008A590000}"/>
    <cellStyle name="Output 4 2 3 3 2 2 4" xfId="21682" xr:uid="{00000000-0005-0000-0000-00008B590000}"/>
    <cellStyle name="Output 4 2 3 3 2 2 5" xfId="26786" xr:uid="{00000000-0005-0000-0000-00008C590000}"/>
    <cellStyle name="Output 4 2 3 3 2 3" xfId="3197" xr:uid="{00000000-0005-0000-0000-00008D590000}"/>
    <cellStyle name="Output 4 2 3 3 2 3 2" xfId="26787" xr:uid="{00000000-0005-0000-0000-00008E590000}"/>
    <cellStyle name="Output 4 2 3 3 2 3 3" xfId="26788" xr:uid="{00000000-0005-0000-0000-00008F590000}"/>
    <cellStyle name="Output 4 2 3 3 2 3 4" xfId="26789" xr:uid="{00000000-0005-0000-0000-000090590000}"/>
    <cellStyle name="Output 4 2 3 3 2 4" xfId="3231" xr:uid="{00000000-0005-0000-0000-000091590000}"/>
    <cellStyle name="Output 4 2 3 3 2 5" xfId="3243" xr:uid="{00000000-0005-0000-0000-000092590000}"/>
    <cellStyle name="Output 4 2 3 3 2 6" xfId="629" xr:uid="{00000000-0005-0000-0000-000093590000}"/>
    <cellStyle name="Output 4 2 3 3 3" xfId="9791" xr:uid="{00000000-0005-0000-0000-000094590000}"/>
    <cellStyle name="Output 4 2 3 3 3 2" xfId="19634" xr:uid="{00000000-0005-0000-0000-000095590000}"/>
    <cellStyle name="Output 4 2 3 3 3 2 2" xfId="20177" xr:uid="{00000000-0005-0000-0000-000096590000}"/>
    <cellStyle name="Output 4 2 3 3 3 2 3" xfId="26790" xr:uid="{00000000-0005-0000-0000-000097590000}"/>
    <cellStyle name="Output 4 2 3 3 3 2 4" xfId="26791" xr:uid="{00000000-0005-0000-0000-000098590000}"/>
    <cellStyle name="Output 4 2 3 3 3 3" xfId="19639" xr:uid="{00000000-0005-0000-0000-000099590000}"/>
    <cellStyle name="Output 4 2 3 3 3 4" xfId="3255" xr:uid="{00000000-0005-0000-0000-00009A590000}"/>
    <cellStyle name="Output 4 2 3 3 3 5" xfId="683" xr:uid="{00000000-0005-0000-0000-00009B590000}"/>
    <cellStyle name="Output 4 2 3 3 4" xfId="26661" xr:uid="{00000000-0005-0000-0000-00009C590000}"/>
    <cellStyle name="Output 4 2 3 3 4 2" xfId="6664" xr:uid="{00000000-0005-0000-0000-00009D590000}"/>
    <cellStyle name="Output 4 2 3 3 4 3" xfId="6669" xr:uid="{00000000-0005-0000-0000-00009E590000}"/>
    <cellStyle name="Output 4 2 3 3 4 4" xfId="9879" xr:uid="{00000000-0005-0000-0000-00009F590000}"/>
    <cellStyle name="Output 4 2 3 3 5" xfId="26663" xr:uid="{00000000-0005-0000-0000-0000A0590000}"/>
    <cellStyle name="Output 4 2 3 3 6" xfId="26793" xr:uid="{00000000-0005-0000-0000-0000A1590000}"/>
    <cellStyle name="Output 4 2 3 3 7" xfId="15829" xr:uid="{00000000-0005-0000-0000-0000A2590000}"/>
    <cellStyle name="Output 4 2 3 4" xfId="26794" xr:uid="{00000000-0005-0000-0000-0000A3590000}"/>
    <cellStyle name="Output 4 2 3 4 2" xfId="9824" xr:uid="{00000000-0005-0000-0000-0000A4590000}"/>
    <cellStyle name="Output 4 2 3 4 2 2" xfId="21748" xr:uid="{00000000-0005-0000-0000-0000A5590000}"/>
    <cellStyle name="Output 4 2 3 4 2 2 2" xfId="21750" xr:uid="{00000000-0005-0000-0000-0000A6590000}"/>
    <cellStyle name="Output 4 2 3 4 2 2 3" xfId="21752" xr:uid="{00000000-0005-0000-0000-0000A7590000}"/>
    <cellStyle name="Output 4 2 3 4 2 2 4" xfId="21754" xr:uid="{00000000-0005-0000-0000-0000A8590000}"/>
    <cellStyle name="Output 4 2 3 4 2 3" xfId="21756" xr:uid="{00000000-0005-0000-0000-0000A9590000}"/>
    <cellStyle name="Output 4 2 3 4 2 4" xfId="2655" xr:uid="{00000000-0005-0000-0000-0000AA590000}"/>
    <cellStyle name="Output 4 2 3 4 2 5" xfId="1734" xr:uid="{00000000-0005-0000-0000-0000AB590000}"/>
    <cellStyle name="Output 4 2 3 4 3" xfId="26665" xr:uid="{00000000-0005-0000-0000-0000AC590000}"/>
    <cellStyle name="Output 4 2 3 4 3 2" xfId="19649" xr:uid="{00000000-0005-0000-0000-0000AD590000}"/>
    <cellStyle name="Output 4 2 3 4 3 3" xfId="21764" xr:uid="{00000000-0005-0000-0000-0000AE590000}"/>
    <cellStyle name="Output 4 2 3 4 3 4" xfId="10039" xr:uid="{00000000-0005-0000-0000-0000AF590000}"/>
    <cellStyle name="Output 4 2 3 4 4" xfId="26667" xr:uid="{00000000-0005-0000-0000-0000B0590000}"/>
    <cellStyle name="Output 4 2 3 4 5" xfId="26081" xr:uid="{00000000-0005-0000-0000-0000B1590000}"/>
    <cellStyle name="Output 4 2 3 4 6" xfId="26084" xr:uid="{00000000-0005-0000-0000-0000B2590000}"/>
    <cellStyle name="Output 4 2 3 5" xfId="26795" xr:uid="{00000000-0005-0000-0000-0000B3590000}"/>
    <cellStyle name="Output 4 2 3 5 2" xfId="26669" xr:uid="{00000000-0005-0000-0000-0000B4590000}"/>
    <cellStyle name="Output 4 2 3 5 2 2" xfId="12995" xr:uid="{00000000-0005-0000-0000-0000B5590000}"/>
    <cellStyle name="Output 4 2 3 5 2 3" xfId="10099" xr:uid="{00000000-0005-0000-0000-0000B6590000}"/>
    <cellStyle name="Output 4 2 3 5 2 4" xfId="10113" xr:uid="{00000000-0005-0000-0000-0000B7590000}"/>
    <cellStyle name="Output 4 2 3 5 3" xfId="26671" xr:uid="{00000000-0005-0000-0000-0000B8590000}"/>
    <cellStyle name="Output 4 2 3 5 4" xfId="26796" xr:uid="{00000000-0005-0000-0000-0000B9590000}"/>
    <cellStyle name="Output 4 2 3 5 5" xfId="26797" xr:uid="{00000000-0005-0000-0000-0000BA590000}"/>
    <cellStyle name="Output 4 2 3 6" xfId="26798" xr:uid="{00000000-0005-0000-0000-0000BB590000}"/>
    <cellStyle name="Output 4 2 3 6 2" xfId="26799" xr:uid="{00000000-0005-0000-0000-0000BC590000}"/>
    <cellStyle name="Output 4 2 3 6 3" xfId="26800" xr:uid="{00000000-0005-0000-0000-0000BD590000}"/>
    <cellStyle name="Output 4 2 3 6 4" xfId="26801" xr:uid="{00000000-0005-0000-0000-0000BE590000}"/>
    <cellStyle name="Output 4 2 3 7" xfId="26802" xr:uid="{00000000-0005-0000-0000-0000BF590000}"/>
    <cellStyle name="Output 4 2 3 8" xfId="26803" xr:uid="{00000000-0005-0000-0000-0000C0590000}"/>
    <cellStyle name="Output 4 2 3 9" xfId="26804" xr:uid="{00000000-0005-0000-0000-0000C1590000}"/>
    <cellStyle name="Output 4 2 4" xfId="20417" xr:uid="{00000000-0005-0000-0000-0000C2590000}"/>
    <cellStyle name="Output 4 2 4 2" xfId="26805" xr:uid="{00000000-0005-0000-0000-0000C3590000}"/>
    <cellStyle name="Output 4 2 4 2 2" xfId="16434" xr:uid="{00000000-0005-0000-0000-0000C4590000}"/>
    <cellStyle name="Output 4 2 4 2 2 2" xfId="12199" xr:uid="{00000000-0005-0000-0000-0000C5590000}"/>
    <cellStyle name="Output 4 2 4 2 2 2 2" xfId="19925" xr:uid="{00000000-0005-0000-0000-0000C6590000}"/>
    <cellStyle name="Output 4 2 4 2 2 2 2 2" xfId="16689" xr:uid="{00000000-0005-0000-0000-0000C7590000}"/>
    <cellStyle name="Output 4 2 4 2 2 2 2 3" xfId="16697" xr:uid="{00000000-0005-0000-0000-0000C8590000}"/>
    <cellStyle name="Output 4 2 4 2 2 2 2 4" xfId="16703" xr:uid="{00000000-0005-0000-0000-0000C9590000}"/>
    <cellStyle name="Output 4 2 4 2 2 2 3" xfId="26806" xr:uid="{00000000-0005-0000-0000-0000CA590000}"/>
    <cellStyle name="Output 4 2 4 2 2 2 4" xfId="26807" xr:uid="{00000000-0005-0000-0000-0000CB590000}"/>
    <cellStyle name="Output 4 2 4 2 2 2 5" xfId="14140" xr:uid="{00000000-0005-0000-0000-0000CC590000}"/>
    <cellStyle name="Output 4 2 4 2 2 3" xfId="12206" xr:uid="{00000000-0005-0000-0000-0000CD590000}"/>
    <cellStyle name="Output 4 2 4 2 2 3 2" xfId="26808" xr:uid="{00000000-0005-0000-0000-0000CE590000}"/>
    <cellStyle name="Output 4 2 4 2 2 3 3" xfId="26809" xr:uid="{00000000-0005-0000-0000-0000CF590000}"/>
    <cellStyle name="Output 4 2 4 2 2 3 4" xfId="26810" xr:uid="{00000000-0005-0000-0000-0000D0590000}"/>
    <cellStyle name="Output 4 2 4 2 2 4" xfId="382" xr:uid="{00000000-0005-0000-0000-0000D1590000}"/>
    <cellStyle name="Output 4 2 4 2 2 5" xfId="11581" xr:uid="{00000000-0005-0000-0000-0000D2590000}"/>
    <cellStyle name="Output 4 2 4 2 2 6" xfId="11591" xr:uid="{00000000-0005-0000-0000-0000D3590000}"/>
    <cellStyle name="Output 4 2 4 2 3" xfId="1132" xr:uid="{00000000-0005-0000-0000-0000D4590000}"/>
    <cellStyle name="Output 4 2 4 2 3 2" xfId="12218" xr:uid="{00000000-0005-0000-0000-0000D5590000}"/>
    <cellStyle name="Output 4 2 4 2 3 2 2" xfId="26812" xr:uid="{00000000-0005-0000-0000-0000D6590000}"/>
    <cellStyle name="Output 4 2 4 2 3 2 3" xfId="26814" xr:uid="{00000000-0005-0000-0000-0000D7590000}"/>
    <cellStyle name="Output 4 2 4 2 3 2 4" xfId="26816" xr:uid="{00000000-0005-0000-0000-0000D8590000}"/>
    <cellStyle name="Output 4 2 4 2 3 3" xfId="19667" xr:uid="{00000000-0005-0000-0000-0000D9590000}"/>
    <cellStyle name="Output 4 2 4 2 3 4" xfId="11611" xr:uid="{00000000-0005-0000-0000-0000DA590000}"/>
    <cellStyle name="Output 4 2 4 2 3 5" xfId="11620" xr:uid="{00000000-0005-0000-0000-0000DB590000}"/>
    <cellStyle name="Output 4 2 4 2 4" xfId="26676" xr:uid="{00000000-0005-0000-0000-0000DC590000}"/>
    <cellStyle name="Output 4 2 4 2 4 2" xfId="6877" xr:uid="{00000000-0005-0000-0000-0000DD590000}"/>
    <cellStyle name="Output 4 2 4 2 4 3" xfId="26818" xr:uid="{00000000-0005-0000-0000-0000DE590000}"/>
    <cellStyle name="Output 4 2 4 2 4 4" xfId="6888" xr:uid="{00000000-0005-0000-0000-0000DF590000}"/>
    <cellStyle name="Output 4 2 4 2 5" xfId="26679" xr:uid="{00000000-0005-0000-0000-0000E0590000}"/>
    <cellStyle name="Output 4 2 4 2 6" xfId="26820" xr:uid="{00000000-0005-0000-0000-0000E1590000}"/>
    <cellStyle name="Output 4 2 4 2 7" xfId="15866" xr:uid="{00000000-0005-0000-0000-0000E2590000}"/>
    <cellStyle name="Output 4 2 4 3" xfId="26821" xr:uid="{00000000-0005-0000-0000-0000E3590000}"/>
    <cellStyle name="Output 4 2 4 3 2" xfId="9129" xr:uid="{00000000-0005-0000-0000-0000E4590000}"/>
    <cellStyle name="Output 4 2 4 3 2 2" xfId="12248" xr:uid="{00000000-0005-0000-0000-0000E5590000}"/>
    <cellStyle name="Output 4 2 4 3 2 2 2" xfId="19097" xr:uid="{00000000-0005-0000-0000-0000E6590000}"/>
    <cellStyle name="Output 4 2 4 3 2 2 3" xfId="7263" xr:uid="{00000000-0005-0000-0000-0000E7590000}"/>
    <cellStyle name="Output 4 2 4 3 2 2 4" xfId="9110" xr:uid="{00000000-0005-0000-0000-0000E8590000}"/>
    <cellStyle name="Output 4 2 4 3 2 3" xfId="19100" xr:uid="{00000000-0005-0000-0000-0000E9590000}"/>
    <cellStyle name="Output 4 2 4 3 2 4" xfId="3559" xr:uid="{00000000-0005-0000-0000-0000EA590000}"/>
    <cellStyle name="Output 4 2 4 3 2 5" xfId="3573" xr:uid="{00000000-0005-0000-0000-0000EB590000}"/>
    <cellStyle name="Output 4 2 4 3 3" xfId="26682" xr:uid="{00000000-0005-0000-0000-0000EC590000}"/>
    <cellStyle name="Output 4 2 4 3 3 2" xfId="19673" xr:uid="{00000000-0005-0000-0000-0000ED590000}"/>
    <cellStyle name="Output 4 2 4 3 3 3" xfId="19770" xr:uid="{00000000-0005-0000-0000-0000EE590000}"/>
    <cellStyle name="Output 4 2 4 3 3 4" xfId="14" xr:uid="{00000000-0005-0000-0000-0000EF590000}"/>
    <cellStyle name="Output 4 2 4 3 4" xfId="26685" xr:uid="{00000000-0005-0000-0000-0000F0590000}"/>
    <cellStyle name="Output 4 2 4 3 5" xfId="26823" xr:uid="{00000000-0005-0000-0000-0000F1590000}"/>
    <cellStyle name="Output 4 2 4 3 6" xfId="26826" xr:uid="{00000000-0005-0000-0000-0000F2590000}"/>
    <cellStyle name="Output 4 2 4 4" xfId="26827" xr:uid="{00000000-0005-0000-0000-0000F3590000}"/>
    <cellStyle name="Output 4 2 4 4 2" xfId="26687" xr:uid="{00000000-0005-0000-0000-0000F4590000}"/>
    <cellStyle name="Output 4 2 4 4 2 2" xfId="18547" xr:uid="{00000000-0005-0000-0000-0000F5590000}"/>
    <cellStyle name="Output 4 2 4 4 2 3" xfId="20628" xr:uid="{00000000-0005-0000-0000-0000F6590000}"/>
    <cellStyle name="Output 4 2 4 4 2 4" xfId="2970" xr:uid="{00000000-0005-0000-0000-0000F7590000}"/>
    <cellStyle name="Output 4 2 4 4 3" xfId="26690" xr:uid="{00000000-0005-0000-0000-0000F8590000}"/>
    <cellStyle name="Output 4 2 4 4 4" xfId="26829" xr:uid="{00000000-0005-0000-0000-0000F9590000}"/>
    <cellStyle name="Output 4 2 4 4 5" xfId="26831" xr:uid="{00000000-0005-0000-0000-0000FA590000}"/>
    <cellStyle name="Output 4 2 4 5" xfId="26832" xr:uid="{00000000-0005-0000-0000-0000FB590000}"/>
    <cellStyle name="Output 4 2 4 5 2" xfId="26833" xr:uid="{00000000-0005-0000-0000-0000FC590000}"/>
    <cellStyle name="Output 4 2 4 5 3" xfId="26835" xr:uid="{00000000-0005-0000-0000-0000FD590000}"/>
    <cellStyle name="Output 4 2 4 5 4" xfId="26837" xr:uid="{00000000-0005-0000-0000-0000FE590000}"/>
    <cellStyle name="Output 4 2 4 6" xfId="26838" xr:uid="{00000000-0005-0000-0000-0000FF590000}"/>
    <cellStyle name="Output 4 2 4 7" xfId="26839" xr:uid="{00000000-0005-0000-0000-0000005A0000}"/>
    <cellStyle name="Output 4 2 4 8" xfId="26840" xr:uid="{00000000-0005-0000-0000-0000015A0000}"/>
    <cellStyle name="Output 4 2 5" xfId="20421" xr:uid="{00000000-0005-0000-0000-0000025A0000}"/>
    <cellStyle name="Output 4 2 5 2" xfId="26842" xr:uid="{00000000-0005-0000-0000-0000035A0000}"/>
    <cellStyle name="Output 4 2 5 2 2" xfId="26696" xr:uid="{00000000-0005-0000-0000-0000045A0000}"/>
    <cellStyle name="Output 4 2 5 2 2 2" xfId="12325" xr:uid="{00000000-0005-0000-0000-0000055A0000}"/>
    <cellStyle name="Output 4 2 5 2 2 2 2" xfId="3599" xr:uid="{00000000-0005-0000-0000-0000065A0000}"/>
    <cellStyle name="Output 4 2 5 2 2 2 3" xfId="26844" xr:uid="{00000000-0005-0000-0000-0000075A0000}"/>
    <cellStyle name="Output 4 2 5 2 2 2 4" xfId="26847" xr:uid="{00000000-0005-0000-0000-0000085A0000}"/>
    <cellStyle name="Output 4 2 5 2 2 3" xfId="16250" xr:uid="{00000000-0005-0000-0000-0000095A0000}"/>
    <cellStyle name="Output 4 2 5 2 2 4" xfId="12363" xr:uid="{00000000-0005-0000-0000-00000A5A0000}"/>
    <cellStyle name="Output 4 2 5 2 2 5" xfId="12369" xr:uid="{00000000-0005-0000-0000-00000B5A0000}"/>
    <cellStyle name="Output 4 2 5 2 3" xfId="18411" xr:uid="{00000000-0005-0000-0000-00000C5A0000}"/>
    <cellStyle name="Output 4 2 5 2 3 2" xfId="19683" xr:uid="{00000000-0005-0000-0000-00000D5A0000}"/>
    <cellStyle name="Output 4 2 5 2 3 3" xfId="26849" xr:uid="{00000000-0005-0000-0000-00000E5A0000}"/>
    <cellStyle name="Output 4 2 5 2 3 4" xfId="12410" xr:uid="{00000000-0005-0000-0000-00000F5A0000}"/>
    <cellStyle name="Output 4 2 5 2 4" xfId="18416" xr:uid="{00000000-0005-0000-0000-0000105A0000}"/>
    <cellStyle name="Output 4 2 5 2 5" xfId="18422" xr:uid="{00000000-0005-0000-0000-0000115A0000}"/>
    <cellStyle name="Output 4 2 5 2 6" xfId="26851" xr:uid="{00000000-0005-0000-0000-0000125A0000}"/>
    <cellStyle name="Output 4 2 5 3" xfId="26853" xr:uid="{00000000-0005-0000-0000-0000135A0000}"/>
    <cellStyle name="Output 4 2 5 3 2" xfId="26698" xr:uid="{00000000-0005-0000-0000-0000145A0000}"/>
    <cellStyle name="Output 4 2 5 3 2 2" xfId="26182" xr:uid="{00000000-0005-0000-0000-0000155A0000}"/>
    <cellStyle name="Output 4 2 5 3 2 3" xfId="26854" xr:uid="{00000000-0005-0000-0000-0000165A0000}"/>
    <cellStyle name="Output 4 2 5 3 2 4" xfId="10371" xr:uid="{00000000-0005-0000-0000-0000175A0000}"/>
    <cellStyle name="Output 4 2 5 3 3" xfId="26701" xr:uid="{00000000-0005-0000-0000-0000185A0000}"/>
    <cellStyle name="Output 4 2 5 3 4" xfId="26856" xr:uid="{00000000-0005-0000-0000-0000195A0000}"/>
    <cellStyle name="Output 4 2 5 3 5" xfId="26858" xr:uid="{00000000-0005-0000-0000-00001A5A0000}"/>
    <cellStyle name="Output 4 2 5 4" xfId="26860" xr:uid="{00000000-0005-0000-0000-00001B5A0000}"/>
    <cellStyle name="Output 4 2 5 4 2" xfId="26861" xr:uid="{00000000-0005-0000-0000-00001C5A0000}"/>
    <cellStyle name="Output 4 2 5 4 3" xfId="19407" xr:uid="{00000000-0005-0000-0000-00001D5A0000}"/>
    <cellStyle name="Output 4 2 5 4 4" xfId="19410" xr:uid="{00000000-0005-0000-0000-00001E5A0000}"/>
    <cellStyle name="Output 4 2 5 5" xfId="26862" xr:uid="{00000000-0005-0000-0000-00001F5A0000}"/>
    <cellStyle name="Output 4 2 5 6" xfId="26863" xr:uid="{00000000-0005-0000-0000-0000205A0000}"/>
    <cellStyle name="Output 4 2 5 7" xfId="26864" xr:uid="{00000000-0005-0000-0000-0000215A0000}"/>
    <cellStyle name="Output 4 2 6" xfId="26866" xr:uid="{00000000-0005-0000-0000-0000225A0000}"/>
    <cellStyle name="Output 4 2 6 2" xfId="26867" xr:uid="{00000000-0005-0000-0000-0000235A0000}"/>
    <cellStyle name="Output 4 2 6 2 2" xfId="26707" xr:uid="{00000000-0005-0000-0000-0000245A0000}"/>
    <cellStyle name="Output 4 2 6 2 2 2" xfId="26224" xr:uid="{00000000-0005-0000-0000-0000255A0000}"/>
    <cellStyle name="Output 4 2 6 2 2 3" xfId="26871" xr:uid="{00000000-0005-0000-0000-0000265A0000}"/>
    <cellStyle name="Output 4 2 6 2 2 4" xfId="7882" xr:uid="{00000000-0005-0000-0000-0000275A0000}"/>
    <cellStyle name="Output 4 2 6 2 3" xfId="26710" xr:uid="{00000000-0005-0000-0000-0000285A0000}"/>
    <cellStyle name="Output 4 2 6 2 4" xfId="26873" xr:uid="{00000000-0005-0000-0000-0000295A0000}"/>
    <cellStyle name="Output 4 2 6 2 5" xfId="26875" xr:uid="{00000000-0005-0000-0000-00002A5A0000}"/>
    <cellStyle name="Output 4 2 6 3" xfId="26876" xr:uid="{00000000-0005-0000-0000-00002B5A0000}"/>
    <cellStyle name="Output 4 2 6 3 2" xfId="26877" xr:uid="{00000000-0005-0000-0000-00002C5A0000}"/>
    <cellStyle name="Output 4 2 6 3 3" xfId="26879" xr:uid="{00000000-0005-0000-0000-00002D5A0000}"/>
    <cellStyle name="Output 4 2 6 3 4" xfId="26881" xr:uid="{00000000-0005-0000-0000-00002E5A0000}"/>
    <cellStyle name="Output 4 2 6 4" xfId="26882" xr:uid="{00000000-0005-0000-0000-00002F5A0000}"/>
    <cellStyle name="Output 4 2 6 5" xfId="26883" xr:uid="{00000000-0005-0000-0000-0000305A0000}"/>
    <cellStyle name="Output 4 2 6 6" xfId="2185" xr:uid="{00000000-0005-0000-0000-0000315A0000}"/>
    <cellStyle name="Output 4 2 7" xfId="26885" xr:uid="{00000000-0005-0000-0000-0000325A0000}"/>
    <cellStyle name="Output 4 2 7 2" xfId="26886" xr:uid="{00000000-0005-0000-0000-0000335A0000}"/>
    <cellStyle name="Output 4 2 7 2 2" xfId="26887" xr:uid="{00000000-0005-0000-0000-0000345A0000}"/>
    <cellStyle name="Output 4 2 7 2 3" xfId="26889" xr:uid="{00000000-0005-0000-0000-0000355A0000}"/>
    <cellStyle name="Output 4 2 7 2 4" xfId="26891" xr:uid="{00000000-0005-0000-0000-0000365A0000}"/>
    <cellStyle name="Output 4 2 7 3" xfId="26892" xr:uid="{00000000-0005-0000-0000-0000375A0000}"/>
    <cellStyle name="Output 4 2 7 4" xfId="26893" xr:uid="{00000000-0005-0000-0000-0000385A0000}"/>
    <cellStyle name="Output 4 2 7 5" xfId="26894" xr:uid="{00000000-0005-0000-0000-0000395A0000}"/>
    <cellStyle name="Output 4 2 8" xfId="14264" xr:uid="{00000000-0005-0000-0000-00003A5A0000}"/>
    <cellStyle name="Output 4 2 8 2" xfId="26895" xr:uid="{00000000-0005-0000-0000-00003B5A0000}"/>
    <cellStyle name="Output 4 2 8 3" xfId="26896" xr:uid="{00000000-0005-0000-0000-00003C5A0000}"/>
    <cellStyle name="Output 4 2 8 4" xfId="26897" xr:uid="{00000000-0005-0000-0000-00003D5A0000}"/>
    <cellStyle name="Output 4 2 9" xfId="14266" xr:uid="{00000000-0005-0000-0000-00003E5A0000}"/>
    <cellStyle name="Output 4 3" xfId="26898" xr:uid="{00000000-0005-0000-0000-00003F5A0000}"/>
    <cellStyle name="Output 4 3 2" xfId="26899" xr:uid="{00000000-0005-0000-0000-0000405A0000}"/>
    <cellStyle name="Output 4 3 2 2" xfId="26900" xr:uid="{00000000-0005-0000-0000-0000415A0000}"/>
    <cellStyle name="Output 4 3 2 2 2" xfId="26902" xr:uid="{00000000-0005-0000-0000-0000425A0000}"/>
    <cellStyle name="Output 4 3 2 2 2 2" xfId="8755" xr:uid="{00000000-0005-0000-0000-0000435A0000}"/>
    <cellStyle name="Output 4 3 2 2 2 2 2" xfId="26313" xr:uid="{00000000-0005-0000-0000-0000445A0000}"/>
    <cellStyle name="Output 4 3 2 2 2 2 2 2" xfId="26905" xr:uid="{00000000-0005-0000-0000-0000455A0000}"/>
    <cellStyle name="Output 4 3 2 2 2 2 2 3" xfId="26908" xr:uid="{00000000-0005-0000-0000-0000465A0000}"/>
    <cellStyle name="Output 4 3 2 2 2 2 2 4" xfId="26911" xr:uid="{00000000-0005-0000-0000-0000475A0000}"/>
    <cellStyle name="Output 4 3 2 2 2 2 3" xfId="26317" xr:uid="{00000000-0005-0000-0000-0000485A0000}"/>
    <cellStyle name="Output 4 3 2 2 2 2 4" xfId="26914" xr:uid="{00000000-0005-0000-0000-0000495A0000}"/>
    <cellStyle name="Output 4 3 2 2 2 2 5" xfId="26917" xr:uid="{00000000-0005-0000-0000-00004A5A0000}"/>
    <cellStyle name="Output 4 3 2 2 2 3" xfId="4014" xr:uid="{00000000-0005-0000-0000-00004B5A0000}"/>
    <cellStyle name="Output 4 3 2 2 2 3 2" xfId="26920" xr:uid="{00000000-0005-0000-0000-00004C5A0000}"/>
    <cellStyle name="Output 4 3 2 2 2 3 3" xfId="26923" xr:uid="{00000000-0005-0000-0000-00004D5A0000}"/>
    <cellStyle name="Output 4 3 2 2 2 3 4" xfId="26926" xr:uid="{00000000-0005-0000-0000-00004E5A0000}"/>
    <cellStyle name="Output 4 3 2 2 2 4" xfId="26929" xr:uid="{00000000-0005-0000-0000-00004F5A0000}"/>
    <cellStyle name="Output 4 3 2 2 2 5" xfId="26932" xr:uid="{00000000-0005-0000-0000-0000505A0000}"/>
    <cellStyle name="Output 4 3 2 2 2 6" xfId="26936" xr:uid="{00000000-0005-0000-0000-0000515A0000}"/>
    <cellStyle name="Output 4 3 2 2 3" xfId="26938" xr:uid="{00000000-0005-0000-0000-0000525A0000}"/>
    <cellStyle name="Output 4 3 2 2 3 2" xfId="1185" xr:uid="{00000000-0005-0000-0000-0000535A0000}"/>
    <cellStyle name="Output 4 3 2 2 3 2 2" xfId="26941" xr:uid="{00000000-0005-0000-0000-0000545A0000}"/>
    <cellStyle name="Output 4 3 2 2 3 2 3" xfId="26944" xr:uid="{00000000-0005-0000-0000-0000555A0000}"/>
    <cellStyle name="Output 4 3 2 2 3 2 4" xfId="26947" xr:uid="{00000000-0005-0000-0000-0000565A0000}"/>
    <cellStyle name="Output 4 3 2 2 3 3" xfId="26950" xr:uid="{00000000-0005-0000-0000-0000575A0000}"/>
    <cellStyle name="Output 4 3 2 2 3 4" xfId="20243" xr:uid="{00000000-0005-0000-0000-0000585A0000}"/>
    <cellStyle name="Output 4 3 2 2 3 5" xfId="20249" xr:uid="{00000000-0005-0000-0000-0000595A0000}"/>
    <cellStyle name="Output 4 3 2 2 4" xfId="26952" xr:uid="{00000000-0005-0000-0000-00005A5A0000}"/>
    <cellStyle name="Output 4 3 2 2 4 2" xfId="26955" xr:uid="{00000000-0005-0000-0000-00005B5A0000}"/>
    <cellStyle name="Output 4 3 2 2 4 3" xfId="26958" xr:uid="{00000000-0005-0000-0000-00005C5A0000}"/>
    <cellStyle name="Output 4 3 2 2 4 4" xfId="26961" xr:uid="{00000000-0005-0000-0000-00005D5A0000}"/>
    <cellStyle name="Output 4 3 2 2 5" xfId="26963" xr:uid="{00000000-0005-0000-0000-00005E5A0000}"/>
    <cellStyle name="Output 4 3 2 2 6" xfId="26965" xr:uid="{00000000-0005-0000-0000-00005F5A0000}"/>
    <cellStyle name="Output 4 3 2 2 7" xfId="26967" xr:uid="{00000000-0005-0000-0000-0000605A0000}"/>
    <cellStyle name="Output 4 3 2 3" xfId="26968" xr:uid="{00000000-0005-0000-0000-0000615A0000}"/>
    <cellStyle name="Output 4 3 2 3 2" xfId="8465" xr:uid="{00000000-0005-0000-0000-0000625A0000}"/>
    <cellStyle name="Output 4 3 2 3 2 2" xfId="10111" xr:uid="{00000000-0005-0000-0000-0000635A0000}"/>
    <cellStyle name="Output 4 3 2 3 2 2 2" xfId="24233" xr:uid="{00000000-0005-0000-0000-0000645A0000}"/>
    <cellStyle name="Output 4 3 2 3 2 2 3" xfId="26971" xr:uid="{00000000-0005-0000-0000-0000655A0000}"/>
    <cellStyle name="Output 4 3 2 3 2 2 4" xfId="26974" xr:uid="{00000000-0005-0000-0000-0000665A0000}"/>
    <cellStyle name="Output 4 3 2 3 2 3" xfId="26977" xr:uid="{00000000-0005-0000-0000-0000675A0000}"/>
    <cellStyle name="Output 4 3 2 3 2 4" xfId="26980" xr:uid="{00000000-0005-0000-0000-0000685A0000}"/>
    <cellStyle name="Output 4 3 2 3 2 5" xfId="26983" xr:uid="{00000000-0005-0000-0000-0000695A0000}"/>
    <cellStyle name="Output 4 3 2 3 3" xfId="9950" xr:uid="{00000000-0005-0000-0000-00006A5A0000}"/>
    <cellStyle name="Output 4 3 2 3 3 2" xfId="26986" xr:uid="{00000000-0005-0000-0000-00006B5A0000}"/>
    <cellStyle name="Output 4 3 2 3 3 3" xfId="26989" xr:uid="{00000000-0005-0000-0000-00006C5A0000}"/>
    <cellStyle name="Output 4 3 2 3 3 4" xfId="26992" xr:uid="{00000000-0005-0000-0000-00006D5A0000}"/>
    <cellStyle name="Output 4 3 2 3 4" xfId="9956" xr:uid="{00000000-0005-0000-0000-00006E5A0000}"/>
    <cellStyle name="Output 4 3 2 3 5" xfId="26994" xr:uid="{00000000-0005-0000-0000-00006F5A0000}"/>
    <cellStyle name="Output 4 3 2 3 6" xfId="26997" xr:uid="{00000000-0005-0000-0000-0000705A0000}"/>
    <cellStyle name="Output 4 3 2 4" xfId="26998" xr:uid="{00000000-0005-0000-0000-0000715A0000}"/>
    <cellStyle name="Output 4 3 2 4 2" xfId="9966" xr:uid="{00000000-0005-0000-0000-0000725A0000}"/>
    <cellStyle name="Output 4 3 2 4 2 2" xfId="27001" xr:uid="{00000000-0005-0000-0000-0000735A0000}"/>
    <cellStyle name="Output 4 3 2 4 2 3" xfId="27005" xr:uid="{00000000-0005-0000-0000-0000745A0000}"/>
    <cellStyle name="Output 4 3 2 4 2 4" xfId="27009" xr:uid="{00000000-0005-0000-0000-0000755A0000}"/>
    <cellStyle name="Output 4 3 2 4 3" xfId="9972" xr:uid="{00000000-0005-0000-0000-0000765A0000}"/>
    <cellStyle name="Output 4 3 2 4 4" xfId="11247" xr:uid="{00000000-0005-0000-0000-0000775A0000}"/>
    <cellStyle name="Output 4 3 2 4 5" xfId="20262" xr:uid="{00000000-0005-0000-0000-0000785A0000}"/>
    <cellStyle name="Output 4 3 2 5" xfId="27010" xr:uid="{00000000-0005-0000-0000-0000795A0000}"/>
    <cellStyle name="Output 4 3 2 5 2" xfId="9981" xr:uid="{00000000-0005-0000-0000-00007A5A0000}"/>
    <cellStyle name="Output 4 3 2 5 3" xfId="27012" xr:uid="{00000000-0005-0000-0000-00007B5A0000}"/>
    <cellStyle name="Output 4 3 2 5 4" xfId="5070" xr:uid="{00000000-0005-0000-0000-00007C5A0000}"/>
    <cellStyle name="Output 4 3 2 6" xfId="27013" xr:uid="{00000000-0005-0000-0000-00007D5A0000}"/>
    <cellStyle name="Output 4 3 2 7" xfId="23920" xr:uid="{00000000-0005-0000-0000-00007E5A0000}"/>
    <cellStyle name="Output 4 3 2 8" xfId="23922" xr:uid="{00000000-0005-0000-0000-00007F5A0000}"/>
    <cellStyle name="Output 4 3 3" xfId="27014" xr:uid="{00000000-0005-0000-0000-0000805A0000}"/>
    <cellStyle name="Output 4 3 3 2" xfId="27015" xr:uid="{00000000-0005-0000-0000-0000815A0000}"/>
    <cellStyle name="Output 4 3 3 2 2" xfId="15792" xr:uid="{00000000-0005-0000-0000-0000825A0000}"/>
    <cellStyle name="Output 4 3 3 2 2 2" xfId="8381" xr:uid="{00000000-0005-0000-0000-0000835A0000}"/>
    <cellStyle name="Output 4 3 3 2 2 2 2" xfId="16417" xr:uid="{00000000-0005-0000-0000-0000845A0000}"/>
    <cellStyle name="Output 4 3 3 2 2 2 3" xfId="27018" xr:uid="{00000000-0005-0000-0000-0000855A0000}"/>
    <cellStyle name="Output 4 3 3 2 2 2 4" xfId="27021" xr:uid="{00000000-0005-0000-0000-0000865A0000}"/>
    <cellStyle name="Output 4 3 3 2 2 3" xfId="4297" xr:uid="{00000000-0005-0000-0000-0000875A0000}"/>
    <cellStyle name="Output 4 3 3 2 2 4" xfId="27024" xr:uid="{00000000-0005-0000-0000-0000885A0000}"/>
    <cellStyle name="Output 4 3 3 2 2 5" xfId="27027" xr:uid="{00000000-0005-0000-0000-0000895A0000}"/>
    <cellStyle name="Output 4 3 3 2 3" xfId="15798" xr:uid="{00000000-0005-0000-0000-00008A5A0000}"/>
    <cellStyle name="Output 4 3 3 2 3 2" xfId="19698" xr:uid="{00000000-0005-0000-0000-00008B5A0000}"/>
    <cellStyle name="Output 4 3 3 2 3 3" xfId="19704" xr:uid="{00000000-0005-0000-0000-00008C5A0000}"/>
    <cellStyle name="Output 4 3 3 2 3 4" xfId="27030" xr:uid="{00000000-0005-0000-0000-00008D5A0000}"/>
    <cellStyle name="Output 4 3 3 2 4" xfId="27032" xr:uid="{00000000-0005-0000-0000-00008E5A0000}"/>
    <cellStyle name="Output 4 3 3 2 5" xfId="27034" xr:uid="{00000000-0005-0000-0000-00008F5A0000}"/>
    <cellStyle name="Output 4 3 3 2 6" xfId="27036" xr:uid="{00000000-0005-0000-0000-0000905A0000}"/>
    <cellStyle name="Output 4 3 3 3" xfId="27037" xr:uid="{00000000-0005-0000-0000-0000915A0000}"/>
    <cellStyle name="Output 4 3 3 3 2" xfId="10012" xr:uid="{00000000-0005-0000-0000-0000925A0000}"/>
    <cellStyle name="Output 4 3 3 3 2 2" xfId="23492" xr:uid="{00000000-0005-0000-0000-0000935A0000}"/>
    <cellStyle name="Output 4 3 3 3 2 3" xfId="27040" xr:uid="{00000000-0005-0000-0000-0000945A0000}"/>
    <cellStyle name="Output 4 3 3 3 2 4" xfId="27043" xr:uid="{00000000-0005-0000-0000-0000955A0000}"/>
    <cellStyle name="Output 4 3 3 3 3" xfId="10018" xr:uid="{00000000-0005-0000-0000-0000965A0000}"/>
    <cellStyle name="Output 4 3 3 3 4" xfId="27045" xr:uid="{00000000-0005-0000-0000-0000975A0000}"/>
    <cellStyle name="Output 4 3 3 3 5" xfId="27047" xr:uid="{00000000-0005-0000-0000-0000985A0000}"/>
    <cellStyle name="Output 4 3 3 4" xfId="27048" xr:uid="{00000000-0005-0000-0000-0000995A0000}"/>
    <cellStyle name="Output 4 3 3 4 2" xfId="10027" xr:uid="{00000000-0005-0000-0000-00009A5A0000}"/>
    <cellStyle name="Output 4 3 3 4 3" xfId="27050" xr:uid="{00000000-0005-0000-0000-00009B5A0000}"/>
    <cellStyle name="Output 4 3 3 4 4" xfId="20754" xr:uid="{00000000-0005-0000-0000-00009C5A0000}"/>
    <cellStyle name="Output 4 3 3 5" xfId="27051" xr:uid="{00000000-0005-0000-0000-00009D5A0000}"/>
    <cellStyle name="Output 4 3 3 6" xfId="27052" xr:uid="{00000000-0005-0000-0000-00009E5A0000}"/>
    <cellStyle name="Output 4 3 3 7" xfId="27053" xr:uid="{00000000-0005-0000-0000-00009F5A0000}"/>
    <cellStyle name="Output 4 3 4" xfId="27054" xr:uid="{00000000-0005-0000-0000-0000A05A0000}"/>
    <cellStyle name="Output 4 3 4 2" xfId="27056" xr:uid="{00000000-0005-0000-0000-0000A15A0000}"/>
    <cellStyle name="Output 4 3 4 2 2" xfId="15818" xr:uid="{00000000-0005-0000-0000-0000A25A0000}"/>
    <cellStyle name="Output 4 3 4 2 2 2" xfId="12502" xr:uid="{00000000-0005-0000-0000-0000A35A0000}"/>
    <cellStyle name="Output 4 3 4 2 2 3" xfId="16309" xr:uid="{00000000-0005-0000-0000-0000A45A0000}"/>
    <cellStyle name="Output 4 3 4 2 2 4" xfId="7148" xr:uid="{00000000-0005-0000-0000-0000A55A0000}"/>
    <cellStyle name="Output 4 3 4 2 3" xfId="1274" xr:uid="{00000000-0005-0000-0000-0000A65A0000}"/>
    <cellStyle name="Output 4 3 4 2 4" xfId="27059" xr:uid="{00000000-0005-0000-0000-0000A75A0000}"/>
    <cellStyle name="Output 4 3 4 2 5" xfId="27062" xr:uid="{00000000-0005-0000-0000-0000A85A0000}"/>
    <cellStyle name="Output 4 3 4 3" xfId="27063" xr:uid="{00000000-0005-0000-0000-0000A95A0000}"/>
    <cellStyle name="Output 4 3 4 3 2" xfId="5780" xr:uid="{00000000-0005-0000-0000-0000AA5A0000}"/>
    <cellStyle name="Output 4 3 4 3 3" xfId="27066" xr:uid="{00000000-0005-0000-0000-0000AB5A0000}"/>
    <cellStyle name="Output 4 3 4 3 4" xfId="27069" xr:uid="{00000000-0005-0000-0000-0000AC5A0000}"/>
    <cellStyle name="Output 4 3 4 4" xfId="27070" xr:uid="{00000000-0005-0000-0000-0000AD5A0000}"/>
    <cellStyle name="Output 4 3 4 5" xfId="27071" xr:uid="{00000000-0005-0000-0000-0000AE5A0000}"/>
    <cellStyle name="Output 4 3 4 6" xfId="27072" xr:uid="{00000000-0005-0000-0000-0000AF5A0000}"/>
    <cellStyle name="Output 4 3 5" xfId="27074" xr:uid="{00000000-0005-0000-0000-0000B05A0000}"/>
    <cellStyle name="Output 4 3 5 2" xfId="27075" xr:uid="{00000000-0005-0000-0000-0000B15A0000}"/>
    <cellStyle name="Output 4 3 5 2 2" xfId="27078" xr:uid="{00000000-0005-0000-0000-0000B25A0000}"/>
    <cellStyle name="Output 4 3 5 2 3" xfId="27081" xr:uid="{00000000-0005-0000-0000-0000B35A0000}"/>
    <cellStyle name="Output 4 3 5 2 4" xfId="27084" xr:uid="{00000000-0005-0000-0000-0000B45A0000}"/>
    <cellStyle name="Output 4 3 5 3" xfId="27085" xr:uid="{00000000-0005-0000-0000-0000B55A0000}"/>
    <cellStyle name="Output 4 3 5 4" xfId="27086" xr:uid="{00000000-0005-0000-0000-0000B65A0000}"/>
    <cellStyle name="Output 4 3 5 5" xfId="27087" xr:uid="{00000000-0005-0000-0000-0000B75A0000}"/>
    <cellStyle name="Output 4 3 6" xfId="27089" xr:uid="{00000000-0005-0000-0000-0000B85A0000}"/>
    <cellStyle name="Output 4 3 6 2" xfId="27090" xr:uid="{00000000-0005-0000-0000-0000B95A0000}"/>
    <cellStyle name="Output 4 3 6 3" xfId="27091" xr:uid="{00000000-0005-0000-0000-0000BA5A0000}"/>
    <cellStyle name="Output 4 3 6 4" xfId="27092" xr:uid="{00000000-0005-0000-0000-0000BB5A0000}"/>
    <cellStyle name="Output 4 3 7" xfId="27094" xr:uid="{00000000-0005-0000-0000-0000BC5A0000}"/>
    <cellStyle name="Output 4 3 8" xfId="27095" xr:uid="{00000000-0005-0000-0000-0000BD5A0000}"/>
    <cellStyle name="Output 4 3 9" xfId="27096" xr:uid="{00000000-0005-0000-0000-0000BE5A0000}"/>
    <cellStyle name="Output 4 4" xfId="26134" xr:uid="{00000000-0005-0000-0000-0000BF5A0000}"/>
    <cellStyle name="Output 4 4 2" xfId="27097" xr:uid="{00000000-0005-0000-0000-0000C05A0000}"/>
    <cellStyle name="Output 4 4 2 2" xfId="27098" xr:uid="{00000000-0005-0000-0000-0000C15A0000}"/>
    <cellStyle name="Output 4 4 2 2 2" xfId="27100" xr:uid="{00000000-0005-0000-0000-0000C25A0000}"/>
    <cellStyle name="Output 4 4 2 2 2 2" xfId="27102" xr:uid="{00000000-0005-0000-0000-0000C35A0000}"/>
    <cellStyle name="Output 4 4 2 2 2 2 2" xfId="20776" xr:uid="{00000000-0005-0000-0000-0000C45A0000}"/>
    <cellStyle name="Output 4 4 2 2 2 2 2 2" xfId="27104" xr:uid="{00000000-0005-0000-0000-0000C55A0000}"/>
    <cellStyle name="Output 4 4 2 2 2 2 2 3" xfId="27106" xr:uid="{00000000-0005-0000-0000-0000C65A0000}"/>
    <cellStyle name="Output 4 4 2 2 2 2 2 4" xfId="27108" xr:uid="{00000000-0005-0000-0000-0000C75A0000}"/>
    <cellStyle name="Output 4 4 2 2 2 2 3" xfId="20781" xr:uid="{00000000-0005-0000-0000-0000C85A0000}"/>
    <cellStyle name="Output 4 4 2 2 2 2 4" xfId="23990" xr:uid="{00000000-0005-0000-0000-0000C95A0000}"/>
    <cellStyle name="Output 4 4 2 2 2 2 5" xfId="27110" xr:uid="{00000000-0005-0000-0000-0000CA5A0000}"/>
    <cellStyle name="Output 4 4 2 2 2 3" xfId="27112" xr:uid="{00000000-0005-0000-0000-0000CB5A0000}"/>
    <cellStyle name="Output 4 4 2 2 2 3 2" xfId="27114" xr:uid="{00000000-0005-0000-0000-0000CC5A0000}"/>
    <cellStyle name="Output 4 4 2 2 2 3 3" xfId="25179" xr:uid="{00000000-0005-0000-0000-0000CD5A0000}"/>
    <cellStyle name="Output 4 4 2 2 2 3 4" xfId="25182" xr:uid="{00000000-0005-0000-0000-0000CE5A0000}"/>
    <cellStyle name="Output 4 4 2 2 2 4" xfId="27116" xr:uid="{00000000-0005-0000-0000-0000CF5A0000}"/>
    <cellStyle name="Output 4 4 2 2 2 5" xfId="27118" xr:uid="{00000000-0005-0000-0000-0000D05A0000}"/>
    <cellStyle name="Output 4 4 2 2 2 6" xfId="27121" xr:uid="{00000000-0005-0000-0000-0000D15A0000}"/>
    <cellStyle name="Output 4 4 2 2 3" xfId="27123" xr:uid="{00000000-0005-0000-0000-0000D25A0000}"/>
    <cellStyle name="Output 4 4 2 2 3 2" xfId="27125" xr:uid="{00000000-0005-0000-0000-0000D35A0000}"/>
    <cellStyle name="Output 4 4 2 2 3 2 2" xfId="27127" xr:uid="{00000000-0005-0000-0000-0000D45A0000}"/>
    <cellStyle name="Output 4 4 2 2 3 2 3" xfId="27129" xr:uid="{00000000-0005-0000-0000-0000D55A0000}"/>
    <cellStyle name="Output 4 4 2 2 3 2 4" xfId="27131" xr:uid="{00000000-0005-0000-0000-0000D65A0000}"/>
    <cellStyle name="Output 4 4 2 2 3 3" xfId="27133" xr:uid="{00000000-0005-0000-0000-0000D75A0000}"/>
    <cellStyle name="Output 4 4 2 2 3 4" xfId="27135" xr:uid="{00000000-0005-0000-0000-0000D85A0000}"/>
    <cellStyle name="Output 4 4 2 2 3 5" xfId="27137" xr:uid="{00000000-0005-0000-0000-0000D95A0000}"/>
    <cellStyle name="Output 4 4 2 2 4" xfId="27139" xr:uid="{00000000-0005-0000-0000-0000DA5A0000}"/>
    <cellStyle name="Output 4 4 2 2 4 2" xfId="23078" xr:uid="{00000000-0005-0000-0000-0000DB5A0000}"/>
    <cellStyle name="Output 4 4 2 2 4 3" xfId="27141" xr:uid="{00000000-0005-0000-0000-0000DC5A0000}"/>
    <cellStyle name="Output 4 4 2 2 4 4" xfId="27143" xr:uid="{00000000-0005-0000-0000-0000DD5A0000}"/>
    <cellStyle name="Output 4 4 2 2 5" xfId="27145" xr:uid="{00000000-0005-0000-0000-0000DE5A0000}"/>
    <cellStyle name="Output 4 4 2 2 6" xfId="27147" xr:uid="{00000000-0005-0000-0000-0000DF5A0000}"/>
    <cellStyle name="Output 4 4 2 2 7" xfId="27149" xr:uid="{00000000-0005-0000-0000-0000E05A0000}"/>
    <cellStyle name="Output 4 4 2 3" xfId="26901" xr:uid="{00000000-0005-0000-0000-0000E15A0000}"/>
    <cellStyle name="Output 4 4 2 3 2" xfId="8754" xr:uid="{00000000-0005-0000-0000-0000E25A0000}"/>
    <cellStyle name="Output 4 4 2 3 2 2" xfId="26312" xr:uid="{00000000-0005-0000-0000-0000E35A0000}"/>
    <cellStyle name="Output 4 4 2 3 2 2 2" xfId="26904" xr:uid="{00000000-0005-0000-0000-0000E45A0000}"/>
    <cellStyle name="Output 4 4 2 3 2 2 3" xfId="26907" xr:uid="{00000000-0005-0000-0000-0000E55A0000}"/>
    <cellStyle name="Output 4 4 2 3 2 2 4" xfId="26910" xr:uid="{00000000-0005-0000-0000-0000E65A0000}"/>
    <cellStyle name="Output 4 4 2 3 2 3" xfId="26316" xr:uid="{00000000-0005-0000-0000-0000E75A0000}"/>
    <cellStyle name="Output 4 4 2 3 2 4" xfId="26913" xr:uid="{00000000-0005-0000-0000-0000E85A0000}"/>
    <cellStyle name="Output 4 4 2 3 2 5" xfId="26916" xr:uid="{00000000-0005-0000-0000-0000E95A0000}"/>
    <cellStyle name="Output 4 4 2 3 3" xfId="4013" xr:uid="{00000000-0005-0000-0000-0000EA5A0000}"/>
    <cellStyle name="Output 4 4 2 3 3 2" xfId="26919" xr:uid="{00000000-0005-0000-0000-0000EB5A0000}"/>
    <cellStyle name="Output 4 4 2 3 3 3" xfId="26922" xr:uid="{00000000-0005-0000-0000-0000EC5A0000}"/>
    <cellStyle name="Output 4 4 2 3 3 4" xfId="26925" xr:uid="{00000000-0005-0000-0000-0000ED5A0000}"/>
    <cellStyle name="Output 4 4 2 3 4" xfId="26928" xr:uid="{00000000-0005-0000-0000-0000EE5A0000}"/>
    <cellStyle name="Output 4 4 2 3 5" xfId="26931" xr:uid="{00000000-0005-0000-0000-0000EF5A0000}"/>
    <cellStyle name="Output 4 4 2 3 6" xfId="26935" xr:uid="{00000000-0005-0000-0000-0000F05A0000}"/>
    <cellStyle name="Output 4 4 2 4" xfId="26937" xr:uid="{00000000-0005-0000-0000-0000F15A0000}"/>
    <cellStyle name="Output 4 4 2 4 2" xfId="1184" xr:uid="{00000000-0005-0000-0000-0000F25A0000}"/>
    <cellStyle name="Output 4 4 2 4 2 2" xfId="26940" xr:uid="{00000000-0005-0000-0000-0000F35A0000}"/>
    <cellStyle name="Output 4 4 2 4 2 3" xfId="26943" xr:uid="{00000000-0005-0000-0000-0000F45A0000}"/>
    <cellStyle name="Output 4 4 2 4 2 4" xfId="26946" xr:uid="{00000000-0005-0000-0000-0000F55A0000}"/>
    <cellStyle name="Output 4 4 2 4 3" xfId="26949" xr:uid="{00000000-0005-0000-0000-0000F65A0000}"/>
    <cellStyle name="Output 4 4 2 4 4" xfId="20242" xr:uid="{00000000-0005-0000-0000-0000F75A0000}"/>
    <cellStyle name="Output 4 4 2 4 5" xfId="20248" xr:uid="{00000000-0005-0000-0000-0000F85A0000}"/>
    <cellStyle name="Output 4 4 2 5" xfId="26951" xr:uid="{00000000-0005-0000-0000-0000F95A0000}"/>
    <cellStyle name="Output 4 4 2 5 2" xfId="26954" xr:uid="{00000000-0005-0000-0000-0000FA5A0000}"/>
    <cellStyle name="Output 4 4 2 5 3" xfId="26957" xr:uid="{00000000-0005-0000-0000-0000FB5A0000}"/>
    <cellStyle name="Output 4 4 2 5 4" xfId="26960" xr:uid="{00000000-0005-0000-0000-0000FC5A0000}"/>
    <cellStyle name="Output 4 4 2 6" xfId="26962" xr:uid="{00000000-0005-0000-0000-0000FD5A0000}"/>
    <cellStyle name="Output 4 4 2 7" xfId="26964" xr:uid="{00000000-0005-0000-0000-0000FE5A0000}"/>
    <cellStyle name="Output 4 4 2 8" xfId="26966" xr:uid="{00000000-0005-0000-0000-0000FF5A0000}"/>
    <cellStyle name="Output 4 4 3" xfId="27150" xr:uid="{00000000-0005-0000-0000-0000005B0000}"/>
    <cellStyle name="Output 4 4 3 2" xfId="3303" xr:uid="{00000000-0005-0000-0000-0000015B0000}"/>
    <cellStyle name="Output 4 4 3 2 2" xfId="9942" xr:uid="{00000000-0005-0000-0000-0000025B0000}"/>
    <cellStyle name="Output 4 4 3 2 2 2" xfId="24127" xr:uid="{00000000-0005-0000-0000-0000035B0000}"/>
    <cellStyle name="Output 4 4 3 2 2 2 2" xfId="21299" xr:uid="{00000000-0005-0000-0000-0000045B0000}"/>
    <cellStyle name="Output 4 4 3 2 2 2 3" xfId="21302" xr:uid="{00000000-0005-0000-0000-0000055B0000}"/>
    <cellStyle name="Output 4 4 3 2 2 2 4" xfId="27152" xr:uid="{00000000-0005-0000-0000-0000065B0000}"/>
    <cellStyle name="Output 4 4 3 2 2 3" xfId="27154" xr:uid="{00000000-0005-0000-0000-0000075B0000}"/>
    <cellStyle name="Output 4 4 3 2 2 4" xfId="27156" xr:uid="{00000000-0005-0000-0000-0000085B0000}"/>
    <cellStyle name="Output 4 4 3 2 2 5" xfId="27158" xr:uid="{00000000-0005-0000-0000-0000095B0000}"/>
    <cellStyle name="Output 4 4 3 2 3" xfId="4093" xr:uid="{00000000-0005-0000-0000-00000A5B0000}"/>
    <cellStyle name="Output 4 4 3 2 3 2" xfId="19734" xr:uid="{00000000-0005-0000-0000-00000B5B0000}"/>
    <cellStyle name="Output 4 4 3 2 3 3" xfId="27160" xr:uid="{00000000-0005-0000-0000-00000C5B0000}"/>
    <cellStyle name="Output 4 4 3 2 3 4" xfId="27162" xr:uid="{00000000-0005-0000-0000-00000D5B0000}"/>
    <cellStyle name="Output 4 4 3 2 4" xfId="4111" xr:uid="{00000000-0005-0000-0000-00000E5B0000}"/>
    <cellStyle name="Output 4 4 3 2 5" xfId="27164" xr:uid="{00000000-0005-0000-0000-00000F5B0000}"/>
    <cellStyle name="Output 4 4 3 2 6" xfId="27166" xr:uid="{00000000-0005-0000-0000-0000105B0000}"/>
    <cellStyle name="Output 4 4 3 3" xfId="8464" xr:uid="{00000000-0005-0000-0000-0000115B0000}"/>
    <cellStyle name="Output 4 4 3 3 2" xfId="10110" xr:uid="{00000000-0005-0000-0000-0000125B0000}"/>
    <cellStyle name="Output 4 4 3 3 2 2" xfId="24232" xr:uid="{00000000-0005-0000-0000-0000135B0000}"/>
    <cellStyle name="Output 4 4 3 3 2 3" xfId="26970" xr:uid="{00000000-0005-0000-0000-0000145B0000}"/>
    <cellStyle name="Output 4 4 3 3 2 4" xfId="26973" xr:uid="{00000000-0005-0000-0000-0000155B0000}"/>
    <cellStyle name="Output 4 4 3 3 3" xfId="26976" xr:uid="{00000000-0005-0000-0000-0000165B0000}"/>
    <cellStyle name="Output 4 4 3 3 4" xfId="26979" xr:uid="{00000000-0005-0000-0000-0000175B0000}"/>
    <cellStyle name="Output 4 4 3 3 5" xfId="26982" xr:uid="{00000000-0005-0000-0000-0000185B0000}"/>
    <cellStyle name="Output 4 4 3 4" xfId="9949" xr:uid="{00000000-0005-0000-0000-0000195B0000}"/>
    <cellStyle name="Output 4 4 3 4 2" xfId="26985" xr:uid="{00000000-0005-0000-0000-00001A5B0000}"/>
    <cellStyle name="Output 4 4 3 4 3" xfId="26988" xr:uid="{00000000-0005-0000-0000-00001B5B0000}"/>
    <cellStyle name="Output 4 4 3 4 4" xfId="26991" xr:uid="{00000000-0005-0000-0000-00001C5B0000}"/>
    <cellStyle name="Output 4 4 3 5" xfId="9955" xr:uid="{00000000-0005-0000-0000-00001D5B0000}"/>
    <cellStyle name="Output 4 4 3 6" xfId="26993" xr:uid="{00000000-0005-0000-0000-00001E5B0000}"/>
    <cellStyle name="Output 4 4 3 7" xfId="26996" xr:uid="{00000000-0005-0000-0000-00001F5B0000}"/>
    <cellStyle name="Output 4 4 4" xfId="27167" xr:uid="{00000000-0005-0000-0000-0000205B0000}"/>
    <cellStyle name="Output 4 4 4 2" xfId="8512" xr:uid="{00000000-0005-0000-0000-0000215B0000}"/>
    <cellStyle name="Output 4 4 4 2 2" xfId="27170" xr:uid="{00000000-0005-0000-0000-0000225B0000}"/>
    <cellStyle name="Output 4 4 4 2 2 2" xfId="10970" xr:uid="{00000000-0005-0000-0000-0000235B0000}"/>
    <cellStyle name="Output 4 4 4 2 2 3" xfId="10977" xr:uid="{00000000-0005-0000-0000-0000245B0000}"/>
    <cellStyle name="Output 4 4 4 2 2 4" xfId="7328" xr:uid="{00000000-0005-0000-0000-0000255B0000}"/>
    <cellStyle name="Output 4 4 4 2 3" xfId="1463" xr:uid="{00000000-0005-0000-0000-0000265B0000}"/>
    <cellStyle name="Output 4 4 4 2 4" xfId="27173" xr:uid="{00000000-0005-0000-0000-0000275B0000}"/>
    <cellStyle name="Output 4 4 4 2 5" xfId="27176" xr:uid="{00000000-0005-0000-0000-0000285B0000}"/>
    <cellStyle name="Output 4 4 4 3" xfId="9965" xr:uid="{00000000-0005-0000-0000-0000295B0000}"/>
    <cellStyle name="Output 4 4 4 3 2" xfId="27000" xr:uid="{00000000-0005-0000-0000-00002A5B0000}"/>
    <cellStyle name="Output 4 4 4 3 3" xfId="27004" xr:uid="{00000000-0005-0000-0000-00002B5B0000}"/>
    <cellStyle name="Output 4 4 4 3 4" xfId="27008" xr:uid="{00000000-0005-0000-0000-00002C5B0000}"/>
    <cellStyle name="Output 4 4 4 4" xfId="9971" xr:uid="{00000000-0005-0000-0000-00002D5B0000}"/>
    <cellStyle name="Output 4 4 4 5" xfId="11246" xr:uid="{00000000-0005-0000-0000-00002E5B0000}"/>
    <cellStyle name="Output 4 4 4 6" xfId="20261" xr:uid="{00000000-0005-0000-0000-00002F5B0000}"/>
    <cellStyle name="Output 4 4 5" xfId="2021" xr:uid="{00000000-0005-0000-0000-0000305B0000}"/>
    <cellStyle name="Output 4 4 5 2" xfId="9974" xr:uid="{00000000-0005-0000-0000-0000315B0000}"/>
    <cellStyle name="Output 4 4 5 2 2" xfId="27178" xr:uid="{00000000-0005-0000-0000-0000325B0000}"/>
    <cellStyle name="Output 4 4 5 2 3" xfId="27181" xr:uid="{00000000-0005-0000-0000-0000335B0000}"/>
    <cellStyle name="Output 4 4 5 2 4" xfId="27184" xr:uid="{00000000-0005-0000-0000-0000345B0000}"/>
    <cellStyle name="Output 4 4 5 3" xfId="9980" xr:uid="{00000000-0005-0000-0000-0000355B0000}"/>
    <cellStyle name="Output 4 4 5 4" xfId="27011" xr:uid="{00000000-0005-0000-0000-0000365B0000}"/>
    <cellStyle name="Output 4 4 5 5" xfId="5069" xr:uid="{00000000-0005-0000-0000-0000375B0000}"/>
    <cellStyle name="Output 4 4 6" xfId="2039" xr:uid="{00000000-0005-0000-0000-0000385B0000}"/>
    <cellStyle name="Output 4 4 6 2" xfId="9985" xr:uid="{00000000-0005-0000-0000-0000395B0000}"/>
    <cellStyle name="Output 4 4 6 3" xfId="27185" xr:uid="{00000000-0005-0000-0000-00003A5B0000}"/>
    <cellStyle name="Output 4 4 6 4" xfId="27186" xr:uid="{00000000-0005-0000-0000-00003B5B0000}"/>
    <cellStyle name="Output 4 4 7" xfId="2061" xr:uid="{00000000-0005-0000-0000-00003C5B0000}"/>
    <cellStyle name="Output 4 4 8" xfId="11253" xr:uid="{00000000-0005-0000-0000-00003D5B0000}"/>
    <cellStyle name="Output 4 4 9" xfId="12211" xr:uid="{00000000-0005-0000-0000-00003E5B0000}"/>
    <cellStyle name="Output 4 5" xfId="26136" xr:uid="{00000000-0005-0000-0000-00003F5B0000}"/>
    <cellStyle name="Output 4 5 2" xfId="22473" xr:uid="{00000000-0005-0000-0000-0000405B0000}"/>
    <cellStyle name="Output 4 5 2 2" xfId="15787" xr:uid="{00000000-0005-0000-0000-0000415B0000}"/>
    <cellStyle name="Output 4 5 2 2 2" xfId="23339" xr:uid="{00000000-0005-0000-0000-0000425B0000}"/>
    <cellStyle name="Output 4 5 2 2 2 2" xfId="27188" xr:uid="{00000000-0005-0000-0000-0000435B0000}"/>
    <cellStyle name="Output 4 5 2 2 2 2 2" xfId="26870" xr:uid="{00000000-0005-0000-0000-0000445B0000}"/>
    <cellStyle name="Output 4 5 2 2 2 2 3" xfId="7881" xr:uid="{00000000-0005-0000-0000-0000455B0000}"/>
    <cellStyle name="Output 4 5 2 2 2 2 4" xfId="12827" xr:uid="{00000000-0005-0000-0000-0000465B0000}"/>
    <cellStyle name="Output 4 5 2 2 2 3" xfId="27190" xr:uid="{00000000-0005-0000-0000-0000475B0000}"/>
    <cellStyle name="Output 4 5 2 2 2 4" xfId="27192" xr:uid="{00000000-0005-0000-0000-0000485B0000}"/>
    <cellStyle name="Output 4 5 2 2 2 5" xfId="27194" xr:uid="{00000000-0005-0000-0000-0000495B0000}"/>
    <cellStyle name="Output 4 5 2 2 3" xfId="23342" xr:uid="{00000000-0005-0000-0000-00004A5B0000}"/>
    <cellStyle name="Output 4 5 2 2 3 2" xfId="27196" xr:uid="{00000000-0005-0000-0000-00004B5B0000}"/>
    <cellStyle name="Output 4 5 2 2 3 3" xfId="3799" xr:uid="{00000000-0005-0000-0000-00004C5B0000}"/>
    <cellStyle name="Output 4 5 2 2 3 4" xfId="4270" xr:uid="{00000000-0005-0000-0000-00004D5B0000}"/>
    <cellStyle name="Output 4 5 2 2 4" xfId="27198" xr:uid="{00000000-0005-0000-0000-00004E5B0000}"/>
    <cellStyle name="Output 4 5 2 2 5" xfId="27200" xr:uid="{00000000-0005-0000-0000-00004F5B0000}"/>
    <cellStyle name="Output 4 5 2 2 6" xfId="27202" xr:uid="{00000000-0005-0000-0000-0000505B0000}"/>
    <cellStyle name="Output 4 5 2 3" xfId="15791" xr:uid="{00000000-0005-0000-0000-0000515B0000}"/>
    <cellStyle name="Output 4 5 2 3 2" xfId="8380" xr:uid="{00000000-0005-0000-0000-0000525B0000}"/>
    <cellStyle name="Output 4 5 2 3 2 2" xfId="16416" xr:uid="{00000000-0005-0000-0000-0000535B0000}"/>
    <cellStyle name="Output 4 5 2 3 2 3" xfId="27017" xr:uid="{00000000-0005-0000-0000-0000545B0000}"/>
    <cellStyle name="Output 4 5 2 3 2 4" xfId="27020" xr:uid="{00000000-0005-0000-0000-0000555B0000}"/>
    <cellStyle name="Output 4 5 2 3 3" xfId="4296" xr:uid="{00000000-0005-0000-0000-0000565B0000}"/>
    <cellStyle name="Output 4 5 2 3 4" xfId="27023" xr:uid="{00000000-0005-0000-0000-0000575B0000}"/>
    <cellStyle name="Output 4 5 2 3 5" xfId="27026" xr:uid="{00000000-0005-0000-0000-0000585B0000}"/>
    <cellStyle name="Output 4 5 2 4" xfId="15797" xr:uid="{00000000-0005-0000-0000-0000595B0000}"/>
    <cellStyle name="Output 4 5 2 4 2" xfId="19697" xr:uid="{00000000-0005-0000-0000-00005A5B0000}"/>
    <cellStyle name="Output 4 5 2 4 3" xfId="19703" xr:uid="{00000000-0005-0000-0000-00005B5B0000}"/>
    <cellStyle name="Output 4 5 2 4 4" xfId="27029" xr:uid="{00000000-0005-0000-0000-00005C5B0000}"/>
    <cellStyle name="Output 4 5 2 5" xfId="27031" xr:uid="{00000000-0005-0000-0000-00005D5B0000}"/>
    <cellStyle name="Output 4 5 2 6" xfId="27033" xr:uid="{00000000-0005-0000-0000-00005E5B0000}"/>
    <cellStyle name="Output 4 5 2 7" xfId="27035" xr:uid="{00000000-0005-0000-0000-00005F5B0000}"/>
    <cellStyle name="Output 4 5 3" xfId="22475" xr:uid="{00000000-0005-0000-0000-0000605B0000}"/>
    <cellStyle name="Output 4 5 3 2" xfId="8601" xr:uid="{00000000-0005-0000-0000-0000615B0000}"/>
    <cellStyle name="Output 4 5 3 2 2" xfId="23476" xr:uid="{00000000-0005-0000-0000-0000625B0000}"/>
    <cellStyle name="Output 4 5 3 2 2 2" xfId="24871" xr:uid="{00000000-0005-0000-0000-0000635B0000}"/>
    <cellStyle name="Output 4 5 3 2 2 3" xfId="27204" xr:uid="{00000000-0005-0000-0000-0000645B0000}"/>
    <cellStyle name="Output 4 5 3 2 2 4" xfId="27206" xr:uid="{00000000-0005-0000-0000-0000655B0000}"/>
    <cellStyle name="Output 4 5 3 2 3" xfId="23479" xr:uid="{00000000-0005-0000-0000-0000665B0000}"/>
    <cellStyle name="Output 4 5 3 2 4" xfId="27208" xr:uid="{00000000-0005-0000-0000-0000675B0000}"/>
    <cellStyle name="Output 4 5 3 2 5" xfId="27210" xr:uid="{00000000-0005-0000-0000-0000685B0000}"/>
    <cellStyle name="Output 4 5 3 3" xfId="10011" xr:uid="{00000000-0005-0000-0000-0000695B0000}"/>
    <cellStyle name="Output 4 5 3 3 2" xfId="23491" xr:uid="{00000000-0005-0000-0000-00006A5B0000}"/>
    <cellStyle name="Output 4 5 3 3 3" xfId="27039" xr:uid="{00000000-0005-0000-0000-00006B5B0000}"/>
    <cellStyle name="Output 4 5 3 3 4" xfId="27042" xr:uid="{00000000-0005-0000-0000-00006C5B0000}"/>
    <cellStyle name="Output 4 5 3 4" xfId="10017" xr:uid="{00000000-0005-0000-0000-00006D5B0000}"/>
    <cellStyle name="Output 4 5 3 5" xfId="27044" xr:uid="{00000000-0005-0000-0000-00006E5B0000}"/>
    <cellStyle name="Output 4 5 3 6" xfId="27046" xr:uid="{00000000-0005-0000-0000-00006F5B0000}"/>
    <cellStyle name="Output 4 5 4" xfId="22477" xr:uid="{00000000-0005-0000-0000-0000705B0000}"/>
    <cellStyle name="Output 4 5 4 2" xfId="10021" xr:uid="{00000000-0005-0000-0000-0000715B0000}"/>
    <cellStyle name="Output 4 5 4 2 2" xfId="23541" xr:uid="{00000000-0005-0000-0000-0000725B0000}"/>
    <cellStyle name="Output 4 5 4 2 3" xfId="27213" xr:uid="{00000000-0005-0000-0000-0000735B0000}"/>
    <cellStyle name="Output 4 5 4 2 4" xfId="27216" xr:uid="{00000000-0005-0000-0000-0000745B0000}"/>
    <cellStyle name="Output 4 5 4 3" xfId="10026" xr:uid="{00000000-0005-0000-0000-0000755B0000}"/>
    <cellStyle name="Output 4 5 4 4" xfId="27049" xr:uid="{00000000-0005-0000-0000-0000765B0000}"/>
    <cellStyle name="Output 4 5 4 5" xfId="20753" xr:uid="{00000000-0005-0000-0000-0000775B0000}"/>
    <cellStyle name="Output 4 5 5" xfId="22479" xr:uid="{00000000-0005-0000-0000-0000785B0000}"/>
    <cellStyle name="Output 4 5 5 2" xfId="10032" xr:uid="{00000000-0005-0000-0000-0000795B0000}"/>
    <cellStyle name="Output 4 5 5 3" xfId="27217" xr:uid="{00000000-0005-0000-0000-00007A5B0000}"/>
    <cellStyle name="Output 4 5 5 4" xfId="27218" xr:uid="{00000000-0005-0000-0000-00007B5B0000}"/>
    <cellStyle name="Output 4 5 6" xfId="27219" xr:uid="{00000000-0005-0000-0000-00007C5B0000}"/>
    <cellStyle name="Output 4 5 7" xfId="27220" xr:uid="{00000000-0005-0000-0000-00007D5B0000}"/>
    <cellStyle name="Output 4 5 8" xfId="6862" xr:uid="{00000000-0005-0000-0000-00007E5B0000}"/>
    <cellStyle name="Output 4 6" xfId="26138" xr:uid="{00000000-0005-0000-0000-00007F5B0000}"/>
    <cellStyle name="Output 4 6 2" xfId="22482" xr:uid="{00000000-0005-0000-0000-0000805B0000}"/>
    <cellStyle name="Output 4 6 2 2" xfId="15815" xr:uid="{00000000-0005-0000-0000-0000815B0000}"/>
    <cellStyle name="Output 4 6 2 2 2" xfId="23658" xr:uid="{00000000-0005-0000-0000-0000825B0000}"/>
    <cellStyle name="Output 4 6 2 2 2 2" xfId="20385" xr:uid="{00000000-0005-0000-0000-0000835B0000}"/>
    <cellStyle name="Output 4 6 2 2 2 3" xfId="20391" xr:uid="{00000000-0005-0000-0000-0000845B0000}"/>
    <cellStyle name="Output 4 6 2 2 2 4" xfId="21005" xr:uid="{00000000-0005-0000-0000-0000855B0000}"/>
    <cellStyle name="Output 4 6 2 2 3" xfId="27222" xr:uid="{00000000-0005-0000-0000-0000865B0000}"/>
    <cellStyle name="Output 4 6 2 2 4" xfId="27224" xr:uid="{00000000-0005-0000-0000-0000875B0000}"/>
    <cellStyle name="Output 4 6 2 2 5" xfId="27226" xr:uid="{00000000-0005-0000-0000-0000885B0000}"/>
    <cellStyle name="Output 4 6 2 3" xfId="15817" xr:uid="{00000000-0005-0000-0000-0000895B0000}"/>
    <cellStyle name="Output 4 6 2 3 2" xfId="12501" xr:uid="{00000000-0005-0000-0000-00008A5B0000}"/>
    <cellStyle name="Output 4 6 2 3 3" xfId="16308" xr:uid="{00000000-0005-0000-0000-00008B5B0000}"/>
    <cellStyle name="Output 4 6 2 3 4" xfId="7147" xr:uid="{00000000-0005-0000-0000-00008C5B0000}"/>
    <cellStyle name="Output 4 6 2 4" xfId="1273" xr:uid="{00000000-0005-0000-0000-00008D5B0000}"/>
    <cellStyle name="Output 4 6 2 5" xfId="27058" xr:uid="{00000000-0005-0000-0000-00008E5B0000}"/>
    <cellStyle name="Output 4 6 2 6" xfId="27061" xr:uid="{00000000-0005-0000-0000-00008F5B0000}"/>
    <cellStyle name="Output 4 6 3" xfId="22484" xr:uid="{00000000-0005-0000-0000-0000905B0000}"/>
    <cellStyle name="Output 4 6 3 2" xfId="5773" xr:uid="{00000000-0005-0000-0000-0000915B0000}"/>
    <cellStyle name="Output 4 6 3 2 2" xfId="27228" xr:uid="{00000000-0005-0000-0000-0000925B0000}"/>
    <cellStyle name="Output 4 6 3 2 3" xfId="22651" xr:uid="{00000000-0005-0000-0000-0000935B0000}"/>
    <cellStyle name="Output 4 6 3 2 4" xfId="22655" xr:uid="{00000000-0005-0000-0000-0000945B0000}"/>
    <cellStyle name="Output 4 6 3 3" xfId="5779" xr:uid="{00000000-0005-0000-0000-0000955B0000}"/>
    <cellStyle name="Output 4 6 3 4" xfId="27065" xr:uid="{00000000-0005-0000-0000-0000965B0000}"/>
    <cellStyle name="Output 4 6 3 5" xfId="27068" xr:uid="{00000000-0005-0000-0000-0000975B0000}"/>
    <cellStyle name="Output 4 6 4" xfId="22486" xr:uid="{00000000-0005-0000-0000-0000985B0000}"/>
    <cellStyle name="Output 4 6 4 2" xfId="8731" xr:uid="{00000000-0005-0000-0000-0000995B0000}"/>
    <cellStyle name="Output 4 6 4 3" xfId="27229" xr:uid="{00000000-0005-0000-0000-00009A5B0000}"/>
    <cellStyle name="Output 4 6 4 4" xfId="27231" xr:uid="{00000000-0005-0000-0000-00009B5B0000}"/>
    <cellStyle name="Output 4 6 5" xfId="27232" xr:uid="{00000000-0005-0000-0000-00009C5B0000}"/>
    <cellStyle name="Output 4 6 6" xfId="27233" xr:uid="{00000000-0005-0000-0000-00009D5B0000}"/>
    <cellStyle name="Output 4 6 7" xfId="27234" xr:uid="{00000000-0005-0000-0000-00009E5B0000}"/>
    <cellStyle name="Output 4 7" xfId="27235" xr:uid="{00000000-0005-0000-0000-00009F5B0000}"/>
    <cellStyle name="Output 4 7 2" xfId="22489" xr:uid="{00000000-0005-0000-0000-0000A05B0000}"/>
    <cellStyle name="Output 4 7 2 2" xfId="27237" xr:uid="{00000000-0005-0000-0000-0000A15B0000}"/>
    <cellStyle name="Output 4 7 2 2 2" xfId="16896" xr:uid="{00000000-0005-0000-0000-0000A25B0000}"/>
    <cellStyle name="Output 4 7 2 2 3" xfId="16901" xr:uid="{00000000-0005-0000-0000-0000A35B0000}"/>
    <cellStyle name="Output 4 7 2 2 4" xfId="724" xr:uid="{00000000-0005-0000-0000-0000A45B0000}"/>
    <cellStyle name="Output 4 7 2 3" xfId="27077" xr:uid="{00000000-0005-0000-0000-0000A55B0000}"/>
    <cellStyle name="Output 4 7 2 4" xfId="27080" xr:uid="{00000000-0005-0000-0000-0000A65B0000}"/>
    <cellStyle name="Output 4 7 2 5" xfId="27083" xr:uid="{00000000-0005-0000-0000-0000A75B0000}"/>
    <cellStyle name="Output 4 7 3" xfId="22491" xr:uid="{00000000-0005-0000-0000-0000A85B0000}"/>
    <cellStyle name="Output 4 7 3 2" xfId="8765" xr:uid="{00000000-0005-0000-0000-0000A95B0000}"/>
    <cellStyle name="Output 4 7 3 3" xfId="27238" xr:uid="{00000000-0005-0000-0000-0000AA5B0000}"/>
    <cellStyle name="Output 4 7 3 4" xfId="27240" xr:uid="{00000000-0005-0000-0000-0000AB5B0000}"/>
    <cellStyle name="Output 4 7 4" xfId="27241" xr:uid="{00000000-0005-0000-0000-0000AC5B0000}"/>
    <cellStyle name="Output 4 7 5" xfId="27242" xr:uid="{00000000-0005-0000-0000-0000AD5B0000}"/>
    <cellStyle name="Output 4 7 6" xfId="25304" xr:uid="{00000000-0005-0000-0000-0000AE5B0000}"/>
    <cellStyle name="Output 4 8" xfId="27243" xr:uid="{00000000-0005-0000-0000-0000AF5B0000}"/>
    <cellStyle name="Output 4 8 2" xfId="27244" xr:uid="{00000000-0005-0000-0000-0000B05B0000}"/>
    <cellStyle name="Output 4 8 2 2" xfId="27246" xr:uid="{00000000-0005-0000-0000-0000B15B0000}"/>
    <cellStyle name="Output 4 8 2 3" xfId="27247" xr:uid="{00000000-0005-0000-0000-0000B25B0000}"/>
    <cellStyle name="Output 4 8 2 4" xfId="27249" xr:uid="{00000000-0005-0000-0000-0000B35B0000}"/>
    <cellStyle name="Output 4 8 3" xfId="27250" xr:uid="{00000000-0005-0000-0000-0000B45B0000}"/>
    <cellStyle name="Output 4 8 4" xfId="27251" xr:uid="{00000000-0005-0000-0000-0000B55B0000}"/>
    <cellStyle name="Output 4 8 5" xfId="27252" xr:uid="{00000000-0005-0000-0000-0000B65B0000}"/>
    <cellStyle name="Output 4 9" xfId="21921" xr:uid="{00000000-0005-0000-0000-0000B75B0000}"/>
    <cellStyle name="Output 4 9 2" xfId="25091" xr:uid="{00000000-0005-0000-0000-0000B85B0000}"/>
    <cellStyle name="Output 4 9 3" xfId="25105" xr:uid="{00000000-0005-0000-0000-0000B95B0000}"/>
    <cellStyle name="Output 4 9 4" xfId="20043" xr:uid="{00000000-0005-0000-0000-0000BA5B0000}"/>
    <cellStyle name="Output 5" xfId="10035" xr:uid="{00000000-0005-0000-0000-0000BB5B0000}"/>
    <cellStyle name="Output 5 10" xfId="27253" xr:uid="{00000000-0005-0000-0000-0000BC5B0000}"/>
    <cellStyle name="Output 5 11" xfId="2570" xr:uid="{00000000-0005-0000-0000-0000BD5B0000}"/>
    <cellStyle name="Output 5 12" xfId="2577" xr:uid="{00000000-0005-0000-0000-0000BE5B0000}"/>
    <cellStyle name="Output 5 13" xfId="2586" xr:uid="{00000000-0005-0000-0000-0000BF5B0000}"/>
    <cellStyle name="Output 5 2" xfId="27255" xr:uid="{00000000-0005-0000-0000-0000C05B0000}"/>
    <cellStyle name="Output 5 2 10" xfId="21599" xr:uid="{00000000-0005-0000-0000-0000C15B0000}"/>
    <cellStyle name="Output 5 2 11" xfId="21603" xr:uid="{00000000-0005-0000-0000-0000C25B0000}"/>
    <cellStyle name="Output 5 2 12" xfId="21613" xr:uid="{00000000-0005-0000-0000-0000C35B0000}"/>
    <cellStyle name="Output 5 2 2" xfId="27256" xr:uid="{00000000-0005-0000-0000-0000C45B0000}"/>
    <cellStyle name="Output 5 2 2 2" xfId="27257" xr:uid="{00000000-0005-0000-0000-0000C55B0000}"/>
    <cellStyle name="Output 5 2 2 2 2" xfId="27258" xr:uid="{00000000-0005-0000-0000-0000C65B0000}"/>
    <cellStyle name="Output 5 2 2 2 2 2" xfId="7717" xr:uid="{00000000-0005-0000-0000-0000C75B0000}"/>
    <cellStyle name="Output 5 2 2 2 2 2 2" xfId="23500" xr:uid="{00000000-0005-0000-0000-0000C85B0000}"/>
    <cellStyle name="Output 5 2 2 2 2 2 2 2" xfId="4005" xr:uid="{00000000-0005-0000-0000-0000C95B0000}"/>
    <cellStyle name="Output 5 2 2 2 2 2 2 2 2" xfId="27259" xr:uid="{00000000-0005-0000-0000-0000CA5B0000}"/>
    <cellStyle name="Output 5 2 2 2 2 2 2 2 3" xfId="27260" xr:uid="{00000000-0005-0000-0000-0000CB5B0000}"/>
    <cellStyle name="Output 5 2 2 2 2 2 2 2 4" xfId="27261" xr:uid="{00000000-0005-0000-0000-0000CC5B0000}"/>
    <cellStyle name="Output 5 2 2 2 2 2 2 3" xfId="6637" xr:uid="{00000000-0005-0000-0000-0000CD5B0000}"/>
    <cellStyle name="Output 5 2 2 2 2 2 2 4" xfId="27262" xr:uid="{00000000-0005-0000-0000-0000CE5B0000}"/>
    <cellStyle name="Output 5 2 2 2 2 2 2 5" xfId="27263" xr:uid="{00000000-0005-0000-0000-0000CF5B0000}"/>
    <cellStyle name="Output 5 2 2 2 2 2 3" xfId="27265" xr:uid="{00000000-0005-0000-0000-0000D05B0000}"/>
    <cellStyle name="Output 5 2 2 2 2 2 3 2" xfId="6643" xr:uid="{00000000-0005-0000-0000-0000D15B0000}"/>
    <cellStyle name="Output 5 2 2 2 2 2 3 3" xfId="27266" xr:uid="{00000000-0005-0000-0000-0000D25B0000}"/>
    <cellStyle name="Output 5 2 2 2 2 2 3 4" xfId="27267" xr:uid="{00000000-0005-0000-0000-0000D35B0000}"/>
    <cellStyle name="Output 5 2 2 2 2 2 4" xfId="27269" xr:uid="{00000000-0005-0000-0000-0000D45B0000}"/>
    <cellStyle name="Output 5 2 2 2 2 2 5" xfId="27271" xr:uid="{00000000-0005-0000-0000-0000D55B0000}"/>
    <cellStyle name="Output 5 2 2 2 2 2 6" xfId="27272" xr:uid="{00000000-0005-0000-0000-0000D65B0000}"/>
    <cellStyle name="Output 5 2 2 2 2 3" xfId="5310" xr:uid="{00000000-0005-0000-0000-0000D75B0000}"/>
    <cellStyle name="Output 5 2 2 2 2 3 2" xfId="27273" xr:uid="{00000000-0005-0000-0000-0000D85B0000}"/>
    <cellStyle name="Output 5 2 2 2 2 3 2 2" xfId="5323" xr:uid="{00000000-0005-0000-0000-0000D95B0000}"/>
    <cellStyle name="Output 5 2 2 2 2 3 2 3" xfId="13696" xr:uid="{00000000-0005-0000-0000-0000DA5B0000}"/>
    <cellStyle name="Output 5 2 2 2 2 3 2 4" xfId="27274" xr:uid="{00000000-0005-0000-0000-0000DB5B0000}"/>
    <cellStyle name="Output 5 2 2 2 2 3 3" xfId="27275" xr:uid="{00000000-0005-0000-0000-0000DC5B0000}"/>
    <cellStyle name="Output 5 2 2 2 2 3 4" xfId="27276" xr:uid="{00000000-0005-0000-0000-0000DD5B0000}"/>
    <cellStyle name="Output 5 2 2 2 2 3 5" xfId="27277" xr:uid="{00000000-0005-0000-0000-0000DE5B0000}"/>
    <cellStyle name="Output 5 2 2 2 2 4" xfId="5352" xr:uid="{00000000-0005-0000-0000-0000DF5B0000}"/>
    <cellStyle name="Output 5 2 2 2 2 4 2" xfId="23755" xr:uid="{00000000-0005-0000-0000-0000E05B0000}"/>
    <cellStyle name="Output 5 2 2 2 2 4 3" xfId="27278" xr:uid="{00000000-0005-0000-0000-0000E15B0000}"/>
    <cellStyle name="Output 5 2 2 2 2 4 4" xfId="27279" xr:uid="{00000000-0005-0000-0000-0000E25B0000}"/>
    <cellStyle name="Output 5 2 2 2 2 5" xfId="27280" xr:uid="{00000000-0005-0000-0000-0000E35B0000}"/>
    <cellStyle name="Output 5 2 2 2 2 6" xfId="27282" xr:uid="{00000000-0005-0000-0000-0000E45B0000}"/>
    <cellStyle name="Output 5 2 2 2 2 7" xfId="27284" xr:uid="{00000000-0005-0000-0000-0000E55B0000}"/>
    <cellStyle name="Output 5 2 2 2 3" xfId="27286" xr:uid="{00000000-0005-0000-0000-0000E65B0000}"/>
    <cellStyle name="Output 5 2 2 2 3 2" xfId="7437" xr:uid="{00000000-0005-0000-0000-0000E75B0000}"/>
    <cellStyle name="Output 5 2 2 2 3 2 2" xfId="27287" xr:uid="{00000000-0005-0000-0000-0000E85B0000}"/>
    <cellStyle name="Output 5 2 2 2 3 2 2 2" xfId="1781" xr:uid="{00000000-0005-0000-0000-0000E95B0000}"/>
    <cellStyle name="Output 5 2 2 2 3 2 2 3" xfId="27288" xr:uid="{00000000-0005-0000-0000-0000EA5B0000}"/>
    <cellStyle name="Output 5 2 2 2 3 2 2 4" xfId="27289" xr:uid="{00000000-0005-0000-0000-0000EB5B0000}"/>
    <cellStyle name="Output 5 2 2 2 3 2 3" xfId="27290" xr:uid="{00000000-0005-0000-0000-0000EC5B0000}"/>
    <cellStyle name="Output 5 2 2 2 3 2 4" xfId="27291" xr:uid="{00000000-0005-0000-0000-0000ED5B0000}"/>
    <cellStyle name="Output 5 2 2 2 3 2 5" xfId="27292" xr:uid="{00000000-0005-0000-0000-0000EE5B0000}"/>
    <cellStyle name="Output 5 2 2 2 3 3" xfId="5388" xr:uid="{00000000-0005-0000-0000-0000EF5B0000}"/>
    <cellStyle name="Output 5 2 2 2 3 3 2" xfId="27293" xr:uid="{00000000-0005-0000-0000-0000F05B0000}"/>
    <cellStyle name="Output 5 2 2 2 3 3 3" xfId="27294" xr:uid="{00000000-0005-0000-0000-0000F15B0000}"/>
    <cellStyle name="Output 5 2 2 2 3 3 4" xfId="27295" xr:uid="{00000000-0005-0000-0000-0000F25B0000}"/>
    <cellStyle name="Output 5 2 2 2 3 4" xfId="5397" xr:uid="{00000000-0005-0000-0000-0000F35B0000}"/>
    <cellStyle name="Output 5 2 2 2 3 5" xfId="5405" xr:uid="{00000000-0005-0000-0000-0000F45B0000}"/>
    <cellStyle name="Output 5 2 2 2 3 6" xfId="1399" xr:uid="{00000000-0005-0000-0000-0000F55B0000}"/>
    <cellStyle name="Output 5 2 2 2 4" xfId="27297" xr:uid="{00000000-0005-0000-0000-0000F65B0000}"/>
    <cellStyle name="Output 5 2 2 2 4 2" xfId="27298" xr:uid="{00000000-0005-0000-0000-0000F75B0000}"/>
    <cellStyle name="Output 5 2 2 2 4 2 2" xfId="3266" xr:uid="{00000000-0005-0000-0000-0000F85B0000}"/>
    <cellStyle name="Output 5 2 2 2 4 2 3" xfId="9889" xr:uid="{00000000-0005-0000-0000-0000F95B0000}"/>
    <cellStyle name="Output 5 2 2 2 4 2 4" xfId="9893" xr:uid="{00000000-0005-0000-0000-0000FA5B0000}"/>
    <cellStyle name="Output 5 2 2 2 4 3" xfId="27299" xr:uid="{00000000-0005-0000-0000-0000FB5B0000}"/>
    <cellStyle name="Output 5 2 2 2 4 4" xfId="943" xr:uid="{00000000-0005-0000-0000-0000FC5B0000}"/>
    <cellStyle name="Output 5 2 2 2 4 5" xfId="951" xr:uid="{00000000-0005-0000-0000-0000FD5B0000}"/>
    <cellStyle name="Output 5 2 2 2 5" xfId="27301" xr:uid="{00000000-0005-0000-0000-0000FE5B0000}"/>
    <cellStyle name="Output 5 2 2 2 5 2" xfId="27302" xr:uid="{00000000-0005-0000-0000-0000FF5B0000}"/>
    <cellStyle name="Output 5 2 2 2 5 3" xfId="27303" xr:uid="{00000000-0005-0000-0000-0000005C0000}"/>
    <cellStyle name="Output 5 2 2 2 5 4" xfId="27304" xr:uid="{00000000-0005-0000-0000-0000015C0000}"/>
    <cellStyle name="Output 5 2 2 2 6" xfId="27305" xr:uid="{00000000-0005-0000-0000-0000025C0000}"/>
    <cellStyle name="Output 5 2 2 2 7" xfId="7752" xr:uid="{00000000-0005-0000-0000-0000035C0000}"/>
    <cellStyle name="Output 5 2 2 2 8" xfId="12689" xr:uid="{00000000-0005-0000-0000-0000045C0000}"/>
    <cellStyle name="Output 5 2 2 3" xfId="27306" xr:uid="{00000000-0005-0000-0000-0000055C0000}"/>
    <cellStyle name="Output 5 2 2 3 2" xfId="8039" xr:uid="{00000000-0005-0000-0000-0000065C0000}"/>
    <cellStyle name="Output 5 2 2 3 2 2" xfId="8045" xr:uid="{00000000-0005-0000-0000-0000075C0000}"/>
    <cellStyle name="Output 5 2 2 3 2 2 2" xfId="27307" xr:uid="{00000000-0005-0000-0000-0000085C0000}"/>
    <cellStyle name="Output 5 2 2 3 2 2 2 2" xfId="4572" xr:uid="{00000000-0005-0000-0000-0000095C0000}"/>
    <cellStyle name="Output 5 2 2 3 2 2 2 3" xfId="6859" xr:uid="{00000000-0005-0000-0000-00000A5C0000}"/>
    <cellStyle name="Output 5 2 2 3 2 2 2 4" xfId="22179" xr:uid="{00000000-0005-0000-0000-00000B5C0000}"/>
    <cellStyle name="Output 5 2 2 3 2 2 3" xfId="27309" xr:uid="{00000000-0005-0000-0000-00000C5C0000}"/>
    <cellStyle name="Output 5 2 2 3 2 2 4" xfId="27312" xr:uid="{00000000-0005-0000-0000-00000D5C0000}"/>
    <cellStyle name="Output 5 2 2 3 2 2 5" xfId="27315" xr:uid="{00000000-0005-0000-0000-00000E5C0000}"/>
    <cellStyle name="Output 5 2 2 3 2 3" xfId="5520" xr:uid="{00000000-0005-0000-0000-00000F5C0000}"/>
    <cellStyle name="Output 5 2 2 3 2 3 2" xfId="27316" xr:uid="{00000000-0005-0000-0000-0000105C0000}"/>
    <cellStyle name="Output 5 2 2 3 2 3 3" xfId="27317" xr:uid="{00000000-0005-0000-0000-0000115C0000}"/>
    <cellStyle name="Output 5 2 2 3 2 3 4" xfId="27318" xr:uid="{00000000-0005-0000-0000-0000125C0000}"/>
    <cellStyle name="Output 5 2 2 3 2 4" xfId="27319" xr:uid="{00000000-0005-0000-0000-0000135C0000}"/>
    <cellStyle name="Output 5 2 2 3 2 5" xfId="27320" xr:uid="{00000000-0005-0000-0000-0000145C0000}"/>
    <cellStyle name="Output 5 2 2 3 2 6" xfId="27322" xr:uid="{00000000-0005-0000-0000-0000155C0000}"/>
    <cellStyle name="Output 5 2 2 3 3" xfId="8066" xr:uid="{00000000-0005-0000-0000-0000165C0000}"/>
    <cellStyle name="Output 5 2 2 3 3 2" xfId="8075" xr:uid="{00000000-0005-0000-0000-0000175C0000}"/>
    <cellStyle name="Output 5 2 2 3 3 2 2" xfId="8082" xr:uid="{00000000-0005-0000-0000-0000185C0000}"/>
    <cellStyle name="Output 5 2 2 3 3 2 3" xfId="8089" xr:uid="{00000000-0005-0000-0000-0000195C0000}"/>
    <cellStyle name="Output 5 2 2 3 3 2 4" xfId="27324" xr:uid="{00000000-0005-0000-0000-00001A5C0000}"/>
    <cellStyle name="Output 5 2 2 3 3 3" xfId="5578" xr:uid="{00000000-0005-0000-0000-00001B5C0000}"/>
    <cellStyle name="Output 5 2 2 3 3 4" xfId="5586" xr:uid="{00000000-0005-0000-0000-00001C5C0000}"/>
    <cellStyle name="Output 5 2 2 3 3 5" xfId="5599" xr:uid="{00000000-0005-0000-0000-00001D5C0000}"/>
    <cellStyle name="Output 5 2 2 3 4" xfId="8098" xr:uid="{00000000-0005-0000-0000-00001E5C0000}"/>
    <cellStyle name="Output 5 2 2 3 4 2" xfId="27325" xr:uid="{00000000-0005-0000-0000-00001F5C0000}"/>
    <cellStyle name="Output 5 2 2 3 4 3" xfId="27326" xr:uid="{00000000-0005-0000-0000-0000205C0000}"/>
    <cellStyle name="Output 5 2 2 3 4 4" xfId="27327" xr:uid="{00000000-0005-0000-0000-0000215C0000}"/>
    <cellStyle name="Output 5 2 2 3 5" xfId="8113" xr:uid="{00000000-0005-0000-0000-0000225C0000}"/>
    <cellStyle name="Output 5 2 2 3 6" xfId="27329" xr:uid="{00000000-0005-0000-0000-0000235C0000}"/>
    <cellStyle name="Output 5 2 2 3 7" xfId="7804" xr:uid="{00000000-0005-0000-0000-0000245C0000}"/>
    <cellStyle name="Output 5 2 2 4" xfId="27331" xr:uid="{00000000-0005-0000-0000-0000255C0000}"/>
    <cellStyle name="Output 5 2 2 4 2" xfId="8203" xr:uid="{00000000-0005-0000-0000-0000265C0000}"/>
    <cellStyle name="Output 5 2 2 4 2 2" xfId="8208" xr:uid="{00000000-0005-0000-0000-0000275C0000}"/>
    <cellStyle name="Output 5 2 2 4 2 2 2" xfId="27332" xr:uid="{00000000-0005-0000-0000-0000285C0000}"/>
    <cellStyle name="Output 5 2 2 4 2 2 3" xfId="27333" xr:uid="{00000000-0005-0000-0000-0000295C0000}"/>
    <cellStyle name="Output 5 2 2 4 2 2 4" xfId="27334" xr:uid="{00000000-0005-0000-0000-00002A5C0000}"/>
    <cellStyle name="Output 5 2 2 4 2 3" xfId="27335" xr:uid="{00000000-0005-0000-0000-00002B5C0000}"/>
    <cellStyle name="Output 5 2 2 4 2 4" xfId="27336" xr:uid="{00000000-0005-0000-0000-00002C5C0000}"/>
    <cellStyle name="Output 5 2 2 4 2 5" xfId="24305" xr:uid="{00000000-0005-0000-0000-00002D5C0000}"/>
    <cellStyle name="Output 5 2 2 4 3" xfId="27337" xr:uid="{00000000-0005-0000-0000-00002E5C0000}"/>
    <cellStyle name="Output 5 2 2 4 3 2" xfId="27338" xr:uid="{00000000-0005-0000-0000-00002F5C0000}"/>
    <cellStyle name="Output 5 2 2 4 3 3" xfId="27339" xr:uid="{00000000-0005-0000-0000-0000305C0000}"/>
    <cellStyle name="Output 5 2 2 4 3 4" xfId="27340" xr:uid="{00000000-0005-0000-0000-0000315C0000}"/>
    <cellStyle name="Output 5 2 2 4 4" xfId="27341" xr:uid="{00000000-0005-0000-0000-0000325C0000}"/>
    <cellStyle name="Output 5 2 2 4 5" xfId="27342" xr:uid="{00000000-0005-0000-0000-0000335C0000}"/>
    <cellStyle name="Output 5 2 2 4 6" xfId="27344" xr:uid="{00000000-0005-0000-0000-0000345C0000}"/>
    <cellStyle name="Output 5 2 2 5" xfId="27346" xr:uid="{00000000-0005-0000-0000-0000355C0000}"/>
    <cellStyle name="Output 5 2 2 5 2" xfId="27348" xr:uid="{00000000-0005-0000-0000-0000365C0000}"/>
    <cellStyle name="Output 5 2 2 5 2 2" xfId="27350" xr:uid="{00000000-0005-0000-0000-0000375C0000}"/>
    <cellStyle name="Output 5 2 2 5 2 3" xfId="27352" xr:uid="{00000000-0005-0000-0000-0000385C0000}"/>
    <cellStyle name="Output 5 2 2 5 2 4" xfId="27354" xr:uid="{00000000-0005-0000-0000-0000395C0000}"/>
    <cellStyle name="Output 5 2 2 5 3" xfId="27356" xr:uid="{00000000-0005-0000-0000-00003A5C0000}"/>
    <cellStyle name="Output 5 2 2 5 4" xfId="27357" xr:uid="{00000000-0005-0000-0000-00003B5C0000}"/>
    <cellStyle name="Output 5 2 2 5 5" xfId="27358" xr:uid="{00000000-0005-0000-0000-00003C5C0000}"/>
    <cellStyle name="Output 5 2 2 6" xfId="27360" xr:uid="{00000000-0005-0000-0000-00003D5C0000}"/>
    <cellStyle name="Output 5 2 2 6 2" xfId="27361" xr:uid="{00000000-0005-0000-0000-00003E5C0000}"/>
    <cellStyle name="Output 5 2 2 6 3" xfId="27362" xr:uid="{00000000-0005-0000-0000-00003F5C0000}"/>
    <cellStyle name="Output 5 2 2 6 4" xfId="27363" xr:uid="{00000000-0005-0000-0000-0000405C0000}"/>
    <cellStyle name="Output 5 2 2 7" xfId="27364" xr:uid="{00000000-0005-0000-0000-0000415C0000}"/>
    <cellStyle name="Output 5 2 2 8" xfId="27365" xr:uid="{00000000-0005-0000-0000-0000425C0000}"/>
    <cellStyle name="Output 5 2 2 9" xfId="27366" xr:uid="{00000000-0005-0000-0000-0000435C0000}"/>
    <cellStyle name="Output 5 2 3" xfId="27367" xr:uid="{00000000-0005-0000-0000-0000445C0000}"/>
    <cellStyle name="Output 5 2 3 2" xfId="27368" xr:uid="{00000000-0005-0000-0000-0000455C0000}"/>
    <cellStyle name="Output 5 2 3 2 2" xfId="23092" xr:uid="{00000000-0005-0000-0000-0000465C0000}"/>
    <cellStyle name="Output 5 2 3 2 2 2" xfId="282" xr:uid="{00000000-0005-0000-0000-0000475C0000}"/>
    <cellStyle name="Output 5 2 3 2 2 2 2" xfId="24246" xr:uid="{00000000-0005-0000-0000-0000485C0000}"/>
    <cellStyle name="Output 5 2 3 2 2 2 2 2" xfId="6589" xr:uid="{00000000-0005-0000-0000-0000495C0000}"/>
    <cellStyle name="Output 5 2 3 2 2 2 2 2 2" xfId="27369" xr:uid="{00000000-0005-0000-0000-00004A5C0000}"/>
    <cellStyle name="Output 5 2 3 2 2 2 2 2 3" xfId="27370" xr:uid="{00000000-0005-0000-0000-00004B5C0000}"/>
    <cellStyle name="Output 5 2 3 2 2 2 2 2 4" xfId="27371" xr:uid="{00000000-0005-0000-0000-00004C5C0000}"/>
    <cellStyle name="Output 5 2 3 2 2 2 2 3" xfId="7700" xr:uid="{00000000-0005-0000-0000-00004D5C0000}"/>
    <cellStyle name="Output 5 2 3 2 2 2 2 4" xfId="24118" xr:uid="{00000000-0005-0000-0000-00004E5C0000}"/>
    <cellStyle name="Output 5 2 3 2 2 2 2 5" xfId="24123" xr:uid="{00000000-0005-0000-0000-00004F5C0000}"/>
    <cellStyle name="Output 5 2 3 2 2 2 3" xfId="27372" xr:uid="{00000000-0005-0000-0000-0000505C0000}"/>
    <cellStyle name="Output 5 2 3 2 2 2 3 2" xfId="7707" xr:uid="{00000000-0005-0000-0000-0000515C0000}"/>
    <cellStyle name="Output 5 2 3 2 2 2 3 3" xfId="19948" xr:uid="{00000000-0005-0000-0000-0000525C0000}"/>
    <cellStyle name="Output 5 2 3 2 2 2 3 4" xfId="24133" xr:uid="{00000000-0005-0000-0000-0000535C0000}"/>
    <cellStyle name="Output 5 2 3 2 2 2 4" xfId="27373" xr:uid="{00000000-0005-0000-0000-0000545C0000}"/>
    <cellStyle name="Output 5 2 3 2 2 2 5" xfId="27374" xr:uid="{00000000-0005-0000-0000-0000555C0000}"/>
    <cellStyle name="Output 5 2 3 2 2 2 6" xfId="27375" xr:uid="{00000000-0005-0000-0000-0000565C0000}"/>
    <cellStyle name="Output 5 2 3 2 2 3" xfId="100" xr:uid="{00000000-0005-0000-0000-0000575C0000}"/>
    <cellStyle name="Output 5 2 3 2 2 3 2" xfId="27376" xr:uid="{00000000-0005-0000-0000-0000585C0000}"/>
    <cellStyle name="Output 5 2 3 2 2 3 2 2" xfId="5191" xr:uid="{00000000-0005-0000-0000-0000595C0000}"/>
    <cellStyle name="Output 5 2 3 2 2 3 2 3" xfId="14494" xr:uid="{00000000-0005-0000-0000-00005A5C0000}"/>
    <cellStyle name="Output 5 2 3 2 2 3 2 4" xfId="24224" xr:uid="{00000000-0005-0000-0000-00005B5C0000}"/>
    <cellStyle name="Output 5 2 3 2 2 3 3" xfId="27377" xr:uid="{00000000-0005-0000-0000-00005C5C0000}"/>
    <cellStyle name="Output 5 2 3 2 2 3 4" xfId="27378" xr:uid="{00000000-0005-0000-0000-00005D5C0000}"/>
    <cellStyle name="Output 5 2 3 2 2 3 5" xfId="27379" xr:uid="{00000000-0005-0000-0000-00005E5C0000}"/>
    <cellStyle name="Output 5 2 3 2 2 4" xfId="27380" xr:uid="{00000000-0005-0000-0000-00005F5C0000}"/>
    <cellStyle name="Output 5 2 3 2 2 4 2" xfId="27381" xr:uid="{00000000-0005-0000-0000-0000605C0000}"/>
    <cellStyle name="Output 5 2 3 2 2 4 3" xfId="27382" xr:uid="{00000000-0005-0000-0000-0000615C0000}"/>
    <cellStyle name="Output 5 2 3 2 2 4 4" xfId="27383" xr:uid="{00000000-0005-0000-0000-0000625C0000}"/>
    <cellStyle name="Output 5 2 3 2 2 5" xfId="27384" xr:uid="{00000000-0005-0000-0000-0000635C0000}"/>
    <cellStyle name="Output 5 2 3 2 2 6" xfId="27386" xr:uid="{00000000-0005-0000-0000-0000645C0000}"/>
    <cellStyle name="Output 5 2 3 2 2 7" xfId="27388" xr:uid="{00000000-0005-0000-0000-0000655C0000}"/>
    <cellStyle name="Output 5 2 3 2 3" xfId="23094" xr:uid="{00000000-0005-0000-0000-0000665C0000}"/>
    <cellStyle name="Output 5 2 3 2 3 2" xfId="2700" xr:uid="{00000000-0005-0000-0000-0000675C0000}"/>
    <cellStyle name="Output 5 2 3 2 3 2 2" xfId="27389" xr:uid="{00000000-0005-0000-0000-0000685C0000}"/>
    <cellStyle name="Output 5 2 3 2 3 2 2 2" xfId="7723" xr:uid="{00000000-0005-0000-0000-0000695C0000}"/>
    <cellStyle name="Output 5 2 3 2 3 2 2 3" xfId="24400" xr:uid="{00000000-0005-0000-0000-00006A5C0000}"/>
    <cellStyle name="Output 5 2 3 2 3 2 2 4" xfId="24409" xr:uid="{00000000-0005-0000-0000-00006B5C0000}"/>
    <cellStyle name="Output 5 2 3 2 3 2 3" xfId="27390" xr:uid="{00000000-0005-0000-0000-00006C5C0000}"/>
    <cellStyle name="Output 5 2 3 2 3 2 4" xfId="27391" xr:uid="{00000000-0005-0000-0000-00006D5C0000}"/>
    <cellStyle name="Output 5 2 3 2 3 2 5" xfId="27392" xr:uid="{00000000-0005-0000-0000-00006E5C0000}"/>
    <cellStyle name="Output 5 2 3 2 3 3" xfId="2713" xr:uid="{00000000-0005-0000-0000-00006F5C0000}"/>
    <cellStyle name="Output 5 2 3 2 3 3 2" xfId="27393" xr:uid="{00000000-0005-0000-0000-0000705C0000}"/>
    <cellStyle name="Output 5 2 3 2 3 3 3" xfId="79" xr:uid="{00000000-0005-0000-0000-0000715C0000}"/>
    <cellStyle name="Output 5 2 3 2 3 3 4" xfId="2830" xr:uid="{00000000-0005-0000-0000-0000725C0000}"/>
    <cellStyle name="Output 5 2 3 2 3 4" xfId="2731" xr:uid="{00000000-0005-0000-0000-0000735C0000}"/>
    <cellStyle name="Output 5 2 3 2 3 5" xfId="5932" xr:uid="{00000000-0005-0000-0000-0000745C0000}"/>
    <cellStyle name="Output 5 2 3 2 3 6" xfId="21245" xr:uid="{00000000-0005-0000-0000-0000755C0000}"/>
    <cellStyle name="Output 5 2 3 2 4" xfId="9167" xr:uid="{00000000-0005-0000-0000-0000765C0000}"/>
    <cellStyle name="Output 5 2 3 2 4 2" xfId="1095" xr:uid="{00000000-0005-0000-0000-0000775C0000}"/>
    <cellStyle name="Output 5 2 3 2 4 2 2" xfId="27394" xr:uid="{00000000-0005-0000-0000-0000785C0000}"/>
    <cellStyle name="Output 5 2 3 2 4 2 3" xfId="27395" xr:uid="{00000000-0005-0000-0000-0000795C0000}"/>
    <cellStyle name="Output 5 2 3 2 4 2 4" xfId="27396" xr:uid="{00000000-0005-0000-0000-00007A5C0000}"/>
    <cellStyle name="Output 5 2 3 2 4 3" xfId="1060" xr:uid="{00000000-0005-0000-0000-00007B5C0000}"/>
    <cellStyle name="Output 5 2 3 2 4 4" xfId="1072" xr:uid="{00000000-0005-0000-0000-00007C5C0000}"/>
    <cellStyle name="Output 5 2 3 2 4 5" xfId="27397" xr:uid="{00000000-0005-0000-0000-00007D5C0000}"/>
    <cellStyle name="Output 5 2 3 2 5" xfId="9173" xr:uid="{00000000-0005-0000-0000-00007E5C0000}"/>
    <cellStyle name="Output 5 2 3 2 5 2" xfId="6129" xr:uid="{00000000-0005-0000-0000-00007F5C0000}"/>
    <cellStyle name="Output 5 2 3 2 5 3" xfId="1106" xr:uid="{00000000-0005-0000-0000-0000805C0000}"/>
    <cellStyle name="Output 5 2 3 2 5 4" xfId="27399" xr:uid="{00000000-0005-0000-0000-0000815C0000}"/>
    <cellStyle name="Output 5 2 3 2 6" xfId="3748" xr:uid="{00000000-0005-0000-0000-0000825C0000}"/>
    <cellStyle name="Output 5 2 3 2 7" xfId="3757" xr:uid="{00000000-0005-0000-0000-0000835C0000}"/>
    <cellStyle name="Output 5 2 3 2 8" xfId="12814" xr:uid="{00000000-0005-0000-0000-0000845C0000}"/>
    <cellStyle name="Output 5 2 3 3" xfId="27400" xr:uid="{00000000-0005-0000-0000-0000855C0000}"/>
    <cellStyle name="Output 5 2 3 3 2" xfId="9383" xr:uid="{00000000-0005-0000-0000-0000865C0000}"/>
    <cellStyle name="Output 5 2 3 3 2 2" xfId="2852" xr:uid="{00000000-0005-0000-0000-0000875C0000}"/>
    <cellStyle name="Output 5 2 3 3 2 2 2" xfId="27401" xr:uid="{00000000-0005-0000-0000-0000885C0000}"/>
    <cellStyle name="Output 5 2 3 3 2 2 2 2" xfId="6759" xr:uid="{00000000-0005-0000-0000-0000895C0000}"/>
    <cellStyle name="Output 5 2 3 3 2 2 2 3" xfId="8012" xr:uid="{00000000-0005-0000-0000-00008A5C0000}"/>
    <cellStyle name="Output 5 2 3 3 2 2 2 4" xfId="22272" xr:uid="{00000000-0005-0000-0000-00008B5C0000}"/>
    <cellStyle name="Output 5 2 3 3 2 2 3" xfId="27402" xr:uid="{00000000-0005-0000-0000-00008C5C0000}"/>
    <cellStyle name="Output 5 2 3 3 2 2 4" xfId="27403" xr:uid="{00000000-0005-0000-0000-00008D5C0000}"/>
    <cellStyle name="Output 5 2 3 3 2 2 5" xfId="27404" xr:uid="{00000000-0005-0000-0000-00008E5C0000}"/>
    <cellStyle name="Output 5 2 3 3 2 3" xfId="2864" xr:uid="{00000000-0005-0000-0000-00008F5C0000}"/>
    <cellStyle name="Output 5 2 3 3 2 3 2" xfId="27405" xr:uid="{00000000-0005-0000-0000-0000905C0000}"/>
    <cellStyle name="Output 5 2 3 3 2 3 3" xfId="27406" xr:uid="{00000000-0005-0000-0000-0000915C0000}"/>
    <cellStyle name="Output 5 2 3 3 2 3 4" xfId="27407" xr:uid="{00000000-0005-0000-0000-0000925C0000}"/>
    <cellStyle name="Output 5 2 3 3 2 4" xfId="26219" xr:uid="{00000000-0005-0000-0000-0000935C0000}"/>
    <cellStyle name="Output 5 2 3 3 2 5" xfId="27408" xr:uid="{00000000-0005-0000-0000-0000945C0000}"/>
    <cellStyle name="Output 5 2 3 3 2 6" xfId="27410" xr:uid="{00000000-0005-0000-0000-0000955C0000}"/>
    <cellStyle name="Output 5 2 3 3 3" xfId="23098" xr:uid="{00000000-0005-0000-0000-0000965C0000}"/>
    <cellStyle name="Output 5 2 3 3 3 2" xfId="2891" xr:uid="{00000000-0005-0000-0000-0000975C0000}"/>
    <cellStyle name="Output 5 2 3 3 3 2 2" xfId="9417" xr:uid="{00000000-0005-0000-0000-0000985C0000}"/>
    <cellStyle name="Output 5 2 3 3 3 2 3" xfId="27411" xr:uid="{00000000-0005-0000-0000-0000995C0000}"/>
    <cellStyle name="Output 5 2 3 3 3 2 4" xfId="27412" xr:uid="{00000000-0005-0000-0000-00009A5C0000}"/>
    <cellStyle name="Output 5 2 3 3 3 3" xfId="2904" xr:uid="{00000000-0005-0000-0000-00009B5C0000}"/>
    <cellStyle name="Output 5 2 3 3 3 4" xfId="27413" xr:uid="{00000000-0005-0000-0000-00009C5C0000}"/>
    <cellStyle name="Output 5 2 3 3 3 5" xfId="27414" xr:uid="{00000000-0005-0000-0000-00009D5C0000}"/>
    <cellStyle name="Output 5 2 3 3 4" xfId="26221" xr:uid="{00000000-0005-0000-0000-00009E5C0000}"/>
    <cellStyle name="Output 5 2 3 3 4 2" xfId="1230" xr:uid="{00000000-0005-0000-0000-00009F5C0000}"/>
    <cellStyle name="Output 5 2 3 3 4 3" xfId="1239" xr:uid="{00000000-0005-0000-0000-0000A05C0000}"/>
    <cellStyle name="Output 5 2 3 3 4 4" xfId="27415" xr:uid="{00000000-0005-0000-0000-0000A15C0000}"/>
    <cellStyle name="Output 5 2 3 3 5" xfId="26223" xr:uid="{00000000-0005-0000-0000-0000A25C0000}"/>
    <cellStyle name="Output 5 2 3 3 6" xfId="26869" xr:uid="{00000000-0005-0000-0000-0000A35C0000}"/>
    <cellStyle name="Output 5 2 3 3 7" xfId="7880" xr:uid="{00000000-0005-0000-0000-0000A45C0000}"/>
    <cellStyle name="Output 5 2 3 4" xfId="27416" xr:uid="{00000000-0005-0000-0000-0000A55C0000}"/>
    <cellStyle name="Output 5 2 3 4 2" xfId="26227" xr:uid="{00000000-0005-0000-0000-0000A65C0000}"/>
    <cellStyle name="Output 5 2 3 4 2 2" xfId="612" xr:uid="{00000000-0005-0000-0000-0000A75C0000}"/>
    <cellStyle name="Output 5 2 3 4 2 2 2" xfId="27417" xr:uid="{00000000-0005-0000-0000-0000A85C0000}"/>
    <cellStyle name="Output 5 2 3 4 2 2 3" xfId="27418" xr:uid="{00000000-0005-0000-0000-0000A95C0000}"/>
    <cellStyle name="Output 5 2 3 4 2 2 4" xfId="27419" xr:uid="{00000000-0005-0000-0000-0000AA5C0000}"/>
    <cellStyle name="Output 5 2 3 4 2 3" xfId="27420" xr:uid="{00000000-0005-0000-0000-0000AB5C0000}"/>
    <cellStyle name="Output 5 2 3 4 2 4" xfId="27421" xr:uid="{00000000-0005-0000-0000-0000AC5C0000}"/>
    <cellStyle name="Output 5 2 3 4 2 5" xfId="25054" xr:uid="{00000000-0005-0000-0000-0000AD5C0000}"/>
    <cellStyle name="Output 5 2 3 4 3" xfId="26229" xr:uid="{00000000-0005-0000-0000-0000AE5C0000}"/>
    <cellStyle name="Output 5 2 3 4 3 2" xfId="9500" xr:uid="{00000000-0005-0000-0000-0000AF5C0000}"/>
    <cellStyle name="Output 5 2 3 4 3 3" xfId="27422" xr:uid="{00000000-0005-0000-0000-0000B05C0000}"/>
    <cellStyle name="Output 5 2 3 4 3 4" xfId="27423" xr:uid="{00000000-0005-0000-0000-0000B15C0000}"/>
    <cellStyle name="Output 5 2 3 4 4" xfId="26231" xr:uid="{00000000-0005-0000-0000-0000B25C0000}"/>
    <cellStyle name="Output 5 2 3 4 5" xfId="27425" xr:uid="{00000000-0005-0000-0000-0000B35C0000}"/>
    <cellStyle name="Output 5 2 3 4 6" xfId="27428" xr:uid="{00000000-0005-0000-0000-0000B45C0000}"/>
    <cellStyle name="Output 5 2 3 5" xfId="27429" xr:uid="{00000000-0005-0000-0000-0000B55C0000}"/>
    <cellStyle name="Output 5 2 3 5 2" xfId="26234" xr:uid="{00000000-0005-0000-0000-0000B65C0000}"/>
    <cellStyle name="Output 5 2 3 5 2 2" xfId="9561" xr:uid="{00000000-0005-0000-0000-0000B75C0000}"/>
    <cellStyle name="Output 5 2 3 5 2 3" xfId="9564" xr:uid="{00000000-0005-0000-0000-0000B85C0000}"/>
    <cellStyle name="Output 5 2 3 5 2 4" xfId="9568" xr:uid="{00000000-0005-0000-0000-0000B95C0000}"/>
    <cellStyle name="Output 5 2 3 5 3" xfId="26236" xr:uid="{00000000-0005-0000-0000-0000BA5C0000}"/>
    <cellStyle name="Output 5 2 3 5 4" xfId="27430" xr:uid="{00000000-0005-0000-0000-0000BB5C0000}"/>
    <cellStyle name="Output 5 2 3 5 5" xfId="27431" xr:uid="{00000000-0005-0000-0000-0000BC5C0000}"/>
    <cellStyle name="Output 5 2 3 6" xfId="27432" xr:uid="{00000000-0005-0000-0000-0000BD5C0000}"/>
    <cellStyle name="Output 5 2 3 6 2" xfId="27433" xr:uid="{00000000-0005-0000-0000-0000BE5C0000}"/>
    <cellStyle name="Output 5 2 3 6 3" xfId="27434" xr:uid="{00000000-0005-0000-0000-0000BF5C0000}"/>
    <cellStyle name="Output 5 2 3 6 4" xfId="27435" xr:uid="{00000000-0005-0000-0000-0000C05C0000}"/>
    <cellStyle name="Output 5 2 3 7" xfId="27436" xr:uid="{00000000-0005-0000-0000-0000C15C0000}"/>
    <cellStyle name="Output 5 2 3 8" xfId="27437" xr:uid="{00000000-0005-0000-0000-0000C25C0000}"/>
    <cellStyle name="Output 5 2 3 9" xfId="27438" xr:uid="{00000000-0005-0000-0000-0000C35C0000}"/>
    <cellStyle name="Output 5 2 4" xfId="27439" xr:uid="{00000000-0005-0000-0000-0000C45C0000}"/>
    <cellStyle name="Output 5 2 4 2" xfId="27440" xr:uid="{00000000-0005-0000-0000-0000C55C0000}"/>
    <cellStyle name="Output 5 2 4 2 2" xfId="23117" xr:uid="{00000000-0005-0000-0000-0000C65C0000}"/>
    <cellStyle name="Output 5 2 4 2 2 2" xfId="3087" xr:uid="{00000000-0005-0000-0000-0000C75C0000}"/>
    <cellStyle name="Output 5 2 4 2 2 2 2" xfId="24981" xr:uid="{00000000-0005-0000-0000-0000C85C0000}"/>
    <cellStyle name="Output 5 2 4 2 2 2 2 2" xfId="2584" xr:uid="{00000000-0005-0000-0000-0000C95C0000}"/>
    <cellStyle name="Output 5 2 4 2 2 2 2 3" xfId="9133" xr:uid="{00000000-0005-0000-0000-0000CA5C0000}"/>
    <cellStyle name="Output 5 2 4 2 2 2 2 4" xfId="10271" xr:uid="{00000000-0005-0000-0000-0000CB5C0000}"/>
    <cellStyle name="Output 5 2 4 2 2 2 3" xfId="27441" xr:uid="{00000000-0005-0000-0000-0000CC5C0000}"/>
    <cellStyle name="Output 5 2 4 2 2 2 4" xfId="27442" xr:uid="{00000000-0005-0000-0000-0000CD5C0000}"/>
    <cellStyle name="Output 5 2 4 2 2 2 5" xfId="27443" xr:uid="{00000000-0005-0000-0000-0000CE5C0000}"/>
    <cellStyle name="Output 5 2 4 2 2 3" xfId="26439" xr:uid="{00000000-0005-0000-0000-0000CF5C0000}"/>
    <cellStyle name="Output 5 2 4 2 2 3 2" xfId="27444" xr:uid="{00000000-0005-0000-0000-0000D05C0000}"/>
    <cellStyle name="Output 5 2 4 2 2 3 3" xfId="27445" xr:uid="{00000000-0005-0000-0000-0000D15C0000}"/>
    <cellStyle name="Output 5 2 4 2 2 3 4" xfId="27446" xr:uid="{00000000-0005-0000-0000-0000D25C0000}"/>
    <cellStyle name="Output 5 2 4 2 2 4" xfId="27447" xr:uid="{00000000-0005-0000-0000-0000D35C0000}"/>
    <cellStyle name="Output 5 2 4 2 2 5" xfId="27448" xr:uid="{00000000-0005-0000-0000-0000D45C0000}"/>
    <cellStyle name="Output 5 2 4 2 2 6" xfId="27450" xr:uid="{00000000-0005-0000-0000-0000D55C0000}"/>
    <cellStyle name="Output 5 2 4 2 3" xfId="23120" xr:uid="{00000000-0005-0000-0000-0000D65C0000}"/>
    <cellStyle name="Output 5 2 4 2 3 2" xfId="3135" xr:uid="{00000000-0005-0000-0000-0000D75C0000}"/>
    <cellStyle name="Output 5 2 4 2 3 2 2" xfId="27452" xr:uid="{00000000-0005-0000-0000-0000D85C0000}"/>
    <cellStyle name="Output 5 2 4 2 3 2 3" xfId="27454" xr:uid="{00000000-0005-0000-0000-0000D95C0000}"/>
    <cellStyle name="Output 5 2 4 2 3 2 4" xfId="27456" xr:uid="{00000000-0005-0000-0000-0000DA5C0000}"/>
    <cellStyle name="Output 5 2 4 2 3 3" xfId="3144" xr:uid="{00000000-0005-0000-0000-0000DB5C0000}"/>
    <cellStyle name="Output 5 2 4 2 3 4" xfId="27458" xr:uid="{00000000-0005-0000-0000-0000DC5C0000}"/>
    <cellStyle name="Output 5 2 4 2 3 5" xfId="27460" xr:uid="{00000000-0005-0000-0000-0000DD5C0000}"/>
    <cellStyle name="Output 5 2 4 2 4" xfId="27462" xr:uid="{00000000-0005-0000-0000-0000DE5C0000}"/>
    <cellStyle name="Output 5 2 4 2 4 2" xfId="3002" xr:uid="{00000000-0005-0000-0000-0000DF5C0000}"/>
    <cellStyle name="Output 5 2 4 2 4 3" xfId="27464" xr:uid="{00000000-0005-0000-0000-0000E05C0000}"/>
    <cellStyle name="Output 5 2 4 2 4 4" xfId="27466" xr:uid="{00000000-0005-0000-0000-0000E15C0000}"/>
    <cellStyle name="Output 5 2 4 2 5" xfId="27468" xr:uid="{00000000-0005-0000-0000-0000E25C0000}"/>
    <cellStyle name="Output 5 2 4 2 6" xfId="27470" xr:uid="{00000000-0005-0000-0000-0000E35C0000}"/>
    <cellStyle name="Output 5 2 4 2 7" xfId="7930" xr:uid="{00000000-0005-0000-0000-0000E45C0000}"/>
    <cellStyle name="Output 5 2 4 3" xfId="27471" xr:uid="{00000000-0005-0000-0000-0000E55C0000}"/>
    <cellStyle name="Output 5 2 4 3 2" xfId="26242" xr:uid="{00000000-0005-0000-0000-0000E65C0000}"/>
    <cellStyle name="Output 5 2 4 3 2 2" xfId="3235" xr:uid="{00000000-0005-0000-0000-0000E75C0000}"/>
    <cellStyle name="Output 5 2 4 3 2 2 2" xfId="27472" xr:uid="{00000000-0005-0000-0000-0000E85C0000}"/>
    <cellStyle name="Output 5 2 4 3 2 2 3" xfId="27473" xr:uid="{00000000-0005-0000-0000-0000E95C0000}"/>
    <cellStyle name="Output 5 2 4 3 2 2 4" xfId="27474" xr:uid="{00000000-0005-0000-0000-0000EA5C0000}"/>
    <cellStyle name="Output 5 2 4 3 2 3" xfId="27475" xr:uid="{00000000-0005-0000-0000-0000EB5C0000}"/>
    <cellStyle name="Output 5 2 4 3 2 4" xfId="27477" xr:uid="{00000000-0005-0000-0000-0000EC5C0000}"/>
    <cellStyle name="Output 5 2 4 3 2 5" xfId="27479" xr:uid="{00000000-0005-0000-0000-0000ED5C0000}"/>
    <cellStyle name="Output 5 2 4 3 3" xfId="26245" xr:uid="{00000000-0005-0000-0000-0000EE5C0000}"/>
    <cellStyle name="Output 5 2 4 3 3 2" xfId="3259" xr:uid="{00000000-0005-0000-0000-0000EF5C0000}"/>
    <cellStyle name="Output 5 2 4 3 3 3" xfId="27481" xr:uid="{00000000-0005-0000-0000-0000F05C0000}"/>
    <cellStyle name="Output 5 2 4 3 3 4" xfId="27484" xr:uid="{00000000-0005-0000-0000-0000F15C0000}"/>
    <cellStyle name="Output 5 2 4 3 4" xfId="26248" xr:uid="{00000000-0005-0000-0000-0000F25C0000}"/>
    <cellStyle name="Output 5 2 4 3 5" xfId="27486" xr:uid="{00000000-0005-0000-0000-0000F35C0000}"/>
    <cellStyle name="Output 5 2 4 3 6" xfId="27489" xr:uid="{00000000-0005-0000-0000-0000F45C0000}"/>
    <cellStyle name="Output 5 2 4 4" xfId="27491" xr:uid="{00000000-0005-0000-0000-0000F55C0000}"/>
    <cellStyle name="Output 5 2 4 4 2" xfId="26252" xr:uid="{00000000-0005-0000-0000-0000F65C0000}"/>
    <cellStyle name="Output 5 2 4 4 2 2" xfId="27492" xr:uid="{00000000-0005-0000-0000-0000F75C0000}"/>
    <cellStyle name="Output 5 2 4 4 2 3" xfId="27493" xr:uid="{00000000-0005-0000-0000-0000F85C0000}"/>
    <cellStyle name="Output 5 2 4 4 2 4" xfId="27495" xr:uid="{00000000-0005-0000-0000-0000F95C0000}"/>
    <cellStyle name="Output 5 2 4 4 3" xfId="26256" xr:uid="{00000000-0005-0000-0000-0000FA5C0000}"/>
    <cellStyle name="Output 5 2 4 4 4" xfId="27498" xr:uid="{00000000-0005-0000-0000-0000FB5C0000}"/>
    <cellStyle name="Output 5 2 4 4 5" xfId="27500" xr:uid="{00000000-0005-0000-0000-0000FC5C0000}"/>
    <cellStyle name="Output 5 2 4 5" xfId="27502" xr:uid="{00000000-0005-0000-0000-0000FD5C0000}"/>
    <cellStyle name="Output 5 2 4 5 2" xfId="27503" xr:uid="{00000000-0005-0000-0000-0000FE5C0000}"/>
    <cellStyle name="Output 5 2 4 5 3" xfId="27504" xr:uid="{00000000-0005-0000-0000-0000FF5C0000}"/>
    <cellStyle name="Output 5 2 4 5 4" xfId="27505" xr:uid="{00000000-0005-0000-0000-0000005D0000}"/>
    <cellStyle name="Output 5 2 4 6" xfId="27507" xr:uid="{00000000-0005-0000-0000-0000015D0000}"/>
    <cellStyle name="Output 5 2 4 7" xfId="27509" xr:uid="{00000000-0005-0000-0000-0000025D0000}"/>
    <cellStyle name="Output 5 2 4 8" xfId="27510" xr:uid="{00000000-0005-0000-0000-0000035D0000}"/>
    <cellStyle name="Output 5 2 5" xfId="27513" xr:uid="{00000000-0005-0000-0000-0000045D0000}"/>
    <cellStyle name="Output 5 2 5 2" xfId="27515" xr:uid="{00000000-0005-0000-0000-0000055D0000}"/>
    <cellStyle name="Output 5 2 5 2 2" xfId="27516" xr:uid="{00000000-0005-0000-0000-0000065D0000}"/>
    <cellStyle name="Output 5 2 5 2 2 2" xfId="379" xr:uid="{00000000-0005-0000-0000-0000075D0000}"/>
    <cellStyle name="Output 5 2 5 2 2 2 2" xfId="25529" xr:uid="{00000000-0005-0000-0000-0000085D0000}"/>
    <cellStyle name="Output 5 2 5 2 2 2 3" xfId="11574" xr:uid="{00000000-0005-0000-0000-0000095D0000}"/>
    <cellStyle name="Output 5 2 5 2 2 2 4" xfId="11470" xr:uid="{00000000-0005-0000-0000-00000A5D0000}"/>
    <cellStyle name="Output 5 2 5 2 2 3" xfId="11577" xr:uid="{00000000-0005-0000-0000-00000B5D0000}"/>
    <cellStyle name="Output 5 2 5 2 2 4" xfId="26288" xr:uid="{00000000-0005-0000-0000-00000C5D0000}"/>
    <cellStyle name="Output 5 2 5 2 2 5" xfId="26298" xr:uid="{00000000-0005-0000-0000-00000D5D0000}"/>
    <cellStyle name="Output 5 2 5 2 3" xfId="27518" xr:uid="{00000000-0005-0000-0000-00000E5D0000}"/>
    <cellStyle name="Output 5 2 5 2 3 2" xfId="11606" xr:uid="{00000000-0005-0000-0000-00000F5D0000}"/>
    <cellStyle name="Output 5 2 5 2 3 3" xfId="26308" xr:uid="{00000000-0005-0000-0000-0000105D0000}"/>
    <cellStyle name="Output 5 2 5 2 3 4" xfId="26322" xr:uid="{00000000-0005-0000-0000-0000115D0000}"/>
    <cellStyle name="Output 5 2 5 2 4" xfId="8475" xr:uid="{00000000-0005-0000-0000-0000125D0000}"/>
    <cellStyle name="Output 5 2 5 2 5" xfId="8486" xr:uid="{00000000-0005-0000-0000-0000135D0000}"/>
    <cellStyle name="Output 5 2 5 2 6" xfId="8499" xr:uid="{00000000-0005-0000-0000-0000145D0000}"/>
    <cellStyle name="Output 5 2 5 3" xfId="27520" xr:uid="{00000000-0005-0000-0000-0000155D0000}"/>
    <cellStyle name="Output 5 2 5 3 2" xfId="26262" xr:uid="{00000000-0005-0000-0000-0000165D0000}"/>
    <cellStyle name="Output 5 2 5 3 2 2" xfId="3562" xr:uid="{00000000-0005-0000-0000-0000175D0000}"/>
    <cellStyle name="Output 5 2 5 3 2 3" xfId="26375" xr:uid="{00000000-0005-0000-0000-0000185D0000}"/>
    <cellStyle name="Output 5 2 5 3 2 4" xfId="26378" xr:uid="{00000000-0005-0000-0000-0000195D0000}"/>
    <cellStyle name="Output 5 2 5 3 3" xfId="26265" xr:uid="{00000000-0005-0000-0000-00001A5D0000}"/>
    <cellStyle name="Output 5 2 5 3 4" xfId="8520" xr:uid="{00000000-0005-0000-0000-00001B5D0000}"/>
    <cellStyle name="Output 5 2 5 3 5" xfId="8525" xr:uid="{00000000-0005-0000-0000-00001C5D0000}"/>
    <cellStyle name="Output 5 2 5 4" xfId="27523" xr:uid="{00000000-0005-0000-0000-00001D5D0000}"/>
    <cellStyle name="Output 5 2 5 4 2" xfId="27524" xr:uid="{00000000-0005-0000-0000-00001E5D0000}"/>
    <cellStyle name="Output 5 2 5 4 3" xfId="27525" xr:uid="{00000000-0005-0000-0000-00001F5D0000}"/>
    <cellStyle name="Output 5 2 5 4 4" xfId="8545" xr:uid="{00000000-0005-0000-0000-0000205D0000}"/>
    <cellStyle name="Output 5 2 5 5" xfId="27527" xr:uid="{00000000-0005-0000-0000-0000215D0000}"/>
    <cellStyle name="Output 5 2 5 6" xfId="27529" xr:uid="{00000000-0005-0000-0000-0000225D0000}"/>
    <cellStyle name="Output 5 2 5 7" xfId="27530" xr:uid="{00000000-0005-0000-0000-0000235D0000}"/>
    <cellStyle name="Output 5 2 6" xfId="27533" xr:uid="{00000000-0005-0000-0000-0000245D0000}"/>
    <cellStyle name="Output 5 2 6 2" xfId="27534" xr:uid="{00000000-0005-0000-0000-0000255D0000}"/>
    <cellStyle name="Output 5 2 6 2 2" xfId="27535" xr:uid="{00000000-0005-0000-0000-0000265D0000}"/>
    <cellStyle name="Output 5 2 6 2 2 2" xfId="12366" xr:uid="{00000000-0005-0000-0000-0000275D0000}"/>
    <cellStyle name="Output 5 2 6 2 2 3" xfId="12374" xr:uid="{00000000-0005-0000-0000-0000285D0000}"/>
    <cellStyle name="Output 5 2 6 2 2 4" xfId="12398" xr:uid="{00000000-0005-0000-0000-0000295D0000}"/>
    <cellStyle name="Output 5 2 6 2 3" xfId="27537" xr:uid="{00000000-0005-0000-0000-00002A5D0000}"/>
    <cellStyle name="Output 5 2 6 2 4" xfId="8610" xr:uid="{00000000-0005-0000-0000-00002B5D0000}"/>
    <cellStyle name="Output 5 2 6 2 5" xfId="8627" xr:uid="{00000000-0005-0000-0000-00002C5D0000}"/>
    <cellStyle name="Output 5 2 6 3" xfId="27538" xr:uid="{00000000-0005-0000-0000-00002D5D0000}"/>
    <cellStyle name="Output 5 2 6 3 2" xfId="27539" xr:uid="{00000000-0005-0000-0000-00002E5D0000}"/>
    <cellStyle name="Output 5 2 6 3 3" xfId="27540" xr:uid="{00000000-0005-0000-0000-00002F5D0000}"/>
    <cellStyle name="Output 5 2 6 3 4" xfId="8645" xr:uid="{00000000-0005-0000-0000-0000305D0000}"/>
    <cellStyle name="Output 5 2 6 4" xfId="27541" xr:uid="{00000000-0005-0000-0000-0000315D0000}"/>
    <cellStyle name="Output 5 2 6 5" xfId="27542" xr:uid="{00000000-0005-0000-0000-0000325D0000}"/>
    <cellStyle name="Output 5 2 6 6" xfId="27543" xr:uid="{00000000-0005-0000-0000-0000335D0000}"/>
    <cellStyle name="Output 5 2 7" xfId="27546" xr:uid="{00000000-0005-0000-0000-0000345D0000}"/>
    <cellStyle name="Output 5 2 7 2" xfId="27547" xr:uid="{00000000-0005-0000-0000-0000355D0000}"/>
    <cellStyle name="Output 5 2 7 2 2" xfId="27548" xr:uid="{00000000-0005-0000-0000-0000365D0000}"/>
    <cellStyle name="Output 5 2 7 2 3" xfId="27549" xr:uid="{00000000-0005-0000-0000-0000375D0000}"/>
    <cellStyle name="Output 5 2 7 2 4" xfId="7910" xr:uid="{00000000-0005-0000-0000-0000385D0000}"/>
    <cellStyle name="Output 5 2 7 3" xfId="27550" xr:uid="{00000000-0005-0000-0000-0000395D0000}"/>
    <cellStyle name="Output 5 2 7 4" xfId="27551" xr:uid="{00000000-0005-0000-0000-00003A5D0000}"/>
    <cellStyle name="Output 5 2 7 5" xfId="27552" xr:uid="{00000000-0005-0000-0000-00003B5D0000}"/>
    <cellStyle name="Output 5 2 8" xfId="27554" xr:uid="{00000000-0005-0000-0000-00003C5D0000}"/>
    <cellStyle name="Output 5 2 8 2" xfId="27555" xr:uid="{00000000-0005-0000-0000-00003D5D0000}"/>
    <cellStyle name="Output 5 2 8 3" xfId="27556" xr:uid="{00000000-0005-0000-0000-00003E5D0000}"/>
    <cellStyle name="Output 5 2 8 4" xfId="27557" xr:uid="{00000000-0005-0000-0000-00003F5D0000}"/>
    <cellStyle name="Output 5 2 9" xfId="27558" xr:uid="{00000000-0005-0000-0000-0000405D0000}"/>
    <cellStyle name="Output 5 3" xfId="27560" xr:uid="{00000000-0005-0000-0000-0000415D0000}"/>
    <cellStyle name="Output 5 3 2" xfId="27561" xr:uid="{00000000-0005-0000-0000-0000425D0000}"/>
    <cellStyle name="Output 5 3 2 2" xfId="27562" xr:uid="{00000000-0005-0000-0000-0000435D0000}"/>
    <cellStyle name="Output 5 3 2 2 2" xfId="27563" xr:uid="{00000000-0005-0000-0000-0000445D0000}"/>
    <cellStyle name="Output 5 3 2 2 2 2" xfId="9952" xr:uid="{00000000-0005-0000-0000-0000455D0000}"/>
    <cellStyle name="Output 5 3 2 2 2 2 2" xfId="7465" xr:uid="{00000000-0005-0000-0000-0000465D0000}"/>
    <cellStyle name="Output 5 3 2 2 2 2 2 2" xfId="5941" xr:uid="{00000000-0005-0000-0000-0000475D0000}"/>
    <cellStyle name="Output 5 3 2 2 2 2 2 3" xfId="5951" xr:uid="{00000000-0005-0000-0000-0000485D0000}"/>
    <cellStyle name="Output 5 3 2 2 2 2 2 4" xfId="7476" xr:uid="{00000000-0005-0000-0000-0000495D0000}"/>
    <cellStyle name="Output 5 3 2 2 2 2 3" xfId="7478" xr:uid="{00000000-0005-0000-0000-00004A5D0000}"/>
    <cellStyle name="Output 5 3 2 2 2 2 4" xfId="7480" xr:uid="{00000000-0005-0000-0000-00004B5D0000}"/>
    <cellStyle name="Output 5 3 2 2 2 2 5" xfId="7482" xr:uid="{00000000-0005-0000-0000-00004C5D0000}"/>
    <cellStyle name="Output 5 3 2 2 2 3" xfId="11239" xr:uid="{00000000-0005-0000-0000-00004D5D0000}"/>
    <cellStyle name="Output 5 3 2 2 2 3 2" xfId="344" xr:uid="{00000000-0005-0000-0000-00004E5D0000}"/>
    <cellStyle name="Output 5 3 2 2 2 3 3" xfId="1" xr:uid="{00000000-0005-0000-0000-00004F5D0000}"/>
    <cellStyle name="Output 5 3 2 2 2 3 4" xfId="5806" xr:uid="{00000000-0005-0000-0000-0000505D0000}"/>
    <cellStyle name="Output 5 3 2 2 2 4" xfId="20259" xr:uid="{00000000-0005-0000-0000-0000515D0000}"/>
    <cellStyle name="Output 5 3 2 2 2 5" xfId="10567" xr:uid="{00000000-0005-0000-0000-0000525D0000}"/>
    <cellStyle name="Output 5 3 2 2 2 6" xfId="11375" xr:uid="{00000000-0005-0000-0000-0000535D0000}"/>
    <cellStyle name="Output 5 3 2 2 3" xfId="27564" xr:uid="{00000000-0005-0000-0000-0000545D0000}"/>
    <cellStyle name="Output 5 3 2 2 3 2" xfId="11249" xr:uid="{00000000-0005-0000-0000-0000555D0000}"/>
    <cellStyle name="Output 5 3 2 2 3 2 2" xfId="7528" xr:uid="{00000000-0005-0000-0000-0000565D0000}"/>
    <cellStyle name="Output 5 3 2 2 3 2 3" xfId="7535" xr:uid="{00000000-0005-0000-0000-0000575D0000}"/>
    <cellStyle name="Output 5 3 2 2 3 2 4" xfId="7543" xr:uid="{00000000-0005-0000-0000-0000585D0000}"/>
    <cellStyle name="Output 5 3 2 2 3 3" xfId="20264" xr:uid="{00000000-0005-0000-0000-0000595D0000}"/>
    <cellStyle name="Output 5 3 2 2 3 4" xfId="20744" xr:uid="{00000000-0005-0000-0000-00005A5D0000}"/>
    <cellStyle name="Output 5 3 2 2 3 5" xfId="11837" xr:uid="{00000000-0005-0000-0000-00005B5D0000}"/>
    <cellStyle name="Output 5 3 2 2 4" xfId="27565" xr:uid="{00000000-0005-0000-0000-00005C5D0000}"/>
    <cellStyle name="Output 5 3 2 2 4 2" xfId="5072" xr:uid="{00000000-0005-0000-0000-00005D5D0000}"/>
    <cellStyle name="Output 5 3 2 2 4 3" xfId="5076" xr:uid="{00000000-0005-0000-0000-00005E5D0000}"/>
    <cellStyle name="Output 5 3 2 2 4 4" xfId="27566" xr:uid="{00000000-0005-0000-0000-00005F5D0000}"/>
    <cellStyle name="Output 5 3 2 2 5" xfId="27568" xr:uid="{00000000-0005-0000-0000-0000605D0000}"/>
    <cellStyle name="Output 5 3 2 2 6" xfId="27569" xr:uid="{00000000-0005-0000-0000-0000615D0000}"/>
    <cellStyle name="Output 5 3 2 2 7" xfId="27570" xr:uid="{00000000-0005-0000-0000-0000625D0000}"/>
    <cellStyle name="Output 5 3 2 3" xfId="27571" xr:uid="{00000000-0005-0000-0000-0000635D0000}"/>
    <cellStyle name="Output 5 3 2 3 2" xfId="10255" xr:uid="{00000000-0005-0000-0000-0000645D0000}"/>
    <cellStyle name="Output 5 3 2 3 2 2" xfId="11267" xr:uid="{00000000-0005-0000-0000-0000655D0000}"/>
    <cellStyle name="Output 5 3 2 3 2 2 2" xfId="7726" xr:uid="{00000000-0005-0000-0000-0000665D0000}"/>
    <cellStyle name="Output 5 3 2 3 2 2 3" xfId="7730" xr:uid="{00000000-0005-0000-0000-0000675D0000}"/>
    <cellStyle name="Output 5 3 2 3 2 2 4" xfId="27572" xr:uid="{00000000-0005-0000-0000-0000685D0000}"/>
    <cellStyle name="Output 5 3 2 3 2 3" xfId="20276" xr:uid="{00000000-0005-0000-0000-0000695D0000}"/>
    <cellStyle name="Output 5 3 2 3 2 4" xfId="27573" xr:uid="{00000000-0005-0000-0000-00006A5D0000}"/>
    <cellStyle name="Output 5 3 2 3 2 5" xfId="27574" xr:uid="{00000000-0005-0000-0000-00006B5D0000}"/>
    <cellStyle name="Output 5 3 2 3 3" xfId="11572" xr:uid="{00000000-0005-0000-0000-00006C5D0000}"/>
    <cellStyle name="Output 5 3 2 3 3 2" xfId="27575" xr:uid="{00000000-0005-0000-0000-00006D5D0000}"/>
    <cellStyle name="Output 5 3 2 3 3 3" xfId="27576" xr:uid="{00000000-0005-0000-0000-00006E5D0000}"/>
    <cellStyle name="Output 5 3 2 3 3 4" xfId="27577" xr:uid="{00000000-0005-0000-0000-00006F5D0000}"/>
    <cellStyle name="Output 5 3 2 3 4" xfId="16273" xr:uid="{00000000-0005-0000-0000-0000705D0000}"/>
    <cellStyle name="Output 5 3 2 3 5" xfId="16278" xr:uid="{00000000-0005-0000-0000-0000715D0000}"/>
    <cellStyle name="Output 5 3 2 3 6" xfId="27579" xr:uid="{00000000-0005-0000-0000-0000725D0000}"/>
    <cellStyle name="Output 5 3 2 4" xfId="27580" xr:uid="{00000000-0005-0000-0000-0000735D0000}"/>
    <cellStyle name="Output 5 3 2 4 2" xfId="27581" xr:uid="{00000000-0005-0000-0000-0000745D0000}"/>
    <cellStyle name="Output 5 3 2 4 2 2" xfId="27582" xr:uid="{00000000-0005-0000-0000-0000755D0000}"/>
    <cellStyle name="Output 5 3 2 4 2 3" xfId="27584" xr:uid="{00000000-0005-0000-0000-0000765D0000}"/>
    <cellStyle name="Output 5 3 2 4 2 4" xfId="27586" xr:uid="{00000000-0005-0000-0000-0000775D0000}"/>
    <cellStyle name="Output 5 3 2 4 3" xfId="27587" xr:uid="{00000000-0005-0000-0000-0000785D0000}"/>
    <cellStyle name="Output 5 3 2 4 4" xfId="20759" xr:uid="{00000000-0005-0000-0000-0000795D0000}"/>
    <cellStyle name="Output 5 3 2 4 5" xfId="20764" xr:uid="{00000000-0005-0000-0000-00007A5D0000}"/>
    <cellStyle name="Output 5 3 2 5" xfId="27588" xr:uid="{00000000-0005-0000-0000-00007B5D0000}"/>
    <cellStyle name="Output 5 3 2 5 2" xfId="27589" xr:uid="{00000000-0005-0000-0000-00007C5D0000}"/>
    <cellStyle name="Output 5 3 2 5 3" xfId="27590" xr:uid="{00000000-0005-0000-0000-00007D5D0000}"/>
    <cellStyle name="Output 5 3 2 5 4" xfId="27591" xr:uid="{00000000-0005-0000-0000-00007E5D0000}"/>
    <cellStyle name="Output 5 3 2 6" xfId="27592" xr:uid="{00000000-0005-0000-0000-00007F5D0000}"/>
    <cellStyle name="Output 5 3 2 7" xfId="27593" xr:uid="{00000000-0005-0000-0000-0000805D0000}"/>
    <cellStyle name="Output 5 3 2 8" xfId="27594" xr:uid="{00000000-0005-0000-0000-0000815D0000}"/>
    <cellStyle name="Output 5 3 3" xfId="27595" xr:uid="{00000000-0005-0000-0000-0000825D0000}"/>
    <cellStyle name="Output 5 3 3 2" xfId="27596" xr:uid="{00000000-0005-0000-0000-0000835D0000}"/>
    <cellStyle name="Output 5 3 3 2 2" xfId="15969" xr:uid="{00000000-0005-0000-0000-0000845D0000}"/>
    <cellStyle name="Output 5 3 3 2 2 2" xfId="11330" xr:uid="{00000000-0005-0000-0000-0000855D0000}"/>
    <cellStyle name="Output 5 3 3 2 2 2 2" xfId="8852" xr:uid="{00000000-0005-0000-0000-0000865D0000}"/>
    <cellStyle name="Output 5 3 3 2 2 2 3" xfId="8855" xr:uid="{00000000-0005-0000-0000-0000875D0000}"/>
    <cellStyle name="Output 5 3 3 2 2 2 4" xfId="8857" xr:uid="{00000000-0005-0000-0000-0000885D0000}"/>
    <cellStyle name="Output 5 3 3 2 2 3" xfId="20291" xr:uid="{00000000-0005-0000-0000-0000895D0000}"/>
    <cellStyle name="Output 5 3 3 2 2 4" xfId="27597" xr:uid="{00000000-0005-0000-0000-00008A5D0000}"/>
    <cellStyle name="Output 5 3 3 2 2 5" xfId="27598" xr:uid="{00000000-0005-0000-0000-00008B5D0000}"/>
    <cellStyle name="Output 5 3 3 2 3" xfId="15974" xr:uid="{00000000-0005-0000-0000-00008C5D0000}"/>
    <cellStyle name="Output 5 3 3 2 3 2" xfId="20245" xr:uid="{00000000-0005-0000-0000-00008D5D0000}"/>
    <cellStyle name="Output 5 3 3 2 3 3" xfId="20251" xr:uid="{00000000-0005-0000-0000-00008E5D0000}"/>
    <cellStyle name="Output 5 3 3 2 3 4" xfId="27599" xr:uid="{00000000-0005-0000-0000-00008F5D0000}"/>
    <cellStyle name="Output 5 3 3 2 4" xfId="27600" xr:uid="{00000000-0005-0000-0000-0000905D0000}"/>
    <cellStyle name="Output 5 3 3 2 5" xfId="27601" xr:uid="{00000000-0005-0000-0000-0000915D0000}"/>
    <cellStyle name="Output 5 3 3 2 6" xfId="27602" xr:uid="{00000000-0005-0000-0000-0000925D0000}"/>
    <cellStyle name="Output 5 3 3 3" xfId="27603" xr:uid="{00000000-0005-0000-0000-0000935D0000}"/>
    <cellStyle name="Output 5 3 3 3 2" xfId="15980" xr:uid="{00000000-0005-0000-0000-0000945D0000}"/>
    <cellStyle name="Output 5 3 3 3 2 2" xfId="11237" xr:uid="{00000000-0005-0000-0000-0000955D0000}"/>
    <cellStyle name="Output 5 3 3 3 2 3" xfId="27604" xr:uid="{00000000-0005-0000-0000-0000965D0000}"/>
    <cellStyle name="Output 5 3 3 3 2 4" xfId="27605" xr:uid="{00000000-0005-0000-0000-0000975D0000}"/>
    <cellStyle name="Output 5 3 3 3 3" xfId="26277" xr:uid="{00000000-0005-0000-0000-0000985D0000}"/>
    <cellStyle name="Output 5 3 3 3 4" xfId="26279" xr:uid="{00000000-0005-0000-0000-0000995D0000}"/>
    <cellStyle name="Output 5 3 3 3 5" xfId="27606" xr:uid="{00000000-0005-0000-0000-00009A5D0000}"/>
    <cellStyle name="Output 5 3 3 4" xfId="27607" xr:uid="{00000000-0005-0000-0000-00009B5D0000}"/>
    <cellStyle name="Output 5 3 3 4 2" xfId="26282" xr:uid="{00000000-0005-0000-0000-00009C5D0000}"/>
    <cellStyle name="Output 5 3 3 4 3" xfId="26284" xr:uid="{00000000-0005-0000-0000-00009D5D0000}"/>
    <cellStyle name="Output 5 3 3 4 4" xfId="27608" xr:uid="{00000000-0005-0000-0000-00009E5D0000}"/>
    <cellStyle name="Output 5 3 3 5" xfId="16509" xr:uid="{00000000-0005-0000-0000-00009F5D0000}"/>
    <cellStyle name="Output 5 3 3 6" xfId="16511" xr:uid="{00000000-0005-0000-0000-0000A05D0000}"/>
    <cellStyle name="Output 5 3 3 7" xfId="16513" xr:uid="{00000000-0005-0000-0000-0000A15D0000}"/>
    <cellStyle name="Output 5 3 4" xfId="27609" xr:uid="{00000000-0005-0000-0000-0000A25D0000}"/>
    <cellStyle name="Output 5 3 4 2" xfId="27610" xr:uid="{00000000-0005-0000-0000-0000A35D0000}"/>
    <cellStyle name="Output 5 3 4 2 2" xfId="16002" xr:uid="{00000000-0005-0000-0000-0000A45D0000}"/>
    <cellStyle name="Output 5 3 4 2 2 2" xfId="26529" xr:uid="{00000000-0005-0000-0000-0000A55D0000}"/>
    <cellStyle name="Output 5 3 4 2 2 3" xfId="27611" xr:uid="{00000000-0005-0000-0000-0000A65D0000}"/>
    <cellStyle name="Output 5 3 4 2 2 4" xfId="6376" xr:uid="{00000000-0005-0000-0000-0000A75D0000}"/>
    <cellStyle name="Output 5 3 4 2 3" xfId="27613" xr:uid="{00000000-0005-0000-0000-0000A85D0000}"/>
    <cellStyle name="Output 5 3 4 2 4" xfId="27615" xr:uid="{00000000-0005-0000-0000-0000A95D0000}"/>
    <cellStyle name="Output 5 3 4 2 5" xfId="27617" xr:uid="{00000000-0005-0000-0000-0000AA5D0000}"/>
    <cellStyle name="Output 5 3 4 3" xfId="27618" xr:uid="{00000000-0005-0000-0000-0000AB5D0000}"/>
    <cellStyle name="Output 5 3 4 3 2" xfId="26291" xr:uid="{00000000-0005-0000-0000-0000AC5D0000}"/>
    <cellStyle name="Output 5 3 4 3 3" xfId="26294" xr:uid="{00000000-0005-0000-0000-0000AD5D0000}"/>
    <cellStyle name="Output 5 3 4 3 4" xfId="27620" xr:uid="{00000000-0005-0000-0000-0000AE5D0000}"/>
    <cellStyle name="Output 5 3 4 4" xfId="27622" xr:uid="{00000000-0005-0000-0000-0000AF5D0000}"/>
    <cellStyle name="Output 5 3 4 5" xfId="27624" xr:uid="{00000000-0005-0000-0000-0000B05D0000}"/>
    <cellStyle name="Output 5 3 4 6" xfId="27626" xr:uid="{00000000-0005-0000-0000-0000B15D0000}"/>
    <cellStyle name="Output 5 3 5" xfId="27628" xr:uid="{00000000-0005-0000-0000-0000B25D0000}"/>
    <cellStyle name="Output 5 3 5 2" xfId="27629" xr:uid="{00000000-0005-0000-0000-0000B35D0000}"/>
    <cellStyle name="Output 5 3 5 2 2" xfId="27630" xr:uid="{00000000-0005-0000-0000-0000B45D0000}"/>
    <cellStyle name="Output 5 3 5 2 3" xfId="27632" xr:uid="{00000000-0005-0000-0000-0000B55D0000}"/>
    <cellStyle name="Output 5 3 5 2 4" xfId="5697" xr:uid="{00000000-0005-0000-0000-0000B65D0000}"/>
    <cellStyle name="Output 5 3 5 3" xfId="27633" xr:uid="{00000000-0005-0000-0000-0000B75D0000}"/>
    <cellStyle name="Output 5 3 5 4" xfId="27634" xr:uid="{00000000-0005-0000-0000-0000B85D0000}"/>
    <cellStyle name="Output 5 3 5 5" xfId="27635" xr:uid="{00000000-0005-0000-0000-0000B95D0000}"/>
    <cellStyle name="Output 5 3 6" xfId="27637" xr:uid="{00000000-0005-0000-0000-0000BA5D0000}"/>
    <cellStyle name="Output 5 3 6 2" xfId="27638" xr:uid="{00000000-0005-0000-0000-0000BB5D0000}"/>
    <cellStyle name="Output 5 3 6 3" xfId="27639" xr:uid="{00000000-0005-0000-0000-0000BC5D0000}"/>
    <cellStyle name="Output 5 3 6 4" xfId="27640" xr:uid="{00000000-0005-0000-0000-0000BD5D0000}"/>
    <cellStyle name="Output 5 3 7" xfId="27642" xr:uid="{00000000-0005-0000-0000-0000BE5D0000}"/>
    <cellStyle name="Output 5 3 8" xfId="27643" xr:uid="{00000000-0005-0000-0000-0000BF5D0000}"/>
    <cellStyle name="Output 5 3 9" xfId="27644" xr:uid="{00000000-0005-0000-0000-0000C05D0000}"/>
    <cellStyle name="Output 5 4" xfId="27645" xr:uid="{00000000-0005-0000-0000-0000C15D0000}"/>
    <cellStyle name="Output 5 4 2" xfId="27646" xr:uid="{00000000-0005-0000-0000-0000C25D0000}"/>
    <cellStyle name="Output 5 4 2 2" xfId="27647" xr:uid="{00000000-0005-0000-0000-0000C35D0000}"/>
    <cellStyle name="Output 5 4 2 2 2" xfId="27648" xr:uid="{00000000-0005-0000-0000-0000C45D0000}"/>
    <cellStyle name="Output 5 4 2 2 2 2" xfId="16271" xr:uid="{00000000-0005-0000-0000-0000C55D0000}"/>
    <cellStyle name="Output 5 4 2 2 2 2 2" xfId="27649" xr:uid="{00000000-0005-0000-0000-0000C65D0000}"/>
    <cellStyle name="Output 5 4 2 2 2 2 2 2" xfId="9892" xr:uid="{00000000-0005-0000-0000-0000C75D0000}"/>
    <cellStyle name="Output 5 4 2 2 2 2 2 3" xfId="27650" xr:uid="{00000000-0005-0000-0000-0000C85D0000}"/>
    <cellStyle name="Output 5 4 2 2 2 2 2 4" xfId="27651" xr:uid="{00000000-0005-0000-0000-0000C95D0000}"/>
    <cellStyle name="Output 5 4 2 2 2 2 3" xfId="27652" xr:uid="{00000000-0005-0000-0000-0000CA5D0000}"/>
    <cellStyle name="Output 5 4 2 2 2 2 4" xfId="27653" xr:uid="{00000000-0005-0000-0000-0000CB5D0000}"/>
    <cellStyle name="Output 5 4 2 2 2 2 5" xfId="27654" xr:uid="{00000000-0005-0000-0000-0000CC5D0000}"/>
    <cellStyle name="Output 5 4 2 2 2 3" xfId="16275" xr:uid="{00000000-0005-0000-0000-0000CD5D0000}"/>
    <cellStyle name="Output 5 4 2 2 2 3 2" xfId="27655" xr:uid="{00000000-0005-0000-0000-0000CE5D0000}"/>
    <cellStyle name="Output 5 4 2 2 2 3 3" xfId="27656" xr:uid="{00000000-0005-0000-0000-0000CF5D0000}"/>
    <cellStyle name="Output 5 4 2 2 2 3 4" xfId="27657" xr:uid="{00000000-0005-0000-0000-0000D05D0000}"/>
    <cellStyle name="Output 5 4 2 2 2 4" xfId="16654" xr:uid="{00000000-0005-0000-0000-0000D15D0000}"/>
    <cellStyle name="Output 5 4 2 2 2 5" xfId="16657" xr:uid="{00000000-0005-0000-0000-0000D25D0000}"/>
    <cellStyle name="Output 5 4 2 2 2 6" xfId="16660" xr:uid="{00000000-0005-0000-0000-0000D35D0000}"/>
    <cellStyle name="Output 5 4 2 2 3" xfId="27658" xr:uid="{00000000-0005-0000-0000-0000D45D0000}"/>
    <cellStyle name="Output 5 4 2 2 3 2" xfId="20761" xr:uid="{00000000-0005-0000-0000-0000D55D0000}"/>
    <cellStyle name="Output 5 4 2 2 3 2 2" xfId="27660" xr:uid="{00000000-0005-0000-0000-0000D65D0000}"/>
    <cellStyle name="Output 5 4 2 2 3 2 3" xfId="27662" xr:uid="{00000000-0005-0000-0000-0000D75D0000}"/>
    <cellStyle name="Output 5 4 2 2 3 2 4" xfId="27663" xr:uid="{00000000-0005-0000-0000-0000D85D0000}"/>
    <cellStyle name="Output 5 4 2 2 3 3" xfId="20766" xr:uid="{00000000-0005-0000-0000-0000D95D0000}"/>
    <cellStyle name="Output 5 4 2 2 3 4" xfId="27664" xr:uid="{00000000-0005-0000-0000-0000DA5D0000}"/>
    <cellStyle name="Output 5 4 2 2 3 5" xfId="27665" xr:uid="{00000000-0005-0000-0000-0000DB5D0000}"/>
    <cellStyle name="Output 5 4 2 2 4" xfId="27666" xr:uid="{00000000-0005-0000-0000-0000DC5D0000}"/>
    <cellStyle name="Output 5 4 2 2 4 2" xfId="4317" xr:uid="{00000000-0005-0000-0000-0000DD5D0000}"/>
    <cellStyle name="Output 5 4 2 2 4 3" xfId="4549" xr:uid="{00000000-0005-0000-0000-0000DE5D0000}"/>
    <cellStyle name="Output 5 4 2 2 4 4" xfId="27667" xr:uid="{00000000-0005-0000-0000-0000DF5D0000}"/>
    <cellStyle name="Output 5 4 2 2 5" xfId="27668" xr:uid="{00000000-0005-0000-0000-0000E05D0000}"/>
    <cellStyle name="Output 5 4 2 2 6" xfId="27669" xr:uid="{00000000-0005-0000-0000-0000E15D0000}"/>
    <cellStyle name="Output 5 4 2 2 7" xfId="27670" xr:uid="{00000000-0005-0000-0000-0000E25D0000}"/>
    <cellStyle name="Output 5 4 2 3" xfId="27099" xr:uid="{00000000-0005-0000-0000-0000E35D0000}"/>
    <cellStyle name="Output 5 4 2 3 2" xfId="27101" xr:uid="{00000000-0005-0000-0000-0000E45D0000}"/>
    <cellStyle name="Output 5 4 2 3 2 2" xfId="20775" xr:uid="{00000000-0005-0000-0000-0000E55D0000}"/>
    <cellStyle name="Output 5 4 2 3 2 2 2" xfId="27103" xr:uid="{00000000-0005-0000-0000-0000E65D0000}"/>
    <cellStyle name="Output 5 4 2 3 2 2 3" xfId="27105" xr:uid="{00000000-0005-0000-0000-0000E75D0000}"/>
    <cellStyle name="Output 5 4 2 3 2 2 4" xfId="27107" xr:uid="{00000000-0005-0000-0000-0000E85D0000}"/>
    <cellStyle name="Output 5 4 2 3 2 3" xfId="20780" xr:uid="{00000000-0005-0000-0000-0000E95D0000}"/>
    <cellStyle name="Output 5 4 2 3 2 4" xfId="23989" xr:uid="{00000000-0005-0000-0000-0000EA5D0000}"/>
    <cellStyle name="Output 5 4 2 3 2 5" xfId="27109" xr:uid="{00000000-0005-0000-0000-0000EB5D0000}"/>
    <cellStyle name="Output 5 4 2 3 3" xfId="27111" xr:uid="{00000000-0005-0000-0000-0000EC5D0000}"/>
    <cellStyle name="Output 5 4 2 3 3 2" xfId="27113" xr:uid="{00000000-0005-0000-0000-0000ED5D0000}"/>
    <cellStyle name="Output 5 4 2 3 3 3" xfId="25178" xr:uid="{00000000-0005-0000-0000-0000EE5D0000}"/>
    <cellStyle name="Output 5 4 2 3 3 4" xfId="25181" xr:uid="{00000000-0005-0000-0000-0000EF5D0000}"/>
    <cellStyle name="Output 5 4 2 3 4" xfId="27115" xr:uid="{00000000-0005-0000-0000-0000F05D0000}"/>
    <cellStyle name="Output 5 4 2 3 5" xfId="27117" xr:uid="{00000000-0005-0000-0000-0000F15D0000}"/>
    <cellStyle name="Output 5 4 2 3 6" xfId="27120" xr:uid="{00000000-0005-0000-0000-0000F25D0000}"/>
    <cellStyle name="Output 5 4 2 4" xfId="27122" xr:uid="{00000000-0005-0000-0000-0000F35D0000}"/>
    <cellStyle name="Output 5 4 2 4 2" xfId="27124" xr:uid="{00000000-0005-0000-0000-0000F45D0000}"/>
    <cellStyle name="Output 5 4 2 4 2 2" xfId="27126" xr:uid="{00000000-0005-0000-0000-0000F55D0000}"/>
    <cellStyle name="Output 5 4 2 4 2 3" xfId="27128" xr:uid="{00000000-0005-0000-0000-0000F65D0000}"/>
    <cellStyle name="Output 5 4 2 4 2 4" xfId="27130" xr:uid="{00000000-0005-0000-0000-0000F75D0000}"/>
    <cellStyle name="Output 5 4 2 4 3" xfId="27132" xr:uid="{00000000-0005-0000-0000-0000F85D0000}"/>
    <cellStyle name="Output 5 4 2 4 4" xfId="27134" xr:uid="{00000000-0005-0000-0000-0000F95D0000}"/>
    <cellStyle name="Output 5 4 2 4 5" xfId="27136" xr:uid="{00000000-0005-0000-0000-0000FA5D0000}"/>
    <cellStyle name="Output 5 4 2 5" xfId="27138" xr:uid="{00000000-0005-0000-0000-0000FB5D0000}"/>
    <cellStyle name="Output 5 4 2 5 2" xfId="23077" xr:uid="{00000000-0005-0000-0000-0000FC5D0000}"/>
    <cellStyle name="Output 5 4 2 5 3" xfId="27140" xr:uid="{00000000-0005-0000-0000-0000FD5D0000}"/>
    <cellStyle name="Output 5 4 2 5 4" xfId="27142" xr:uid="{00000000-0005-0000-0000-0000FE5D0000}"/>
    <cellStyle name="Output 5 4 2 6" xfId="27144" xr:uid="{00000000-0005-0000-0000-0000FF5D0000}"/>
    <cellStyle name="Output 5 4 2 7" xfId="27146" xr:uid="{00000000-0005-0000-0000-0000005E0000}"/>
    <cellStyle name="Output 5 4 2 8" xfId="27148" xr:uid="{00000000-0005-0000-0000-0000015E0000}"/>
    <cellStyle name="Output 5 4 3" xfId="27671" xr:uid="{00000000-0005-0000-0000-0000025E0000}"/>
    <cellStyle name="Output 5 4 3 2" xfId="8748" xr:uid="{00000000-0005-0000-0000-0000035E0000}"/>
    <cellStyle name="Output 5 4 3 2 2" xfId="11319" xr:uid="{00000000-0005-0000-0000-0000045E0000}"/>
    <cellStyle name="Output 5 4 3 2 2 2" xfId="20808" xr:uid="{00000000-0005-0000-0000-0000055E0000}"/>
    <cellStyle name="Output 5 4 3 2 2 2 2" xfId="27672" xr:uid="{00000000-0005-0000-0000-0000065E0000}"/>
    <cellStyle name="Output 5 4 3 2 2 2 3" xfId="27673" xr:uid="{00000000-0005-0000-0000-0000075E0000}"/>
    <cellStyle name="Output 5 4 3 2 2 2 4" xfId="27674" xr:uid="{00000000-0005-0000-0000-0000085E0000}"/>
    <cellStyle name="Output 5 4 3 2 2 3" xfId="20810" xr:uid="{00000000-0005-0000-0000-0000095E0000}"/>
    <cellStyle name="Output 5 4 3 2 2 4" xfId="27675" xr:uid="{00000000-0005-0000-0000-00000A5E0000}"/>
    <cellStyle name="Output 5 4 3 2 2 5" xfId="140" xr:uid="{00000000-0005-0000-0000-00000B5E0000}"/>
    <cellStyle name="Output 5 4 3 2 3" xfId="27676" xr:uid="{00000000-0005-0000-0000-00000C5E0000}"/>
    <cellStyle name="Output 5 4 3 2 3 2" xfId="20286" xr:uid="{00000000-0005-0000-0000-00000D5E0000}"/>
    <cellStyle name="Output 5 4 3 2 3 3" xfId="27677" xr:uid="{00000000-0005-0000-0000-00000E5E0000}"/>
    <cellStyle name="Output 5 4 3 2 3 4" xfId="27678" xr:uid="{00000000-0005-0000-0000-00000F5E0000}"/>
    <cellStyle name="Output 5 4 3 2 4" xfId="27679" xr:uid="{00000000-0005-0000-0000-0000105E0000}"/>
    <cellStyle name="Output 5 4 3 2 5" xfId="27680" xr:uid="{00000000-0005-0000-0000-0000115E0000}"/>
    <cellStyle name="Output 5 4 3 2 6" xfId="27681" xr:uid="{00000000-0005-0000-0000-0000125E0000}"/>
    <cellStyle name="Output 5 4 3 3" xfId="8753" xr:uid="{00000000-0005-0000-0000-0000135E0000}"/>
    <cellStyle name="Output 5 4 3 3 2" xfId="26311" xr:uid="{00000000-0005-0000-0000-0000145E0000}"/>
    <cellStyle name="Output 5 4 3 3 2 2" xfId="26903" xr:uid="{00000000-0005-0000-0000-0000155E0000}"/>
    <cellStyle name="Output 5 4 3 3 2 3" xfId="26906" xr:uid="{00000000-0005-0000-0000-0000165E0000}"/>
    <cellStyle name="Output 5 4 3 3 2 4" xfId="26909" xr:uid="{00000000-0005-0000-0000-0000175E0000}"/>
    <cellStyle name="Output 5 4 3 3 3" xfId="26315" xr:uid="{00000000-0005-0000-0000-0000185E0000}"/>
    <cellStyle name="Output 5 4 3 3 4" xfId="26912" xr:uid="{00000000-0005-0000-0000-0000195E0000}"/>
    <cellStyle name="Output 5 4 3 3 5" xfId="26915" xr:uid="{00000000-0005-0000-0000-00001A5E0000}"/>
    <cellStyle name="Output 5 4 3 4" xfId="4012" xr:uid="{00000000-0005-0000-0000-00001B5E0000}"/>
    <cellStyle name="Output 5 4 3 4 2" xfId="26918" xr:uid="{00000000-0005-0000-0000-00001C5E0000}"/>
    <cellStyle name="Output 5 4 3 4 3" xfId="26921" xr:uid="{00000000-0005-0000-0000-00001D5E0000}"/>
    <cellStyle name="Output 5 4 3 4 4" xfId="26924" xr:uid="{00000000-0005-0000-0000-00001E5E0000}"/>
    <cellStyle name="Output 5 4 3 5" xfId="26927" xr:uid="{00000000-0005-0000-0000-00001F5E0000}"/>
    <cellStyle name="Output 5 4 3 6" xfId="26930" xr:uid="{00000000-0005-0000-0000-0000205E0000}"/>
    <cellStyle name="Output 5 4 3 7" xfId="26934" xr:uid="{00000000-0005-0000-0000-0000215E0000}"/>
    <cellStyle name="Output 5 4 4" xfId="27682" xr:uid="{00000000-0005-0000-0000-0000225E0000}"/>
    <cellStyle name="Output 5 4 4 2" xfId="2137" xr:uid="{00000000-0005-0000-0000-0000235E0000}"/>
    <cellStyle name="Output 5 4 4 2 2" xfId="27683" xr:uid="{00000000-0005-0000-0000-0000245E0000}"/>
    <cellStyle name="Output 5 4 4 2 2 2" xfId="11228" xr:uid="{00000000-0005-0000-0000-0000255E0000}"/>
    <cellStyle name="Output 5 4 4 2 2 3" xfId="27684" xr:uid="{00000000-0005-0000-0000-0000265E0000}"/>
    <cellStyle name="Output 5 4 4 2 2 4" xfId="27685" xr:uid="{00000000-0005-0000-0000-0000275E0000}"/>
    <cellStyle name="Output 5 4 4 2 3" xfId="27687" xr:uid="{00000000-0005-0000-0000-0000285E0000}"/>
    <cellStyle name="Output 5 4 4 2 4" xfId="27689" xr:uid="{00000000-0005-0000-0000-0000295E0000}"/>
    <cellStyle name="Output 5 4 4 2 5" xfId="27691" xr:uid="{00000000-0005-0000-0000-00002A5E0000}"/>
    <cellStyle name="Output 5 4 4 3" xfId="1183" xr:uid="{00000000-0005-0000-0000-00002B5E0000}"/>
    <cellStyle name="Output 5 4 4 3 2" xfId="26939" xr:uid="{00000000-0005-0000-0000-00002C5E0000}"/>
    <cellStyle name="Output 5 4 4 3 3" xfId="26942" xr:uid="{00000000-0005-0000-0000-00002D5E0000}"/>
    <cellStyle name="Output 5 4 4 3 4" xfId="26945" xr:uid="{00000000-0005-0000-0000-00002E5E0000}"/>
    <cellStyle name="Output 5 4 4 4" xfId="26948" xr:uid="{00000000-0005-0000-0000-00002F5E0000}"/>
    <cellStyle name="Output 5 4 4 5" xfId="20241" xr:uid="{00000000-0005-0000-0000-0000305E0000}"/>
    <cellStyle name="Output 5 4 4 6" xfId="20247" xr:uid="{00000000-0005-0000-0000-0000315E0000}"/>
    <cellStyle name="Output 5 4 5" xfId="27692" xr:uid="{00000000-0005-0000-0000-0000325E0000}"/>
    <cellStyle name="Output 5 4 5 2" xfId="2163" xr:uid="{00000000-0005-0000-0000-0000335E0000}"/>
    <cellStyle name="Output 5 4 5 2 2" xfId="5360" xr:uid="{00000000-0005-0000-0000-0000345E0000}"/>
    <cellStyle name="Output 5 4 5 2 3" xfId="5368" xr:uid="{00000000-0005-0000-0000-0000355E0000}"/>
    <cellStyle name="Output 5 4 5 2 4" xfId="5372" xr:uid="{00000000-0005-0000-0000-0000365E0000}"/>
    <cellStyle name="Output 5 4 5 3" xfId="26953" xr:uid="{00000000-0005-0000-0000-0000375E0000}"/>
    <cellStyle name="Output 5 4 5 4" xfId="26956" xr:uid="{00000000-0005-0000-0000-0000385E0000}"/>
    <cellStyle name="Output 5 4 5 5" xfId="26959" xr:uid="{00000000-0005-0000-0000-0000395E0000}"/>
    <cellStyle name="Output 5 4 6" xfId="27693" xr:uid="{00000000-0005-0000-0000-00003A5E0000}"/>
    <cellStyle name="Output 5 4 6 2" xfId="27694" xr:uid="{00000000-0005-0000-0000-00003B5E0000}"/>
    <cellStyle name="Output 5 4 6 3" xfId="27695" xr:uid="{00000000-0005-0000-0000-00003C5E0000}"/>
    <cellStyle name="Output 5 4 6 4" xfId="27696" xr:uid="{00000000-0005-0000-0000-00003D5E0000}"/>
    <cellStyle name="Output 5 4 7" xfId="27697" xr:uid="{00000000-0005-0000-0000-00003E5E0000}"/>
    <cellStyle name="Output 5 4 8" xfId="14300" xr:uid="{00000000-0005-0000-0000-00003F5E0000}"/>
    <cellStyle name="Output 5 4 9" xfId="14309" xr:uid="{00000000-0005-0000-0000-0000405E0000}"/>
    <cellStyle name="Output 5 5" xfId="27698" xr:uid="{00000000-0005-0000-0000-0000415E0000}"/>
    <cellStyle name="Output 5 5 2" xfId="22497" xr:uid="{00000000-0005-0000-0000-0000425E0000}"/>
    <cellStyle name="Output 5 5 2 2" xfId="15148" xr:uid="{00000000-0005-0000-0000-0000435E0000}"/>
    <cellStyle name="Output 5 5 2 2 2" xfId="24106" xr:uid="{00000000-0005-0000-0000-0000445E0000}"/>
    <cellStyle name="Output 5 5 2 2 2 2" xfId="21279" xr:uid="{00000000-0005-0000-0000-0000455E0000}"/>
    <cellStyle name="Output 5 5 2 2 2 2 2" xfId="27699" xr:uid="{00000000-0005-0000-0000-0000465E0000}"/>
    <cellStyle name="Output 5 5 2 2 2 2 3" xfId="27700" xr:uid="{00000000-0005-0000-0000-0000475E0000}"/>
    <cellStyle name="Output 5 5 2 2 2 2 4" xfId="27701" xr:uid="{00000000-0005-0000-0000-0000485E0000}"/>
    <cellStyle name="Output 5 5 2 2 2 3" xfId="21281" xr:uid="{00000000-0005-0000-0000-0000495E0000}"/>
    <cellStyle name="Output 5 5 2 2 2 4" xfId="21283" xr:uid="{00000000-0005-0000-0000-00004A5E0000}"/>
    <cellStyle name="Output 5 5 2 2 2 5" xfId="27702" xr:uid="{00000000-0005-0000-0000-00004B5E0000}"/>
    <cellStyle name="Output 5 5 2 2 3" xfId="24108" xr:uid="{00000000-0005-0000-0000-00004C5E0000}"/>
    <cellStyle name="Output 5 5 2 2 3 2" xfId="21286" xr:uid="{00000000-0005-0000-0000-00004D5E0000}"/>
    <cellStyle name="Output 5 5 2 2 3 3" xfId="21288" xr:uid="{00000000-0005-0000-0000-00004E5E0000}"/>
    <cellStyle name="Output 5 5 2 2 3 4" xfId="27703" xr:uid="{00000000-0005-0000-0000-00004F5E0000}"/>
    <cellStyle name="Output 5 5 2 2 4" xfId="27704" xr:uid="{00000000-0005-0000-0000-0000505E0000}"/>
    <cellStyle name="Output 5 5 2 2 5" xfId="27705" xr:uid="{00000000-0005-0000-0000-0000515E0000}"/>
    <cellStyle name="Output 5 5 2 2 6" xfId="27706" xr:uid="{00000000-0005-0000-0000-0000525E0000}"/>
    <cellStyle name="Output 5 5 2 3" xfId="9941" xr:uid="{00000000-0005-0000-0000-0000535E0000}"/>
    <cellStyle name="Output 5 5 2 3 2" xfId="24126" xr:uid="{00000000-0005-0000-0000-0000545E0000}"/>
    <cellStyle name="Output 5 5 2 3 2 2" xfId="21298" xr:uid="{00000000-0005-0000-0000-0000555E0000}"/>
    <cellStyle name="Output 5 5 2 3 2 3" xfId="21301" xr:uid="{00000000-0005-0000-0000-0000565E0000}"/>
    <cellStyle name="Output 5 5 2 3 2 4" xfId="27151" xr:uid="{00000000-0005-0000-0000-0000575E0000}"/>
    <cellStyle name="Output 5 5 2 3 3" xfId="27153" xr:uid="{00000000-0005-0000-0000-0000585E0000}"/>
    <cellStyle name="Output 5 5 2 3 4" xfId="27155" xr:uid="{00000000-0005-0000-0000-0000595E0000}"/>
    <cellStyle name="Output 5 5 2 3 5" xfId="27157" xr:uid="{00000000-0005-0000-0000-00005A5E0000}"/>
    <cellStyle name="Output 5 5 2 4" xfId="4092" xr:uid="{00000000-0005-0000-0000-00005B5E0000}"/>
    <cellStyle name="Output 5 5 2 4 2" xfId="19733" xr:uid="{00000000-0005-0000-0000-00005C5E0000}"/>
    <cellStyle name="Output 5 5 2 4 3" xfId="27159" xr:uid="{00000000-0005-0000-0000-00005D5E0000}"/>
    <cellStyle name="Output 5 5 2 4 4" xfId="27161" xr:uid="{00000000-0005-0000-0000-00005E5E0000}"/>
    <cellStyle name="Output 5 5 2 5" xfId="4110" xr:uid="{00000000-0005-0000-0000-00005F5E0000}"/>
    <cellStyle name="Output 5 5 2 6" xfId="27163" xr:uid="{00000000-0005-0000-0000-0000605E0000}"/>
    <cellStyle name="Output 5 5 2 7" xfId="27165" xr:uid="{00000000-0005-0000-0000-0000615E0000}"/>
    <cellStyle name="Output 5 5 3" xfId="22499" xr:uid="{00000000-0005-0000-0000-0000625E0000}"/>
    <cellStyle name="Output 5 5 3 2" xfId="8805" xr:uid="{00000000-0005-0000-0000-0000635E0000}"/>
    <cellStyle name="Output 5 5 3 2 2" xfId="24213" xr:uid="{00000000-0005-0000-0000-0000645E0000}"/>
    <cellStyle name="Output 5 5 3 2 2 2" xfId="21322" xr:uid="{00000000-0005-0000-0000-0000655E0000}"/>
    <cellStyle name="Output 5 5 3 2 2 3" xfId="21324" xr:uid="{00000000-0005-0000-0000-0000665E0000}"/>
    <cellStyle name="Output 5 5 3 2 2 4" xfId="27707" xr:uid="{00000000-0005-0000-0000-0000675E0000}"/>
    <cellStyle name="Output 5 5 3 2 3" xfId="24215" xr:uid="{00000000-0005-0000-0000-0000685E0000}"/>
    <cellStyle name="Output 5 5 3 2 4" xfId="27708" xr:uid="{00000000-0005-0000-0000-0000695E0000}"/>
    <cellStyle name="Output 5 5 3 2 5" xfId="27709" xr:uid="{00000000-0005-0000-0000-00006A5E0000}"/>
    <cellStyle name="Output 5 5 3 3" xfId="10109" xr:uid="{00000000-0005-0000-0000-00006B5E0000}"/>
    <cellStyle name="Output 5 5 3 3 2" xfId="24231" xr:uid="{00000000-0005-0000-0000-00006C5E0000}"/>
    <cellStyle name="Output 5 5 3 3 3" xfId="26969" xr:uid="{00000000-0005-0000-0000-00006D5E0000}"/>
    <cellStyle name="Output 5 5 3 3 4" xfId="26972" xr:uid="{00000000-0005-0000-0000-00006E5E0000}"/>
    <cellStyle name="Output 5 5 3 4" xfId="26975" xr:uid="{00000000-0005-0000-0000-00006F5E0000}"/>
    <cellStyle name="Output 5 5 3 5" xfId="26978" xr:uid="{00000000-0005-0000-0000-0000705E0000}"/>
    <cellStyle name="Output 5 5 3 6" xfId="26981" xr:uid="{00000000-0005-0000-0000-0000715E0000}"/>
    <cellStyle name="Output 5 5 4" xfId="22501" xr:uid="{00000000-0005-0000-0000-0000725E0000}"/>
    <cellStyle name="Output 5 5 4 2" xfId="10119" xr:uid="{00000000-0005-0000-0000-0000735E0000}"/>
    <cellStyle name="Output 5 5 4 2 2" xfId="24284" xr:uid="{00000000-0005-0000-0000-0000745E0000}"/>
    <cellStyle name="Output 5 5 4 2 3" xfId="27710" xr:uid="{00000000-0005-0000-0000-0000755E0000}"/>
    <cellStyle name="Output 5 5 4 2 4" xfId="27711" xr:uid="{00000000-0005-0000-0000-0000765E0000}"/>
    <cellStyle name="Output 5 5 4 3" xfId="26984" xr:uid="{00000000-0005-0000-0000-0000775E0000}"/>
    <cellStyle name="Output 5 5 4 4" xfId="26987" xr:uid="{00000000-0005-0000-0000-0000785E0000}"/>
    <cellStyle name="Output 5 5 4 5" xfId="26990" xr:uid="{00000000-0005-0000-0000-0000795E0000}"/>
    <cellStyle name="Output 5 5 5" xfId="27712" xr:uid="{00000000-0005-0000-0000-00007A5E0000}"/>
    <cellStyle name="Output 5 5 5 2" xfId="27713" xr:uid="{00000000-0005-0000-0000-00007B5E0000}"/>
    <cellStyle name="Output 5 5 5 3" xfId="27714" xr:uid="{00000000-0005-0000-0000-00007C5E0000}"/>
    <cellStyle name="Output 5 5 5 4" xfId="27715" xr:uid="{00000000-0005-0000-0000-00007D5E0000}"/>
    <cellStyle name="Output 5 5 6" xfId="27716" xr:uid="{00000000-0005-0000-0000-00007E5E0000}"/>
    <cellStyle name="Output 5 5 7" xfId="27717" xr:uid="{00000000-0005-0000-0000-00007F5E0000}"/>
    <cellStyle name="Output 5 5 8" xfId="503" xr:uid="{00000000-0005-0000-0000-0000805E0000}"/>
    <cellStyle name="Output 5 6" xfId="27718" xr:uid="{00000000-0005-0000-0000-0000815E0000}"/>
    <cellStyle name="Output 5 6 2" xfId="22505" xr:uid="{00000000-0005-0000-0000-0000825E0000}"/>
    <cellStyle name="Output 5 6 2 2" xfId="27720" xr:uid="{00000000-0005-0000-0000-0000835E0000}"/>
    <cellStyle name="Output 5 6 2 2 2" xfId="24398" xr:uid="{00000000-0005-0000-0000-0000845E0000}"/>
    <cellStyle name="Output 5 6 2 2 2 2" xfId="20931" xr:uid="{00000000-0005-0000-0000-0000855E0000}"/>
    <cellStyle name="Output 5 6 2 2 2 3" xfId="20936" xr:uid="{00000000-0005-0000-0000-0000865E0000}"/>
    <cellStyle name="Output 5 6 2 2 2 4" xfId="21449" xr:uid="{00000000-0005-0000-0000-0000875E0000}"/>
    <cellStyle name="Output 5 6 2 2 3" xfId="27721" xr:uid="{00000000-0005-0000-0000-0000885E0000}"/>
    <cellStyle name="Output 5 6 2 2 4" xfId="27722" xr:uid="{00000000-0005-0000-0000-0000895E0000}"/>
    <cellStyle name="Output 5 6 2 2 5" xfId="27723" xr:uid="{00000000-0005-0000-0000-00008A5E0000}"/>
    <cellStyle name="Output 5 6 2 3" xfId="27169" xr:uid="{00000000-0005-0000-0000-00008B5E0000}"/>
    <cellStyle name="Output 5 6 2 3 2" xfId="10969" xr:uid="{00000000-0005-0000-0000-00008C5E0000}"/>
    <cellStyle name="Output 5 6 2 3 3" xfId="10976" xr:uid="{00000000-0005-0000-0000-00008D5E0000}"/>
    <cellStyle name="Output 5 6 2 3 4" xfId="7327" xr:uid="{00000000-0005-0000-0000-00008E5E0000}"/>
    <cellStyle name="Output 5 6 2 4" xfId="1462" xr:uid="{00000000-0005-0000-0000-00008F5E0000}"/>
    <cellStyle name="Output 5 6 2 5" xfId="27172" xr:uid="{00000000-0005-0000-0000-0000905E0000}"/>
    <cellStyle name="Output 5 6 2 6" xfId="27175" xr:uid="{00000000-0005-0000-0000-0000915E0000}"/>
    <cellStyle name="Output 5 6 3" xfId="22507" xr:uid="{00000000-0005-0000-0000-0000925E0000}"/>
    <cellStyle name="Output 5 6 3 2" xfId="8794" xr:uid="{00000000-0005-0000-0000-0000935E0000}"/>
    <cellStyle name="Output 5 6 3 2 2" xfId="27724" xr:uid="{00000000-0005-0000-0000-0000945E0000}"/>
    <cellStyle name="Output 5 6 3 2 3" xfId="27725" xr:uid="{00000000-0005-0000-0000-0000955E0000}"/>
    <cellStyle name="Output 5 6 3 2 4" xfId="27727" xr:uid="{00000000-0005-0000-0000-0000965E0000}"/>
    <cellStyle name="Output 5 6 3 3" xfId="26999" xr:uid="{00000000-0005-0000-0000-0000975E0000}"/>
    <cellStyle name="Output 5 6 3 4" xfId="27003" xr:uid="{00000000-0005-0000-0000-0000985E0000}"/>
    <cellStyle name="Output 5 6 3 5" xfId="27007" xr:uid="{00000000-0005-0000-0000-0000995E0000}"/>
    <cellStyle name="Output 5 6 4" xfId="27728" xr:uid="{00000000-0005-0000-0000-00009A5E0000}"/>
    <cellStyle name="Output 5 6 4 2" xfId="27729" xr:uid="{00000000-0005-0000-0000-00009B5E0000}"/>
    <cellStyle name="Output 5 6 4 3" xfId="27730" xr:uid="{00000000-0005-0000-0000-00009C5E0000}"/>
    <cellStyle name="Output 5 6 4 4" xfId="27732" xr:uid="{00000000-0005-0000-0000-00009D5E0000}"/>
    <cellStyle name="Output 5 6 5" xfId="27733" xr:uid="{00000000-0005-0000-0000-00009E5E0000}"/>
    <cellStyle name="Output 5 6 6" xfId="27734" xr:uid="{00000000-0005-0000-0000-00009F5E0000}"/>
    <cellStyle name="Output 5 6 7" xfId="27735" xr:uid="{00000000-0005-0000-0000-0000A05E0000}"/>
    <cellStyle name="Output 5 7" xfId="25401" xr:uid="{00000000-0005-0000-0000-0000A15E0000}"/>
    <cellStyle name="Output 5 7 2" xfId="27736" xr:uid="{00000000-0005-0000-0000-0000A25E0000}"/>
    <cellStyle name="Output 5 7 2 2" xfId="21827" xr:uid="{00000000-0005-0000-0000-0000A35E0000}"/>
    <cellStyle name="Output 5 7 2 2 2" xfId="24534" xr:uid="{00000000-0005-0000-0000-0000A45E0000}"/>
    <cellStyle name="Output 5 7 2 2 3" xfId="27737" xr:uid="{00000000-0005-0000-0000-0000A55E0000}"/>
    <cellStyle name="Output 5 7 2 2 4" xfId="17023" xr:uid="{00000000-0005-0000-0000-0000A65E0000}"/>
    <cellStyle name="Output 5 7 2 3" xfId="27177" xr:uid="{00000000-0005-0000-0000-0000A75E0000}"/>
    <cellStyle name="Output 5 7 2 4" xfId="27180" xr:uid="{00000000-0005-0000-0000-0000A85E0000}"/>
    <cellStyle name="Output 5 7 2 5" xfId="27183" xr:uid="{00000000-0005-0000-0000-0000A95E0000}"/>
    <cellStyle name="Output 5 7 3" xfId="27738" xr:uid="{00000000-0005-0000-0000-0000AA5E0000}"/>
    <cellStyle name="Output 5 7 3 2" xfId="21879" xr:uid="{00000000-0005-0000-0000-0000AB5E0000}"/>
    <cellStyle name="Output 5 7 3 3" xfId="27739" xr:uid="{00000000-0005-0000-0000-0000AC5E0000}"/>
    <cellStyle name="Output 5 7 3 4" xfId="27741" xr:uid="{00000000-0005-0000-0000-0000AD5E0000}"/>
    <cellStyle name="Output 5 7 4" xfId="27742" xr:uid="{00000000-0005-0000-0000-0000AE5E0000}"/>
    <cellStyle name="Output 5 7 5" xfId="27743" xr:uid="{00000000-0005-0000-0000-0000AF5E0000}"/>
    <cellStyle name="Output 5 7 6" xfId="27744" xr:uid="{00000000-0005-0000-0000-0000B05E0000}"/>
    <cellStyle name="Output 5 8" xfId="25403" xr:uid="{00000000-0005-0000-0000-0000B15E0000}"/>
    <cellStyle name="Output 5 8 2" xfId="27745" xr:uid="{00000000-0005-0000-0000-0000B25E0000}"/>
    <cellStyle name="Output 5 8 2 2" xfId="27746" xr:uid="{00000000-0005-0000-0000-0000B35E0000}"/>
    <cellStyle name="Output 5 8 2 3" xfId="27747" xr:uid="{00000000-0005-0000-0000-0000B45E0000}"/>
    <cellStyle name="Output 5 8 2 4" xfId="27749" xr:uid="{00000000-0005-0000-0000-0000B55E0000}"/>
    <cellStyle name="Output 5 8 3" xfId="27750" xr:uid="{00000000-0005-0000-0000-0000B65E0000}"/>
    <cellStyle name="Output 5 8 4" xfId="27751" xr:uid="{00000000-0005-0000-0000-0000B75E0000}"/>
    <cellStyle name="Output 5 8 5" xfId="27752" xr:uid="{00000000-0005-0000-0000-0000B85E0000}"/>
    <cellStyle name="Output 5 9" xfId="25118" xr:uid="{00000000-0005-0000-0000-0000B95E0000}"/>
    <cellStyle name="Output 5 9 2" xfId="25121" xr:uid="{00000000-0005-0000-0000-0000BA5E0000}"/>
    <cellStyle name="Output 5 9 3" xfId="25126" xr:uid="{00000000-0005-0000-0000-0000BB5E0000}"/>
    <cellStyle name="Output 5 9 4" xfId="20063" xr:uid="{00000000-0005-0000-0000-0000BC5E0000}"/>
    <cellStyle name="Output 6" xfId="4514" xr:uid="{00000000-0005-0000-0000-0000BD5E0000}"/>
    <cellStyle name="Output 6 10" xfId="27753" xr:uid="{00000000-0005-0000-0000-0000BE5E0000}"/>
    <cellStyle name="Output 6 11" xfId="27754" xr:uid="{00000000-0005-0000-0000-0000BF5E0000}"/>
    <cellStyle name="Output 6 12" xfId="27755" xr:uid="{00000000-0005-0000-0000-0000C05E0000}"/>
    <cellStyle name="Output 6 13" xfId="27756" xr:uid="{00000000-0005-0000-0000-0000C15E0000}"/>
    <cellStyle name="Output 6 2" xfId="4524" xr:uid="{00000000-0005-0000-0000-0000C25E0000}"/>
    <cellStyle name="Output 6 2 10" xfId="8792" xr:uid="{00000000-0005-0000-0000-0000C35E0000}"/>
    <cellStyle name="Output 6 2 11" xfId="8807" xr:uid="{00000000-0005-0000-0000-0000C45E0000}"/>
    <cellStyle name="Output 6 2 12" xfId="3752" xr:uid="{00000000-0005-0000-0000-0000C55E0000}"/>
    <cellStyle name="Output 6 2 2" xfId="1705" xr:uid="{00000000-0005-0000-0000-0000C65E0000}"/>
    <cellStyle name="Output 6 2 2 2" xfId="1728" xr:uid="{00000000-0005-0000-0000-0000C75E0000}"/>
    <cellStyle name="Output 6 2 2 2 2" xfId="27757" xr:uid="{00000000-0005-0000-0000-0000C85E0000}"/>
    <cellStyle name="Output 6 2 2 2 2 2" xfId="5676" xr:uid="{00000000-0005-0000-0000-0000C95E0000}"/>
    <cellStyle name="Output 6 2 2 2 2 2 2" xfId="27758" xr:uid="{00000000-0005-0000-0000-0000CA5E0000}"/>
    <cellStyle name="Output 6 2 2 2 2 2 2 2" xfId="27759" xr:uid="{00000000-0005-0000-0000-0000CB5E0000}"/>
    <cellStyle name="Output 6 2 2 2 2 2 2 2 2" xfId="27761" xr:uid="{00000000-0005-0000-0000-0000CC5E0000}"/>
    <cellStyle name="Output 6 2 2 2 2 2 2 2 3" xfId="27762" xr:uid="{00000000-0005-0000-0000-0000CD5E0000}"/>
    <cellStyle name="Output 6 2 2 2 2 2 2 2 4" xfId="21627" xr:uid="{00000000-0005-0000-0000-0000CE5E0000}"/>
    <cellStyle name="Output 6 2 2 2 2 2 2 3" xfId="27763" xr:uid="{00000000-0005-0000-0000-0000CF5E0000}"/>
    <cellStyle name="Output 6 2 2 2 2 2 2 4" xfId="27764" xr:uid="{00000000-0005-0000-0000-0000D05E0000}"/>
    <cellStyle name="Output 6 2 2 2 2 2 2 5" xfId="25384" xr:uid="{00000000-0005-0000-0000-0000D15E0000}"/>
    <cellStyle name="Output 6 2 2 2 2 2 3" xfId="27765" xr:uid="{00000000-0005-0000-0000-0000D25E0000}"/>
    <cellStyle name="Output 6 2 2 2 2 2 3 2" xfId="27766" xr:uid="{00000000-0005-0000-0000-0000D35E0000}"/>
    <cellStyle name="Output 6 2 2 2 2 2 3 3" xfId="27767" xr:uid="{00000000-0005-0000-0000-0000D45E0000}"/>
    <cellStyle name="Output 6 2 2 2 2 2 3 4" xfId="27768" xr:uid="{00000000-0005-0000-0000-0000D55E0000}"/>
    <cellStyle name="Output 6 2 2 2 2 2 4" xfId="27769" xr:uid="{00000000-0005-0000-0000-0000D65E0000}"/>
    <cellStyle name="Output 6 2 2 2 2 2 5" xfId="27770" xr:uid="{00000000-0005-0000-0000-0000D75E0000}"/>
    <cellStyle name="Output 6 2 2 2 2 2 6" xfId="27771" xr:uid="{00000000-0005-0000-0000-0000D85E0000}"/>
    <cellStyle name="Output 6 2 2 2 2 3" xfId="5682" xr:uid="{00000000-0005-0000-0000-0000D95E0000}"/>
    <cellStyle name="Output 6 2 2 2 2 3 2" xfId="27772" xr:uid="{00000000-0005-0000-0000-0000DA5E0000}"/>
    <cellStyle name="Output 6 2 2 2 2 3 2 2" xfId="27773" xr:uid="{00000000-0005-0000-0000-0000DB5E0000}"/>
    <cellStyle name="Output 6 2 2 2 2 3 2 3" xfId="27774" xr:uid="{00000000-0005-0000-0000-0000DC5E0000}"/>
    <cellStyle name="Output 6 2 2 2 2 3 2 4" xfId="27775" xr:uid="{00000000-0005-0000-0000-0000DD5E0000}"/>
    <cellStyle name="Output 6 2 2 2 2 3 3" xfId="27776" xr:uid="{00000000-0005-0000-0000-0000DE5E0000}"/>
    <cellStyle name="Output 6 2 2 2 2 3 4" xfId="27777" xr:uid="{00000000-0005-0000-0000-0000DF5E0000}"/>
    <cellStyle name="Output 6 2 2 2 2 3 5" xfId="27778" xr:uid="{00000000-0005-0000-0000-0000E05E0000}"/>
    <cellStyle name="Output 6 2 2 2 2 4" xfId="5691" xr:uid="{00000000-0005-0000-0000-0000E15E0000}"/>
    <cellStyle name="Output 6 2 2 2 2 4 2" xfId="24514" xr:uid="{00000000-0005-0000-0000-0000E25E0000}"/>
    <cellStyle name="Output 6 2 2 2 2 4 3" xfId="27779" xr:uid="{00000000-0005-0000-0000-0000E35E0000}"/>
    <cellStyle name="Output 6 2 2 2 2 4 4" xfId="27780" xr:uid="{00000000-0005-0000-0000-0000E45E0000}"/>
    <cellStyle name="Output 6 2 2 2 2 5" xfId="27781" xr:uid="{00000000-0005-0000-0000-0000E55E0000}"/>
    <cellStyle name="Output 6 2 2 2 2 6" xfId="27783" xr:uid="{00000000-0005-0000-0000-0000E65E0000}"/>
    <cellStyle name="Output 6 2 2 2 2 7" xfId="27785" xr:uid="{00000000-0005-0000-0000-0000E75E0000}"/>
    <cellStyle name="Output 6 2 2 2 3" xfId="27787" xr:uid="{00000000-0005-0000-0000-0000E85E0000}"/>
    <cellStyle name="Output 6 2 2 2 3 2" xfId="5731" xr:uid="{00000000-0005-0000-0000-0000E95E0000}"/>
    <cellStyle name="Output 6 2 2 2 3 2 2" xfId="27788" xr:uid="{00000000-0005-0000-0000-0000EA5E0000}"/>
    <cellStyle name="Output 6 2 2 2 3 2 2 2" xfId="27789" xr:uid="{00000000-0005-0000-0000-0000EB5E0000}"/>
    <cellStyle name="Output 6 2 2 2 3 2 2 3" xfId="27790" xr:uid="{00000000-0005-0000-0000-0000EC5E0000}"/>
    <cellStyle name="Output 6 2 2 2 3 2 2 4" xfId="27791" xr:uid="{00000000-0005-0000-0000-0000ED5E0000}"/>
    <cellStyle name="Output 6 2 2 2 3 2 3" xfId="27792" xr:uid="{00000000-0005-0000-0000-0000EE5E0000}"/>
    <cellStyle name="Output 6 2 2 2 3 2 4" xfId="27793" xr:uid="{00000000-0005-0000-0000-0000EF5E0000}"/>
    <cellStyle name="Output 6 2 2 2 3 2 5" xfId="27794" xr:uid="{00000000-0005-0000-0000-0000F05E0000}"/>
    <cellStyle name="Output 6 2 2 2 3 3" xfId="5737" xr:uid="{00000000-0005-0000-0000-0000F15E0000}"/>
    <cellStyle name="Output 6 2 2 2 3 3 2" xfId="27795" xr:uid="{00000000-0005-0000-0000-0000F25E0000}"/>
    <cellStyle name="Output 6 2 2 2 3 3 3" xfId="27796" xr:uid="{00000000-0005-0000-0000-0000F35E0000}"/>
    <cellStyle name="Output 6 2 2 2 3 3 4" xfId="27797" xr:uid="{00000000-0005-0000-0000-0000F45E0000}"/>
    <cellStyle name="Output 6 2 2 2 3 4" xfId="21184" xr:uid="{00000000-0005-0000-0000-0000F55E0000}"/>
    <cellStyle name="Output 6 2 2 2 3 5" xfId="21188" xr:uid="{00000000-0005-0000-0000-0000F65E0000}"/>
    <cellStyle name="Output 6 2 2 2 3 6" xfId="21192" xr:uid="{00000000-0005-0000-0000-0000F75E0000}"/>
    <cellStyle name="Output 6 2 2 2 4" xfId="27800" xr:uid="{00000000-0005-0000-0000-0000F85E0000}"/>
    <cellStyle name="Output 6 2 2 2 4 2" xfId="812" xr:uid="{00000000-0005-0000-0000-0000F95E0000}"/>
    <cellStyle name="Output 6 2 2 2 4 2 2" xfId="3419" xr:uid="{00000000-0005-0000-0000-0000FA5E0000}"/>
    <cellStyle name="Output 6 2 2 2 4 2 3" xfId="27802" xr:uid="{00000000-0005-0000-0000-0000FB5E0000}"/>
    <cellStyle name="Output 6 2 2 2 4 2 4" xfId="27804" xr:uid="{00000000-0005-0000-0000-0000FC5E0000}"/>
    <cellStyle name="Output 6 2 2 2 4 3" xfId="822" xr:uid="{00000000-0005-0000-0000-0000FD5E0000}"/>
    <cellStyle name="Output 6 2 2 2 4 4" xfId="21199" xr:uid="{00000000-0005-0000-0000-0000FE5E0000}"/>
    <cellStyle name="Output 6 2 2 2 4 5" xfId="21205" xr:uid="{00000000-0005-0000-0000-0000FF5E0000}"/>
    <cellStyle name="Output 6 2 2 2 5" xfId="27807" xr:uid="{00000000-0005-0000-0000-0000005F0000}"/>
    <cellStyle name="Output 6 2 2 2 5 2" xfId="27809" xr:uid="{00000000-0005-0000-0000-0000015F0000}"/>
    <cellStyle name="Output 6 2 2 2 5 3" xfId="17386" xr:uid="{00000000-0005-0000-0000-0000025F0000}"/>
    <cellStyle name="Output 6 2 2 2 5 4" xfId="17391" xr:uid="{00000000-0005-0000-0000-0000035F0000}"/>
    <cellStyle name="Output 6 2 2 2 6" xfId="27811" xr:uid="{00000000-0005-0000-0000-0000045F0000}"/>
    <cellStyle name="Output 6 2 2 2 7" xfId="27813" xr:uid="{00000000-0005-0000-0000-0000055F0000}"/>
    <cellStyle name="Output 6 2 2 2 8" xfId="27815" xr:uid="{00000000-0005-0000-0000-0000065F0000}"/>
    <cellStyle name="Output 6 2 2 3" xfId="4535" xr:uid="{00000000-0005-0000-0000-0000075F0000}"/>
    <cellStyle name="Output 6 2 2 3 2" xfId="10212" xr:uid="{00000000-0005-0000-0000-0000085F0000}"/>
    <cellStyle name="Output 6 2 2 3 2 2" xfId="1568" xr:uid="{00000000-0005-0000-0000-0000095F0000}"/>
    <cellStyle name="Output 6 2 2 3 2 2 2" xfId="27816" xr:uid="{00000000-0005-0000-0000-00000A5F0000}"/>
    <cellStyle name="Output 6 2 2 3 2 2 2 2" xfId="27817" xr:uid="{00000000-0005-0000-0000-00000B5F0000}"/>
    <cellStyle name="Output 6 2 2 3 2 2 2 3" xfId="27818" xr:uid="{00000000-0005-0000-0000-00000C5F0000}"/>
    <cellStyle name="Output 6 2 2 3 2 2 2 4" xfId="27820" xr:uid="{00000000-0005-0000-0000-00000D5F0000}"/>
    <cellStyle name="Output 6 2 2 3 2 2 3" xfId="27821" xr:uid="{00000000-0005-0000-0000-00000E5F0000}"/>
    <cellStyle name="Output 6 2 2 3 2 2 4" xfId="27823" xr:uid="{00000000-0005-0000-0000-00000F5F0000}"/>
    <cellStyle name="Output 6 2 2 3 2 2 5" xfId="27825" xr:uid="{00000000-0005-0000-0000-0000105F0000}"/>
    <cellStyle name="Output 6 2 2 3 2 3" xfId="1587" xr:uid="{00000000-0005-0000-0000-0000115F0000}"/>
    <cellStyle name="Output 6 2 2 3 2 3 2" xfId="1605" xr:uid="{00000000-0005-0000-0000-0000125F0000}"/>
    <cellStyle name="Output 6 2 2 3 2 3 3" xfId="15163" xr:uid="{00000000-0005-0000-0000-0000135F0000}"/>
    <cellStyle name="Output 6 2 2 3 2 3 4" xfId="15167" xr:uid="{00000000-0005-0000-0000-0000145F0000}"/>
    <cellStyle name="Output 6 2 2 3 2 4" xfId="1614" xr:uid="{00000000-0005-0000-0000-0000155F0000}"/>
    <cellStyle name="Output 6 2 2 3 2 5" xfId="1626" xr:uid="{00000000-0005-0000-0000-0000165F0000}"/>
    <cellStyle name="Output 6 2 2 3 2 6" xfId="1112" xr:uid="{00000000-0005-0000-0000-0000175F0000}"/>
    <cellStyle name="Output 6 2 2 3 3" xfId="10220" xr:uid="{00000000-0005-0000-0000-0000185F0000}"/>
    <cellStyle name="Output 6 2 2 3 3 2" xfId="6151" xr:uid="{00000000-0005-0000-0000-0000195F0000}"/>
    <cellStyle name="Output 6 2 2 3 3 2 2" xfId="21098" xr:uid="{00000000-0005-0000-0000-00001A5F0000}"/>
    <cellStyle name="Output 6 2 2 3 3 2 3" xfId="21102" xr:uid="{00000000-0005-0000-0000-00001B5F0000}"/>
    <cellStyle name="Output 6 2 2 3 3 2 4" xfId="27826" xr:uid="{00000000-0005-0000-0000-00001C5F0000}"/>
    <cellStyle name="Output 6 2 2 3 3 3" xfId="6166" xr:uid="{00000000-0005-0000-0000-00001D5F0000}"/>
    <cellStyle name="Output 6 2 2 3 3 4" xfId="15171" xr:uid="{00000000-0005-0000-0000-00001E5F0000}"/>
    <cellStyle name="Output 6 2 2 3 3 5" xfId="15177" xr:uid="{00000000-0005-0000-0000-00001F5F0000}"/>
    <cellStyle name="Output 6 2 2 3 4" xfId="11707" xr:uid="{00000000-0005-0000-0000-0000205F0000}"/>
    <cellStyle name="Output 6 2 2 3 4 2" xfId="6201" xr:uid="{00000000-0005-0000-0000-0000215F0000}"/>
    <cellStyle name="Output 6 2 2 3 4 3" xfId="17876" xr:uid="{00000000-0005-0000-0000-0000225F0000}"/>
    <cellStyle name="Output 6 2 2 3 4 4" xfId="17882" xr:uid="{00000000-0005-0000-0000-0000235F0000}"/>
    <cellStyle name="Output 6 2 2 3 5" xfId="16364" xr:uid="{00000000-0005-0000-0000-0000245F0000}"/>
    <cellStyle name="Output 6 2 2 3 6" xfId="27829" xr:uid="{00000000-0005-0000-0000-0000255F0000}"/>
    <cellStyle name="Output 6 2 2 3 7" xfId="677" xr:uid="{00000000-0005-0000-0000-0000265F0000}"/>
    <cellStyle name="Output 6 2 2 4" xfId="4512" xr:uid="{00000000-0005-0000-0000-0000275F0000}"/>
    <cellStyle name="Output 6 2 2 4 2" xfId="8158" xr:uid="{00000000-0005-0000-0000-0000285F0000}"/>
    <cellStyle name="Output 6 2 2 4 2 2" xfId="1714" xr:uid="{00000000-0005-0000-0000-0000295F0000}"/>
    <cellStyle name="Output 6 2 2 4 2 2 2" xfId="27830" xr:uid="{00000000-0005-0000-0000-00002A5F0000}"/>
    <cellStyle name="Output 6 2 2 4 2 2 3" xfId="27831" xr:uid="{00000000-0005-0000-0000-00002B5F0000}"/>
    <cellStyle name="Output 6 2 2 4 2 2 4" xfId="27832" xr:uid="{00000000-0005-0000-0000-00002C5F0000}"/>
    <cellStyle name="Output 6 2 2 4 2 3" xfId="1751" xr:uid="{00000000-0005-0000-0000-00002D5F0000}"/>
    <cellStyle name="Output 6 2 2 4 2 4" xfId="1774" xr:uid="{00000000-0005-0000-0000-00002E5F0000}"/>
    <cellStyle name="Output 6 2 2 4 2 5" xfId="1801" xr:uid="{00000000-0005-0000-0000-00002F5F0000}"/>
    <cellStyle name="Output 6 2 2 4 3" xfId="27833" xr:uid="{00000000-0005-0000-0000-0000305F0000}"/>
    <cellStyle name="Output 6 2 2 4 3 2" xfId="4324" xr:uid="{00000000-0005-0000-0000-0000315F0000}"/>
    <cellStyle name="Output 6 2 2 4 3 3" xfId="25860" xr:uid="{00000000-0005-0000-0000-0000325F0000}"/>
    <cellStyle name="Output 6 2 2 4 3 4" xfId="27834" xr:uid="{00000000-0005-0000-0000-0000335F0000}"/>
    <cellStyle name="Output 6 2 2 4 4" xfId="27836" xr:uid="{00000000-0005-0000-0000-0000345F0000}"/>
    <cellStyle name="Output 6 2 2 4 5" xfId="27838" xr:uid="{00000000-0005-0000-0000-0000355F0000}"/>
    <cellStyle name="Output 6 2 2 4 6" xfId="27841" xr:uid="{00000000-0005-0000-0000-0000365F0000}"/>
    <cellStyle name="Output 6 2 2 5" xfId="27842" xr:uid="{00000000-0005-0000-0000-0000375F0000}"/>
    <cellStyle name="Output 6 2 2 5 2" xfId="27843" xr:uid="{00000000-0005-0000-0000-0000385F0000}"/>
    <cellStyle name="Output 6 2 2 5 2 2" xfId="979" xr:uid="{00000000-0005-0000-0000-0000395F0000}"/>
    <cellStyle name="Output 6 2 2 5 2 3" xfId="27844" xr:uid="{00000000-0005-0000-0000-00003A5F0000}"/>
    <cellStyle name="Output 6 2 2 5 2 4" xfId="27845" xr:uid="{00000000-0005-0000-0000-00003B5F0000}"/>
    <cellStyle name="Output 6 2 2 5 3" xfId="27846" xr:uid="{00000000-0005-0000-0000-00003C5F0000}"/>
    <cellStyle name="Output 6 2 2 5 4" xfId="27847" xr:uid="{00000000-0005-0000-0000-00003D5F0000}"/>
    <cellStyle name="Output 6 2 2 5 5" xfId="27848" xr:uid="{00000000-0005-0000-0000-00003E5F0000}"/>
    <cellStyle name="Output 6 2 2 6" xfId="27850" xr:uid="{00000000-0005-0000-0000-00003F5F0000}"/>
    <cellStyle name="Output 6 2 2 6 2" xfId="27851" xr:uid="{00000000-0005-0000-0000-0000405F0000}"/>
    <cellStyle name="Output 6 2 2 6 3" xfId="27852" xr:uid="{00000000-0005-0000-0000-0000415F0000}"/>
    <cellStyle name="Output 6 2 2 6 4" xfId="27853" xr:uid="{00000000-0005-0000-0000-0000425F0000}"/>
    <cellStyle name="Output 6 2 2 7" xfId="27855" xr:uid="{00000000-0005-0000-0000-0000435F0000}"/>
    <cellStyle name="Output 6 2 2 8" xfId="27857" xr:uid="{00000000-0005-0000-0000-0000445F0000}"/>
    <cellStyle name="Output 6 2 2 9" xfId="27858" xr:uid="{00000000-0005-0000-0000-0000455F0000}"/>
    <cellStyle name="Output 6 2 3" xfId="1742" xr:uid="{00000000-0005-0000-0000-0000465F0000}"/>
    <cellStyle name="Output 6 2 3 2" xfId="27859" xr:uid="{00000000-0005-0000-0000-0000475F0000}"/>
    <cellStyle name="Output 6 2 3 2 2" xfId="23866" xr:uid="{00000000-0005-0000-0000-0000485F0000}"/>
    <cellStyle name="Output 6 2 3 2 2 2" xfId="5354" xr:uid="{00000000-0005-0000-0000-0000495F0000}"/>
    <cellStyle name="Output 6 2 3 2 2 2 2" xfId="27860" xr:uid="{00000000-0005-0000-0000-00004A5F0000}"/>
    <cellStyle name="Output 6 2 3 2 2 2 2 2" xfId="27861" xr:uid="{00000000-0005-0000-0000-00004B5F0000}"/>
    <cellStyle name="Output 6 2 3 2 2 2 2 2 2" xfId="27862" xr:uid="{00000000-0005-0000-0000-00004C5F0000}"/>
    <cellStyle name="Output 6 2 3 2 2 2 2 2 3" xfId="27863" xr:uid="{00000000-0005-0000-0000-00004D5F0000}"/>
    <cellStyle name="Output 6 2 3 2 2 2 2 2 4" xfId="27864" xr:uid="{00000000-0005-0000-0000-00004E5F0000}"/>
    <cellStyle name="Output 6 2 3 2 2 2 2 3" xfId="27865" xr:uid="{00000000-0005-0000-0000-00004F5F0000}"/>
    <cellStyle name="Output 6 2 3 2 2 2 2 4" xfId="27866" xr:uid="{00000000-0005-0000-0000-0000505F0000}"/>
    <cellStyle name="Output 6 2 3 2 2 2 2 5" xfId="25887" xr:uid="{00000000-0005-0000-0000-0000515F0000}"/>
    <cellStyle name="Output 6 2 3 2 2 2 3" xfId="27867" xr:uid="{00000000-0005-0000-0000-0000525F0000}"/>
    <cellStyle name="Output 6 2 3 2 2 2 3 2" xfId="27868" xr:uid="{00000000-0005-0000-0000-0000535F0000}"/>
    <cellStyle name="Output 6 2 3 2 2 2 3 3" xfId="27869" xr:uid="{00000000-0005-0000-0000-0000545F0000}"/>
    <cellStyle name="Output 6 2 3 2 2 2 3 4" xfId="27870" xr:uid="{00000000-0005-0000-0000-0000555F0000}"/>
    <cellStyle name="Output 6 2 3 2 2 2 4" xfId="27871" xr:uid="{00000000-0005-0000-0000-0000565F0000}"/>
    <cellStyle name="Output 6 2 3 2 2 2 5" xfId="27872" xr:uid="{00000000-0005-0000-0000-0000575F0000}"/>
    <cellStyle name="Output 6 2 3 2 2 2 6" xfId="27873" xr:uid="{00000000-0005-0000-0000-0000585F0000}"/>
    <cellStyle name="Output 6 2 3 2 2 3" xfId="5358" xr:uid="{00000000-0005-0000-0000-0000595F0000}"/>
    <cellStyle name="Output 6 2 3 2 2 3 2" xfId="13504" xr:uid="{00000000-0005-0000-0000-00005A5F0000}"/>
    <cellStyle name="Output 6 2 3 2 2 3 2 2" xfId="27874" xr:uid="{00000000-0005-0000-0000-00005B5F0000}"/>
    <cellStyle name="Output 6 2 3 2 2 3 2 3" xfId="27875" xr:uid="{00000000-0005-0000-0000-00005C5F0000}"/>
    <cellStyle name="Output 6 2 3 2 2 3 2 4" xfId="27876" xr:uid="{00000000-0005-0000-0000-00005D5F0000}"/>
    <cellStyle name="Output 6 2 3 2 2 3 3" xfId="13506" xr:uid="{00000000-0005-0000-0000-00005E5F0000}"/>
    <cellStyle name="Output 6 2 3 2 2 3 4" xfId="27877" xr:uid="{00000000-0005-0000-0000-00005F5F0000}"/>
    <cellStyle name="Output 6 2 3 2 2 3 5" xfId="27878" xr:uid="{00000000-0005-0000-0000-0000605F0000}"/>
    <cellStyle name="Output 6 2 3 2 2 4" xfId="5366" xr:uid="{00000000-0005-0000-0000-0000615F0000}"/>
    <cellStyle name="Output 6 2 3 2 2 4 2" xfId="27879" xr:uid="{00000000-0005-0000-0000-0000625F0000}"/>
    <cellStyle name="Output 6 2 3 2 2 4 3" xfId="27880" xr:uid="{00000000-0005-0000-0000-0000635F0000}"/>
    <cellStyle name="Output 6 2 3 2 2 4 4" xfId="27881" xr:uid="{00000000-0005-0000-0000-0000645F0000}"/>
    <cellStyle name="Output 6 2 3 2 2 5" xfId="27882" xr:uid="{00000000-0005-0000-0000-0000655F0000}"/>
    <cellStyle name="Output 6 2 3 2 2 6" xfId="27883" xr:uid="{00000000-0005-0000-0000-0000665F0000}"/>
    <cellStyle name="Output 6 2 3 2 2 7" xfId="27884" xr:uid="{00000000-0005-0000-0000-0000675F0000}"/>
    <cellStyle name="Output 6 2 3 2 3" xfId="23868" xr:uid="{00000000-0005-0000-0000-0000685F0000}"/>
    <cellStyle name="Output 6 2 3 2 3 2" xfId="5399" xr:uid="{00000000-0005-0000-0000-0000695F0000}"/>
    <cellStyle name="Output 6 2 3 2 3 2 2" xfId="27885" xr:uid="{00000000-0005-0000-0000-00006A5F0000}"/>
    <cellStyle name="Output 6 2 3 2 3 2 2 2" xfId="27886" xr:uid="{00000000-0005-0000-0000-00006B5F0000}"/>
    <cellStyle name="Output 6 2 3 2 3 2 2 3" xfId="19785" xr:uid="{00000000-0005-0000-0000-00006C5F0000}"/>
    <cellStyle name="Output 6 2 3 2 3 2 2 4" xfId="19795" xr:uid="{00000000-0005-0000-0000-00006D5F0000}"/>
    <cellStyle name="Output 6 2 3 2 3 2 3" xfId="27887" xr:uid="{00000000-0005-0000-0000-00006E5F0000}"/>
    <cellStyle name="Output 6 2 3 2 3 2 4" xfId="27888" xr:uid="{00000000-0005-0000-0000-00006F5F0000}"/>
    <cellStyle name="Output 6 2 3 2 3 2 5" xfId="27889" xr:uid="{00000000-0005-0000-0000-0000705F0000}"/>
    <cellStyle name="Output 6 2 3 2 3 3" xfId="5407" xr:uid="{00000000-0005-0000-0000-0000715F0000}"/>
    <cellStyle name="Output 6 2 3 2 3 3 2" xfId="17450" xr:uid="{00000000-0005-0000-0000-0000725F0000}"/>
    <cellStyle name="Output 6 2 3 2 3 3 3" xfId="27890" xr:uid="{00000000-0005-0000-0000-0000735F0000}"/>
    <cellStyle name="Output 6 2 3 2 3 3 4" xfId="27891" xr:uid="{00000000-0005-0000-0000-0000745F0000}"/>
    <cellStyle name="Output 6 2 3 2 3 4" xfId="1393" xr:uid="{00000000-0005-0000-0000-0000755F0000}"/>
    <cellStyle name="Output 6 2 3 2 3 5" xfId="5105" xr:uid="{00000000-0005-0000-0000-0000765F0000}"/>
    <cellStyle name="Output 6 2 3 2 3 6" xfId="7075" xr:uid="{00000000-0005-0000-0000-0000775F0000}"/>
    <cellStyle name="Output 6 2 3 2 4" xfId="23871" xr:uid="{00000000-0005-0000-0000-0000785F0000}"/>
    <cellStyle name="Output 6 2 3 2 4 2" xfId="946" xr:uid="{00000000-0005-0000-0000-0000795F0000}"/>
    <cellStyle name="Output 6 2 3 2 4 2 2" xfId="27892" xr:uid="{00000000-0005-0000-0000-00007A5F0000}"/>
    <cellStyle name="Output 6 2 3 2 4 2 3" xfId="27893" xr:uid="{00000000-0005-0000-0000-00007B5F0000}"/>
    <cellStyle name="Output 6 2 3 2 4 2 4" xfId="27894" xr:uid="{00000000-0005-0000-0000-00007C5F0000}"/>
    <cellStyle name="Output 6 2 3 2 4 3" xfId="954" xr:uid="{00000000-0005-0000-0000-00007D5F0000}"/>
    <cellStyle name="Output 6 2 3 2 4 4" xfId="27896" xr:uid="{00000000-0005-0000-0000-00007E5F0000}"/>
    <cellStyle name="Output 6 2 3 2 4 5" xfId="27897" xr:uid="{00000000-0005-0000-0000-00007F5F0000}"/>
    <cellStyle name="Output 6 2 3 2 5" xfId="27899" xr:uid="{00000000-0005-0000-0000-0000805F0000}"/>
    <cellStyle name="Output 6 2 3 2 5 2" xfId="20729" xr:uid="{00000000-0005-0000-0000-0000815F0000}"/>
    <cellStyle name="Output 6 2 3 2 5 3" xfId="21642" xr:uid="{00000000-0005-0000-0000-0000825F0000}"/>
    <cellStyle name="Output 6 2 3 2 5 4" xfId="21644" xr:uid="{00000000-0005-0000-0000-0000835F0000}"/>
    <cellStyle name="Output 6 2 3 2 6" xfId="27901" xr:uid="{00000000-0005-0000-0000-0000845F0000}"/>
    <cellStyle name="Output 6 2 3 2 7" xfId="16710" xr:uid="{00000000-0005-0000-0000-0000855F0000}"/>
    <cellStyle name="Output 6 2 3 2 8" xfId="16714" xr:uid="{00000000-0005-0000-0000-0000865F0000}"/>
    <cellStyle name="Output 6 2 3 3" xfId="27902" xr:uid="{00000000-0005-0000-0000-0000875F0000}"/>
    <cellStyle name="Output 6 2 3 3 2" xfId="10364" xr:uid="{00000000-0005-0000-0000-0000885F0000}"/>
    <cellStyle name="Output 6 2 3 3 2 2" xfId="5539" xr:uid="{00000000-0005-0000-0000-0000895F0000}"/>
    <cellStyle name="Output 6 2 3 3 2 2 2" xfId="27903" xr:uid="{00000000-0005-0000-0000-00008A5F0000}"/>
    <cellStyle name="Output 6 2 3 3 2 2 2 2" xfId="27904" xr:uid="{00000000-0005-0000-0000-00008B5F0000}"/>
    <cellStyle name="Output 6 2 3 3 2 2 2 3" xfId="27906" xr:uid="{00000000-0005-0000-0000-00008C5F0000}"/>
    <cellStyle name="Output 6 2 3 3 2 2 2 4" xfId="27908" xr:uid="{00000000-0005-0000-0000-00008D5F0000}"/>
    <cellStyle name="Output 6 2 3 3 2 2 3" xfId="27909" xr:uid="{00000000-0005-0000-0000-00008E5F0000}"/>
    <cellStyle name="Output 6 2 3 3 2 2 4" xfId="27910" xr:uid="{00000000-0005-0000-0000-00008F5F0000}"/>
    <cellStyle name="Output 6 2 3 3 2 2 5" xfId="27911" xr:uid="{00000000-0005-0000-0000-0000905F0000}"/>
    <cellStyle name="Output 6 2 3 3 2 3" xfId="5546" xr:uid="{00000000-0005-0000-0000-0000915F0000}"/>
    <cellStyle name="Output 6 2 3 3 2 3 2" xfId="15261" xr:uid="{00000000-0005-0000-0000-0000925F0000}"/>
    <cellStyle name="Output 6 2 3 3 2 3 3" xfId="15263" xr:uid="{00000000-0005-0000-0000-0000935F0000}"/>
    <cellStyle name="Output 6 2 3 3 2 3 4" xfId="5156" xr:uid="{00000000-0005-0000-0000-0000945F0000}"/>
    <cellStyle name="Output 6 2 3 3 2 4" xfId="5554" xr:uid="{00000000-0005-0000-0000-0000955F0000}"/>
    <cellStyle name="Output 6 2 3 3 2 5" xfId="14781" xr:uid="{00000000-0005-0000-0000-0000965F0000}"/>
    <cellStyle name="Output 6 2 3 3 2 6" xfId="14784" xr:uid="{00000000-0005-0000-0000-0000975F0000}"/>
    <cellStyle name="Output 6 2 3 3 3" xfId="23875" xr:uid="{00000000-0005-0000-0000-0000985F0000}"/>
    <cellStyle name="Output 6 2 3 3 3 2" xfId="5588" xr:uid="{00000000-0005-0000-0000-0000995F0000}"/>
    <cellStyle name="Output 6 2 3 3 3 2 2" xfId="21153" xr:uid="{00000000-0005-0000-0000-00009A5F0000}"/>
    <cellStyle name="Output 6 2 3 3 3 2 3" xfId="27912" xr:uid="{00000000-0005-0000-0000-00009B5F0000}"/>
    <cellStyle name="Output 6 2 3 3 3 2 4" xfId="27913" xr:uid="{00000000-0005-0000-0000-00009C5F0000}"/>
    <cellStyle name="Output 6 2 3 3 3 3" xfId="5601" xr:uid="{00000000-0005-0000-0000-00009D5F0000}"/>
    <cellStyle name="Output 6 2 3 3 3 4" xfId="6551" xr:uid="{00000000-0005-0000-0000-00009E5F0000}"/>
    <cellStyle name="Output 6 2 3 3 3 5" xfId="6567" xr:uid="{00000000-0005-0000-0000-00009F5F0000}"/>
    <cellStyle name="Output 6 2 3 3 4" xfId="27915" xr:uid="{00000000-0005-0000-0000-0000A05F0000}"/>
    <cellStyle name="Output 6 2 3 3 4 2" xfId="8107" xr:uid="{00000000-0005-0000-0000-0000A15F0000}"/>
    <cellStyle name="Output 6 2 3 3 4 3" xfId="27916" xr:uid="{00000000-0005-0000-0000-0000A25F0000}"/>
    <cellStyle name="Output 6 2 3 3 4 4" xfId="27917" xr:uid="{00000000-0005-0000-0000-0000A35F0000}"/>
    <cellStyle name="Output 6 2 3 3 5" xfId="27919" xr:uid="{00000000-0005-0000-0000-0000A45F0000}"/>
    <cellStyle name="Output 6 2 3 3 6" xfId="27922" xr:uid="{00000000-0005-0000-0000-0000A55F0000}"/>
    <cellStyle name="Output 6 2 3 3 7" xfId="16729" xr:uid="{00000000-0005-0000-0000-0000A65F0000}"/>
    <cellStyle name="Output 6 2 3 4" xfId="27923" xr:uid="{00000000-0005-0000-0000-0000A75F0000}"/>
    <cellStyle name="Output 6 2 3 4 2" xfId="27924" xr:uid="{00000000-0005-0000-0000-0000A85F0000}"/>
    <cellStyle name="Output 6 2 3 4 2 2" xfId="3913" xr:uid="{00000000-0005-0000-0000-0000A95F0000}"/>
    <cellStyle name="Output 6 2 3 4 2 2 2" xfId="27925" xr:uid="{00000000-0005-0000-0000-0000AA5F0000}"/>
    <cellStyle name="Output 6 2 3 4 2 2 3" xfId="27926" xr:uid="{00000000-0005-0000-0000-0000AB5F0000}"/>
    <cellStyle name="Output 6 2 3 4 2 2 4" xfId="27927" xr:uid="{00000000-0005-0000-0000-0000AC5F0000}"/>
    <cellStyle name="Output 6 2 3 4 2 3" xfId="2470" xr:uid="{00000000-0005-0000-0000-0000AD5F0000}"/>
    <cellStyle name="Output 6 2 3 4 2 4" xfId="183" xr:uid="{00000000-0005-0000-0000-0000AE5F0000}"/>
    <cellStyle name="Output 6 2 3 4 2 5" xfId="2687" xr:uid="{00000000-0005-0000-0000-0000AF5F0000}"/>
    <cellStyle name="Output 6 2 3 4 3" xfId="27928" xr:uid="{00000000-0005-0000-0000-0000B05F0000}"/>
    <cellStyle name="Output 6 2 3 4 3 2" xfId="8220" xr:uid="{00000000-0005-0000-0000-0000B15F0000}"/>
    <cellStyle name="Output 6 2 3 4 3 3" xfId="83" xr:uid="{00000000-0005-0000-0000-0000B25F0000}"/>
    <cellStyle name="Output 6 2 3 4 3 4" xfId="2834" xr:uid="{00000000-0005-0000-0000-0000B35F0000}"/>
    <cellStyle name="Output 6 2 3 4 4" xfId="27929" xr:uid="{00000000-0005-0000-0000-0000B45F0000}"/>
    <cellStyle name="Output 6 2 3 4 5" xfId="27931" xr:uid="{00000000-0005-0000-0000-0000B55F0000}"/>
    <cellStyle name="Output 6 2 3 4 6" xfId="27933" xr:uid="{00000000-0005-0000-0000-0000B65F0000}"/>
    <cellStyle name="Output 6 2 3 5" xfId="27934" xr:uid="{00000000-0005-0000-0000-0000B75F0000}"/>
    <cellStyle name="Output 6 2 3 5 2" xfId="27935" xr:uid="{00000000-0005-0000-0000-0000B85F0000}"/>
    <cellStyle name="Output 6 2 3 5 2 2" xfId="8299" xr:uid="{00000000-0005-0000-0000-0000B95F0000}"/>
    <cellStyle name="Output 6 2 3 5 2 3" xfId="3024" xr:uid="{00000000-0005-0000-0000-0000BA5F0000}"/>
    <cellStyle name="Output 6 2 3 5 2 4" xfId="3074" xr:uid="{00000000-0005-0000-0000-0000BB5F0000}"/>
    <cellStyle name="Output 6 2 3 5 3" xfId="27936" xr:uid="{00000000-0005-0000-0000-0000BC5F0000}"/>
    <cellStyle name="Output 6 2 3 5 4" xfId="27937" xr:uid="{00000000-0005-0000-0000-0000BD5F0000}"/>
    <cellStyle name="Output 6 2 3 5 5" xfId="27938" xr:uid="{00000000-0005-0000-0000-0000BE5F0000}"/>
    <cellStyle name="Output 6 2 3 6" xfId="27939" xr:uid="{00000000-0005-0000-0000-0000BF5F0000}"/>
    <cellStyle name="Output 6 2 3 6 2" xfId="27940" xr:uid="{00000000-0005-0000-0000-0000C05F0000}"/>
    <cellStyle name="Output 6 2 3 6 3" xfId="27941" xr:uid="{00000000-0005-0000-0000-0000C15F0000}"/>
    <cellStyle name="Output 6 2 3 6 4" xfId="27942" xr:uid="{00000000-0005-0000-0000-0000C25F0000}"/>
    <cellStyle name="Output 6 2 3 7" xfId="27943" xr:uid="{00000000-0005-0000-0000-0000C35F0000}"/>
    <cellStyle name="Output 6 2 3 8" xfId="27944" xr:uid="{00000000-0005-0000-0000-0000C45F0000}"/>
    <cellStyle name="Output 6 2 3 9" xfId="27945" xr:uid="{00000000-0005-0000-0000-0000C55F0000}"/>
    <cellStyle name="Output 6 2 4" xfId="1769" xr:uid="{00000000-0005-0000-0000-0000C65F0000}"/>
    <cellStyle name="Output 6 2 4 2" xfId="27946" xr:uid="{00000000-0005-0000-0000-0000C75F0000}"/>
    <cellStyle name="Output 6 2 4 2 2" xfId="23889" xr:uid="{00000000-0005-0000-0000-0000C85F0000}"/>
    <cellStyle name="Output 6 2 4 2 2 2" xfId="534" xr:uid="{00000000-0005-0000-0000-0000C95F0000}"/>
    <cellStyle name="Output 6 2 4 2 2 2 2" xfId="13532" xr:uid="{00000000-0005-0000-0000-0000CA5F0000}"/>
    <cellStyle name="Output 6 2 4 2 2 2 2 2" xfId="27947" xr:uid="{00000000-0005-0000-0000-0000CB5F0000}"/>
    <cellStyle name="Output 6 2 4 2 2 2 2 3" xfId="27948" xr:uid="{00000000-0005-0000-0000-0000CC5F0000}"/>
    <cellStyle name="Output 6 2 4 2 2 2 2 4" xfId="27949" xr:uid="{00000000-0005-0000-0000-0000CD5F0000}"/>
    <cellStyle name="Output 6 2 4 2 2 2 3" xfId="27950" xr:uid="{00000000-0005-0000-0000-0000CE5F0000}"/>
    <cellStyle name="Output 6 2 4 2 2 2 4" xfId="27951" xr:uid="{00000000-0005-0000-0000-0000CF5F0000}"/>
    <cellStyle name="Output 6 2 4 2 2 2 5" xfId="27952" xr:uid="{00000000-0005-0000-0000-0000D05F0000}"/>
    <cellStyle name="Output 6 2 4 2 2 3" xfId="593" xr:uid="{00000000-0005-0000-0000-0000D15F0000}"/>
    <cellStyle name="Output 6 2 4 2 2 3 2" xfId="27953" xr:uid="{00000000-0005-0000-0000-0000D25F0000}"/>
    <cellStyle name="Output 6 2 4 2 2 3 3" xfId="27954" xr:uid="{00000000-0005-0000-0000-0000D35F0000}"/>
    <cellStyle name="Output 6 2 4 2 2 3 4" xfId="27955" xr:uid="{00000000-0005-0000-0000-0000D45F0000}"/>
    <cellStyle name="Output 6 2 4 2 2 4" xfId="5900" xr:uid="{00000000-0005-0000-0000-0000D55F0000}"/>
    <cellStyle name="Output 6 2 4 2 2 5" xfId="27956" xr:uid="{00000000-0005-0000-0000-0000D65F0000}"/>
    <cellStyle name="Output 6 2 4 2 2 6" xfId="27957" xr:uid="{00000000-0005-0000-0000-0000D75F0000}"/>
    <cellStyle name="Output 6 2 4 2 3" xfId="23892" xr:uid="{00000000-0005-0000-0000-0000D85F0000}"/>
    <cellStyle name="Output 6 2 4 2 3 2" xfId="2735" xr:uid="{00000000-0005-0000-0000-0000D95F0000}"/>
    <cellStyle name="Output 6 2 4 2 3 2 2" xfId="27959" xr:uid="{00000000-0005-0000-0000-0000DA5F0000}"/>
    <cellStyle name="Output 6 2 4 2 3 2 3" xfId="27961" xr:uid="{00000000-0005-0000-0000-0000DB5F0000}"/>
    <cellStyle name="Output 6 2 4 2 3 2 4" xfId="27963" xr:uid="{00000000-0005-0000-0000-0000DC5F0000}"/>
    <cellStyle name="Output 6 2 4 2 3 3" xfId="5935" xr:uid="{00000000-0005-0000-0000-0000DD5F0000}"/>
    <cellStyle name="Output 6 2 4 2 3 4" xfId="27965" xr:uid="{00000000-0005-0000-0000-0000DE5F0000}"/>
    <cellStyle name="Output 6 2 4 2 3 5" xfId="27967" xr:uid="{00000000-0005-0000-0000-0000DF5F0000}"/>
    <cellStyle name="Output 6 2 4 2 4" xfId="27970" xr:uid="{00000000-0005-0000-0000-0000E05F0000}"/>
    <cellStyle name="Output 6 2 4 2 4 2" xfId="1068" xr:uid="{00000000-0005-0000-0000-0000E15F0000}"/>
    <cellStyle name="Output 6 2 4 2 4 3" xfId="1080" xr:uid="{00000000-0005-0000-0000-0000E25F0000}"/>
    <cellStyle name="Output 6 2 4 2 4 4" xfId="27972" xr:uid="{00000000-0005-0000-0000-0000E35F0000}"/>
    <cellStyle name="Output 6 2 4 2 5" xfId="27975" xr:uid="{00000000-0005-0000-0000-0000E45F0000}"/>
    <cellStyle name="Output 6 2 4 2 6" xfId="27978" xr:uid="{00000000-0005-0000-0000-0000E55F0000}"/>
    <cellStyle name="Output 6 2 4 2 7" xfId="16752" xr:uid="{00000000-0005-0000-0000-0000E65F0000}"/>
    <cellStyle name="Output 6 2 4 3" xfId="27979" xr:uid="{00000000-0005-0000-0000-0000E75F0000}"/>
    <cellStyle name="Output 6 2 4 3 2" xfId="27980" xr:uid="{00000000-0005-0000-0000-0000E85F0000}"/>
    <cellStyle name="Output 6 2 4 3 2 2" xfId="2876" xr:uid="{00000000-0005-0000-0000-0000E95F0000}"/>
    <cellStyle name="Output 6 2 4 3 2 2 2" xfId="27981" xr:uid="{00000000-0005-0000-0000-0000EA5F0000}"/>
    <cellStyle name="Output 6 2 4 3 2 2 3" xfId="27982" xr:uid="{00000000-0005-0000-0000-0000EB5F0000}"/>
    <cellStyle name="Output 6 2 4 3 2 2 4" xfId="27983" xr:uid="{00000000-0005-0000-0000-0000EC5F0000}"/>
    <cellStyle name="Output 6 2 4 3 2 3" xfId="6057" xr:uid="{00000000-0005-0000-0000-0000ED5F0000}"/>
    <cellStyle name="Output 6 2 4 3 2 4" xfId="6065" xr:uid="{00000000-0005-0000-0000-0000EE5F0000}"/>
    <cellStyle name="Output 6 2 4 3 2 5" xfId="14829" xr:uid="{00000000-0005-0000-0000-0000EF5F0000}"/>
    <cellStyle name="Output 6 2 4 3 3" xfId="27985" xr:uid="{00000000-0005-0000-0000-0000F05F0000}"/>
    <cellStyle name="Output 6 2 4 3 3 2" xfId="6091" xr:uid="{00000000-0005-0000-0000-0000F15F0000}"/>
    <cellStyle name="Output 6 2 4 3 3 3" xfId="6109" xr:uid="{00000000-0005-0000-0000-0000F25F0000}"/>
    <cellStyle name="Output 6 2 4 3 3 4" xfId="27988" xr:uid="{00000000-0005-0000-0000-0000F35F0000}"/>
    <cellStyle name="Output 6 2 4 3 4" xfId="27990" xr:uid="{00000000-0005-0000-0000-0000F45F0000}"/>
    <cellStyle name="Output 6 2 4 3 5" xfId="27992" xr:uid="{00000000-0005-0000-0000-0000F55F0000}"/>
    <cellStyle name="Output 6 2 4 3 6" xfId="27994" xr:uid="{00000000-0005-0000-0000-0000F65F0000}"/>
    <cellStyle name="Output 6 2 4 4" xfId="27996" xr:uid="{00000000-0005-0000-0000-0000F75F0000}"/>
    <cellStyle name="Output 6 2 4 4 2" xfId="27997" xr:uid="{00000000-0005-0000-0000-0000F85F0000}"/>
    <cellStyle name="Output 6 2 4 4 2 2" xfId="756" xr:uid="{00000000-0005-0000-0000-0000F95F0000}"/>
    <cellStyle name="Output 6 2 4 4 2 3" xfId="2385" xr:uid="{00000000-0005-0000-0000-0000FA5F0000}"/>
    <cellStyle name="Output 6 2 4 4 2 4" xfId="2404" xr:uid="{00000000-0005-0000-0000-0000FB5F0000}"/>
    <cellStyle name="Output 6 2 4 4 3" xfId="27999" xr:uid="{00000000-0005-0000-0000-0000FC5F0000}"/>
    <cellStyle name="Output 6 2 4 4 4" xfId="28001" xr:uid="{00000000-0005-0000-0000-0000FD5F0000}"/>
    <cellStyle name="Output 6 2 4 4 5" xfId="28003" xr:uid="{00000000-0005-0000-0000-0000FE5F0000}"/>
    <cellStyle name="Output 6 2 4 5" xfId="28005" xr:uid="{00000000-0005-0000-0000-0000FF5F0000}"/>
    <cellStyle name="Output 6 2 4 5 2" xfId="28006" xr:uid="{00000000-0005-0000-0000-000000600000}"/>
    <cellStyle name="Output 6 2 4 5 3" xfId="28007" xr:uid="{00000000-0005-0000-0000-000001600000}"/>
    <cellStyle name="Output 6 2 4 5 4" xfId="28008" xr:uid="{00000000-0005-0000-0000-000002600000}"/>
    <cellStyle name="Output 6 2 4 6" xfId="28010" xr:uid="{00000000-0005-0000-0000-000003600000}"/>
    <cellStyle name="Output 6 2 4 7" xfId="28011" xr:uid="{00000000-0005-0000-0000-000004600000}"/>
    <cellStyle name="Output 6 2 4 8" xfId="28012" xr:uid="{00000000-0005-0000-0000-000005600000}"/>
    <cellStyle name="Output 6 2 5" xfId="1795" xr:uid="{00000000-0005-0000-0000-000006600000}"/>
    <cellStyle name="Output 6 2 5 2" xfId="10559" xr:uid="{00000000-0005-0000-0000-000007600000}"/>
    <cellStyle name="Output 6 2 5 2 2" xfId="28013" xr:uid="{00000000-0005-0000-0000-000008600000}"/>
    <cellStyle name="Output 6 2 5 2 2 2" xfId="3104" xr:uid="{00000000-0005-0000-0000-000009600000}"/>
    <cellStyle name="Output 6 2 5 2 2 2 2" xfId="14344" xr:uid="{00000000-0005-0000-0000-00000A600000}"/>
    <cellStyle name="Output 6 2 5 2 2 2 3" xfId="28014" xr:uid="{00000000-0005-0000-0000-00000B600000}"/>
    <cellStyle name="Output 6 2 5 2 2 2 4" xfId="28016" xr:uid="{00000000-0005-0000-0000-00000C600000}"/>
    <cellStyle name="Output 6 2 5 2 2 3" xfId="3113" xr:uid="{00000000-0005-0000-0000-00000D600000}"/>
    <cellStyle name="Output 6 2 5 2 2 4" xfId="6300" xr:uid="{00000000-0005-0000-0000-00000E600000}"/>
    <cellStyle name="Output 6 2 5 2 2 5" xfId="28017" xr:uid="{00000000-0005-0000-0000-00000F600000}"/>
    <cellStyle name="Output 6 2 5 2 3" xfId="19115" xr:uid="{00000000-0005-0000-0000-000010600000}"/>
    <cellStyle name="Output 6 2 5 2 3 2" xfId="3152" xr:uid="{00000000-0005-0000-0000-000011600000}"/>
    <cellStyle name="Output 6 2 5 2 3 3" xfId="6322" xr:uid="{00000000-0005-0000-0000-000012600000}"/>
    <cellStyle name="Output 6 2 5 2 3 4" xfId="28019" xr:uid="{00000000-0005-0000-0000-000013600000}"/>
    <cellStyle name="Output 6 2 5 2 4" xfId="9024" xr:uid="{00000000-0005-0000-0000-000014600000}"/>
    <cellStyle name="Output 6 2 5 2 5" xfId="9030" xr:uid="{00000000-0005-0000-0000-000015600000}"/>
    <cellStyle name="Output 6 2 5 2 6" xfId="9038" xr:uid="{00000000-0005-0000-0000-000016600000}"/>
    <cellStyle name="Output 6 2 5 3" xfId="10563" xr:uid="{00000000-0005-0000-0000-000017600000}"/>
    <cellStyle name="Output 6 2 5 3 2" xfId="28020" xr:uid="{00000000-0005-0000-0000-000018600000}"/>
    <cellStyle name="Output 6 2 5 3 2 2" xfId="628" xr:uid="{00000000-0005-0000-0000-000019600000}"/>
    <cellStyle name="Output 6 2 5 3 2 3" xfId="6371" xr:uid="{00000000-0005-0000-0000-00001A600000}"/>
    <cellStyle name="Output 6 2 5 3 2 4" xfId="9849" xr:uid="{00000000-0005-0000-0000-00001B600000}"/>
    <cellStyle name="Output 6 2 5 3 3" xfId="28022" xr:uid="{00000000-0005-0000-0000-00001C600000}"/>
    <cellStyle name="Output 6 2 5 3 4" xfId="9049" xr:uid="{00000000-0005-0000-0000-00001D600000}"/>
    <cellStyle name="Output 6 2 5 3 5" xfId="9052" xr:uid="{00000000-0005-0000-0000-00001E600000}"/>
    <cellStyle name="Output 6 2 5 4" xfId="10565" xr:uid="{00000000-0005-0000-0000-00001F600000}"/>
    <cellStyle name="Output 6 2 5 4 2" xfId="28023" xr:uid="{00000000-0005-0000-0000-000020600000}"/>
    <cellStyle name="Output 6 2 5 4 3" xfId="28024" xr:uid="{00000000-0005-0000-0000-000021600000}"/>
    <cellStyle name="Output 6 2 5 4 4" xfId="28025" xr:uid="{00000000-0005-0000-0000-000022600000}"/>
    <cellStyle name="Output 6 2 5 5" xfId="28026" xr:uid="{00000000-0005-0000-0000-000023600000}"/>
    <cellStyle name="Output 6 2 5 6" xfId="28027" xr:uid="{00000000-0005-0000-0000-000024600000}"/>
    <cellStyle name="Output 6 2 5 7" xfId="28028" xr:uid="{00000000-0005-0000-0000-000025600000}"/>
    <cellStyle name="Output 6 2 6" xfId="28030" xr:uid="{00000000-0005-0000-0000-000026600000}"/>
    <cellStyle name="Output 6 2 6 2" xfId="28031" xr:uid="{00000000-0005-0000-0000-000027600000}"/>
    <cellStyle name="Output 6 2 6 2 2" xfId="28032" xr:uid="{00000000-0005-0000-0000-000028600000}"/>
    <cellStyle name="Output 6 2 6 2 2 2" xfId="11590" xr:uid="{00000000-0005-0000-0000-000029600000}"/>
    <cellStyle name="Output 6 2 6 2 2 3" xfId="11595" xr:uid="{00000000-0005-0000-0000-00002A600000}"/>
    <cellStyle name="Output 6 2 6 2 2 4" xfId="11599" xr:uid="{00000000-0005-0000-0000-00002B600000}"/>
    <cellStyle name="Output 6 2 6 2 3" xfId="28034" xr:uid="{00000000-0005-0000-0000-00002C600000}"/>
    <cellStyle name="Output 6 2 6 2 4" xfId="9074" xr:uid="{00000000-0005-0000-0000-00002D600000}"/>
    <cellStyle name="Output 6 2 6 2 5" xfId="9077" xr:uid="{00000000-0005-0000-0000-00002E600000}"/>
    <cellStyle name="Output 6 2 6 3" xfId="28035" xr:uid="{00000000-0005-0000-0000-00002F600000}"/>
    <cellStyle name="Output 6 2 6 3 2" xfId="28036" xr:uid="{00000000-0005-0000-0000-000030600000}"/>
    <cellStyle name="Output 6 2 6 3 3" xfId="28037" xr:uid="{00000000-0005-0000-0000-000031600000}"/>
    <cellStyle name="Output 6 2 6 3 4" xfId="28038" xr:uid="{00000000-0005-0000-0000-000032600000}"/>
    <cellStyle name="Output 6 2 6 4" xfId="28039" xr:uid="{00000000-0005-0000-0000-000033600000}"/>
    <cellStyle name="Output 6 2 6 5" xfId="28040" xr:uid="{00000000-0005-0000-0000-000034600000}"/>
    <cellStyle name="Output 6 2 6 6" xfId="17613" xr:uid="{00000000-0005-0000-0000-000035600000}"/>
    <cellStyle name="Output 6 2 7" xfId="28042" xr:uid="{00000000-0005-0000-0000-000036600000}"/>
    <cellStyle name="Output 6 2 7 2" xfId="28043" xr:uid="{00000000-0005-0000-0000-000037600000}"/>
    <cellStyle name="Output 6 2 7 2 2" xfId="28044" xr:uid="{00000000-0005-0000-0000-000038600000}"/>
    <cellStyle name="Output 6 2 7 2 3" xfId="28045" xr:uid="{00000000-0005-0000-0000-000039600000}"/>
    <cellStyle name="Output 6 2 7 2 4" xfId="28046" xr:uid="{00000000-0005-0000-0000-00003A600000}"/>
    <cellStyle name="Output 6 2 7 3" xfId="28047" xr:uid="{00000000-0005-0000-0000-00003B600000}"/>
    <cellStyle name="Output 6 2 7 4" xfId="28048" xr:uid="{00000000-0005-0000-0000-00003C600000}"/>
    <cellStyle name="Output 6 2 7 5" xfId="28049" xr:uid="{00000000-0005-0000-0000-00003D600000}"/>
    <cellStyle name="Output 6 2 8" xfId="23026" xr:uid="{00000000-0005-0000-0000-00003E600000}"/>
    <cellStyle name="Output 6 2 8 2" xfId="28050" xr:uid="{00000000-0005-0000-0000-00003F600000}"/>
    <cellStyle name="Output 6 2 8 3" xfId="28051" xr:uid="{00000000-0005-0000-0000-000040600000}"/>
    <cellStyle name="Output 6 2 8 4" xfId="28052" xr:uid="{00000000-0005-0000-0000-000041600000}"/>
    <cellStyle name="Output 6 2 9" xfId="23028" xr:uid="{00000000-0005-0000-0000-000042600000}"/>
    <cellStyle name="Output 6 3" xfId="4537" xr:uid="{00000000-0005-0000-0000-000043600000}"/>
    <cellStyle name="Output 6 3 2" xfId="4313" xr:uid="{00000000-0005-0000-0000-000044600000}"/>
    <cellStyle name="Output 6 3 2 2" xfId="28053" xr:uid="{00000000-0005-0000-0000-000045600000}"/>
    <cellStyle name="Output 6 3 2 2 2" xfId="25535" xr:uid="{00000000-0005-0000-0000-000046600000}"/>
    <cellStyle name="Output 6 3 2 2 2 2" xfId="26624" xr:uid="{00000000-0005-0000-0000-000047600000}"/>
    <cellStyle name="Output 6 3 2 2 2 2 2" xfId="1760" xr:uid="{00000000-0005-0000-0000-000048600000}"/>
    <cellStyle name="Output 6 3 2 2 2 2 2 2" xfId="28054" xr:uid="{00000000-0005-0000-0000-000049600000}"/>
    <cellStyle name="Output 6 3 2 2 2 2 2 3" xfId="28055" xr:uid="{00000000-0005-0000-0000-00004A600000}"/>
    <cellStyle name="Output 6 3 2 2 2 2 2 4" xfId="28056" xr:uid="{00000000-0005-0000-0000-00004B600000}"/>
    <cellStyle name="Output 6 3 2 2 2 2 3" xfId="1783" xr:uid="{00000000-0005-0000-0000-00004C600000}"/>
    <cellStyle name="Output 6 3 2 2 2 2 4" xfId="28057" xr:uid="{00000000-0005-0000-0000-00004D600000}"/>
    <cellStyle name="Output 6 3 2 2 2 2 5" xfId="28058" xr:uid="{00000000-0005-0000-0000-00004E600000}"/>
    <cellStyle name="Output 6 3 2 2 2 3" xfId="26735" xr:uid="{00000000-0005-0000-0000-00004F600000}"/>
    <cellStyle name="Output 6 3 2 2 2 3 2" xfId="28059" xr:uid="{00000000-0005-0000-0000-000050600000}"/>
    <cellStyle name="Output 6 3 2 2 2 3 3" xfId="22450" xr:uid="{00000000-0005-0000-0000-000051600000}"/>
    <cellStyle name="Output 6 3 2 2 2 3 4" xfId="22452" xr:uid="{00000000-0005-0000-0000-000052600000}"/>
    <cellStyle name="Output 6 3 2 2 2 4" xfId="20960" xr:uid="{00000000-0005-0000-0000-000053600000}"/>
    <cellStyle name="Output 6 3 2 2 2 5" xfId="12589" xr:uid="{00000000-0005-0000-0000-000054600000}"/>
    <cellStyle name="Output 6 3 2 2 2 6" xfId="12597" xr:uid="{00000000-0005-0000-0000-000055600000}"/>
    <cellStyle name="Output 6 3 2 2 3" xfId="28060" xr:uid="{00000000-0005-0000-0000-000056600000}"/>
    <cellStyle name="Output 6 3 2 2 3 2" xfId="26739" xr:uid="{00000000-0005-0000-0000-000057600000}"/>
    <cellStyle name="Output 6 3 2 2 3 2 2" xfId="28061" xr:uid="{00000000-0005-0000-0000-000058600000}"/>
    <cellStyle name="Output 6 3 2 2 3 2 3" xfId="28062" xr:uid="{00000000-0005-0000-0000-000059600000}"/>
    <cellStyle name="Output 6 3 2 2 3 2 4" xfId="28063" xr:uid="{00000000-0005-0000-0000-00005A600000}"/>
    <cellStyle name="Output 6 3 2 2 3 3" xfId="28064" xr:uid="{00000000-0005-0000-0000-00005B600000}"/>
    <cellStyle name="Output 6 3 2 2 3 4" xfId="21265" xr:uid="{00000000-0005-0000-0000-00005C600000}"/>
    <cellStyle name="Output 6 3 2 2 3 5" xfId="16397" xr:uid="{00000000-0005-0000-0000-00005D600000}"/>
    <cellStyle name="Output 6 3 2 2 4" xfId="28065" xr:uid="{00000000-0005-0000-0000-00005E600000}"/>
    <cellStyle name="Output 6 3 2 2 4 2" xfId="28066" xr:uid="{00000000-0005-0000-0000-00005F600000}"/>
    <cellStyle name="Output 6 3 2 2 4 3" xfId="28067" xr:uid="{00000000-0005-0000-0000-000060600000}"/>
    <cellStyle name="Output 6 3 2 2 4 4" xfId="28068" xr:uid="{00000000-0005-0000-0000-000061600000}"/>
    <cellStyle name="Output 6 3 2 2 5" xfId="28069" xr:uid="{00000000-0005-0000-0000-000062600000}"/>
    <cellStyle name="Output 6 3 2 2 6" xfId="28070" xr:uid="{00000000-0005-0000-0000-000063600000}"/>
    <cellStyle name="Output 6 3 2 2 7" xfId="21275" xr:uid="{00000000-0005-0000-0000-000064600000}"/>
    <cellStyle name="Output 6 3 2 3" xfId="15769" xr:uid="{00000000-0005-0000-0000-000065600000}"/>
    <cellStyle name="Output 6 3 2 3 2" xfId="2175" xr:uid="{00000000-0005-0000-0000-000066600000}"/>
    <cellStyle name="Output 6 3 2 3 2 2" xfId="26792" xr:uid="{00000000-0005-0000-0000-000067600000}"/>
    <cellStyle name="Output 6 3 2 3 2 2 2" xfId="28071" xr:uid="{00000000-0005-0000-0000-000068600000}"/>
    <cellStyle name="Output 6 3 2 3 2 2 3" xfId="28072" xr:uid="{00000000-0005-0000-0000-000069600000}"/>
    <cellStyle name="Output 6 3 2 3 2 2 4" xfId="28073" xr:uid="{00000000-0005-0000-0000-00006A600000}"/>
    <cellStyle name="Output 6 3 2 3 2 3" xfId="15828" xr:uid="{00000000-0005-0000-0000-00006B600000}"/>
    <cellStyle name="Output 6 3 2 3 2 4" xfId="15834" xr:uid="{00000000-0005-0000-0000-00006C600000}"/>
    <cellStyle name="Output 6 3 2 3 2 5" xfId="15836" xr:uid="{00000000-0005-0000-0000-00006D600000}"/>
    <cellStyle name="Output 6 3 2 3 3" xfId="28074" xr:uid="{00000000-0005-0000-0000-00006E600000}"/>
    <cellStyle name="Output 6 3 2 3 3 2" xfId="26083" xr:uid="{00000000-0005-0000-0000-00006F600000}"/>
    <cellStyle name="Output 6 3 2 3 3 3" xfId="15841" xr:uid="{00000000-0005-0000-0000-000070600000}"/>
    <cellStyle name="Output 6 3 2 3 3 4" xfId="15845" xr:uid="{00000000-0005-0000-0000-000071600000}"/>
    <cellStyle name="Output 6 3 2 3 4" xfId="28075" xr:uid="{00000000-0005-0000-0000-000072600000}"/>
    <cellStyle name="Output 6 3 2 3 5" xfId="28076" xr:uid="{00000000-0005-0000-0000-000073600000}"/>
    <cellStyle name="Output 6 3 2 3 6" xfId="28078" xr:uid="{00000000-0005-0000-0000-000074600000}"/>
    <cellStyle name="Output 6 3 2 4" xfId="15772" xr:uid="{00000000-0005-0000-0000-000075600000}"/>
    <cellStyle name="Output 6 3 2 4 2" xfId="28079" xr:uid="{00000000-0005-0000-0000-000076600000}"/>
    <cellStyle name="Output 6 3 2 4 2 2" xfId="26825" xr:uid="{00000000-0005-0000-0000-000077600000}"/>
    <cellStyle name="Output 6 3 2 4 2 3" xfId="15885" xr:uid="{00000000-0005-0000-0000-000078600000}"/>
    <cellStyle name="Output 6 3 2 4 2 4" xfId="15888" xr:uid="{00000000-0005-0000-0000-000079600000}"/>
    <cellStyle name="Output 6 3 2 4 3" xfId="28080" xr:uid="{00000000-0005-0000-0000-00007A600000}"/>
    <cellStyle name="Output 6 3 2 4 4" xfId="28081" xr:uid="{00000000-0005-0000-0000-00007B600000}"/>
    <cellStyle name="Output 6 3 2 4 5" xfId="28082" xr:uid="{00000000-0005-0000-0000-00007C600000}"/>
    <cellStyle name="Output 6 3 2 5" xfId="15775" xr:uid="{00000000-0005-0000-0000-00007D600000}"/>
    <cellStyle name="Output 6 3 2 5 2" xfId="28083" xr:uid="{00000000-0005-0000-0000-00007E600000}"/>
    <cellStyle name="Output 6 3 2 5 3" xfId="28084" xr:uid="{00000000-0005-0000-0000-00007F600000}"/>
    <cellStyle name="Output 6 3 2 5 4" xfId="28085" xr:uid="{00000000-0005-0000-0000-000080600000}"/>
    <cellStyle name="Output 6 3 2 6" xfId="28086" xr:uid="{00000000-0005-0000-0000-000081600000}"/>
    <cellStyle name="Output 6 3 2 7" xfId="28087" xr:uid="{00000000-0005-0000-0000-000082600000}"/>
    <cellStyle name="Output 6 3 2 8" xfId="28088" xr:uid="{00000000-0005-0000-0000-000083600000}"/>
    <cellStyle name="Output 6 3 3" xfId="4544" xr:uid="{00000000-0005-0000-0000-000084600000}"/>
    <cellStyle name="Output 6 3 3 2" xfId="28089" xr:uid="{00000000-0005-0000-0000-000085600000}"/>
    <cellStyle name="Output 6 3 3 2 2" xfId="16124" xr:uid="{00000000-0005-0000-0000-000086600000}"/>
    <cellStyle name="Output 6 3 3 2 2 2" xfId="26995" xr:uid="{00000000-0005-0000-0000-000087600000}"/>
    <cellStyle name="Output 6 3 3 2 2 2 2" xfId="28090" xr:uid="{00000000-0005-0000-0000-000088600000}"/>
    <cellStyle name="Output 6 3 3 2 2 2 3" xfId="28091" xr:uid="{00000000-0005-0000-0000-000089600000}"/>
    <cellStyle name="Output 6 3 3 2 2 2 4" xfId="28092" xr:uid="{00000000-0005-0000-0000-00008A600000}"/>
    <cellStyle name="Output 6 3 3 2 2 3" xfId="28093" xr:uid="{00000000-0005-0000-0000-00008B600000}"/>
    <cellStyle name="Output 6 3 3 2 2 4" xfId="28094" xr:uid="{00000000-0005-0000-0000-00008C600000}"/>
    <cellStyle name="Output 6 3 3 2 2 5" xfId="28095" xr:uid="{00000000-0005-0000-0000-00008D600000}"/>
    <cellStyle name="Output 6 3 3 2 3" xfId="23927" xr:uid="{00000000-0005-0000-0000-00008E600000}"/>
    <cellStyle name="Output 6 3 3 2 3 2" xfId="20746" xr:uid="{00000000-0005-0000-0000-00008F600000}"/>
    <cellStyle name="Output 6 3 3 2 3 3" xfId="11840" xr:uid="{00000000-0005-0000-0000-000090600000}"/>
    <cellStyle name="Output 6 3 3 2 3 4" xfId="28096" xr:uid="{00000000-0005-0000-0000-000091600000}"/>
    <cellStyle name="Output 6 3 3 2 4" xfId="26577" xr:uid="{00000000-0005-0000-0000-000092600000}"/>
    <cellStyle name="Output 6 3 3 2 5" xfId="25094" xr:uid="{00000000-0005-0000-0000-000093600000}"/>
    <cellStyle name="Output 6 3 3 2 6" xfId="25097" xr:uid="{00000000-0005-0000-0000-000094600000}"/>
    <cellStyle name="Output 6 3 3 3" xfId="28097" xr:uid="{00000000-0005-0000-0000-000095600000}"/>
    <cellStyle name="Output 6 3 3 3 2" xfId="28098" xr:uid="{00000000-0005-0000-0000-000096600000}"/>
    <cellStyle name="Output 6 3 3 3 2 2" xfId="28099" xr:uid="{00000000-0005-0000-0000-000097600000}"/>
    <cellStyle name="Output 6 3 3 3 2 3" xfId="16016" xr:uid="{00000000-0005-0000-0000-000098600000}"/>
    <cellStyle name="Output 6 3 3 3 2 4" xfId="16021" xr:uid="{00000000-0005-0000-0000-000099600000}"/>
    <cellStyle name="Output 6 3 3 3 3" xfId="28100" xr:uid="{00000000-0005-0000-0000-00009A600000}"/>
    <cellStyle name="Output 6 3 3 3 4" xfId="28101" xr:uid="{00000000-0005-0000-0000-00009B600000}"/>
    <cellStyle name="Output 6 3 3 3 5" xfId="28102" xr:uid="{00000000-0005-0000-0000-00009C600000}"/>
    <cellStyle name="Output 6 3 3 4" xfId="28103" xr:uid="{00000000-0005-0000-0000-00009D600000}"/>
    <cellStyle name="Output 6 3 3 4 2" xfId="28104" xr:uid="{00000000-0005-0000-0000-00009E600000}"/>
    <cellStyle name="Output 6 3 3 4 3" xfId="28105" xr:uid="{00000000-0005-0000-0000-00009F600000}"/>
    <cellStyle name="Output 6 3 3 4 4" xfId="28106" xr:uid="{00000000-0005-0000-0000-0000A0600000}"/>
    <cellStyle name="Output 6 3 3 5" xfId="28107" xr:uid="{00000000-0005-0000-0000-0000A1600000}"/>
    <cellStyle name="Output 6 3 3 6" xfId="28108" xr:uid="{00000000-0005-0000-0000-0000A2600000}"/>
    <cellStyle name="Output 6 3 3 7" xfId="28109" xr:uid="{00000000-0005-0000-0000-0000A3600000}"/>
    <cellStyle name="Output 6 3 4" xfId="4553" xr:uid="{00000000-0005-0000-0000-0000A4600000}"/>
    <cellStyle name="Output 6 3 4 2" xfId="28110" xr:uid="{00000000-0005-0000-0000-0000A5600000}"/>
    <cellStyle name="Output 6 3 4 2 2" xfId="28112" xr:uid="{00000000-0005-0000-0000-0000A6600000}"/>
    <cellStyle name="Output 6 3 4 2 2 2" xfId="26933" xr:uid="{00000000-0005-0000-0000-0000A7600000}"/>
    <cellStyle name="Output 6 3 4 2 2 3" xfId="28113" xr:uid="{00000000-0005-0000-0000-0000A8600000}"/>
    <cellStyle name="Output 6 3 4 2 2 4" xfId="7817" xr:uid="{00000000-0005-0000-0000-0000A9600000}"/>
    <cellStyle name="Output 6 3 4 2 3" xfId="28116" xr:uid="{00000000-0005-0000-0000-0000AA600000}"/>
    <cellStyle name="Output 6 3 4 2 4" xfId="28118" xr:uid="{00000000-0005-0000-0000-0000AB600000}"/>
    <cellStyle name="Output 6 3 4 2 5" xfId="28120" xr:uid="{00000000-0005-0000-0000-0000AC600000}"/>
    <cellStyle name="Output 6 3 4 3" xfId="28121" xr:uid="{00000000-0005-0000-0000-0000AD600000}"/>
    <cellStyle name="Output 6 3 4 3 2" xfId="28123" xr:uid="{00000000-0005-0000-0000-0000AE600000}"/>
    <cellStyle name="Output 6 3 4 3 3" xfId="28125" xr:uid="{00000000-0005-0000-0000-0000AF600000}"/>
    <cellStyle name="Output 6 3 4 3 4" xfId="28127" xr:uid="{00000000-0005-0000-0000-0000B0600000}"/>
    <cellStyle name="Output 6 3 4 4" xfId="28128" xr:uid="{00000000-0005-0000-0000-0000B1600000}"/>
    <cellStyle name="Output 6 3 4 5" xfId="28129" xr:uid="{00000000-0005-0000-0000-0000B2600000}"/>
    <cellStyle name="Output 6 3 4 6" xfId="28130" xr:uid="{00000000-0005-0000-0000-0000B3600000}"/>
    <cellStyle name="Output 6 3 5" xfId="28131" xr:uid="{00000000-0005-0000-0000-0000B4600000}"/>
    <cellStyle name="Output 6 3 5 2" xfId="28132" xr:uid="{00000000-0005-0000-0000-0000B5600000}"/>
    <cellStyle name="Output 6 3 5 2 2" xfId="28134" xr:uid="{00000000-0005-0000-0000-0000B6600000}"/>
    <cellStyle name="Output 6 3 5 2 3" xfId="28136" xr:uid="{00000000-0005-0000-0000-0000B7600000}"/>
    <cellStyle name="Output 6 3 5 2 4" xfId="7639" xr:uid="{00000000-0005-0000-0000-0000B8600000}"/>
    <cellStyle name="Output 6 3 5 3" xfId="28137" xr:uid="{00000000-0005-0000-0000-0000B9600000}"/>
    <cellStyle name="Output 6 3 5 4" xfId="28138" xr:uid="{00000000-0005-0000-0000-0000BA600000}"/>
    <cellStyle name="Output 6 3 5 5" xfId="28139" xr:uid="{00000000-0005-0000-0000-0000BB600000}"/>
    <cellStyle name="Output 6 3 6" xfId="28140" xr:uid="{00000000-0005-0000-0000-0000BC600000}"/>
    <cellStyle name="Output 6 3 6 2" xfId="28141" xr:uid="{00000000-0005-0000-0000-0000BD600000}"/>
    <cellStyle name="Output 6 3 6 3" xfId="28142" xr:uid="{00000000-0005-0000-0000-0000BE600000}"/>
    <cellStyle name="Output 6 3 6 4" xfId="28143" xr:uid="{00000000-0005-0000-0000-0000BF600000}"/>
    <cellStyle name="Output 6 3 7" xfId="28144" xr:uid="{00000000-0005-0000-0000-0000C0600000}"/>
    <cellStyle name="Output 6 3 8" xfId="28145" xr:uid="{00000000-0005-0000-0000-0000C1600000}"/>
    <cellStyle name="Output 6 3 9" xfId="28146" xr:uid="{00000000-0005-0000-0000-0000C2600000}"/>
    <cellStyle name="Output 6 4" xfId="4560" xr:uid="{00000000-0005-0000-0000-0000C3600000}"/>
    <cellStyle name="Output 6 4 2" xfId="25008" xr:uid="{00000000-0005-0000-0000-0000C4600000}"/>
    <cellStyle name="Output 6 4 2 2" xfId="23336" xr:uid="{00000000-0005-0000-0000-0000C5600000}"/>
    <cellStyle name="Output 6 4 2 2 2" xfId="28147" xr:uid="{00000000-0005-0000-0000-0000C6600000}"/>
    <cellStyle name="Output 6 4 2 2 2 2" xfId="27328" xr:uid="{00000000-0005-0000-0000-0000C7600000}"/>
    <cellStyle name="Output 6 4 2 2 2 2 2" xfId="28148" xr:uid="{00000000-0005-0000-0000-0000C8600000}"/>
    <cellStyle name="Output 6 4 2 2 2 2 2 2" xfId="11693" xr:uid="{00000000-0005-0000-0000-0000C9600000}"/>
    <cellStyle name="Output 6 4 2 2 2 2 2 3" xfId="11697" xr:uid="{00000000-0005-0000-0000-0000CA600000}"/>
    <cellStyle name="Output 6 4 2 2 2 2 2 4" xfId="28150" xr:uid="{00000000-0005-0000-0000-0000CB600000}"/>
    <cellStyle name="Output 6 4 2 2 2 2 3" xfId="28151" xr:uid="{00000000-0005-0000-0000-0000CC600000}"/>
    <cellStyle name="Output 6 4 2 2 2 2 4" xfId="28152" xr:uid="{00000000-0005-0000-0000-0000CD600000}"/>
    <cellStyle name="Output 6 4 2 2 2 2 5" xfId="28153" xr:uid="{00000000-0005-0000-0000-0000CE600000}"/>
    <cellStyle name="Output 6 4 2 2 2 3" xfId="7803" xr:uid="{00000000-0005-0000-0000-0000CF600000}"/>
    <cellStyle name="Output 6 4 2 2 2 3 2" xfId="12703" xr:uid="{00000000-0005-0000-0000-0000D0600000}"/>
    <cellStyle name="Output 6 4 2 2 2 3 3" xfId="12705" xr:uid="{00000000-0005-0000-0000-0000D1600000}"/>
    <cellStyle name="Output 6 4 2 2 2 3 4" xfId="12709" xr:uid="{00000000-0005-0000-0000-0000D2600000}"/>
    <cellStyle name="Output 6 4 2 2 2 4" xfId="12711" xr:uid="{00000000-0005-0000-0000-0000D3600000}"/>
    <cellStyle name="Output 6 4 2 2 2 5" xfId="12714" xr:uid="{00000000-0005-0000-0000-0000D4600000}"/>
    <cellStyle name="Output 6 4 2 2 2 6" xfId="12717" xr:uid="{00000000-0005-0000-0000-0000D5600000}"/>
    <cellStyle name="Output 6 4 2 2 3" xfId="28154" xr:uid="{00000000-0005-0000-0000-0000D6600000}"/>
    <cellStyle name="Output 6 4 2 2 3 2" xfId="27343" xr:uid="{00000000-0005-0000-0000-0000D7600000}"/>
    <cellStyle name="Output 6 4 2 2 3 2 2" xfId="28155" xr:uid="{00000000-0005-0000-0000-0000D8600000}"/>
    <cellStyle name="Output 6 4 2 2 3 2 3" xfId="28156" xr:uid="{00000000-0005-0000-0000-0000D9600000}"/>
    <cellStyle name="Output 6 4 2 2 3 2 4" xfId="28157" xr:uid="{00000000-0005-0000-0000-0000DA600000}"/>
    <cellStyle name="Output 6 4 2 2 3 3" xfId="12724" xr:uid="{00000000-0005-0000-0000-0000DB600000}"/>
    <cellStyle name="Output 6 4 2 2 3 4" xfId="12731" xr:uid="{00000000-0005-0000-0000-0000DC600000}"/>
    <cellStyle name="Output 6 4 2 2 3 5" xfId="12733" xr:uid="{00000000-0005-0000-0000-0000DD600000}"/>
    <cellStyle name="Output 6 4 2 2 4" xfId="28158" xr:uid="{00000000-0005-0000-0000-0000DE600000}"/>
    <cellStyle name="Output 6 4 2 2 4 2" xfId="28159" xr:uid="{00000000-0005-0000-0000-0000DF600000}"/>
    <cellStyle name="Output 6 4 2 2 4 3" xfId="28160" xr:uid="{00000000-0005-0000-0000-0000E0600000}"/>
    <cellStyle name="Output 6 4 2 2 4 4" xfId="28161" xr:uid="{00000000-0005-0000-0000-0000E1600000}"/>
    <cellStyle name="Output 6 4 2 2 5" xfId="28162" xr:uid="{00000000-0005-0000-0000-0000E2600000}"/>
    <cellStyle name="Output 6 4 2 2 6" xfId="28163" xr:uid="{00000000-0005-0000-0000-0000E3600000}"/>
    <cellStyle name="Output 6 4 2 2 7" xfId="28164" xr:uid="{00000000-0005-0000-0000-0000E4600000}"/>
    <cellStyle name="Output 6 4 2 3" xfId="23338" xr:uid="{00000000-0005-0000-0000-0000E5600000}"/>
    <cellStyle name="Output 6 4 2 3 2" xfId="27187" xr:uid="{00000000-0005-0000-0000-0000E6600000}"/>
    <cellStyle name="Output 6 4 2 3 2 2" xfId="26868" xr:uid="{00000000-0005-0000-0000-0000E7600000}"/>
    <cellStyle name="Output 6 4 2 3 2 2 2" xfId="28165" xr:uid="{00000000-0005-0000-0000-0000E8600000}"/>
    <cellStyle name="Output 6 4 2 3 2 2 3" xfId="28166" xr:uid="{00000000-0005-0000-0000-0000E9600000}"/>
    <cellStyle name="Output 6 4 2 3 2 2 4" xfId="28167" xr:uid="{00000000-0005-0000-0000-0000EA600000}"/>
    <cellStyle name="Output 6 4 2 3 2 3" xfId="7879" xr:uid="{00000000-0005-0000-0000-0000EB600000}"/>
    <cellStyle name="Output 6 4 2 3 2 4" xfId="12826" xr:uid="{00000000-0005-0000-0000-0000EC600000}"/>
    <cellStyle name="Output 6 4 2 3 2 5" xfId="12830" xr:uid="{00000000-0005-0000-0000-0000ED600000}"/>
    <cellStyle name="Output 6 4 2 3 3" xfId="27189" xr:uid="{00000000-0005-0000-0000-0000EE600000}"/>
    <cellStyle name="Output 6 4 2 3 3 2" xfId="27427" xr:uid="{00000000-0005-0000-0000-0000EF600000}"/>
    <cellStyle name="Output 6 4 2 3 3 3" xfId="16448" xr:uid="{00000000-0005-0000-0000-0000F0600000}"/>
    <cellStyle name="Output 6 4 2 3 3 4" xfId="16450" xr:uid="{00000000-0005-0000-0000-0000F1600000}"/>
    <cellStyle name="Output 6 4 2 3 4" xfId="27191" xr:uid="{00000000-0005-0000-0000-0000F2600000}"/>
    <cellStyle name="Output 6 4 2 3 5" xfId="27193" xr:uid="{00000000-0005-0000-0000-0000F3600000}"/>
    <cellStyle name="Output 6 4 2 3 6" xfId="28168" xr:uid="{00000000-0005-0000-0000-0000F4600000}"/>
    <cellStyle name="Output 6 4 2 4" xfId="23341" xr:uid="{00000000-0005-0000-0000-0000F5600000}"/>
    <cellStyle name="Output 6 4 2 4 2" xfId="27195" xr:uid="{00000000-0005-0000-0000-0000F6600000}"/>
    <cellStyle name="Output 6 4 2 4 2 2" xfId="27488" xr:uid="{00000000-0005-0000-0000-0000F7600000}"/>
    <cellStyle name="Output 6 4 2 4 2 3" xfId="10448" xr:uid="{00000000-0005-0000-0000-0000F8600000}"/>
    <cellStyle name="Output 6 4 2 4 2 4" xfId="16465" xr:uid="{00000000-0005-0000-0000-0000F9600000}"/>
    <cellStyle name="Output 6 4 2 4 3" xfId="3798" xr:uid="{00000000-0005-0000-0000-0000FA600000}"/>
    <cellStyle name="Output 6 4 2 4 4" xfId="4269" xr:uid="{00000000-0005-0000-0000-0000FB600000}"/>
    <cellStyle name="Output 6 4 2 4 5" xfId="9620" xr:uid="{00000000-0005-0000-0000-0000FC600000}"/>
    <cellStyle name="Output 6 4 2 5" xfId="27197" xr:uid="{00000000-0005-0000-0000-0000FD600000}"/>
    <cellStyle name="Output 6 4 2 5 2" xfId="28169" xr:uid="{00000000-0005-0000-0000-0000FE600000}"/>
    <cellStyle name="Output 6 4 2 5 3" xfId="28170" xr:uid="{00000000-0005-0000-0000-0000FF600000}"/>
    <cellStyle name="Output 6 4 2 5 4" xfId="28171" xr:uid="{00000000-0005-0000-0000-000000610000}"/>
    <cellStyle name="Output 6 4 2 6" xfId="27199" xr:uid="{00000000-0005-0000-0000-000001610000}"/>
    <cellStyle name="Output 6 4 2 7" xfId="27201" xr:uid="{00000000-0005-0000-0000-000002610000}"/>
    <cellStyle name="Output 6 4 2 8" xfId="28172" xr:uid="{00000000-0005-0000-0000-000003610000}"/>
    <cellStyle name="Output 6 4 3" xfId="6487" xr:uid="{00000000-0005-0000-0000-000004610000}"/>
    <cellStyle name="Output 6 4 3 2" xfId="8372" xr:uid="{00000000-0005-0000-0000-000005610000}"/>
    <cellStyle name="Output 6 4 3 2 2" xfId="28173" xr:uid="{00000000-0005-0000-0000-000006610000}"/>
    <cellStyle name="Output 6 4 3 2 2 2" xfId="27578" xr:uid="{00000000-0005-0000-0000-000007610000}"/>
    <cellStyle name="Output 6 4 3 2 2 2 2" xfId="28174" xr:uid="{00000000-0005-0000-0000-000008610000}"/>
    <cellStyle name="Output 6 4 3 2 2 2 3" xfId="28175" xr:uid="{00000000-0005-0000-0000-000009610000}"/>
    <cellStyle name="Output 6 4 3 2 2 2 4" xfId="28176" xr:uid="{00000000-0005-0000-0000-00000A610000}"/>
    <cellStyle name="Output 6 4 3 2 2 3" xfId="28177" xr:uid="{00000000-0005-0000-0000-00000B610000}"/>
    <cellStyle name="Output 6 4 3 2 2 4" xfId="28178" xr:uid="{00000000-0005-0000-0000-00000C610000}"/>
    <cellStyle name="Output 6 4 3 2 2 5" xfId="28179" xr:uid="{00000000-0005-0000-0000-00000D610000}"/>
    <cellStyle name="Output 6 4 3 2 3" xfId="28180" xr:uid="{00000000-0005-0000-0000-00000E610000}"/>
    <cellStyle name="Output 6 4 3 2 3 2" xfId="20803" xr:uid="{00000000-0005-0000-0000-00000F610000}"/>
    <cellStyle name="Output 6 4 3 2 3 3" xfId="28181" xr:uid="{00000000-0005-0000-0000-000010610000}"/>
    <cellStyle name="Output 6 4 3 2 3 4" xfId="28182" xr:uid="{00000000-0005-0000-0000-000011610000}"/>
    <cellStyle name="Output 6 4 3 2 4" xfId="26720" xr:uid="{00000000-0005-0000-0000-000012610000}"/>
    <cellStyle name="Output 6 4 3 2 5" xfId="26722" xr:uid="{00000000-0005-0000-0000-000013610000}"/>
    <cellStyle name="Output 6 4 3 2 6" xfId="26724" xr:uid="{00000000-0005-0000-0000-000014610000}"/>
    <cellStyle name="Output 6 4 3 3" xfId="8379" xr:uid="{00000000-0005-0000-0000-000015610000}"/>
    <cellStyle name="Output 6 4 3 3 2" xfId="16415" xr:uid="{00000000-0005-0000-0000-000016610000}"/>
    <cellStyle name="Output 6 4 3 3 2 2" xfId="28183" xr:uid="{00000000-0005-0000-0000-000017610000}"/>
    <cellStyle name="Output 6 4 3 3 2 3" xfId="16490" xr:uid="{00000000-0005-0000-0000-000018610000}"/>
    <cellStyle name="Output 6 4 3 3 2 4" xfId="16492" xr:uid="{00000000-0005-0000-0000-000019610000}"/>
    <cellStyle name="Output 6 4 3 3 3" xfId="27016" xr:uid="{00000000-0005-0000-0000-00001A610000}"/>
    <cellStyle name="Output 6 4 3 3 4" xfId="27019" xr:uid="{00000000-0005-0000-0000-00001B610000}"/>
    <cellStyle name="Output 6 4 3 3 5" xfId="28184" xr:uid="{00000000-0005-0000-0000-00001C610000}"/>
    <cellStyle name="Output 6 4 3 4" xfId="4295" xr:uid="{00000000-0005-0000-0000-00001D610000}"/>
    <cellStyle name="Output 6 4 3 4 2" xfId="28185" xr:uid="{00000000-0005-0000-0000-00001E610000}"/>
    <cellStyle name="Output 6 4 3 4 3" xfId="28186" xr:uid="{00000000-0005-0000-0000-00001F610000}"/>
    <cellStyle name="Output 6 4 3 4 4" xfId="28187" xr:uid="{00000000-0005-0000-0000-000020610000}"/>
    <cellStyle name="Output 6 4 3 5" xfId="27022" xr:uid="{00000000-0005-0000-0000-000021610000}"/>
    <cellStyle name="Output 6 4 3 6" xfId="27025" xr:uid="{00000000-0005-0000-0000-000022610000}"/>
    <cellStyle name="Output 6 4 3 7" xfId="28188" xr:uid="{00000000-0005-0000-0000-000023610000}"/>
    <cellStyle name="Output 6 4 4" xfId="6852" xr:uid="{00000000-0005-0000-0000-000024610000}"/>
    <cellStyle name="Output 6 4 4 2" xfId="10146" xr:uid="{00000000-0005-0000-0000-000025610000}"/>
    <cellStyle name="Output 6 4 4 2 2" xfId="28190" xr:uid="{00000000-0005-0000-0000-000026610000}"/>
    <cellStyle name="Output 6 4 4 2 2 2" xfId="27119" xr:uid="{00000000-0005-0000-0000-000027610000}"/>
    <cellStyle name="Output 6 4 4 2 2 3" xfId="28191" xr:uid="{00000000-0005-0000-0000-000028610000}"/>
    <cellStyle name="Output 6 4 4 2 2 4" xfId="28192" xr:uid="{00000000-0005-0000-0000-000029610000}"/>
    <cellStyle name="Output 6 4 4 2 3" xfId="28194" xr:uid="{00000000-0005-0000-0000-00002A610000}"/>
    <cellStyle name="Output 6 4 4 2 4" xfId="28196" xr:uid="{00000000-0005-0000-0000-00002B610000}"/>
    <cellStyle name="Output 6 4 4 2 5" xfId="28198" xr:uid="{00000000-0005-0000-0000-00002C610000}"/>
    <cellStyle name="Output 6 4 4 3" xfId="19696" xr:uid="{00000000-0005-0000-0000-00002D610000}"/>
    <cellStyle name="Output 6 4 4 3 2" xfId="28199" xr:uid="{00000000-0005-0000-0000-00002E610000}"/>
    <cellStyle name="Output 6 4 4 3 3" xfId="28200" xr:uid="{00000000-0005-0000-0000-00002F610000}"/>
    <cellStyle name="Output 6 4 4 3 4" xfId="28201" xr:uid="{00000000-0005-0000-0000-000030610000}"/>
    <cellStyle name="Output 6 4 4 4" xfId="19702" xr:uid="{00000000-0005-0000-0000-000031610000}"/>
    <cellStyle name="Output 6 4 4 5" xfId="27028" xr:uid="{00000000-0005-0000-0000-000032610000}"/>
    <cellStyle name="Output 6 4 4 6" xfId="28202" xr:uid="{00000000-0005-0000-0000-000033610000}"/>
    <cellStyle name="Output 6 4 5" xfId="8388" xr:uid="{00000000-0005-0000-0000-000034610000}"/>
    <cellStyle name="Output 6 4 5 2" xfId="7703" xr:uid="{00000000-0005-0000-0000-000035610000}"/>
    <cellStyle name="Output 6 4 5 2 2" xfId="6596" xr:uid="{00000000-0005-0000-0000-000036610000}"/>
    <cellStyle name="Output 6 4 5 2 3" xfId="6600" xr:uid="{00000000-0005-0000-0000-000037610000}"/>
    <cellStyle name="Output 6 4 5 2 4" xfId="25626" xr:uid="{00000000-0005-0000-0000-000038610000}"/>
    <cellStyle name="Output 6 4 5 3" xfId="7710" xr:uid="{00000000-0005-0000-0000-000039610000}"/>
    <cellStyle name="Output 6 4 5 4" xfId="28203" xr:uid="{00000000-0005-0000-0000-00003A610000}"/>
    <cellStyle name="Output 6 4 5 5" xfId="28204" xr:uid="{00000000-0005-0000-0000-00003B610000}"/>
    <cellStyle name="Output 6 4 6" xfId="8393" xr:uid="{00000000-0005-0000-0000-00003C610000}"/>
    <cellStyle name="Output 6 4 6 2" xfId="28205" xr:uid="{00000000-0005-0000-0000-00003D610000}"/>
    <cellStyle name="Output 6 4 6 3" xfId="28206" xr:uid="{00000000-0005-0000-0000-00003E610000}"/>
    <cellStyle name="Output 6 4 6 4" xfId="28207" xr:uid="{00000000-0005-0000-0000-00003F610000}"/>
    <cellStyle name="Output 6 4 7" xfId="28208" xr:uid="{00000000-0005-0000-0000-000040610000}"/>
    <cellStyle name="Output 6 4 8" xfId="14324" xr:uid="{00000000-0005-0000-0000-000041610000}"/>
    <cellStyle name="Output 6 4 9" xfId="14326" xr:uid="{00000000-0005-0000-0000-000042610000}"/>
    <cellStyle name="Output 6 5" xfId="4569" xr:uid="{00000000-0005-0000-0000-000043610000}"/>
    <cellStyle name="Output 6 5 2" xfId="22514" xr:uid="{00000000-0005-0000-0000-000044610000}"/>
    <cellStyle name="Output 6 5 2 2" xfId="23473" xr:uid="{00000000-0005-0000-0000-000045610000}"/>
    <cellStyle name="Output 6 5 2 2 2" xfId="24859" xr:uid="{00000000-0005-0000-0000-000046610000}"/>
    <cellStyle name="Output 6 5 2 2 2 2" xfId="27828" xr:uid="{00000000-0005-0000-0000-000047610000}"/>
    <cellStyle name="Output 6 5 2 2 2 2 2" xfId="28209" xr:uid="{00000000-0005-0000-0000-000048610000}"/>
    <cellStyle name="Output 6 5 2 2 2 2 3" xfId="28210" xr:uid="{00000000-0005-0000-0000-000049610000}"/>
    <cellStyle name="Output 6 5 2 2 2 2 4" xfId="28211" xr:uid="{00000000-0005-0000-0000-00004A610000}"/>
    <cellStyle name="Output 6 5 2 2 2 3" xfId="676" xr:uid="{00000000-0005-0000-0000-00004B610000}"/>
    <cellStyle name="Output 6 5 2 2 2 4" xfId="778" xr:uid="{00000000-0005-0000-0000-00004C610000}"/>
    <cellStyle name="Output 6 5 2 2 2 5" xfId="783" xr:uid="{00000000-0005-0000-0000-00004D610000}"/>
    <cellStyle name="Output 6 5 2 2 3" xfId="24861" xr:uid="{00000000-0005-0000-0000-00004E610000}"/>
    <cellStyle name="Output 6 5 2 2 3 2" xfId="27840" xr:uid="{00000000-0005-0000-0000-00004F610000}"/>
    <cellStyle name="Output 6 5 2 2 3 3" xfId="787" xr:uid="{00000000-0005-0000-0000-000050610000}"/>
    <cellStyle name="Output 6 5 2 2 3 4" xfId="912" xr:uid="{00000000-0005-0000-0000-000051610000}"/>
    <cellStyle name="Output 6 5 2 2 4" xfId="28212" xr:uid="{00000000-0005-0000-0000-000052610000}"/>
    <cellStyle name="Output 6 5 2 2 5" xfId="28213" xr:uid="{00000000-0005-0000-0000-000053610000}"/>
    <cellStyle name="Output 6 5 2 2 6" xfId="28214" xr:uid="{00000000-0005-0000-0000-000054610000}"/>
    <cellStyle name="Output 6 5 2 3" xfId="23475" xr:uid="{00000000-0005-0000-0000-000055610000}"/>
    <cellStyle name="Output 6 5 2 3 2" xfId="24870" xr:uid="{00000000-0005-0000-0000-000056610000}"/>
    <cellStyle name="Output 6 5 2 3 2 2" xfId="27921" xr:uid="{00000000-0005-0000-0000-000057610000}"/>
    <cellStyle name="Output 6 5 2 3 2 3" xfId="16728" xr:uid="{00000000-0005-0000-0000-000058610000}"/>
    <cellStyle name="Output 6 5 2 3 2 4" xfId="16733" xr:uid="{00000000-0005-0000-0000-000059610000}"/>
    <cellStyle name="Output 6 5 2 3 3" xfId="27203" xr:uid="{00000000-0005-0000-0000-00005A610000}"/>
    <cellStyle name="Output 6 5 2 3 4" xfId="27205" xr:uid="{00000000-0005-0000-0000-00005B610000}"/>
    <cellStyle name="Output 6 5 2 3 5" xfId="28215" xr:uid="{00000000-0005-0000-0000-00005C610000}"/>
    <cellStyle name="Output 6 5 2 4" xfId="23478" xr:uid="{00000000-0005-0000-0000-00005D610000}"/>
    <cellStyle name="Output 6 5 2 4 2" xfId="28216" xr:uid="{00000000-0005-0000-0000-00005E610000}"/>
    <cellStyle name="Output 6 5 2 4 3" xfId="28217" xr:uid="{00000000-0005-0000-0000-00005F610000}"/>
    <cellStyle name="Output 6 5 2 4 4" xfId="28218" xr:uid="{00000000-0005-0000-0000-000060610000}"/>
    <cellStyle name="Output 6 5 2 5" xfId="27207" xr:uid="{00000000-0005-0000-0000-000061610000}"/>
    <cellStyle name="Output 6 5 2 6" xfId="27209" xr:uid="{00000000-0005-0000-0000-000062610000}"/>
    <cellStyle name="Output 6 5 2 7" xfId="28219" xr:uid="{00000000-0005-0000-0000-000063610000}"/>
    <cellStyle name="Output 6 5 3" xfId="8395" xr:uid="{00000000-0005-0000-0000-000064610000}"/>
    <cellStyle name="Output 6 5 3 2" xfId="10158" xr:uid="{00000000-0005-0000-0000-000065610000}"/>
    <cellStyle name="Output 6 5 3 2 2" xfId="24953" xr:uid="{00000000-0005-0000-0000-000066610000}"/>
    <cellStyle name="Output 6 5 3 2 2 2" xfId="28077" xr:uid="{00000000-0005-0000-0000-000067610000}"/>
    <cellStyle name="Output 6 5 3 2 2 3" xfId="21847" xr:uid="{00000000-0005-0000-0000-000068610000}"/>
    <cellStyle name="Output 6 5 3 2 2 4" xfId="21857" xr:uid="{00000000-0005-0000-0000-000069610000}"/>
    <cellStyle name="Output 6 5 3 2 3" xfId="24956" xr:uid="{00000000-0005-0000-0000-00006A610000}"/>
    <cellStyle name="Output 6 5 3 2 4" xfId="28220" xr:uid="{00000000-0005-0000-0000-00006B610000}"/>
    <cellStyle name="Output 6 5 3 2 5" xfId="28221" xr:uid="{00000000-0005-0000-0000-00006C610000}"/>
    <cellStyle name="Output 6 5 3 3" xfId="23490" xr:uid="{00000000-0005-0000-0000-00006D610000}"/>
    <cellStyle name="Output 6 5 3 3 2" xfId="24969" xr:uid="{00000000-0005-0000-0000-00006E610000}"/>
    <cellStyle name="Output 6 5 3 3 3" xfId="28222" xr:uid="{00000000-0005-0000-0000-00006F610000}"/>
    <cellStyle name="Output 6 5 3 3 4" xfId="28223" xr:uid="{00000000-0005-0000-0000-000070610000}"/>
    <cellStyle name="Output 6 5 3 4" xfId="27038" xr:uid="{00000000-0005-0000-0000-000071610000}"/>
    <cellStyle name="Output 6 5 3 5" xfId="27041" xr:uid="{00000000-0005-0000-0000-000072610000}"/>
    <cellStyle name="Output 6 5 3 6" xfId="28224" xr:uid="{00000000-0005-0000-0000-000073610000}"/>
    <cellStyle name="Output 6 5 4" xfId="8399" xr:uid="{00000000-0005-0000-0000-000074610000}"/>
    <cellStyle name="Output 6 5 4 2" xfId="19709" xr:uid="{00000000-0005-0000-0000-000075610000}"/>
    <cellStyle name="Output 6 5 4 2 2" xfId="25035" xr:uid="{00000000-0005-0000-0000-000076610000}"/>
    <cellStyle name="Output 6 5 4 2 3" xfId="28225" xr:uid="{00000000-0005-0000-0000-000077610000}"/>
    <cellStyle name="Output 6 5 4 2 4" xfId="28226" xr:uid="{00000000-0005-0000-0000-000078610000}"/>
    <cellStyle name="Output 6 5 4 3" xfId="19712" xr:uid="{00000000-0005-0000-0000-000079610000}"/>
    <cellStyle name="Output 6 5 4 4" xfId="28227" xr:uid="{00000000-0005-0000-0000-00007A610000}"/>
    <cellStyle name="Output 6 5 4 5" xfId="28228" xr:uid="{00000000-0005-0000-0000-00007B610000}"/>
    <cellStyle name="Output 6 5 5" xfId="8402" xr:uid="{00000000-0005-0000-0000-00007C610000}"/>
    <cellStyle name="Output 6 5 5 2" xfId="27264" xr:uid="{00000000-0005-0000-0000-00007D610000}"/>
    <cellStyle name="Output 6 5 5 3" xfId="27268" xr:uid="{00000000-0005-0000-0000-00007E610000}"/>
    <cellStyle name="Output 6 5 5 4" xfId="27270" xr:uid="{00000000-0005-0000-0000-00007F610000}"/>
    <cellStyle name="Output 6 5 6" xfId="28229" xr:uid="{00000000-0005-0000-0000-000080610000}"/>
    <cellStyle name="Output 6 5 7" xfId="28230" xr:uid="{00000000-0005-0000-0000-000081610000}"/>
    <cellStyle name="Output 6 5 8" xfId="6618" xr:uid="{00000000-0005-0000-0000-000082610000}"/>
    <cellStyle name="Output 6 6" xfId="4578" xr:uid="{00000000-0005-0000-0000-000083610000}"/>
    <cellStyle name="Output 6 6 2" xfId="28231" xr:uid="{00000000-0005-0000-0000-000084610000}"/>
    <cellStyle name="Output 6 6 2 2" xfId="23538" xr:uid="{00000000-0005-0000-0000-000085610000}"/>
    <cellStyle name="Output 6 6 2 2 2" xfId="25134" xr:uid="{00000000-0005-0000-0000-000086610000}"/>
    <cellStyle name="Output 6 6 2 2 2 2" xfId="21387" xr:uid="{00000000-0005-0000-0000-000087610000}"/>
    <cellStyle name="Output 6 6 2 2 2 3" xfId="7392" xr:uid="{00000000-0005-0000-0000-000088610000}"/>
    <cellStyle name="Output 6 6 2 2 2 4" xfId="7395" xr:uid="{00000000-0005-0000-0000-000089610000}"/>
    <cellStyle name="Output 6 6 2 2 3" xfId="28232" xr:uid="{00000000-0005-0000-0000-00008A610000}"/>
    <cellStyle name="Output 6 6 2 2 4" xfId="28233" xr:uid="{00000000-0005-0000-0000-00008B610000}"/>
    <cellStyle name="Output 6 6 2 2 5" xfId="28234" xr:uid="{00000000-0005-0000-0000-00008C610000}"/>
    <cellStyle name="Output 6 6 2 3" xfId="23540" xr:uid="{00000000-0005-0000-0000-00008D610000}"/>
    <cellStyle name="Output 6 6 2 3 2" xfId="11118" xr:uid="{00000000-0005-0000-0000-00008E610000}"/>
    <cellStyle name="Output 6 6 2 3 3" xfId="28235" xr:uid="{00000000-0005-0000-0000-00008F610000}"/>
    <cellStyle name="Output 6 6 2 3 4" xfId="7461" xr:uid="{00000000-0005-0000-0000-000090610000}"/>
    <cellStyle name="Output 6 6 2 4" xfId="27212" xr:uid="{00000000-0005-0000-0000-000091610000}"/>
    <cellStyle name="Output 6 6 2 5" xfId="27215" xr:uid="{00000000-0005-0000-0000-000092610000}"/>
    <cellStyle name="Output 6 6 2 6" xfId="28237" xr:uid="{00000000-0005-0000-0000-000093610000}"/>
    <cellStyle name="Output 6 6 3" xfId="28238" xr:uid="{00000000-0005-0000-0000-000094610000}"/>
    <cellStyle name="Output 6 6 3 2" xfId="23547" xr:uid="{00000000-0005-0000-0000-000095610000}"/>
    <cellStyle name="Output 6 6 3 2 2" xfId="26446" xr:uid="{00000000-0005-0000-0000-000096610000}"/>
    <cellStyle name="Output 6 6 3 2 3" xfId="28239" xr:uid="{00000000-0005-0000-0000-000097610000}"/>
    <cellStyle name="Output 6 6 3 2 4" xfId="28241" xr:uid="{00000000-0005-0000-0000-000098610000}"/>
    <cellStyle name="Output 6 6 3 3" xfId="28242" xr:uid="{00000000-0005-0000-0000-000099610000}"/>
    <cellStyle name="Output 6 6 3 4" xfId="28244" xr:uid="{00000000-0005-0000-0000-00009A610000}"/>
    <cellStyle name="Output 6 6 3 5" xfId="28246" xr:uid="{00000000-0005-0000-0000-00009B610000}"/>
    <cellStyle name="Output 6 6 4" xfId="28247" xr:uid="{00000000-0005-0000-0000-00009C610000}"/>
    <cellStyle name="Output 6 6 4 2" xfId="28248" xr:uid="{00000000-0005-0000-0000-00009D610000}"/>
    <cellStyle name="Output 6 6 4 3" xfId="28249" xr:uid="{00000000-0005-0000-0000-00009E610000}"/>
    <cellStyle name="Output 6 6 4 4" xfId="28250" xr:uid="{00000000-0005-0000-0000-00009F610000}"/>
    <cellStyle name="Output 6 6 5" xfId="28251" xr:uid="{00000000-0005-0000-0000-0000A0610000}"/>
    <cellStyle name="Output 6 6 6" xfId="28252" xr:uid="{00000000-0005-0000-0000-0000A1610000}"/>
    <cellStyle name="Output 6 6 7" xfId="28253" xr:uid="{00000000-0005-0000-0000-0000A2610000}"/>
    <cellStyle name="Output 6 7" xfId="6857" xr:uid="{00000000-0005-0000-0000-0000A3610000}"/>
    <cellStyle name="Output 6 7 2" xfId="28254" xr:uid="{00000000-0005-0000-0000-0000A4610000}"/>
    <cellStyle name="Output 6 7 2 2" xfId="23572" xr:uid="{00000000-0005-0000-0000-0000A5610000}"/>
    <cellStyle name="Output 6 7 2 2 2" xfId="25216" xr:uid="{00000000-0005-0000-0000-0000A6610000}"/>
    <cellStyle name="Output 6 7 2 2 3" xfId="28255" xr:uid="{00000000-0005-0000-0000-0000A7610000}"/>
    <cellStyle name="Output 6 7 2 2 4" xfId="17298" xr:uid="{00000000-0005-0000-0000-0000A8610000}"/>
    <cellStyle name="Output 6 7 2 3" xfId="28256" xr:uid="{00000000-0005-0000-0000-0000A9610000}"/>
    <cellStyle name="Output 6 7 2 4" xfId="28258" xr:uid="{00000000-0005-0000-0000-0000AA610000}"/>
    <cellStyle name="Output 6 7 2 5" xfId="28260" xr:uid="{00000000-0005-0000-0000-0000AB610000}"/>
    <cellStyle name="Output 6 7 3" xfId="28261" xr:uid="{00000000-0005-0000-0000-0000AC610000}"/>
    <cellStyle name="Output 6 7 3 2" xfId="28262" xr:uid="{00000000-0005-0000-0000-0000AD610000}"/>
    <cellStyle name="Output 6 7 3 3" xfId="28263" xr:uid="{00000000-0005-0000-0000-0000AE610000}"/>
    <cellStyle name="Output 6 7 3 4" xfId="28264" xr:uid="{00000000-0005-0000-0000-0000AF610000}"/>
    <cellStyle name="Output 6 7 4" xfId="28265" xr:uid="{00000000-0005-0000-0000-0000B0610000}"/>
    <cellStyle name="Output 6 7 5" xfId="28266" xr:uid="{00000000-0005-0000-0000-0000B1610000}"/>
    <cellStyle name="Output 6 7 6" xfId="28267" xr:uid="{00000000-0005-0000-0000-0000B2610000}"/>
    <cellStyle name="Output 6 8" xfId="8049" xr:uid="{00000000-0005-0000-0000-0000B3610000}"/>
    <cellStyle name="Output 6 8 2" xfId="13126" xr:uid="{00000000-0005-0000-0000-0000B4610000}"/>
    <cellStyle name="Output 6 8 2 2" xfId="13128" xr:uid="{00000000-0005-0000-0000-0000B5610000}"/>
    <cellStyle name="Output 6 8 2 3" xfId="13130" xr:uid="{00000000-0005-0000-0000-0000B6610000}"/>
    <cellStyle name="Output 6 8 2 4" xfId="11316" xr:uid="{00000000-0005-0000-0000-0000B7610000}"/>
    <cellStyle name="Output 6 8 3" xfId="13132" xr:uid="{00000000-0005-0000-0000-0000B8610000}"/>
    <cellStyle name="Output 6 8 4" xfId="13134" xr:uid="{00000000-0005-0000-0000-0000B9610000}"/>
    <cellStyle name="Output 6 8 5" xfId="13136" xr:uid="{00000000-0005-0000-0000-0000BA610000}"/>
    <cellStyle name="Output 6 9" xfId="22314" xr:uid="{00000000-0005-0000-0000-0000BB610000}"/>
    <cellStyle name="Output 6 9 2" xfId="13167" xr:uid="{00000000-0005-0000-0000-0000BC610000}"/>
    <cellStyle name="Output 6 9 3" xfId="13171" xr:uid="{00000000-0005-0000-0000-0000BD610000}"/>
    <cellStyle name="Output 6 9 4" xfId="13175" xr:uid="{00000000-0005-0000-0000-0000BE610000}"/>
    <cellStyle name="Output 7" xfId="4583" xr:uid="{00000000-0005-0000-0000-0000BF610000}"/>
    <cellStyle name="Output 7 10" xfId="28268" xr:uid="{00000000-0005-0000-0000-0000C0610000}"/>
    <cellStyle name="Output 7 11" xfId="28269" xr:uid="{00000000-0005-0000-0000-0000C1610000}"/>
    <cellStyle name="Output 7 12" xfId="4205" xr:uid="{00000000-0005-0000-0000-0000C2610000}"/>
    <cellStyle name="Output 7 13" xfId="16219" xr:uid="{00000000-0005-0000-0000-0000C3610000}"/>
    <cellStyle name="Output 7 2" xfId="4592" xr:uid="{00000000-0005-0000-0000-0000C4610000}"/>
    <cellStyle name="Output 7 2 10" xfId="16147" xr:uid="{00000000-0005-0000-0000-0000C5610000}"/>
    <cellStyle name="Output 7 2 11" xfId="16153" xr:uid="{00000000-0005-0000-0000-0000C6610000}"/>
    <cellStyle name="Output 7 2 12" xfId="17201" xr:uid="{00000000-0005-0000-0000-0000C7610000}"/>
    <cellStyle name="Output 7 2 2" xfId="971" xr:uid="{00000000-0005-0000-0000-0000C8610000}"/>
    <cellStyle name="Output 7 2 2 2" xfId="28270" xr:uid="{00000000-0005-0000-0000-0000C9610000}"/>
    <cellStyle name="Output 7 2 2 2 2" xfId="28272" xr:uid="{00000000-0005-0000-0000-0000CA610000}"/>
    <cellStyle name="Output 7 2 2 2 2 2" xfId="25262" xr:uid="{00000000-0005-0000-0000-0000CB610000}"/>
    <cellStyle name="Output 7 2 2 2 2 2 2" xfId="28273" xr:uid="{00000000-0005-0000-0000-0000CC610000}"/>
    <cellStyle name="Output 7 2 2 2 2 2 2 2" xfId="8657" xr:uid="{00000000-0005-0000-0000-0000CD610000}"/>
    <cellStyle name="Output 7 2 2 2 2 2 2 2 2" xfId="28274" xr:uid="{00000000-0005-0000-0000-0000CE610000}"/>
    <cellStyle name="Output 7 2 2 2 2 2 2 2 3" xfId="28275" xr:uid="{00000000-0005-0000-0000-0000CF610000}"/>
    <cellStyle name="Output 7 2 2 2 2 2 2 2 4" xfId="4590" xr:uid="{00000000-0005-0000-0000-0000D0610000}"/>
    <cellStyle name="Output 7 2 2 2 2 2 2 3" xfId="28276" xr:uid="{00000000-0005-0000-0000-0000D1610000}"/>
    <cellStyle name="Output 7 2 2 2 2 2 2 4" xfId="28277" xr:uid="{00000000-0005-0000-0000-0000D2610000}"/>
    <cellStyle name="Output 7 2 2 2 2 2 2 5" xfId="28278" xr:uid="{00000000-0005-0000-0000-0000D3610000}"/>
    <cellStyle name="Output 7 2 2 2 2 2 3" xfId="3473" xr:uid="{00000000-0005-0000-0000-0000D4610000}"/>
    <cellStyle name="Output 7 2 2 2 2 2 3 2" xfId="28279" xr:uid="{00000000-0005-0000-0000-0000D5610000}"/>
    <cellStyle name="Output 7 2 2 2 2 2 3 3" xfId="28280" xr:uid="{00000000-0005-0000-0000-0000D6610000}"/>
    <cellStyle name="Output 7 2 2 2 2 2 3 4" xfId="28281" xr:uid="{00000000-0005-0000-0000-0000D7610000}"/>
    <cellStyle name="Output 7 2 2 2 2 2 4" xfId="13760" xr:uid="{00000000-0005-0000-0000-0000D8610000}"/>
    <cellStyle name="Output 7 2 2 2 2 2 5" xfId="13763" xr:uid="{00000000-0005-0000-0000-0000D9610000}"/>
    <cellStyle name="Output 7 2 2 2 2 2 6" xfId="15486" xr:uid="{00000000-0005-0000-0000-0000DA610000}"/>
    <cellStyle name="Output 7 2 2 2 2 3" xfId="28282" xr:uid="{00000000-0005-0000-0000-0000DB610000}"/>
    <cellStyle name="Output 7 2 2 2 2 3 2" xfId="28283" xr:uid="{00000000-0005-0000-0000-0000DC610000}"/>
    <cellStyle name="Output 7 2 2 2 2 3 2 2" xfId="8477" xr:uid="{00000000-0005-0000-0000-0000DD610000}"/>
    <cellStyle name="Output 7 2 2 2 2 3 2 3" xfId="28284" xr:uid="{00000000-0005-0000-0000-0000DE610000}"/>
    <cellStyle name="Output 7 2 2 2 2 3 2 4" xfId="28285" xr:uid="{00000000-0005-0000-0000-0000DF610000}"/>
    <cellStyle name="Output 7 2 2 2 2 3 3" xfId="28286" xr:uid="{00000000-0005-0000-0000-0000E0610000}"/>
    <cellStyle name="Output 7 2 2 2 2 3 4" xfId="28287" xr:uid="{00000000-0005-0000-0000-0000E1610000}"/>
    <cellStyle name="Output 7 2 2 2 2 3 5" xfId="21240" xr:uid="{00000000-0005-0000-0000-0000E2610000}"/>
    <cellStyle name="Output 7 2 2 2 2 4" xfId="28289" xr:uid="{00000000-0005-0000-0000-0000E3610000}"/>
    <cellStyle name="Output 7 2 2 2 2 4 2" xfId="25199" xr:uid="{00000000-0005-0000-0000-0000E4610000}"/>
    <cellStyle name="Output 7 2 2 2 2 4 3" xfId="28290" xr:uid="{00000000-0005-0000-0000-0000E5610000}"/>
    <cellStyle name="Output 7 2 2 2 2 4 4" xfId="28291" xr:uid="{00000000-0005-0000-0000-0000E6610000}"/>
    <cellStyle name="Output 7 2 2 2 2 5" xfId="28293" xr:uid="{00000000-0005-0000-0000-0000E7610000}"/>
    <cellStyle name="Output 7 2 2 2 2 6" xfId="28295" xr:uid="{00000000-0005-0000-0000-0000E8610000}"/>
    <cellStyle name="Output 7 2 2 2 2 7" xfId="28296" xr:uid="{00000000-0005-0000-0000-0000E9610000}"/>
    <cellStyle name="Output 7 2 2 2 3" xfId="28298" xr:uid="{00000000-0005-0000-0000-0000EA610000}"/>
    <cellStyle name="Output 7 2 2 2 3 2" xfId="28299" xr:uid="{00000000-0005-0000-0000-0000EB610000}"/>
    <cellStyle name="Output 7 2 2 2 3 2 2" xfId="28300" xr:uid="{00000000-0005-0000-0000-0000EC610000}"/>
    <cellStyle name="Output 7 2 2 2 3 2 2 2" xfId="28301" xr:uid="{00000000-0005-0000-0000-0000ED610000}"/>
    <cellStyle name="Output 7 2 2 2 3 2 2 3" xfId="24111" xr:uid="{00000000-0005-0000-0000-0000EE610000}"/>
    <cellStyle name="Output 7 2 2 2 3 2 2 4" xfId="24114" xr:uid="{00000000-0005-0000-0000-0000EF610000}"/>
    <cellStyle name="Output 7 2 2 2 3 2 3" xfId="28302" xr:uid="{00000000-0005-0000-0000-0000F0610000}"/>
    <cellStyle name="Output 7 2 2 2 3 2 4" xfId="28303" xr:uid="{00000000-0005-0000-0000-0000F1610000}"/>
    <cellStyle name="Output 7 2 2 2 3 2 5" xfId="17786" xr:uid="{00000000-0005-0000-0000-0000F2610000}"/>
    <cellStyle name="Output 7 2 2 2 3 3" xfId="28304" xr:uid="{00000000-0005-0000-0000-0000F3610000}"/>
    <cellStyle name="Output 7 2 2 2 3 3 2" xfId="28305" xr:uid="{00000000-0005-0000-0000-0000F4610000}"/>
    <cellStyle name="Output 7 2 2 2 3 3 3" xfId="28306" xr:uid="{00000000-0005-0000-0000-0000F5610000}"/>
    <cellStyle name="Output 7 2 2 2 3 3 4" xfId="28307" xr:uid="{00000000-0005-0000-0000-0000F6610000}"/>
    <cellStyle name="Output 7 2 2 2 3 4" xfId="17796" xr:uid="{00000000-0005-0000-0000-0000F7610000}"/>
    <cellStyle name="Output 7 2 2 2 3 5" xfId="17801" xr:uid="{00000000-0005-0000-0000-0000F8610000}"/>
    <cellStyle name="Output 7 2 2 2 3 6" xfId="17806" xr:uid="{00000000-0005-0000-0000-0000F9610000}"/>
    <cellStyle name="Output 7 2 2 2 4" xfId="21366" xr:uid="{00000000-0005-0000-0000-0000FA610000}"/>
    <cellStyle name="Output 7 2 2 2 4 2" xfId="17823" xr:uid="{00000000-0005-0000-0000-0000FB610000}"/>
    <cellStyle name="Output 7 2 2 2 4 2 2" xfId="6274" xr:uid="{00000000-0005-0000-0000-0000FC610000}"/>
    <cellStyle name="Output 7 2 2 2 4 2 3" xfId="1884" xr:uid="{00000000-0005-0000-0000-0000FD610000}"/>
    <cellStyle name="Output 7 2 2 2 4 2 4" xfId="17831" xr:uid="{00000000-0005-0000-0000-0000FE610000}"/>
    <cellStyle name="Output 7 2 2 2 4 3" xfId="13342" xr:uid="{00000000-0005-0000-0000-0000FF610000}"/>
    <cellStyle name="Output 7 2 2 2 4 4" xfId="13353" xr:uid="{00000000-0005-0000-0000-000000620000}"/>
    <cellStyle name="Output 7 2 2 2 4 5" xfId="13358" xr:uid="{00000000-0005-0000-0000-000001620000}"/>
    <cellStyle name="Output 7 2 2 2 5" xfId="21369" xr:uid="{00000000-0005-0000-0000-000002620000}"/>
    <cellStyle name="Output 7 2 2 2 5 2" xfId="17841" xr:uid="{00000000-0005-0000-0000-000003620000}"/>
    <cellStyle name="Output 7 2 2 2 5 3" xfId="17846" xr:uid="{00000000-0005-0000-0000-000004620000}"/>
    <cellStyle name="Output 7 2 2 2 5 4" xfId="17850" xr:uid="{00000000-0005-0000-0000-000005620000}"/>
    <cellStyle name="Output 7 2 2 2 6" xfId="21373" xr:uid="{00000000-0005-0000-0000-000006620000}"/>
    <cellStyle name="Output 7 2 2 2 7" xfId="21377" xr:uid="{00000000-0005-0000-0000-000007620000}"/>
    <cellStyle name="Output 7 2 2 2 8" xfId="19081" xr:uid="{00000000-0005-0000-0000-000008620000}"/>
    <cellStyle name="Output 7 2 2 3" xfId="28308" xr:uid="{00000000-0005-0000-0000-000009620000}"/>
    <cellStyle name="Output 7 2 2 3 2" xfId="10461" xr:uid="{00000000-0005-0000-0000-00000A620000}"/>
    <cellStyle name="Output 7 2 2 3 2 2" xfId="25812" xr:uid="{00000000-0005-0000-0000-00000B620000}"/>
    <cellStyle name="Output 7 2 2 3 2 2 2" xfId="28309" xr:uid="{00000000-0005-0000-0000-00000C620000}"/>
    <cellStyle name="Output 7 2 2 3 2 2 2 2" xfId="9845" xr:uid="{00000000-0005-0000-0000-00000D620000}"/>
    <cellStyle name="Output 7 2 2 3 2 2 2 3" xfId="28310" xr:uid="{00000000-0005-0000-0000-00000E620000}"/>
    <cellStyle name="Output 7 2 2 3 2 2 2 4" xfId="28311" xr:uid="{00000000-0005-0000-0000-00000F620000}"/>
    <cellStyle name="Output 7 2 2 3 2 2 3" xfId="28312" xr:uid="{00000000-0005-0000-0000-000010620000}"/>
    <cellStyle name="Output 7 2 2 3 2 2 4" xfId="13197" xr:uid="{00000000-0005-0000-0000-000011620000}"/>
    <cellStyle name="Output 7 2 2 3 2 2 5" xfId="13217" xr:uid="{00000000-0005-0000-0000-000012620000}"/>
    <cellStyle name="Output 7 2 2 3 2 3" xfId="28313" xr:uid="{00000000-0005-0000-0000-000013620000}"/>
    <cellStyle name="Output 7 2 2 3 2 3 2" xfId="28314" xr:uid="{00000000-0005-0000-0000-000014620000}"/>
    <cellStyle name="Output 7 2 2 3 2 3 3" xfId="28315" xr:uid="{00000000-0005-0000-0000-000015620000}"/>
    <cellStyle name="Output 7 2 2 3 2 3 4" xfId="28316" xr:uid="{00000000-0005-0000-0000-000016620000}"/>
    <cellStyle name="Output 7 2 2 3 2 4" xfId="28317" xr:uid="{00000000-0005-0000-0000-000017620000}"/>
    <cellStyle name="Output 7 2 2 3 2 5" xfId="28318" xr:uid="{00000000-0005-0000-0000-000018620000}"/>
    <cellStyle name="Output 7 2 2 3 2 6" xfId="28319" xr:uid="{00000000-0005-0000-0000-000019620000}"/>
    <cellStyle name="Output 7 2 2 3 3" xfId="28320" xr:uid="{00000000-0005-0000-0000-00001A620000}"/>
    <cellStyle name="Output 7 2 2 3 3 2" xfId="14873" xr:uid="{00000000-0005-0000-0000-00001B620000}"/>
    <cellStyle name="Output 7 2 2 3 3 2 2" xfId="13578" xr:uid="{00000000-0005-0000-0000-00001C620000}"/>
    <cellStyle name="Output 7 2 2 3 3 2 3" xfId="13587" xr:uid="{00000000-0005-0000-0000-00001D620000}"/>
    <cellStyle name="Output 7 2 2 3 3 2 4" xfId="28321" xr:uid="{00000000-0005-0000-0000-00001E620000}"/>
    <cellStyle name="Output 7 2 2 3 3 3" xfId="28322" xr:uid="{00000000-0005-0000-0000-00001F620000}"/>
    <cellStyle name="Output 7 2 2 3 3 4" xfId="28323" xr:uid="{00000000-0005-0000-0000-000020620000}"/>
    <cellStyle name="Output 7 2 2 3 3 5" xfId="28324" xr:uid="{00000000-0005-0000-0000-000021620000}"/>
    <cellStyle name="Output 7 2 2 3 4" xfId="21380" xr:uid="{00000000-0005-0000-0000-000022620000}"/>
    <cellStyle name="Output 7 2 2 3 4 2" xfId="14899" xr:uid="{00000000-0005-0000-0000-000023620000}"/>
    <cellStyle name="Output 7 2 2 3 4 3" xfId="14905" xr:uid="{00000000-0005-0000-0000-000024620000}"/>
    <cellStyle name="Output 7 2 2 3 4 4" xfId="17860" xr:uid="{00000000-0005-0000-0000-000025620000}"/>
    <cellStyle name="Output 7 2 2 3 5" xfId="21383" xr:uid="{00000000-0005-0000-0000-000026620000}"/>
    <cellStyle name="Output 7 2 2 3 6" xfId="21386" xr:uid="{00000000-0005-0000-0000-000027620000}"/>
    <cellStyle name="Output 7 2 2 3 7" xfId="7391" xr:uid="{00000000-0005-0000-0000-000028620000}"/>
    <cellStyle name="Output 7 2 2 4" xfId="28325" xr:uid="{00000000-0005-0000-0000-000029620000}"/>
    <cellStyle name="Output 7 2 2 4 2" xfId="28326" xr:uid="{00000000-0005-0000-0000-00002A620000}"/>
    <cellStyle name="Output 7 2 2 4 2 2" xfId="22813" xr:uid="{00000000-0005-0000-0000-00002B620000}"/>
    <cellStyle name="Output 7 2 2 4 2 2 2" xfId="13247" xr:uid="{00000000-0005-0000-0000-00002C620000}"/>
    <cellStyle name="Output 7 2 2 4 2 2 3" xfId="13254" xr:uid="{00000000-0005-0000-0000-00002D620000}"/>
    <cellStyle name="Output 7 2 2 4 2 2 4" xfId="22817" xr:uid="{00000000-0005-0000-0000-00002E620000}"/>
    <cellStyle name="Output 7 2 2 4 2 3" xfId="22819" xr:uid="{00000000-0005-0000-0000-00002F620000}"/>
    <cellStyle name="Output 7 2 2 4 2 4" xfId="22823" xr:uid="{00000000-0005-0000-0000-000030620000}"/>
    <cellStyle name="Output 7 2 2 4 2 5" xfId="22825" xr:uid="{00000000-0005-0000-0000-000031620000}"/>
    <cellStyle name="Output 7 2 2 4 3" xfId="28327" xr:uid="{00000000-0005-0000-0000-000032620000}"/>
    <cellStyle name="Output 7 2 2 4 3 2" xfId="22833" xr:uid="{00000000-0005-0000-0000-000033620000}"/>
    <cellStyle name="Output 7 2 2 4 3 3" xfId="22837" xr:uid="{00000000-0005-0000-0000-000034620000}"/>
    <cellStyle name="Output 7 2 2 4 3 4" xfId="22839" xr:uid="{00000000-0005-0000-0000-000035620000}"/>
    <cellStyle name="Output 7 2 2 4 4" xfId="21390" xr:uid="{00000000-0005-0000-0000-000036620000}"/>
    <cellStyle name="Output 7 2 2 4 5" xfId="14042" xr:uid="{00000000-0005-0000-0000-000037620000}"/>
    <cellStyle name="Output 7 2 2 4 6" xfId="14046" xr:uid="{00000000-0005-0000-0000-000038620000}"/>
    <cellStyle name="Output 7 2 2 5" xfId="28328" xr:uid="{00000000-0005-0000-0000-000039620000}"/>
    <cellStyle name="Output 7 2 2 5 2" xfId="28329" xr:uid="{00000000-0005-0000-0000-00003A620000}"/>
    <cellStyle name="Output 7 2 2 5 2 2" xfId="22967" xr:uid="{00000000-0005-0000-0000-00003B620000}"/>
    <cellStyle name="Output 7 2 2 5 2 3" xfId="22969" xr:uid="{00000000-0005-0000-0000-00003C620000}"/>
    <cellStyle name="Output 7 2 2 5 2 4" xfId="22972" xr:uid="{00000000-0005-0000-0000-00003D620000}"/>
    <cellStyle name="Output 7 2 2 5 3" xfId="28330" xr:uid="{00000000-0005-0000-0000-00003E620000}"/>
    <cellStyle name="Output 7 2 2 5 4" xfId="5248" xr:uid="{00000000-0005-0000-0000-00003F620000}"/>
    <cellStyle name="Output 7 2 2 5 5" xfId="5260" xr:uid="{00000000-0005-0000-0000-000040620000}"/>
    <cellStyle name="Output 7 2 2 6" xfId="28331" xr:uid="{00000000-0005-0000-0000-000041620000}"/>
    <cellStyle name="Output 7 2 2 6 2" xfId="28332" xr:uid="{00000000-0005-0000-0000-000042620000}"/>
    <cellStyle name="Output 7 2 2 6 3" xfId="9535" xr:uid="{00000000-0005-0000-0000-000043620000}"/>
    <cellStyle name="Output 7 2 2 6 4" xfId="5146" xr:uid="{00000000-0005-0000-0000-000044620000}"/>
    <cellStyle name="Output 7 2 2 7" xfId="28333" xr:uid="{00000000-0005-0000-0000-000045620000}"/>
    <cellStyle name="Output 7 2 2 8" xfId="28334" xr:uid="{00000000-0005-0000-0000-000046620000}"/>
    <cellStyle name="Output 7 2 2 9" xfId="28335" xr:uid="{00000000-0005-0000-0000-000047620000}"/>
    <cellStyle name="Output 7 2 3" xfId="1864" xr:uid="{00000000-0005-0000-0000-000048620000}"/>
    <cellStyle name="Output 7 2 3 2" xfId="28336" xr:uid="{00000000-0005-0000-0000-000049620000}"/>
    <cellStyle name="Output 7 2 3 2 2" xfId="24640" xr:uid="{00000000-0005-0000-0000-00004A620000}"/>
    <cellStyle name="Output 7 2 3 2 2 2" xfId="28337" xr:uid="{00000000-0005-0000-0000-00004B620000}"/>
    <cellStyle name="Output 7 2 3 2 2 2 2" xfId="28338" xr:uid="{00000000-0005-0000-0000-00004C620000}"/>
    <cellStyle name="Output 7 2 3 2 2 2 2 2" xfId="28339" xr:uid="{00000000-0005-0000-0000-00004D620000}"/>
    <cellStyle name="Output 7 2 3 2 2 2 2 2 2" xfId="28340" xr:uid="{00000000-0005-0000-0000-00004E620000}"/>
    <cellStyle name="Output 7 2 3 2 2 2 2 2 3" xfId="28341" xr:uid="{00000000-0005-0000-0000-00004F620000}"/>
    <cellStyle name="Output 7 2 3 2 2 2 2 2 4" xfId="28342" xr:uid="{00000000-0005-0000-0000-000050620000}"/>
    <cellStyle name="Output 7 2 3 2 2 2 2 3" xfId="28343" xr:uid="{00000000-0005-0000-0000-000051620000}"/>
    <cellStyle name="Output 7 2 3 2 2 2 2 4" xfId="2171" xr:uid="{00000000-0005-0000-0000-000052620000}"/>
    <cellStyle name="Output 7 2 3 2 2 2 2 5" xfId="2198" xr:uid="{00000000-0005-0000-0000-000053620000}"/>
    <cellStyle name="Output 7 2 3 2 2 2 3" xfId="28344" xr:uid="{00000000-0005-0000-0000-000054620000}"/>
    <cellStyle name="Output 7 2 3 2 2 2 3 2" xfId="28345" xr:uid="{00000000-0005-0000-0000-000055620000}"/>
    <cellStyle name="Output 7 2 3 2 2 2 3 3" xfId="28346" xr:uid="{00000000-0005-0000-0000-000056620000}"/>
    <cellStyle name="Output 7 2 3 2 2 2 3 4" xfId="479" xr:uid="{00000000-0005-0000-0000-000057620000}"/>
    <cellStyle name="Output 7 2 3 2 2 2 4" xfId="28347" xr:uid="{00000000-0005-0000-0000-000058620000}"/>
    <cellStyle name="Output 7 2 3 2 2 2 5" xfId="27236" xr:uid="{00000000-0005-0000-0000-000059620000}"/>
    <cellStyle name="Output 7 2 3 2 2 2 6" xfId="27076" xr:uid="{00000000-0005-0000-0000-00005A620000}"/>
    <cellStyle name="Output 7 2 3 2 2 3" xfId="28348" xr:uid="{00000000-0005-0000-0000-00005B620000}"/>
    <cellStyle name="Output 7 2 3 2 2 3 2" xfId="28349" xr:uid="{00000000-0005-0000-0000-00005C620000}"/>
    <cellStyle name="Output 7 2 3 2 2 3 2 2" xfId="28350" xr:uid="{00000000-0005-0000-0000-00005D620000}"/>
    <cellStyle name="Output 7 2 3 2 2 3 2 3" xfId="28351" xr:uid="{00000000-0005-0000-0000-00005E620000}"/>
    <cellStyle name="Output 7 2 3 2 2 3 2 4" xfId="5127" xr:uid="{00000000-0005-0000-0000-00005F620000}"/>
    <cellStyle name="Output 7 2 3 2 2 3 3" xfId="8682" xr:uid="{00000000-0005-0000-0000-000060620000}"/>
    <cellStyle name="Output 7 2 3 2 2 3 4" xfId="8761" xr:uid="{00000000-0005-0000-0000-000061620000}"/>
    <cellStyle name="Output 7 2 3 2 2 3 5" xfId="8764" xr:uid="{00000000-0005-0000-0000-000062620000}"/>
    <cellStyle name="Output 7 2 3 2 2 4" xfId="28352" xr:uid="{00000000-0005-0000-0000-000063620000}"/>
    <cellStyle name="Output 7 2 3 2 2 4 2" xfId="16501" xr:uid="{00000000-0005-0000-0000-000064620000}"/>
    <cellStyle name="Output 7 2 3 2 2 4 3" xfId="16503" xr:uid="{00000000-0005-0000-0000-000065620000}"/>
    <cellStyle name="Output 7 2 3 2 2 4 4" xfId="28353" xr:uid="{00000000-0005-0000-0000-000066620000}"/>
    <cellStyle name="Output 7 2 3 2 2 5" xfId="28354" xr:uid="{00000000-0005-0000-0000-000067620000}"/>
    <cellStyle name="Output 7 2 3 2 2 6" xfId="28355" xr:uid="{00000000-0005-0000-0000-000068620000}"/>
    <cellStyle name="Output 7 2 3 2 2 7" xfId="28356" xr:uid="{00000000-0005-0000-0000-000069620000}"/>
    <cellStyle name="Output 7 2 3 2 3" xfId="13222" xr:uid="{00000000-0005-0000-0000-00006A620000}"/>
    <cellStyle name="Output 7 2 3 2 3 2" xfId="21186" xr:uid="{00000000-0005-0000-0000-00006B620000}"/>
    <cellStyle name="Output 7 2 3 2 3 2 2" xfId="28357" xr:uid="{00000000-0005-0000-0000-00006C620000}"/>
    <cellStyle name="Output 7 2 3 2 3 2 2 2" xfId="28358" xr:uid="{00000000-0005-0000-0000-00006D620000}"/>
    <cellStyle name="Output 7 2 3 2 3 2 2 3" xfId="22264" xr:uid="{00000000-0005-0000-0000-00006E620000}"/>
    <cellStyle name="Output 7 2 3 2 3 2 2 4" xfId="22267" xr:uid="{00000000-0005-0000-0000-00006F620000}"/>
    <cellStyle name="Output 7 2 3 2 3 2 3" xfId="28359" xr:uid="{00000000-0005-0000-0000-000070620000}"/>
    <cellStyle name="Output 7 2 3 2 3 2 4" xfId="28360" xr:uid="{00000000-0005-0000-0000-000071620000}"/>
    <cellStyle name="Output 7 2 3 2 3 2 5" xfId="27245" xr:uid="{00000000-0005-0000-0000-000072620000}"/>
    <cellStyle name="Output 7 2 3 2 3 3" xfId="21190" xr:uid="{00000000-0005-0000-0000-000073620000}"/>
    <cellStyle name="Output 7 2 3 2 3 3 2" xfId="28361" xr:uid="{00000000-0005-0000-0000-000074620000}"/>
    <cellStyle name="Output 7 2 3 2 3 3 3" xfId="28362" xr:uid="{00000000-0005-0000-0000-000075620000}"/>
    <cellStyle name="Output 7 2 3 2 3 3 4" xfId="28363" xr:uid="{00000000-0005-0000-0000-000076620000}"/>
    <cellStyle name="Output 7 2 3 2 3 4" xfId="21194" xr:uid="{00000000-0005-0000-0000-000077620000}"/>
    <cellStyle name="Output 7 2 3 2 3 5" xfId="28364" xr:uid="{00000000-0005-0000-0000-000078620000}"/>
    <cellStyle name="Output 7 2 3 2 3 6" xfId="28365" xr:uid="{00000000-0005-0000-0000-000079620000}"/>
    <cellStyle name="Output 7 2 3 2 4" xfId="13226" xr:uid="{00000000-0005-0000-0000-00007A620000}"/>
    <cellStyle name="Output 7 2 3 2 4 2" xfId="21201" xr:uid="{00000000-0005-0000-0000-00007B620000}"/>
    <cellStyle name="Output 7 2 3 2 4 2 2" xfId="28366" xr:uid="{00000000-0005-0000-0000-00007C620000}"/>
    <cellStyle name="Output 7 2 3 2 4 2 3" xfId="28367" xr:uid="{00000000-0005-0000-0000-00007D620000}"/>
    <cellStyle name="Output 7 2 3 2 4 2 4" xfId="28368" xr:uid="{00000000-0005-0000-0000-00007E620000}"/>
    <cellStyle name="Output 7 2 3 2 4 3" xfId="21207" xr:uid="{00000000-0005-0000-0000-00007F620000}"/>
    <cellStyle name="Output 7 2 3 2 4 4" xfId="21399" xr:uid="{00000000-0005-0000-0000-000080620000}"/>
    <cellStyle name="Output 7 2 3 2 4 5" xfId="15217" xr:uid="{00000000-0005-0000-0000-000081620000}"/>
    <cellStyle name="Output 7 2 3 2 5" xfId="13231" xr:uid="{00000000-0005-0000-0000-000082620000}"/>
    <cellStyle name="Output 7 2 3 2 5 2" xfId="17388" xr:uid="{00000000-0005-0000-0000-000083620000}"/>
    <cellStyle name="Output 7 2 3 2 5 3" xfId="28369" xr:uid="{00000000-0005-0000-0000-000084620000}"/>
    <cellStyle name="Output 7 2 3 2 5 4" xfId="28370" xr:uid="{00000000-0005-0000-0000-000085620000}"/>
    <cellStyle name="Output 7 2 3 2 6" xfId="21402" xr:uid="{00000000-0005-0000-0000-000086620000}"/>
    <cellStyle name="Output 7 2 3 2 7" xfId="17140" xr:uid="{00000000-0005-0000-0000-000087620000}"/>
    <cellStyle name="Output 7 2 3 2 8" xfId="8978" xr:uid="{00000000-0005-0000-0000-000088620000}"/>
    <cellStyle name="Output 7 2 3 3" xfId="28371" xr:uid="{00000000-0005-0000-0000-000089620000}"/>
    <cellStyle name="Output 7 2 3 3 2" xfId="24645" xr:uid="{00000000-0005-0000-0000-00008A620000}"/>
    <cellStyle name="Output 7 2 3 3 2 2" xfId="28372" xr:uid="{00000000-0005-0000-0000-00008B620000}"/>
    <cellStyle name="Output 7 2 3 3 2 2 2" xfId="21805" xr:uid="{00000000-0005-0000-0000-00008C620000}"/>
    <cellStyle name="Output 7 2 3 3 2 2 2 2" xfId="14832" xr:uid="{00000000-0005-0000-0000-00008D620000}"/>
    <cellStyle name="Output 7 2 3 3 2 2 2 3" xfId="21814" xr:uid="{00000000-0005-0000-0000-00008E620000}"/>
    <cellStyle name="Output 7 2 3 3 2 2 2 4" xfId="21816" xr:uid="{00000000-0005-0000-0000-00008F620000}"/>
    <cellStyle name="Output 7 2 3 3 2 2 3" xfId="21818" xr:uid="{00000000-0005-0000-0000-000090620000}"/>
    <cellStyle name="Output 7 2 3 3 2 2 4" xfId="21824" xr:uid="{00000000-0005-0000-0000-000091620000}"/>
    <cellStyle name="Output 7 2 3 3 2 2 5" xfId="21826" xr:uid="{00000000-0005-0000-0000-000092620000}"/>
    <cellStyle name="Output 7 2 3 3 2 3" xfId="28373" xr:uid="{00000000-0005-0000-0000-000093620000}"/>
    <cellStyle name="Output 7 2 3 3 2 3 2" xfId="1633" xr:uid="{00000000-0005-0000-0000-000094620000}"/>
    <cellStyle name="Output 7 2 3 3 2 3 3" xfId="5094" xr:uid="{00000000-0005-0000-0000-000095620000}"/>
    <cellStyle name="Output 7 2 3 3 2 3 4" xfId="21877" xr:uid="{00000000-0005-0000-0000-000096620000}"/>
    <cellStyle name="Output 7 2 3 3 2 4" xfId="28374" xr:uid="{00000000-0005-0000-0000-000097620000}"/>
    <cellStyle name="Output 7 2 3 3 2 5" xfId="28375" xr:uid="{00000000-0005-0000-0000-000098620000}"/>
    <cellStyle name="Output 7 2 3 3 2 6" xfId="28376" xr:uid="{00000000-0005-0000-0000-000099620000}"/>
    <cellStyle name="Output 7 2 3 3 3" xfId="24648" xr:uid="{00000000-0005-0000-0000-00009A620000}"/>
    <cellStyle name="Output 7 2 3 3 3 2" xfId="15175" xr:uid="{00000000-0005-0000-0000-00009B620000}"/>
    <cellStyle name="Output 7 2 3 3 3 2 2" xfId="21562" xr:uid="{00000000-0005-0000-0000-00009C620000}"/>
    <cellStyle name="Output 7 2 3 3 3 2 3" xfId="28377" xr:uid="{00000000-0005-0000-0000-00009D620000}"/>
    <cellStyle name="Output 7 2 3 3 3 2 4" xfId="28378" xr:uid="{00000000-0005-0000-0000-00009E620000}"/>
    <cellStyle name="Output 7 2 3 3 3 3" xfId="15180" xr:uid="{00000000-0005-0000-0000-00009F620000}"/>
    <cellStyle name="Output 7 2 3 3 3 4" xfId="28379" xr:uid="{00000000-0005-0000-0000-0000A0620000}"/>
    <cellStyle name="Output 7 2 3 3 3 5" xfId="28380" xr:uid="{00000000-0005-0000-0000-0000A1620000}"/>
    <cellStyle name="Output 7 2 3 3 4" xfId="21405" xr:uid="{00000000-0005-0000-0000-0000A2620000}"/>
    <cellStyle name="Output 7 2 3 3 4 2" xfId="17879" xr:uid="{00000000-0005-0000-0000-0000A3620000}"/>
    <cellStyle name="Output 7 2 3 3 4 3" xfId="28381" xr:uid="{00000000-0005-0000-0000-0000A4620000}"/>
    <cellStyle name="Output 7 2 3 3 4 4" xfId="28382" xr:uid="{00000000-0005-0000-0000-0000A5620000}"/>
    <cellStyle name="Output 7 2 3 3 5" xfId="21408" xr:uid="{00000000-0005-0000-0000-0000A6620000}"/>
    <cellStyle name="Output 7 2 3 3 6" xfId="21411" xr:uid="{00000000-0005-0000-0000-0000A7620000}"/>
    <cellStyle name="Output 7 2 3 3 7" xfId="17149" xr:uid="{00000000-0005-0000-0000-0000A8620000}"/>
    <cellStyle name="Output 7 2 3 4" xfId="28383" xr:uid="{00000000-0005-0000-0000-0000A9620000}"/>
    <cellStyle name="Output 7 2 3 4 2" xfId="28384" xr:uid="{00000000-0005-0000-0000-0000AA620000}"/>
    <cellStyle name="Output 7 2 3 4 2 2" xfId="23565" xr:uid="{00000000-0005-0000-0000-0000AB620000}"/>
    <cellStyle name="Output 7 2 3 4 2 2 2" xfId="1786" xr:uid="{00000000-0005-0000-0000-0000AC620000}"/>
    <cellStyle name="Output 7 2 3 4 2 2 3" xfId="23568" xr:uid="{00000000-0005-0000-0000-0000AD620000}"/>
    <cellStyle name="Output 7 2 3 4 2 2 4" xfId="23570" xr:uid="{00000000-0005-0000-0000-0000AE620000}"/>
    <cellStyle name="Output 7 2 3 4 2 3" xfId="23574" xr:uid="{00000000-0005-0000-0000-0000AF620000}"/>
    <cellStyle name="Output 7 2 3 4 2 4" xfId="23579" xr:uid="{00000000-0005-0000-0000-0000B0620000}"/>
    <cellStyle name="Output 7 2 3 4 2 5" xfId="23581" xr:uid="{00000000-0005-0000-0000-0000B1620000}"/>
    <cellStyle name="Output 7 2 3 4 3" xfId="28385" xr:uid="{00000000-0005-0000-0000-0000B2620000}"/>
    <cellStyle name="Output 7 2 3 4 3 2" xfId="21219" xr:uid="{00000000-0005-0000-0000-0000B3620000}"/>
    <cellStyle name="Output 7 2 3 4 3 3" xfId="23593" xr:uid="{00000000-0005-0000-0000-0000B4620000}"/>
    <cellStyle name="Output 7 2 3 4 3 4" xfId="23595" xr:uid="{00000000-0005-0000-0000-0000B5620000}"/>
    <cellStyle name="Output 7 2 3 4 4" xfId="28386" xr:uid="{00000000-0005-0000-0000-0000B6620000}"/>
    <cellStyle name="Output 7 2 3 4 5" xfId="28387" xr:uid="{00000000-0005-0000-0000-0000B7620000}"/>
    <cellStyle name="Output 7 2 3 4 6" xfId="28388" xr:uid="{00000000-0005-0000-0000-0000B8620000}"/>
    <cellStyle name="Output 7 2 3 5" xfId="28389" xr:uid="{00000000-0005-0000-0000-0000B9620000}"/>
    <cellStyle name="Output 7 2 3 5 2" xfId="26109" xr:uid="{00000000-0005-0000-0000-0000BA620000}"/>
    <cellStyle name="Output 7 2 3 5 2 2" xfId="23722" xr:uid="{00000000-0005-0000-0000-0000BB620000}"/>
    <cellStyle name="Output 7 2 3 5 2 3" xfId="23724" xr:uid="{00000000-0005-0000-0000-0000BC620000}"/>
    <cellStyle name="Output 7 2 3 5 2 4" xfId="23727" xr:uid="{00000000-0005-0000-0000-0000BD620000}"/>
    <cellStyle name="Output 7 2 3 5 3" xfId="28390" xr:uid="{00000000-0005-0000-0000-0000BE620000}"/>
    <cellStyle name="Output 7 2 3 5 4" xfId="28391" xr:uid="{00000000-0005-0000-0000-0000BF620000}"/>
    <cellStyle name="Output 7 2 3 5 5" xfId="28392" xr:uid="{00000000-0005-0000-0000-0000C0620000}"/>
    <cellStyle name="Output 7 2 3 6" xfId="28393" xr:uid="{00000000-0005-0000-0000-0000C1620000}"/>
    <cellStyle name="Output 7 2 3 6 2" xfId="28394" xr:uid="{00000000-0005-0000-0000-0000C2620000}"/>
    <cellStyle name="Output 7 2 3 6 3" xfId="21936" xr:uid="{00000000-0005-0000-0000-0000C3620000}"/>
    <cellStyle name="Output 7 2 3 6 4" xfId="5749" xr:uid="{00000000-0005-0000-0000-0000C4620000}"/>
    <cellStyle name="Output 7 2 3 7" xfId="28395" xr:uid="{00000000-0005-0000-0000-0000C5620000}"/>
    <cellStyle name="Output 7 2 3 8" xfId="28396" xr:uid="{00000000-0005-0000-0000-0000C6620000}"/>
    <cellStyle name="Output 7 2 3 9" xfId="28397" xr:uid="{00000000-0005-0000-0000-0000C7620000}"/>
    <cellStyle name="Output 7 2 4" xfId="123" xr:uid="{00000000-0005-0000-0000-0000C8620000}"/>
    <cellStyle name="Output 7 2 4 2" xfId="28399" xr:uid="{00000000-0005-0000-0000-0000C9620000}"/>
    <cellStyle name="Output 7 2 4 2 2" xfId="24668" xr:uid="{00000000-0005-0000-0000-0000CA620000}"/>
    <cellStyle name="Output 7 2 4 2 2 2" xfId="27281" xr:uid="{00000000-0005-0000-0000-0000CB620000}"/>
    <cellStyle name="Output 7 2 4 2 2 2 2" xfId="28400" xr:uid="{00000000-0005-0000-0000-0000CC620000}"/>
    <cellStyle name="Output 7 2 4 2 2 2 2 2" xfId="28401" xr:uid="{00000000-0005-0000-0000-0000CD620000}"/>
    <cellStyle name="Output 7 2 4 2 2 2 2 3" xfId="28402" xr:uid="{00000000-0005-0000-0000-0000CE620000}"/>
    <cellStyle name="Output 7 2 4 2 2 2 2 4" xfId="28403" xr:uid="{00000000-0005-0000-0000-0000CF620000}"/>
    <cellStyle name="Output 7 2 4 2 2 2 3" xfId="28404" xr:uid="{00000000-0005-0000-0000-0000D0620000}"/>
    <cellStyle name="Output 7 2 4 2 2 2 4" xfId="28405" xr:uid="{00000000-0005-0000-0000-0000D1620000}"/>
    <cellStyle name="Output 7 2 4 2 2 2 5" xfId="28406" xr:uid="{00000000-0005-0000-0000-0000D2620000}"/>
    <cellStyle name="Output 7 2 4 2 2 3" xfId="27283" xr:uid="{00000000-0005-0000-0000-0000D3620000}"/>
    <cellStyle name="Output 7 2 4 2 2 3 2" xfId="28407" xr:uid="{00000000-0005-0000-0000-0000D4620000}"/>
    <cellStyle name="Output 7 2 4 2 2 3 3" xfId="28408" xr:uid="{00000000-0005-0000-0000-0000D5620000}"/>
    <cellStyle name="Output 7 2 4 2 2 3 4" xfId="28409" xr:uid="{00000000-0005-0000-0000-0000D6620000}"/>
    <cellStyle name="Output 7 2 4 2 2 4" xfId="28410" xr:uid="{00000000-0005-0000-0000-0000D7620000}"/>
    <cellStyle name="Output 7 2 4 2 2 5" xfId="28411" xr:uid="{00000000-0005-0000-0000-0000D8620000}"/>
    <cellStyle name="Output 7 2 4 2 2 6" xfId="28412" xr:uid="{00000000-0005-0000-0000-0000D9620000}"/>
    <cellStyle name="Output 7 2 4 2 3" xfId="326" xr:uid="{00000000-0005-0000-0000-0000DA620000}"/>
    <cellStyle name="Output 7 2 4 2 3 2" xfId="1398" xr:uid="{00000000-0005-0000-0000-0000DB620000}"/>
    <cellStyle name="Output 7 2 4 2 3 2 2" xfId="28413" xr:uid="{00000000-0005-0000-0000-0000DC620000}"/>
    <cellStyle name="Output 7 2 4 2 3 2 3" xfId="28414" xr:uid="{00000000-0005-0000-0000-0000DD620000}"/>
    <cellStyle name="Output 7 2 4 2 3 2 4" xfId="28415" xr:uid="{00000000-0005-0000-0000-0000DE620000}"/>
    <cellStyle name="Output 7 2 4 2 3 3" xfId="5109" xr:uid="{00000000-0005-0000-0000-0000DF620000}"/>
    <cellStyle name="Output 7 2 4 2 3 4" xfId="28417" xr:uid="{00000000-0005-0000-0000-0000E0620000}"/>
    <cellStyle name="Output 7 2 4 2 3 5" xfId="28418" xr:uid="{00000000-0005-0000-0000-0000E1620000}"/>
    <cellStyle name="Output 7 2 4 2 4" xfId="3212" xr:uid="{00000000-0005-0000-0000-0000E2620000}"/>
    <cellStyle name="Output 7 2 4 2 4 2" xfId="21229" xr:uid="{00000000-0005-0000-0000-0000E3620000}"/>
    <cellStyle name="Output 7 2 4 2 4 3" xfId="28419" xr:uid="{00000000-0005-0000-0000-0000E4620000}"/>
    <cellStyle name="Output 7 2 4 2 4 4" xfId="28420" xr:uid="{00000000-0005-0000-0000-0000E5620000}"/>
    <cellStyle name="Output 7 2 4 2 5" xfId="13427" xr:uid="{00000000-0005-0000-0000-0000E6620000}"/>
    <cellStyle name="Output 7 2 4 2 6" xfId="17408" xr:uid="{00000000-0005-0000-0000-0000E7620000}"/>
    <cellStyle name="Output 7 2 4 2 7" xfId="17170" xr:uid="{00000000-0005-0000-0000-0000E8620000}"/>
    <cellStyle name="Output 7 2 4 3" xfId="28422" xr:uid="{00000000-0005-0000-0000-0000E9620000}"/>
    <cellStyle name="Output 7 2 4 3 2" xfId="28423" xr:uid="{00000000-0005-0000-0000-0000EA620000}"/>
    <cellStyle name="Output 7 2 4 3 2 2" xfId="27321" xr:uid="{00000000-0005-0000-0000-0000EB620000}"/>
    <cellStyle name="Output 7 2 4 3 2 2 2" xfId="28424" xr:uid="{00000000-0005-0000-0000-0000EC620000}"/>
    <cellStyle name="Output 7 2 4 3 2 2 3" xfId="28425" xr:uid="{00000000-0005-0000-0000-0000ED620000}"/>
    <cellStyle name="Output 7 2 4 3 2 2 4" xfId="5316" xr:uid="{00000000-0005-0000-0000-0000EE620000}"/>
    <cellStyle name="Output 7 2 4 3 2 3" xfId="28426" xr:uid="{00000000-0005-0000-0000-0000EF620000}"/>
    <cellStyle name="Output 7 2 4 3 2 4" xfId="28428" xr:uid="{00000000-0005-0000-0000-0000F0620000}"/>
    <cellStyle name="Output 7 2 4 3 2 5" xfId="28430" xr:uid="{00000000-0005-0000-0000-0000F1620000}"/>
    <cellStyle name="Output 7 2 4 3 3" xfId="28432" xr:uid="{00000000-0005-0000-0000-0000F2620000}"/>
    <cellStyle name="Output 7 2 4 3 3 2" xfId="6549" xr:uid="{00000000-0005-0000-0000-0000F3620000}"/>
    <cellStyle name="Output 7 2 4 3 3 3" xfId="28433" xr:uid="{00000000-0005-0000-0000-0000F4620000}"/>
    <cellStyle name="Output 7 2 4 3 3 4" xfId="28435" xr:uid="{00000000-0005-0000-0000-0000F5620000}"/>
    <cellStyle name="Output 7 2 4 3 4" xfId="28437" xr:uid="{00000000-0005-0000-0000-0000F6620000}"/>
    <cellStyle name="Output 7 2 4 3 5" xfId="28439" xr:uid="{00000000-0005-0000-0000-0000F7620000}"/>
    <cellStyle name="Output 7 2 4 3 6" xfId="28440" xr:uid="{00000000-0005-0000-0000-0000F8620000}"/>
    <cellStyle name="Output 7 2 4 4" xfId="28441" xr:uid="{00000000-0005-0000-0000-0000F9620000}"/>
    <cellStyle name="Output 7 2 4 4 2" xfId="28442" xr:uid="{00000000-0005-0000-0000-0000FA620000}"/>
    <cellStyle name="Output 7 2 4 4 2 2" xfId="181" xr:uid="{00000000-0005-0000-0000-0000FB620000}"/>
    <cellStyle name="Output 7 2 4 4 2 3" xfId="24316" xr:uid="{00000000-0005-0000-0000-0000FC620000}"/>
    <cellStyle name="Output 7 2 4 4 2 4" xfId="24321" xr:uid="{00000000-0005-0000-0000-0000FD620000}"/>
    <cellStyle name="Output 7 2 4 4 3" xfId="28443" xr:uid="{00000000-0005-0000-0000-0000FE620000}"/>
    <cellStyle name="Output 7 2 4 4 4" xfId="28444" xr:uid="{00000000-0005-0000-0000-0000FF620000}"/>
    <cellStyle name="Output 7 2 4 4 5" xfId="28445" xr:uid="{00000000-0005-0000-0000-000000630000}"/>
    <cellStyle name="Output 7 2 4 5" xfId="28446" xr:uid="{00000000-0005-0000-0000-000001630000}"/>
    <cellStyle name="Output 7 2 4 5 2" xfId="28447" xr:uid="{00000000-0005-0000-0000-000002630000}"/>
    <cellStyle name="Output 7 2 4 5 3" xfId="28448" xr:uid="{00000000-0005-0000-0000-000003630000}"/>
    <cellStyle name="Output 7 2 4 5 4" xfId="28449" xr:uid="{00000000-0005-0000-0000-000004630000}"/>
    <cellStyle name="Output 7 2 4 6" xfId="28450" xr:uid="{00000000-0005-0000-0000-000005630000}"/>
    <cellStyle name="Output 7 2 4 7" xfId="28451" xr:uid="{00000000-0005-0000-0000-000006630000}"/>
    <cellStyle name="Output 7 2 4 8" xfId="28452" xr:uid="{00000000-0005-0000-0000-000007630000}"/>
    <cellStyle name="Output 7 2 5" xfId="28453" xr:uid="{00000000-0005-0000-0000-000008630000}"/>
    <cellStyle name="Output 7 2 5 2" xfId="298" xr:uid="{00000000-0005-0000-0000-000009630000}"/>
    <cellStyle name="Output 7 2 5 2 2" xfId="12923" xr:uid="{00000000-0005-0000-0000-00000A630000}"/>
    <cellStyle name="Output 7 2 5 2 2 2" xfId="27385" xr:uid="{00000000-0005-0000-0000-00000B630000}"/>
    <cellStyle name="Output 7 2 5 2 2 2 2" xfId="28454" xr:uid="{00000000-0005-0000-0000-00000C630000}"/>
    <cellStyle name="Output 7 2 5 2 2 2 3" xfId="28455" xr:uid="{00000000-0005-0000-0000-00000D630000}"/>
    <cellStyle name="Output 7 2 5 2 2 2 4" xfId="28457" xr:uid="{00000000-0005-0000-0000-00000E630000}"/>
    <cellStyle name="Output 7 2 5 2 2 3" xfId="27387" xr:uid="{00000000-0005-0000-0000-00000F630000}"/>
    <cellStyle name="Output 7 2 5 2 2 4" xfId="28458" xr:uid="{00000000-0005-0000-0000-000010630000}"/>
    <cellStyle name="Output 7 2 5 2 2 5" xfId="28459" xr:uid="{00000000-0005-0000-0000-000011630000}"/>
    <cellStyle name="Output 7 2 5 2 3" xfId="12928" xr:uid="{00000000-0005-0000-0000-000012630000}"/>
    <cellStyle name="Output 7 2 5 2 3 2" xfId="21244" xr:uid="{00000000-0005-0000-0000-000013630000}"/>
    <cellStyle name="Output 7 2 5 2 3 3" xfId="28460" xr:uid="{00000000-0005-0000-0000-000014630000}"/>
    <cellStyle name="Output 7 2 5 2 3 4" xfId="28461" xr:uid="{00000000-0005-0000-0000-000015630000}"/>
    <cellStyle name="Output 7 2 5 2 4" xfId="9219" xr:uid="{00000000-0005-0000-0000-000016630000}"/>
    <cellStyle name="Output 7 2 5 2 5" xfId="9228" xr:uid="{00000000-0005-0000-0000-000017630000}"/>
    <cellStyle name="Output 7 2 5 2 6" xfId="401" xr:uid="{00000000-0005-0000-0000-000018630000}"/>
    <cellStyle name="Output 7 2 5 3" xfId="116" xr:uid="{00000000-0005-0000-0000-000019630000}"/>
    <cellStyle name="Output 7 2 5 3 2" xfId="19900" xr:uid="{00000000-0005-0000-0000-00001A630000}"/>
    <cellStyle name="Output 7 2 5 3 2 2" xfId="27409" xr:uid="{00000000-0005-0000-0000-00001B630000}"/>
    <cellStyle name="Output 7 2 5 3 2 3" xfId="28462" xr:uid="{00000000-0005-0000-0000-00001C630000}"/>
    <cellStyle name="Output 7 2 5 3 2 4" xfId="28464" xr:uid="{00000000-0005-0000-0000-00001D630000}"/>
    <cellStyle name="Output 7 2 5 3 3" xfId="25938" xr:uid="{00000000-0005-0000-0000-00001E630000}"/>
    <cellStyle name="Output 7 2 5 3 4" xfId="153" xr:uid="{00000000-0005-0000-0000-00001F630000}"/>
    <cellStyle name="Output 7 2 5 3 5" xfId="9240" xr:uid="{00000000-0005-0000-0000-000020630000}"/>
    <cellStyle name="Output 7 2 5 4" xfId="28465" xr:uid="{00000000-0005-0000-0000-000021630000}"/>
    <cellStyle name="Output 7 2 5 4 2" xfId="28466" xr:uid="{00000000-0005-0000-0000-000022630000}"/>
    <cellStyle name="Output 7 2 5 4 3" xfId="28467" xr:uid="{00000000-0005-0000-0000-000023630000}"/>
    <cellStyle name="Output 7 2 5 4 4" xfId="28468" xr:uid="{00000000-0005-0000-0000-000024630000}"/>
    <cellStyle name="Output 7 2 5 5" xfId="28469" xr:uid="{00000000-0005-0000-0000-000025630000}"/>
    <cellStyle name="Output 7 2 5 6" xfId="28470" xr:uid="{00000000-0005-0000-0000-000026630000}"/>
    <cellStyle name="Output 7 2 5 7" xfId="28471" xr:uid="{00000000-0005-0000-0000-000027630000}"/>
    <cellStyle name="Output 7 2 6" xfId="28472" xr:uid="{00000000-0005-0000-0000-000028630000}"/>
    <cellStyle name="Output 7 2 6 2" xfId="28473" xr:uid="{00000000-0005-0000-0000-000029630000}"/>
    <cellStyle name="Output 7 2 6 2 2" xfId="28474" xr:uid="{00000000-0005-0000-0000-00002A630000}"/>
    <cellStyle name="Output 7 2 6 2 2 2" xfId="27449" xr:uid="{00000000-0005-0000-0000-00002B630000}"/>
    <cellStyle name="Output 7 2 6 2 2 3" xfId="28475" xr:uid="{00000000-0005-0000-0000-00002C630000}"/>
    <cellStyle name="Output 7 2 6 2 2 4" xfId="28476" xr:uid="{00000000-0005-0000-0000-00002D630000}"/>
    <cellStyle name="Output 7 2 6 2 3" xfId="28477" xr:uid="{00000000-0005-0000-0000-00002E630000}"/>
    <cellStyle name="Output 7 2 6 2 4" xfId="9277" xr:uid="{00000000-0005-0000-0000-00002F630000}"/>
    <cellStyle name="Output 7 2 6 2 5" xfId="9284" xr:uid="{00000000-0005-0000-0000-000030630000}"/>
    <cellStyle name="Output 7 2 6 3" xfId="28478" xr:uid="{00000000-0005-0000-0000-000031630000}"/>
    <cellStyle name="Output 7 2 6 3 2" xfId="28479" xr:uid="{00000000-0005-0000-0000-000032630000}"/>
    <cellStyle name="Output 7 2 6 3 3" xfId="28480" xr:uid="{00000000-0005-0000-0000-000033630000}"/>
    <cellStyle name="Output 7 2 6 3 4" xfId="28481" xr:uid="{00000000-0005-0000-0000-000034630000}"/>
    <cellStyle name="Output 7 2 6 4" xfId="28482" xr:uid="{00000000-0005-0000-0000-000035630000}"/>
    <cellStyle name="Output 7 2 6 5" xfId="28483" xr:uid="{00000000-0005-0000-0000-000036630000}"/>
    <cellStyle name="Output 7 2 6 6" xfId="17685" xr:uid="{00000000-0005-0000-0000-000037630000}"/>
    <cellStyle name="Output 7 2 7" xfId="28484" xr:uid="{00000000-0005-0000-0000-000038630000}"/>
    <cellStyle name="Output 7 2 7 2" xfId="28485" xr:uid="{00000000-0005-0000-0000-000039630000}"/>
    <cellStyle name="Output 7 2 7 2 2" xfId="28486" xr:uid="{00000000-0005-0000-0000-00003A630000}"/>
    <cellStyle name="Output 7 2 7 2 3" xfId="28487" xr:uid="{00000000-0005-0000-0000-00003B630000}"/>
    <cellStyle name="Output 7 2 7 2 4" xfId="28488" xr:uid="{00000000-0005-0000-0000-00003C630000}"/>
    <cellStyle name="Output 7 2 7 3" xfId="28489" xr:uid="{00000000-0005-0000-0000-00003D630000}"/>
    <cellStyle name="Output 7 2 7 4" xfId="28490" xr:uid="{00000000-0005-0000-0000-00003E630000}"/>
    <cellStyle name="Output 7 2 7 5" xfId="28491" xr:uid="{00000000-0005-0000-0000-00003F630000}"/>
    <cellStyle name="Output 7 2 8" xfId="28492" xr:uid="{00000000-0005-0000-0000-000040630000}"/>
    <cellStyle name="Output 7 2 8 2" xfId="28493" xr:uid="{00000000-0005-0000-0000-000041630000}"/>
    <cellStyle name="Output 7 2 8 3" xfId="28494" xr:uid="{00000000-0005-0000-0000-000042630000}"/>
    <cellStyle name="Output 7 2 8 4" xfId="28495" xr:uid="{00000000-0005-0000-0000-000043630000}"/>
    <cellStyle name="Output 7 2 9" xfId="28496" xr:uid="{00000000-0005-0000-0000-000044630000}"/>
    <cellStyle name="Output 7 3" xfId="4596" xr:uid="{00000000-0005-0000-0000-000045630000}"/>
    <cellStyle name="Output 7 3 2" xfId="25028" xr:uid="{00000000-0005-0000-0000-000046630000}"/>
    <cellStyle name="Output 7 3 2 2" xfId="28497" xr:uid="{00000000-0005-0000-0000-000047630000}"/>
    <cellStyle name="Output 7 3 2 2 2" xfId="28498" xr:uid="{00000000-0005-0000-0000-000048630000}"/>
    <cellStyle name="Output 7 3 2 2 2 2" xfId="28500" xr:uid="{00000000-0005-0000-0000-000049630000}"/>
    <cellStyle name="Output 7 3 2 2 2 2 2" xfId="28502" xr:uid="{00000000-0005-0000-0000-00004A630000}"/>
    <cellStyle name="Output 7 3 2 2 2 2 2 2" xfId="23088" xr:uid="{00000000-0005-0000-0000-00004B630000}"/>
    <cellStyle name="Output 7 3 2 2 2 2 2 3" xfId="8927" xr:uid="{00000000-0005-0000-0000-00004C630000}"/>
    <cellStyle name="Output 7 3 2 2 2 2 2 4" xfId="8942" xr:uid="{00000000-0005-0000-0000-00004D630000}"/>
    <cellStyle name="Output 7 3 2 2 2 2 3" xfId="28504" xr:uid="{00000000-0005-0000-0000-00004E630000}"/>
    <cellStyle name="Output 7 3 2 2 2 2 4" xfId="12382" xr:uid="{00000000-0005-0000-0000-00004F630000}"/>
    <cellStyle name="Output 7 3 2 2 2 2 5" xfId="12390" xr:uid="{00000000-0005-0000-0000-000050630000}"/>
    <cellStyle name="Output 7 3 2 2 2 3" xfId="15739" xr:uid="{00000000-0005-0000-0000-000051630000}"/>
    <cellStyle name="Output 7 3 2 2 2 3 2" xfId="1214" xr:uid="{00000000-0005-0000-0000-000052630000}"/>
    <cellStyle name="Output 7 3 2 2 2 3 3" xfId="1222" xr:uid="{00000000-0005-0000-0000-000053630000}"/>
    <cellStyle name="Output 7 3 2 2 2 3 4" xfId="8351" xr:uid="{00000000-0005-0000-0000-000054630000}"/>
    <cellStyle name="Output 7 3 2 2 2 4" xfId="15745" xr:uid="{00000000-0005-0000-0000-000055630000}"/>
    <cellStyle name="Output 7 3 2 2 2 5" xfId="15750" xr:uid="{00000000-0005-0000-0000-000056630000}"/>
    <cellStyle name="Output 7 3 2 2 2 6" xfId="15268" xr:uid="{00000000-0005-0000-0000-000057630000}"/>
    <cellStyle name="Output 7 3 2 2 3" xfId="28505" xr:uid="{00000000-0005-0000-0000-000058630000}"/>
    <cellStyle name="Output 7 3 2 2 3 2" xfId="28507" xr:uid="{00000000-0005-0000-0000-000059630000}"/>
    <cellStyle name="Output 7 3 2 2 3 2 2" xfId="17663" xr:uid="{00000000-0005-0000-0000-00005A630000}"/>
    <cellStyle name="Output 7 3 2 2 3 2 3" xfId="17667" xr:uid="{00000000-0005-0000-0000-00005B630000}"/>
    <cellStyle name="Output 7 3 2 2 3 2 4" xfId="17672" xr:uid="{00000000-0005-0000-0000-00005C630000}"/>
    <cellStyle name="Output 7 3 2 2 3 3" xfId="13936" xr:uid="{00000000-0005-0000-0000-00005D630000}"/>
    <cellStyle name="Output 7 3 2 2 3 4" xfId="13964" xr:uid="{00000000-0005-0000-0000-00005E630000}"/>
    <cellStyle name="Output 7 3 2 2 3 5" xfId="13973" xr:uid="{00000000-0005-0000-0000-00005F630000}"/>
    <cellStyle name="Output 7 3 2 2 4" xfId="20918" xr:uid="{00000000-0005-0000-0000-000060630000}"/>
    <cellStyle name="Output 7 3 2 2 4 2" xfId="21428" xr:uid="{00000000-0005-0000-0000-000061630000}"/>
    <cellStyle name="Output 7 3 2 2 4 3" xfId="21432" xr:uid="{00000000-0005-0000-0000-000062630000}"/>
    <cellStyle name="Output 7 3 2 2 4 4" xfId="21436" xr:uid="{00000000-0005-0000-0000-000063630000}"/>
    <cellStyle name="Output 7 3 2 2 5" xfId="20922" xr:uid="{00000000-0005-0000-0000-000064630000}"/>
    <cellStyle name="Output 7 3 2 2 6" xfId="20926" xr:uid="{00000000-0005-0000-0000-000065630000}"/>
    <cellStyle name="Output 7 3 2 2 7" xfId="21445" xr:uid="{00000000-0005-0000-0000-000066630000}"/>
    <cellStyle name="Output 7 3 2 3" xfId="28508" xr:uid="{00000000-0005-0000-0000-000067630000}"/>
    <cellStyle name="Output 7 3 2 3 2" xfId="28509" xr:uid="{00000000-0005-0000-0000-000068630000}"/>
    <cellStyle name="Output 7 3 2 3 2 2" xfId="28511" xr:uid="{00000000-0005-0000-0000-000069630000}"/>
    <cellStyle name="Output 7 3 2 3 2 2 2" xfId="28513" xr:uid="{00000000-0005-0000-0000-00006A630000}"/>
    <cellStyle name="Output 7 3 2 3 2 2 3" xfId="28515" xr:uid="{00000000-0005-0000-0000-00006B630000}"/>
    <cellStyle name="Output 7 3 2 3 2 2 4" xfId="15491" xr:uid="{00000000-0005-0000-0000-00006C630000}"/>
    <cellStyle name="Output 7 3 2 3 2 3" xfId="28517" xr:uid="{00000000-0005-0000-0000-00006D630000}"/>
    <cellStyle name="Output 7 3 2 3 2 4" xfId="28519" xr:uid="{00000000-0005-0000-0000-00006E630000}"/>
    <cellStyle name="Output 7 3 2 3 2 5" xfId="28520" xr:uid="{00000000-0005-0000-0000-00006F630000}"/>
    <cellStyle name="Output 7 3 2 3 3" xfId="28521" xr:uid="{00000000-0005-0000-0000-000070630000}"/>
    <cellStyle name="Output 7 3 2 3 3 2" xfId="28523" xr:uid="{00000000-0005-0000-0000-000071630000}"/>
    <cellStyle name="Output 7 3 2 3 3 3" xfId="28525" xr:uid="{00000000-0005-0000-0000-000072630000}"/>
    <cellStyle name="Output 7 3 2 3 3 4" xfId="28527" xr:uid="{00000000-0005-0000-0000-000073630000}"/>
    <cellStyle name="Output 7 3 2 3 4" xfId="20934" xr:uid="{00000000-0005-0000-0000-000074630000}"/>
    <cellStyle name="Output 7 3 2 3 5" xfId="20939" xr:uid="{00000000-0005-0000-0000-000075630000}"/>
    <cellStyle name="Output 7 3 2 3 6" xfId="21451" xr:uid="{00000000-0005-0000-0000-000076630000}"/>
    <cellStyle name="Output 7 3 2 4" xfId="28528" xr:uid="{00000000-0005-0000-0000-000077630000}"/>
    <cellStyle name="Output 7 3 2 4 2" xfId="28529" xr:uid="{00000000-0005-0000-0000-000078630000}"/>
    <cellStyle name="Output 7 3 2 4 2 2" xfId="28532" xr:uid="{00000000-0005-0000-0000-000079630000}"/>
    <cellStyle name="Output 7 3 2 4 2 3" xfId="28536" xr:uid="{00000000-0005-0000-0000-00007A630000}"/>
    <cellStyle name="Output 7 3 2 4 2 4" xfId="28539" xr:uid="{00000000-0005-0000-0000-00007B630000}"/>
    <cellStyle name="Output 7 3 2 4 3" xfId="28540" xr:uid="{00000000-0005-0000-0000-00007C630000}"/>
    <cellStyle name="Output 7 3 2 4 4" xfId="20946" xr:uid="{00000000-0005-0000-0000-00007D630000}"/>
    <cellStyle name="Output 7 3 2 4 5" xfId="21456" xr:uid="{00000000-0005-0000-0000-00007E630000}"/>
    <cellStyle name="Output 7 3 2 5" xfId="28541" xr:uid="{00000000-0005-0000-0000-00007F630000}"/>
    <cellStyle name="Output 7 3 2 5 2" xfId="28542" xr:uid="{00000000-0005-0000-0000-000080630000}"/>
    <cellStyle name="Output 7 3 2 5 3" xfId="28543" xr:uid="{00000000-0005-0000-0000-000081630000}"/>
    <cellStyle name="Output 7 3 2 5 4" xfId="28544" xr:uid="{00000000-0005-0000-0000-000082630000}"/>
    <cellStyle name="Output 7 3 2 6" xfId="28545" xr:uid="{00000000-0005-0000-0000-000083630000}"/>
    <cellStyle name="Output 7 3 2 7" xfId="28546" xr:uid="{00000000-0005-0000-0000-000084630000}"/>
    <cellStyle name="Output 7 3 2 8" xfId="28547" xr:uid="{00000000-0005-0000-0000-000085630000}"/>
    <cellStyle name="Output 7 3 3" xfId="28548" xr:uid="{00000000-0005-0000-0000-000086630000}"/>
    <cellStyle name="Output 7 3 3 2" xfId="12470" xr:uid="{00000000-0005-0000-0000-000087630000}"/>
    <cellStyle name="Output 7 3 3 2 2" xfId="16283" xr:uid="{00000000-0005-0000-0000-000088630000}"/>
    <cellStyle name="Output 7 3 3 2 2 2" xfId="28549" xr:uid="{00000000-0005-0000-0000-000089630000}"/>
    <cellStyle name="Output 7 3 3 2 2 2 2" xfId="28550" xr:uid="{00000000-0005-0000-0000-00008A630000}"/>
    <cellStyle name="Output 7 3 3 2 2 2 3" xfId="28551" xr:uid="{00000000-0005-0000-0000-00008B630000}"/>
    <cellStyle name="Output 7 3 3 2 2 2 4" xfId="28552" xr:uid="{00000000-0005-0000-0000-00008C630000}"/>
    <cellStyle name="Output 7 3 3 2 2 3" xfId="12591" xr:uid="{00000000-0005-0000-0000-00008D630000}"/>
    <cellStyle name="Output 7 3 3 2 2 4" xfId="12599" xr:uid="{00000000-0005-0000-0000-00008E630000}"/>
    <cellStyle name="Output 7 3 3 2 2 5" xfId="12604" xr:uid="{00000000-0005-0000-0000-00008F630000}"/>
    <cellStyle name="Output 7 3 3 2 3" xfId="16288" xr:uid="{00000000-0005-0000-0000-000090630000}"/>
    <cellStyle name="Output 7 3 3 2 3 2" xfId="21267" xr:uid="{00000000-0005-0000-0000-000091630000}"/>
    <cellStyle name="Output 7 3 3 2 3 3" xfId="16399" xr:uid="{00000000-0005-0000-0000-000092630000}"/>
    <cellStyle name="Output 7 3 3 2 3 4" xfId="16403" xr:uid="{00000000-0005-0000-0000-000093630000}"/>
    <cellStyle name="Output 7 3 3 2 4" xfId="16293" xr:uid="{00000000-0005-0000-0000-000094630000}"/>
    <cellStyle name="Output 7 3 3 2 5" xfId="20964" xr:uid="{00000000-0005-0000-0000-000095630000}"/>
    <cellStyle name="Output 7 3 3 2 6" xfId="21474" xr:uid="{00000000-0005-0000-0000-000096630000}"/>
    <cellStyle name="Output 7 3 3 3" xfId="12476" xr:uid="{00000000-0005-0000-0000-000097630000}"/>
    <cellStyle name="Output 7 3 3 3 2" xfId="28553" xr:uid="{00000000-0005-0000-0000-000098630000}"/>
    <cellStyle name="Output 7 3 3 3 2 2" xfId="28554" xr:uid="{00000000-0005-0000-0000-000099630000}"/>
    <cellStyle name="Output 7 3 3 3 2 3" xfId="28555" xr:uid="{00000000-0005-0000-0000-00009A630000}"/>
    <cellStyle name="Output 7 3 3 3 2 4" xfId="28556" xr:uid="{00000000-0005-0000-0000-00009B630000}"/>
    <cellStyle name="Output 7 3 3 3 3" xfId="28557" xr:uid="{00000000-0005-0000-0000-00009C630000}"/>
    <cellStyle name="Output 7 3 3 3 4" xfId="20971" xr:uid="{00000000-0005-0000-0000-00009D630000}"/>
    <cellStyle name="Output 7 3 3 3 5" xfId="21477" xr:uid="{00000000-0005-0000-0000-00009E630000}"/>
    <cellStyle name="Output 7 3 3 4" xfId="12480" xr:uid="{00000000-0005-0000-0000-00009F630000}"/>
    <cellStyle name="Output 7 3 3 4 2" xfId="28558" xr:uid="{00000000-0005-0000-0000-0000A0630000}"/>
    <cellStyle name="Output 7 3 3 4 3" xfId="28559" xr:uid="{00000000-0005-0000-0000-0000A1630000}"/>
    <cellStyle name="Output 7 3 3 4 4" xfId="28560" xr:uid="{00000000-0005-0000-0000-0000A2630000}"/>
    <cellStyle name="Output 7 3 3 5" xfId="5570" xr:uid="{00000000-0005-0000-0000-0000A3630000}"/>
    <cellStyle name="Output 7 3 3 6" xfId="5584" xr:uid="{00000000-0005-0000-0000-0000A4630000}"/>
    <cellStyle name="Output 7 3 3 7" xfId="5597" xr:uid="{00000000-0005-0000-0000-0000A5630000}"/>
    <cellStyle name="Output 7 3 4" xfId="28561" xr:uid="{00000000-0005-0000-0000-0000A6630000}"/>
    <cellStyle name="Output 7 3 4 2" xfId="4922" xr:uid="{00000000-0005-0000-0000-0000A7630000}"/>
    <cellStyle name="Output 7 3 4 2 2" xfId="28563" xr:uid="{00000000-0005-0000-0000-0000A8630000}"/>
    <cellStyle name="Output 7 3 4 2 2 2" xfId="11374" xr:uid="{00000000-0005-0000-0000-0000A9630000}"/>
    <cellStyle name="Output 7 3 4 2 2 3" xfId="11632" xr:uid="{00000000-0005-0000-0000-0000AA630000}"/>
    <cellStyle name="Output 7 3 4 2 2 4" xfId="11741" xr:uid="{00000000-0005-0000-0000-0000AB630000}"/>
    <cellStyle name="Output 7 3 4 2 3" xfId="16269" xr:uid="{00000000-0005-0000-0000-0000AC630000}"/>
    <cellStyle name="Output 7 3 4 2 4" xfId="16410" xr:uid="{00000000-0005-0000-0000-0000AD630000}"/>
    <cellStyle name="Output 7 3 4 2 5" xfId="16472" xr:uid="{00000000-0005-0000-0000-0000AE630000}"/>
    <cellStyle name="Output 7 3 4 3" xfId="4933" xr:uid="{00000000-0005-0000-0000-0000AF630000}"/>
    <cellStyle name="Output 7 3 4 3 2" xfId="28564" xr:uid="{00000000-0005-0000-0000-0000B0630000}"/>
    <cellStyle name="Output 7 3 4 3 3" xfId="16664" xr:uid="{00000000-0005-0000-0000-0000B1630000}"/>
    <cellStyle name="Output 7 3 4 3 4" xfId="16684" xr:uid="{00000000-0005-0000-0000-0000B2630000}"/>
    <cellStyle name="Output 7 3 4 4" xfId="16303" xr:uid="{00000000-0005-0000-0000-0000B3630000}"/>
    <cellStyle name="Output 7 3 4 5" xfId="7094" xr:uid="{00000000-0005-0000-0000-0000B4630000}"/>
    <cellStyle name="Output 7 3 4 6" xfId="7111" xr:uid="{00000000-0005-0000-0000-0000B5630000}"/>
    <cellStyle name="Output 7 3 5" xfId="28565" xr:uid="{00000000-0005-0000-0000-0000B6630000}"/>
    <cellStyle name="Output 7 3 5 2" xfId="5001" xr:uid="{00000000-0005-0000-0000-0000B7630000}"/>
    <cellStyle name="Output 7 3 5 2 2" xfId="28566" xr:uid="{00000000-0005-0000-0000-0000B8630000}"/>
    <cellStyle name="Output 7 3 5 2 3" xfId="28567" xr:uid="{00000000-0005-0000-0000-0000B9630000}"/>
    <cellStyle name="Output 7 3 5 2 4" xfId="7843" xr:uid="{00000000-0005-0000-0000-0000BA630000}"/>
    <cellStyle name="Output 7 3 5 3" xfId="5009" xr:uid="{00000000-0005-0000-0000-0000BB630000}"/>
    <cellStyle name="Output 7 3 5 4" xfId="28568" xr:uid="{00000000-0005-0000-0000-0000BC630000}"/>
    <cellStyle name="Output 7 3 5 5" xfId="7120" xr:uid="{00000000-0005-0000-0000-0000BD630000}"/>
    <cellStyle name="Output 7 3 6" xfId="28569" xr:uid="{00000000-0005-0000-0000-0000BE630000}"/>
    <cellStyle name="Output 7 3 6 2" xfId="28570" xr:uid="{00000000-0005-0000-0000-0000BF630000}"/>
    <cellStyle name="Output 7 3 6 3" xfId="28571" xr:uid="{00000000-0005-0000-0000-0000C0630000}"/>
    <cellStyle name="Output 7 3 6 4" xfId="28572" xr:uid="{00000000-0005-0000-0000-0000C1630000}"/>
    <cellStyle name="Output 7 3 7" xfId="28573" xr:uid="{00000000-0005-0000-0000-0000C2630000}"/>
    <cellStyle name="Output 7 3 8" xfId="28574" xr:uid="{00000000-0005-0000-0000-0000C3630000}"/>
    <cellStyle name="Output 7 3 9" xfId="28575" xr:uid="{00000000-0005-0000-0000-0000C4630000}"/>
    <cellStyle name="Output 7 4" xfId="4601" xr:uid="{00000000-0005-0000-0000-0000C5630000}"/>
    <cellStyle name="Output 7 4 2" xfId="28576" xr:uid="{00000000-0005-0000-0000-0000C6630000}"/>
    <cellStyle name="Output 7 4 2 2" xfId="6732" xr:uid="{00000000-0005-0000-0000-0000C7630000}"/>
    <cellStyle name="Output 7 4 2 2 2" xfId="20367" xr:uid="{00000000-0005-0000-0000-0000C8630000}"/>
    <cellStyle name="Output 7 4 2 2 2 2" xfId="12047" xr:uid="{00000000-0005-0000-0000-0000C9630000}"/>
    <cellStyle name="Output 7 4 2 2 2 2 2" xfId="5947" xr:uid="{00000000-0005-0000-0000-0000CA630000}"/>
    <cellStyle name="Output 7 4 2 2 2 2 2 2" xfId="9785" xr:uid="{00000000-0005-0000-0000-0000CB630000}"/>
    <cellStyle name="Output 7 4 2 2 2 2 2 3" xfId="11127" xr:uid="{00000000-0005-0000-0000-0000CC630000}"/>
    <cellStyle name="Output 7 4 2 2 2 2 2 4" xfId="11132" xr:uid="{00000000-0005-0000-0000-0000CD630000}"/>
    <cellStyle name="Output 7 4 2 2 2 2 3" xfId="7471" xr:uid="{00000000-0005-0000-0000-0000CE630000}"/>
    <cellStyle name="Output 7 4 2 2 2 2 4" xfId="5041" xr:uid="{00000000-0005-0000-0000-0000CF630000}"/>
    <cellStyle name="Output 7 4 2 2 2 2 5" xfId="5046" xr:uid="{00000000-0005-0000-0000-0000D0630000}"/>
    <cellStyle name="Output 7 4 2 2 2 3" xfId="12051" xr:uid="{00000000-0005-0000-0000-0000D1630000}"/>
    <cellStyle name="Output 7 4 2 2 2 3 2" xfId="1148" xr:uid="{00000000-0005-0000-0000-0000D2630000}"/>
    <cellStyle name="Output 7 4 2 2 2 3 3" xfId="1159" xr:uid="{00000000-0005-0000-0000-0000D3630000}"/>
    <cellStyle name="Output 7 4 2 2 2 3 4" xfId="4100" xr:uid="{00000000-0005-0000-0000-0000D4630000}"/>
    <cellStyle name="Output 7 4 2 2 2 4" xfId="28578" xr:uid="{00000000-0005-0000-0000-0000D5630000}"/>
    <cellStyle name="Output 7 4 2 2 2 5" xfId="28580" xr:uid="{00000000-0005-0000-0000-0000D6630000}"/>
    <cellStyle name="Output 7 4 2 2 2 6" xfId="28582" xr:uid="{00000000-0005-0000-0000-0000D7630000}"/>
    <cellStyle name="Output 7 4 2 2 3" xfId="20371" xr:uid="{00000000-0005-0000-0000-0000D8630000}"/>
    <cellStyle name="Output 7 4 2 2 3 2" xfId="2417" xr:uid="{00000000-0005-0000-0000-0000D9630000}"/>
    <cellStyle name="Output 7 4 2 2 3 2 2" xfId="20273" xr:uid="{00000000-0005-0000-0000-0000DA630000}"/>
    <cellStyle name="Output 7 4 2 2 3 2 3" xfId="18112" xr:uid="{00000000-0005-0000-0000-0000DB630000}"/>
    <cellStyle name="Output 7 4 2 2 3 2 4" xfId="1439" xr:uid="{00000000-0005-0000-0000-0000DC630000}"/>
    <cellStyle name="Output 7 4 2 2 3 3" xfId="28583" xr:uid="{00000000-0005-0000-0000-0000DD630000}"/>
    <cellStyle name="Output 7 4 2 2 3 4" xfId="28584" xr:uid="{00000000-0005-0000-0000-0000DE630000}"/>
    <cellStyle name="Output 7 4 2 2 3 5" xfId="28585" xr:uid="{00000000-0005-0000-0000-0000DF630000}"/>
    <cellStyle name="Output 7 4 2 2 4" xfId="20375" xr:uid="{00000000-0005-0000-0000-0000E0630000}"/>
    <cellStyle name="Output 7 4 2 2 4 2" xfId="8570" xr:uid="{00000000-0005-0000-0000-0000E1630000}"/>
    <cellStyle name="Output 7 4 2 2 4 3" xfId="8574" xr:uid="{00000000-0005-0000-0000-0000E2630000}"/>
    <cellStyle name="Output 7 4 2 2 4 4" xfId="8580" xr:uid="{00000000-0005-0000-0000-0000E3630000}"/>
    <cellStyle name="Output 7 4 2 2 5" xfId="20996" xr:uid="{00000000-0005-0000-0000-0000E4630000}"/>
    <cellStyle name="Output 7 4 2 2 6" xfId="21000" xr:uid="{00000000-0005-0000-0000-0000E5630000}"/>
    <cellStyle name="Output 7 4 2 2 7" xfId="21420" xr:uid="{00000000-0005-0000-0000-0000E6630000}"/>
    <cellStyle name="Output 7 4 2 3" xfId="23657" xr:uid="{00000000-0005-0000-0000-0000E7630000}"/>
    <cellStyle name="Output 7 4 2 3 2" xfId="20384" xr:uid="{00000000-0005-0000-0000-0000E8630000}"/>
    <cellStyle name="Output 7 4 2 3 2 2" xfId="12373" xr:uid="{00000000-0005-0000-0000-0000E9630000}"/>
    <cellStyle name="Output 7 4 2 3 2 2 2" xfId="12377" xr:uid="{00000000-0005-0000-0000-0000EA630000}"/>
    <cellStyle name="Output 7 4 2 3 2 2 3" xfId="12385" xr:uid="{00000000-0005-0000-0000-0000EB630000}"/>
    <cellStyle name="Output 7 4 2 3 2 2 4" xfId="6997" xr:uid="{00000000-0005-0000-0000-0000EC630000}"/>
    <cellStyle name="Output 7 4 2 3 2 3" xfId="12397" xr:uid="{00000000-0005-0000-0000-0000ED630000}"/>
    <cellStyle name="Output 7 4 2 3 2 4" xfId="26506" xr:uid="{00000000-0005-0000-0000-0000EE630000}"/>
    <cellStyle name="Output 7 4 2 3 2 5" xfId="26508" xr:uid="{00000000-0005-0000-0000-0000EF630000}"/>
    <cellStyle name="Output 7 4 2 3 3" xfId="20390" xr:uid="{00000000-0005-0000-0000-0000F0630000}"/>
    <cellStyle name="Output 7 4 2 3 3 2" xfId="12428" xr:uid="{00000000-0005-0000-0000-0000F1630000}"/>
    <cellStyle name="Output 7 4 2 3 3 3" xfId="26512" xr:uid="{00000000-0005-0000-0000-0000F2630000}"/>
    <cellStyle name="Output 7 4 2 3 3 4" xfId="26514" xr:uid="{00000000-0005-0000-0000-0000F3630000}"/>
    <cellStyle name="Output 7 4 2 3 4" xfId="21004" xr:uid="{00000000-0005-0000-0000-0000F4630000}"/>
    <cellStyle name="Output 7 4 2 3 5" xfId="13265" xr:uid="{00000000-0005-0000-0000-0000F5630000}"/>
    <cellStyle name="Output 7 4 2 3 6" xfId="13268" xr:uid="{00000000-0005-0000-0000-0000F6630000}"/>
    <cellStyle name="Output 7 4 2 4" xfId="27221" xr:uid="{00000000-0005-0000-0000-0000F7630000}"/>
    <cellStyle name="Output 7 4 2 4 2" xfId="20400" xr:uid="{00000000-0005-0000-0000-0000F8630000}"/>
    <cellStyle name="Output 7 4 2 4 2 2" xfId="10388" xr:uid="{00000000-0005-0000-0000-0000F9630000}"/>
    <cellStyle name="Output 7 4 2 4 2 3" xfId="10395" xr:uid="{00000000-0005-0000-0000-0000FA630000}"/>
    <cellStyle name="Output 7 4 2 4 2 4" xfId="26560" xr:uid="{00000000-0005-0000-0000-0000FB630000}"/>
    <cellStyle name="Output 7 4 2 4 3" xfId="26563" xr:uid="{00000000-0005-0000-0000-0000FC630000}"/>
    <cellStyle name="Output 7 4 2 4 4" xfId="26567" xr:uid="{00000000-0005-0000-0000-0000FD630000}"/>
    <cellStyle name="Output 7 4 2 4 5" xfId="26569" xr:uid="{00000000-0005-0000-0000-0000FE630000}"/>
    <cellStyle name="Output 7 4 2 5" xfId="27223" xr:uid="{00000000-0005-0000-0000-0000FF630000}"/>
    <cellStyle name="Output 7 4 2 5 2" xfId="26632" xr:uid="{00000000-0005-0000-0000-000000640000}"/>
    <cellStyle name="Output 7 4 2 5 3" xfId="26638" xr:uid="{00000000-0005-0000-0000-000001640000}"/>
    <cellStyle name="Output 7 4 2 5 4" xfId="26644" xr:uid="{00000000-0005-0000-0000-000002640000}"/>
    <cellStyle name="Output 7 4 2 6" xfId="27225" xr:uid="{00000000-0005-0000-0000-000003640000}"/>
    <cellStyle name="Output 7 4 2 7" xfId="28586" xr:uid="{00000000-0005-0000-0000-000004640000}"/>
    <cellStyle name="Output 7 4 2 8" xfId="28587" xr:uid="{00000000-0005-0000-0000-000005640000}"/>
    <cellStyle name="Output 7 4 3" xfId="8425" xr:uid="{00000000-0005-0000-0000-000006640000}"/>
    <cellStyle name="Output 7 4 3 2" xfId="10171" xr:uid="{00000000-0005-0000-0000-000007640000}"/>
    <cellStyle name="Output 7 4 3 2 2" xfId="12129" xr:uid="{00000000-0005-0000-0000-000008640000}"/>
    <cellStyle name="Output 7 4 3 2 2 2" xfId="28588" xr:uid="{00000000-0005-0000-0000-000009640000}"/>
    <cellStyle name="Output 7 4 3 2 2 2 2" xfId="20955" xr:uid="{00000000-0005-0000-0000-00000A640000}"/>
    <cellStyle name="Output 7 4 3 2 2 2 3" xfId="18330" xr:uid="{00000000-0005-0000-0000-00000B640000}"/>
    <cellStyle name="Output 7 4 3 2 2 2 4" xfId="18347" xr:uid="{00000000-0005-0000-0000-00000C640000}"/>
    <cellStyle name="Output 7 4 3 2 2 3" xfId="28589" xr:uid="{00000000-0005-0000-0000-00000D640000}"/>
    <cellStyle name="Output 7 4 3 2 2 4" xfId="28590" xr:uid="{00000000-0005-0000-0000-00000E640000}"/>
    <cellStyle name="Output 7 4 3 2 2 5" xfId="28591" xr:uid="{00000000-0005-0000-0000-00000F640000}"/>
    <cellStyle name="Output 7 4 3 2 3" xfId="20413" xr:uid="{00000000-0005-0000-0000-000010640000}"/>
    <cellStyle name="Output 7 4 3 2 3 2" xfId="12729" xr:uid="{00000000-0005-0000-0000-000011640000}"/>
    <cellStyle name="Output 7 4 3 2 3 3" xfId="28592" xr:uid="{00000000-0005-0000-0000-000012640000}"/>
    <cellStyle name="Output 7 4 3 2 3 4" xfId="28593" xr:uid="{00000000-0005-0000-0000-000013640000}"/>
    <cellStyle name="Output 7 4 3 2 4" xfId="21027" xr:uid="{00000000-0005-0000-0000-000014640000}"/>
    <cellStyle name="Output 7 4 3 2 5" xfId="21031" xr:uid="{00000000-0005-0000-0000-000015640000}"/>
    <cellStyle name="Output 7 4 3 2 6" xfId="21495" xr:uid="{00000000-0005-0000-0000-000016640000}"/>
    <cellStyle name="Output 7 4 3 3" xfId="12500" xr:uid="{00000000-0005-0000-0000-000017640000}"/>
    <cellStyle name="Output 7 4 3 3 2" xfId="20420" xr:uid="{00000000-0005-0000-0000-000018640000}"/>
    <cellStyle name="Output 7 4 3 3 2 2" xfId="26841" xr:uid="{00000000-0005-0000-0000-000019640000}"/>
    <cellStyle name="Output 7 4 3 3 2 3" xfId="26852" xr:uid="{00000000-0005-0000-0000-00001A640000}"/>
    <cellStyle name="Output 7 4 3 3 2 4" xfId="26859" xr:uid="{00000000-0005-0000-0000-00001B640000}"/>
    <cellStyle name="Output 7 4 3 3 3" xfId="26865" xr:uid="{00000000-0005-0000-0000-00001C640000}"/>
    <cellStyle name="Output 7 4 3 3 4" xfId="26884" xr:uid="{00000000-0005-0000-0000-00001D640000}"/>
    <cellStyle name="Output 7 4 3 3 5" xfId="14263" xr:uid="{00000000-0005-0000-0000-00001E640000}"/>
    <cellStyle name="Output 7 4 3 4" xfId="16307" xr:uid="{00000000-0005-0000-0000-00001F640000}"/>
    <cellStyle name="Output 7 4 3 4 2" xfId="27073" xr:uid="{00000000-0005-0000-0000-000020640000}"/>
    <cellStyle name="Output 7 4 3 4 3" xfId="27088" xr:uid="{00000000-0005-0000-0000-000021640000}"/>
    <cellStyle name="Output 7 4 3 4 4" xfId="27093" xr:uid="{00000000-0005-0000-0000-000022640000}"/>
    <cellStyle name="Output 7 4 3 5" xfId="7146" xr:uid="{00000000-0005-0000-0000-000023640000}"/>
    <cellStyle name="Output 7 4 3 6" xfId="7151" xr:uid="{00000000-0005-0000-0000-000024640000}"/>
    <cellStyle name="Output 7 4 3 7" xfId="81" xr:uid="{00000000-0005-0000-0000-000025640000}"/>
    <cellStyle name="Output 7 4 4" xfId="8430" xr:uid="{00000000-0005-0000-0000-000026640000}"/>
    <cellStyle name="Output 7 4 4 2" xfId="16321" xr:uid="{00000000-0005-0000-0000-000027640000}"/>
    <cellStyle name="Output 7 4 4 2 2" xfId="20430" xr:uid="{00000000-0005-0000-0000-000028640000}"/>
    <cellStyle name="Output 7 4 4 2 2 2" xfId="16659" xr:uid="{00000000-0005-0000-0000-000029640000}"/>
    <cellStyle name="Output 7 4 4 2 2 3" xfId="16662" xr:uid="{00000000-0005-0000-0000-00002A640000}"/>
    <cellStyle name="Output 7 4 4 2 2 4" xfId="28594" xr:uid="{00000000-0005-0000-0000-00002B640000}"/>
    <cellStyle name="Output 7 4 4 2 3" xfId="28595" xr:uid="{00000000-0005-0000-0000-00002C640000}"/>
    <cellStyle name="Output 7 4 4 2 4" xfId="28596" xr:uid="{00000000-0005-0000-0000-00002D640000}"/>
    <cellStyle name="Output 7 4 4 2 5" xfId="28597" xr:uid="{00000000-0005-0000-0000-00002E640000}"/>
    <cellStyle name="Output 7 4 4 3" xfId="16328" xr:uid="{00000000-0005-0000-0000-00002F640000}"/>
    <cellStyle name="Output 7 4 4 3 2" xfId="27512" xr:uid="{00000000-0005-0000-0000-000030640000}"/>
    <cellStyle name="Output 7 4 4 3 3" xfId="27532" xr:uid="{00000000-0005-0000-0000-000031640000}"/>
    <cellStyle name="Output 7 4 4 3 4" xfId="27545" xr:uid="{00000000-0005-0000-0000-000032640000}"/>
    <cellStyle name="Output 7 4 4 4" xfId="28599" xr:uid="{00000000-0005-0000-0000-000033640000}"/>
    <cellStyle name="Output 7 4 4 5" xfId="7157" xr:uid="{00000000-0005-0000-0000-000034640000}"/>
    <cellStyle name="Output 7 4 4 6" xfId="7162" xr:uid="{00000000-0005-0000-0000-000035640000}"/>
    <cellStyle name="Output 7 4 5" xfId="8434" xr:uid="{00000000-0005-0000-0000-000036640000}"/>
    <cellStyle name="Output 7 4 5 2" xfId="28600" xr:uid="{00000000-0005-0000-0000-000037640000}"/>
    <cellStyle name="Output 7 4 5 2 2" xfId="6802" xr:uid="{00000000-0005-0000-0000-000038640000}"/>
    <cellStyle name="Output 7 4 5 2 3" xfId="6810" xr:uid="{00000000-0005-0000-0000-000039640000}"/>
    <cellStyle name="Output 7 4 5 2 4" xfId="28601" xr:uid="{00000000-0005-0000-0000-00003A640000}"/>
    <cellStyle name="Output 7 4 5 3" xfId="28603" xr:uid="{00000000-0005-0000-0000-00003B640000}"/>
    <cellStyle name="Output 7 4 5 4" xfId="28605" xr:uid="{00000000-0005-0000-0000-00003C640000}"/>
    <cellStyle name="Output 7 4 5 5" xfId="28607" xr:uid="{00000000-0005-0000-0000-00003D640000}"/>
    <cellStyle name="Output 7 4 6" xfId="28608" xr:uid="{00000000-0005-0000-0000-00003E640000}"/>
    <cellStyle name="Output 7 4 6 2" xfId="28609" xr:uid="{00000000-0005-0000-0000-00003F640000}"/>
    <cellStyle name="Output 7 4 6 3" xfId="28611" xr:uid="{00000000-0005-0000-0000-000040640000}"/>
    <cellStyle name="Output 7 4 6 4" xfId="28613" xr:uid="{00000000-0005-0000-0000-000041640000}"/>
    <cellStyle name="Output 7 4 7" xfId="28614" xr:uid="{00000000-0005-0000-0000-000042640000}"/>
    <cellStyle name="Output 7 4 8" xfId="14336" xr:uid="{00000000-0005-0000-0000-000043640000}"/>
    <cellStyle name="Output 7 4 9" xfId="14340" xr:uid="{00000000-0005-0000-0000-000044640000}"/>
    <cellStyle name="Output 7 5" xfId="216" xr:uid="{00000000-0005-0000-0000-000045640000}"/>
    <cellStyle name="Output 7 5 2" xfId="28615" xr:uid="{00000000-0005-0000-0000-000046640000}"/>
    <cellStyle name="Output 7 5 2 2" xfId="23693" xr:uid="{00000000-0005-0000-0000-000047640000}"/>
    <cellStyle name="Output 7 5 2 2 2" xfId="19867" xr:uid="{00000000-0005-0000-0000-000048640000}"/>
    <cellStyle name="Output 7 5 2 2 2 2" xfId="28616" xr:uid="{00000000-0005-0000-0000-000049640000}"/>
    <cellStyle name="Output 7 5 2 2 2 2 2" xfId="17912" xr:uid="{00000000-0005-0000-0000-00004A640000}"/>
    <cellStyle name="Output 7 5 2 2 2 2 3" xfId="17917" xr:uid="{00000000-0005-0000-0000-00004B640000}"/>
    <cellStyle name="Output 7 5 2 2 2 2 4" xfId="17925" xr:uid="{00000000-0005-0000-0000-00004C640000}"/>
    <cellStyle name="Output 7 5 2 2 2 3" xfId="28617" xr:uid="{00000000-0005-0000-0000-00004D640000}"/>
    <cellStyle name="Output 7 5 2 2 2 4" xfId="28619" xr:uid="{00000000-0005-0000-0000-00004E640000}"/>
    <cellStyle name="Output 7 5 2 2 2 5" xfId="28621" xr:uid="{00000000-0005-0000-0000-00004F640000}"/>
    <cellStyle name="Output 7 5 2 2 3" xfId="20481" xr:uid="{00000000-0005-0000-0000-000050640000}"/>
    <cellStyle name="Output 7 5 2 2 3 2" xfId="28622" xr:uid="{00000000-0005-0000-0000-000051640000}"/>
    <cellStyle name="Output 7 5 2 2 3 3" xfId="28623" xr:uid="{00000000-0005-0000-0000-000052640000}"/>
    <cellStyle name="Output 7 5 2 2 3 4" xfId="28624" xr:uid="{00000000-0005-0000-0000-000053640000}"/>
    <cellStyle name="Output 7 5 2 2 4" xfId="20486" xr:uid="{00000000-0005-0000-0000-000054640000}"/>
    <cellStyle name="Output 7 5 2 2 5" xfId="17732" xr:uid="{00000000-0005-0000-0000-000055640000}"/>
    <cellStyle name="Output 7 5 2 2 6" xfId="17735" xr:uid="{00000000-0005-0000-0000-000056640000}"/>
    <cellStyle name="Output 7 5 2 3" xfId="27227" xr:uid="{00000000-0005-0000-0000-000057640000}"/>
    <cellStyle name="Output 7 5 2 3 2" xfId="20492" xr:uid="{00000000-0005-0000-0000-000058640000}"/>
    <cellStyle name="Output 7 5 2 3 2 2" xfId="28625" xr:uid="{00000000-0005-0000-0000-000059640000}"/>
    <cellStyle name="Output 7 5 2 3 2 3" xfId="28626" xr:uid="{00000000-0005-0000-0000-00005A640000}"/>
    <cellStyle name="Output 7 5 2 3 2 4" xfId="28627" xr:uid="{00000000-0005-0000-0000-00005B640000}"/>
    <cellStyle name="Output 7 5 2 3 3" xfId="13051" xr:uid="{00000000-0005-0000-0000-00005C640000}"/>
    <cellStyle name="Output 7 5 2 3 4" xfId="13055" xr:uid="{00000000-0005-0000-0000-00005D640000}"/>
    <cellStyle name="Output 7 5 2 3 5" xfId="13057" xr:uid="{00000000-0005-0000-0000-00005E640000}"/>
    <cellStyle name="Output 7 5 2 4" xfId="22650" xr:uid="{00000000-0005-0000-0000-00005F640000}"/>
    <cellStyle name="Output 7 5 2 4 2" xfId="20497" xr:uid="{00000000-0005-0000-0000-000060640000}"/>
    <cellStyle name="Output 7 5 2 4 3" xfId="28628" xr:uid="{00000000-0005-0000-0000-000061640000}"/>
    <cellStyle name="Output 7 5 2 4 4" xfId="28629" xr:uid="{00000000-0005-0000-0000-000062640000}"/>
    <cellStyle name="Output 7 5 2 5" xfId="22654" xr:uid="{00000000-0005-0000-0000-000063640000}"/>
    <cellStyle name="Output 7 5 2 6" xfId="22658" xr:uid="{00000000-0005-0000-0000-000064640000}"/>
    <cellStyle name="Output 7 5 2 7" xfId="28632" xr:uid="{00000000-0005-0000-0000-000065640000}"/>
    <cellStyle name="Output 7 5 3" xfId="28633" xr:uid="{00000000-0005-0000-0000-000066640000}"/>
    <cellStyle name="Output 7 5 3 2" xfId="12939" xr:uid="{00000000-0005-0000-0000-000067640000}"/>
    <cellStyle name="Output 7 5 3 2 2" xfId="20555" xr:uid="{00000000-0005-0000-0000-000068640000}"/>
    <cellStyle name="Output 7 5 3 2 2 2" xfId="28634" xr:uid="{00000000-0005-0000-0000-000069640000}"/>
    <cellStyle name="Output 7 5 3 2 2 3" xfId="28635" xr:uid="{00000000-0005-0000-0000-00006A640000}"/>
    <cellStyle name="Output 7 5 3 2 2 4" xfId="28636" xr:uid="{00000000-0005-0000-0000-00006B640000}"/>
    <cellStyle name="Output 7 5 3 2 3" xfId="20560" xr:uid="{00000000-0005-0000-0000-00006C640000}"/>
    <cellStyle name="Output 7 5 3 2 4" xfId="28637" xr:uid="{00000000-0005-0000-0000-00006D640000}"/>
    <cellStyle name="Output 7 5 3 2 5" xfId="28638" xr:uid="{00000000-0005-0000-0000-00006E640000}"/>
    <cellStyle name="Output 7 5 3 3" xfId="16338" xr:uid="{00000000-0005-0000-0000-00006F640000}"/>
    <cellStyle name="Output 7 5 3 3 2" xfId="20567" xr:uid="{00000000-0005-0000-0000-000070640000}"/>
    <cellStyle name="Output 7 5 3 3 3" xfId="28639" xr:uid="{00000000-0005-0000-0000-000071640000}"/>
    <cellStyle name="Output 7 5 3 3 4" xfId="28640" xr:uid="{00000000-0005-0000-0000-000072640000}"/>
    <cellStyle name="Output 7 5 3 4" xfId="28641" xr:uid="{00000000-0005-0000-0000-000073640000}"/>
    <cellStyle name="Output 7 5 3 5" xfId="6972" xr:uid="{00000000-0005-0000-0000-000074640000}"/>
    <cellStyle name="Output 7 5 3 6" xfId="6979" xr:uid="{00000000-0005-0000-0000-000075640000}"/>
    <cellStyle name="Output 7 5 4" xfId="28642" xr:uid="{00000000-0005-0000-0000-000076640000}"/>
    <cellStyle name="Output 7 5 4 2" xfId="28643" xr:uid="{00000000-0005-0000-0000-000077640000}"/>
    <cellStyle name="Output 7 5 4 2 2" xfId="20588" xr:uid="{00000000-0005-0000-0000-000078640000}"/>
    <cellStyle name="Output 7 5 4 2 3" xfId="28644" xr:uid="{00000000-0005-0000-0000-000079640000}"/>
    <cellStyle name="Output 7 5 4 2 4" xfId="28645" xr:uid="{00000000-0005-0000-0000-00007A640000}"/>
    <cellStyle name="Output 7 5 4 3" xfId="28647" xr:uid="{00000000-0005-0000-0000-00007B640000}"/>
    <cellStyle name="Output 7 5 4 4" xfId="28649" xr:uid="{00000000-0005-0000-0000-00007C640000}"/>
    <cellStyle name="Output 7 5 4 5" xfId="28652" xr:uid="{00000000-0005-0000-0000-00007D640000}"/>
    <cellStyle name="Output 7 5 5" xfId="28653" xr:uid="{00000000-0005-0000-0000-00007E640000}"/>
    <cellStyle name="Output 7 5 5 2" xfId="27308" xr:uid="{00000000-0005-0000-0000-00007F640000}"/>
    <cellStyle name="Output 7 5 5 3" xfId="27311" xr:uid="{00000000-0005-0000-0000-000080640000}"/>
    <cellStyle name="Output 7 5 5 4" xfId="27314" xr:uid="{00000000-0005-0000-0000-000081640000}"/>
    <cellStyle name="Output 7 5 6" xfId="28654" xr:uid="{00000000-0005-0000-0000-000082640000}"/>
    <cellStyle name="Output 7 5 7" xfId="28655" xr:uid="{00000000-0005-0000-0000-000083640000}"/>
    <cellStyle name="Output 7 5 8" xfId="28656" xr:uid="{00000000-0005-0000-0000-000084640000}"/>
    <cellStyle name="Output 7 6" xfId="28657" xr:uid="{00000000-0005-0000-0000-000085640000}"/>
    <cellStyle name="Output 7 6 2" xfId="28658" xr:uid="{00000000-0005-0000-0000-000086640000}"/>
    <cellStyle name="Output 7 6 2 2" xfId="12957" xr:uid="{00000000-0005-0000-0000-000087640000}"/>
    <cellStyle name="Output 7 6 2 2 2" xfId="20025" xr:uid="{00000000-0005-0000-0000-000088640000}"/>
    <cellStyle name="Output 7 6 2 2 2 2" xfId="7272" xr:uid="{00000000-0005-0000-0000-000089640000}"/>
    <cellStyle name="Output 7 6 2 2 2 3" xfId="28659" xr:uid="{00000000-0005-0000-0000-00008A640000}"/>
    <cellStyle name="Output 7 6 2 2 2 4" xfId="28661" xr:uid="{00000000-0005-0000-0000-00008B640000}"/>
    <cellStyle name="Output 7 6 2 2 3" xfId="20604" xr:uid="{00000000-0005-0000-0000-00008C640000}"/>
    <cellStyle name="Output 7 6 2 2 4" xfId="28662" xr:uid="{00000000-0005-0000-0000-00008D640000}"/>
    <cellStyle name="Output 7 6 2 2 5" xfId="28663" xr:uid="{00000000-0005-0000-0000-00008E640000}"/>
    <cellStyle name="Output 7 6 2 3" xfId="12961" xr:uid="{00000000-0005-0000-0000-00008F640000}"/>
    <cellStyle name="Output 7 6 2 3 2" xfId="20607" xr:uid="{00000000-0005-0000-0000-000090640000}"/>
    <cellStyle name="Output 7 6 2 3 3" xfId="28664" xr:uid="{00000000-0005-0000-0000-000091640000}"/>
    <cellStyle name="Output 7 6 2 3 4" xfId="28665" xr:uid="{00000000-0005-0000-0000-000092640000}"/>
    <cellStyle name="Output 7 6 2 4" xfId="28667" xr:uid="{00000000-0005-0000-0000-000093640000}"/>
    <cellStyle name="Output 7 6 2 5" xfId="28670" xr:uid="{00000000-0005-0000-0000-000094640000}"/>
    <cellStyle name="Output 7 6 2 6" xfId="11407" xr:uid="{00000000-0005-0000-0000-000095640000}"/>
    <cellStyle name="Output 7 6 3" xfId="28671" xr:uid="{00000000-0005-0000-0000-000096640000}"/>
    <cellStyle name="Output 7 6 3 2" xfId="28672" xr:uid="{00000000-0005-0000-0000-000097640000}"/>
    <cellStyle name="Output 7 6 3 2 2" xfId="19088" xr:uid="{00000000-0005-0000-0000-000098640000}"/>
    <cellStyle name="Output 7 6 3 2 3" xfId="19091" xr:uid="{00000000-0005-0000-0000-000099640000}"/>
    <cellStyle name="Output 7 6 3 2 4" xfId="19094" xr:uid="{00000000-0005-0000-0000-00009A640000}"/>
    <cellStyle name="Output 7 6 3 3" xfId="28673" xr:uid="{00000000-0005-0000-0000-00009B640000}"/>
    <cellStyle name="Output 7 6 3 4" xfId="28674" xr:uid="{00000000-0005-0000-0000-00009C640000}"/>
    <cellStyle name="Output 7 6 3 5" xfId="28676" xr:uid="{00000000-0005-0000-0000-00009D640000}"/>
    <cellStyle name="Output 7 6 4" xfId="28677" xr:uid="{00000000-0005-0000-0000-00009E640000}"/>
    <cellStyle name="Output 7 6 4 2" xfId="28678" xr:uid="{00000000-0005-0000-0000-00009F640000}"/>
    <cellStyle name="Output 7 6 4 3" xfId="28680" xr:uid="{00000000-0005-0000-0000-0000A0640000}"/>
    <cellStyle name="Output 7 6 4 4" xfId="28682" xr:uid="{00000000-0005-0000-0000-0000A1640000}"/>
    <cellStyle name="Output 7 6 5" xfId="28683" xr:uid="{00000000-0005-0000-0000-0000A2640000}"/>
    <cellStyle name="Output 7 6 6" xfId="28684" xr:uid="{00000000-0005-0000-0000-0000A3640000}"/>
    <cellStyle name="Output 7 6 7" xfId="28685" xr:uid="{00000000-0005-0000-0000-0000A4640000}"/>
    <cellStyle name="Output 7 7" xfId="28686" xr:uid="{00000000-0005-0000-0000-0000A5640000}"/>
    <cellStyle name="Output 7 7 2" xfId="28687" xr:uid="{00000000-0005-0000-0000-0000A6640000}"/>
    <cellStyle name="Output 7 7 2 2" xfId="28688" xr:uid="{00000000-0005-0000-0000-0000A7640000}"/>
    <cellStyle name="Output 7 7 2 2 2" xfId="20622" xr:uid="{00000000-0005-0000-0000-0000A8640000}"/>
    <cellStyle name="Output 7 7 2 2 3" xfId="28689" xr:uid="{00000000-0005-0000-0000-0000A9640000}"/>
    <cellStyle name="Output 7 7 2 2 4" xfId="28690" xr:uid="{00000000-0005-0000-0000-0000AA640000}"/>
    <cellStyle name="Output 7 7 2 3" xfId="28691" xr:uid="{00000000-0005-0000-0000-0000AB640000}"/>
    <cellStyle name="Output 7 7 2 4" xfId="17394" xr:uid="{00000000-0005-0000-0000-0000AC640000}"/>
    <cellStyle name="Output 7 7 2 5" xfId="17397" xr:uid="{00000000-0005-0000-0000-0000AD640000}"/>
    <cellStyle name="Output 7 7 3" xfId="28692" xr:uid="{00000000-0005-0000-0000-0000AE640000}"/>
    <cellStyle name="Output 7 7 3 2" xfId="28693" xr:uid="{00000000-0005-0000-0000-0000AF640000}"/>
    <cellStyle name="Output 7 7 3 3" xfId="28694" xr:uid="{00000000-0005-0000-0000-0000B0640000}"/>
    <cellStyle name="Output 7 7 3 4" xfId="28695" xr:uid="{00000000-0005-0000-0000-0000B1640000}"/>
    <cellStyle name="Output 7 7 4" xfId="28696" xr:uid="{00000000-0005-0000-0000-0000B2640000}"/>
    <cellStyle name="Output 7 7 5" xfId="28697" xr:uid="{00000000-0005-0000-0000-0000B3640000}"/>
    <cellStyle name="Output 7 7 6" xfId="28698" xr:uid="{00000000-0005-0000-0000-0000B4640000}"/>
    <cellStyle name="Output 7 8" xfId="28699" xr:uid="{00000000-0005-0000-0000-0000B5640000}"/>
    <cellStyle name="Output 7 8 2" xfId="12979" xr:uid="{00000000-0005-0000-0000-0000B6640000}"/>
    <cellStyle name="Output 7 8 2 2" xfId="13367" xr:uid="{00000000-0005-0000-0000-0000B7640000}"/>
    <cellStyle name="Output 7 8 2 3" xfId="13370" xr:uid="{00000000-0005-0000-0000-0000B8640000}"/>
    <cellStyle name="Output 7 8 2 4" xfId="11613" xr:uid="{00000000-0005-0000-0000-0000B9640000}"/>
    <cellStyle name="Output 7 8 3" xfId="12983" xr:uid="{00000000-0005-0000-0000-0000BA640000}"/>
    <cellStyle name="Output 7 8 4" xfId="13373" xr:uid="{00000000-0005-0000-0000-0000BB640000}"/>
    <cellStyle name="Output 7 8 5" xfId="13377" xr:uid="{00000000-0005-0000-0000-0000BC640000}"/>
    <cellStyle name="Output 7 9" xfId="25136" xr:uid="{00000000-0005-0000-0000-0000BD640000}"/>
    <cellStyle name="Output 7 9 2" xfId="4625" xr:uid="{00000000-0005-0000-0000-0000BE640000}"/>
    <cellStyle name="Output 7 9 3" xfId="4637" xr:uid="{00000000-0005-0000-0000-0000BF640000}"/>
    <cellStyle name="Output 7 9 4" xfId="13400" xr:uid="{00000000-0005-0000-0000-0000C0640000}"/>
    <cellStyle name="Output 8" xfId="4607" xr:uid="{00000000-0005-0000-0000-0000C1640000}"/>
    <cellStyle name="Output 8 10" xfId="20876" xr:uid="{00000000-0005-0000-0000-0000C2640000}"/>
    <cellStyle name="Output 8 11" xfId="20976" xr:uid="{00000000-0005-0000-0000-0000C3640000}"/>
    <cellStyle name="Output 8 12" xfId="21043" xr:uid="{00000000-0005-0000-0000-0000C4640000}"/>
    <cellStyle name="Output 8 2" xfId="3879" xr:uid="{00000000-0005-0000-0000-0000C5640000}"/>
    <cellStyle name="Output 8 2 2" xfId="25042" xr:uid="{00000000-0005-0000-0000-0000C6640000}"/>
    <cellStyle name="Output 8 2 2 2" xfId="28700" xr:uid="{00000000-0005-0000-0000-0000C7640000}"/>
    <cellStyle name="Output 8 2 2 2 2" xfId="28701" xr:uid="{00000000-0005-0000-0000-0000C8640000}"/>
    <cellStyle name="Output 8 2 2 2 2 2" xfId="28702" xr:uid="{00000000-0005-0000-0000-0000C9640000}"/>
    <cellStyle name="Output 8 2 2 2 2 2 2" xfId="28703" xr:uid="{00000000-0005-0000-0000-0000CA640000}"/>
    <cellStyle name="Output 8 2 2 2 2 2 2 2" xfId="28704" xr:uid="{00000000-0005-0000-0000-0000CB640000}"/>
    <cellStyle name="Output 8 2 2 2 2 2 2 3" xfId="28705" xr:uid="{00000000-0005-0000-0000-0000CC640000}"/>
    <cellStyle name="Output 8 2 2 2 2 2 2 4" xfId="28706" xr:uid="{00000000-0005-0000-0000-0000CD640000}"/>
    <cellStyle name="Output 8 2 2 2 2 2 3" xfId="11997" xr:uid="{00000000-0005-0000-0000-0000CE640000}"/>
    <cellStyle name="Output 8 2 2 2 2 2 4" xfId="12000" xr:uid="{00000000-0005-0000-0000-0000CF640000}"/>
    <cellStyle name="Output 8 2 2 2 2 2 5" xfId="14538" xr:uid="{00000000-0005-0000-0000-0000D0640000}"/>
    <cellStyle name="Output 8 2 2 2 2 3" xfId="2123" xr:uid="{00000000-0005-0000-0000-0000D1640000}"/>
    <cellStyle name="Output 8 2 2 2 2 3 2" xfId="28707" xr:uid="{00000000-0005-0000-0000-0000D2640000}"/>
    <cellStyle name="Output 8 2 2 2 2 3 3" xfId="28708" xr:uid="{00000000-0005-0000-0000-0000D3640000}"/>
    <cellStyle name="Output 8 2 2 2 2 3 4" xfId="28709" xr:uid="{00000000-0005-0000-0000-0000D4640000}"/>
    <cellStyle name="Output 8 2 2 2 2 4" xfId="2245" xr:uid="{00000000-0005-0000-0000-0000D5640000}"/>
    <cellStyle name="Output 8 2 2 2 2 5" xfId="1934" xr:uid="{00000000-0005-0000-0000-0000D6640000}"/>
    <cellStyle name="Output 8 2 2 2 2 6" xfId="28710" xr:uid="{00000000-0005-0000-0000-0000D7640000}"/>
    <cellStyle name="Output 8 2 2 2 3" xfId="28711" xr:uid="{00000000-0005-0000-0000-0000D8640000}"/>
    <cellStyle name="Output 8 2 2 2 3 2" xfId="28712" xr:uid="{00000000-0005-0000-0000-0000D9640000}"/>
    <cellStyle name="Output 8 2 2 2 3 2 2" xfId="28713" xr:uid="{00000000-0005-0000-0000-0000DA640000}"/>
    <cellStyle name="Output 8 2 2 2 3 2 3" xfId="28714" xr:uid="{00000000-0005-0000-0000-0000DB640000}"/>
    <cellStyle name="Output 8 2 2 2 3 2 4" xfId="28715" xr:uid="{00000000-0005-0000-0000-0000DC640000}"/>
    <cellStyle name="Output 8 2 2 2 3 3" xfId="28716" xr:uid="{00000000-0005-0000-0000-0000DD640000}"/>
    <cellStyle name="Output 8 2 2 2 3 4" xfId="28717" xr:uid="{00000000-0005-0000-0000-0000DE640000}"/>
    <cellStyle name="Output 8 2 2 2 3 5" xfId="27760" xr:uid="{00000000-0005-0000-0000-0000DF640000}"/>
    <cellStyle name="Output 8 2 2 2 4" xfId="21530" xr:uid="{00000000-0005-0000-0000-0000E0640000}"/>
    <cellStyle name="Output 8 2 2 2 4 2" xfId="21534" xr:uid="{00000000-0005-0000-0000-0000E1640000}"/>
    <cellStyle name="Output 8 2 2 2 4 3" xfId="13655" xr:uid="{00000000-0005-0000-0000-0000E2640000}"/>
    <cellStyle name="Output 8 2 2 2 4 4" xfId="13702" xr:uid="{00000000-0005-0000-0000-0000E3640000}"/>
    <cellStyle name="Output 8 2 2 2 5" xfId="13106" xr:uid="{00000000-0005-0000-0000-0000E4640000}"/>
    <cellStyle name="Output 8 2 2 2 6" xfId="13111" xr:uid="{00000000-0005-0000-0000-0000E5640000}"/>
    <cellStyle name="Output 8 2 2 2 7" xfId="13116" xr:uid="{00000000-0005-0000-0000-0000E6640000}"/>
    <cellStyle name="Output 8 2 2 3" xfId="28718" xr:uid="{00000000-0005-0000-0000-0000E7640000}"/>
    <cellStyle name="Output 8 2 2 3 2" xfId="28719" xr:uid="{00000000-0005-0000-0000-0000E8640000}"/>
    <cellStyle name="Output 8 2 2 3 2 2" xfId="28720" xr:uid="{00000000-0005-0000-0000-0000E9640000}"/>
    <cellStyle name="Output 8 2 2 3 2 2 2" xfId="28721" xr:uid="{00000000-0005-0000-0000-0000EA640000}"/>
    <cellStyle name="Output 8 2 2 3 2 2 3" xfId="28722" xr:uid="{00000000-0005-0000-0000-0000EB640000}"/>
    <cellStyle name="Output 8 2 2 3 2 2 4" xfId="28724" xr:uid="{00000000-0005-0000-0000-0000EC640000}"/>
    <cellStyle name="Output 8 2 2 3 2 3" xfId="28725" xr:uid="{00000000-0005-0000-0000-0000ED640000}"/>
    <cellStyle name="Output 8 2 2 3 2 4" xfId="28726" xr:uid="{00000000-0005-0000-0000-0000EE640000}"/>
    <cellStyle name="Output 8 2 2 3 2 5" xfId="28727" xr:uid="{00000000-0005-0000-0000-0000EF640000}"/>
    <cellStyle name="Output 8 2 2 3 3" xfId="28728" xr:uid="{00000000-0005-0000-0000-0000F0640000}"/>
    <cellStyle name="Output 8 2 2 3 3 2" xfId="20618" xr:uid="{00000000-0005-0000-0000-0000F1640000}"/>
    <cellStyle name="Output 8 2 2 3 3 3" xfId="28729" xr:uid="{00000000-0005-0000-0000-0000F2640000}"/>
    <cellStyle name="Output 8 2 2 3 3 4" xfId="28730" xr:uid="{00000000-0005-0000-0000-0000F3640000}"/>
    <cellStyle name="Output 8 2 2 3 4" xfId="21537" xr:uid="{00000000-0005-0000-0000-0000F4640000}"/>
    <cellStyle name="Output 8 2 2 3 5" xfId="21540" xr:uid="{00000000-0005-0000-0000-0000F5640000}"/>
    <cellStyle name="Output 8 2 2 3 6" xfId="21543" xr:uid="{00000000-0005-0000-0000-0000F6640000}"/>
    <cellStyle name="Output 8 2 2 4" xfId="28731" xr:uid="{00000000-0005-0000-0000-0000F7640000}"/>
    <cellStyle name="Output 8 2 2 4 2" xfId="13944" xr:uid="{00000000-0005-0000-0000-0000F8640000}"/>
    <cellStyle name="Output 8 2 2 4 2 2" xfId="28732" xr:uid="{00000000-0005-0000-0000-0000F9640000}"/>
    <cellStyle name="Output 8 2 2 4 2 3" xfId="28733" xr:uid="{00000000-0005-0000-0000-0000FA640000}"/>
    <cellStyle name="Output 8 2 2 4 2 4" xfId="28734" xr:uid="{00000000-0005-0000-0000-0000FB640000}"/>
    <cellStyle name="Output 8 2 2 4 3" xfId="13947" xr:uid="{00000000-0005-0000-0000-0000FC640000}"/>
    <cellStyle name="Output 8 2 2 4 4" xfId="21652" xr:uid="{00000000-0005-0000-0000-0000FD640000}"/>
    <cellStyle name="Output 8 2 2 4 5" xfId="14211" xr:uid="{00000000-0005-0000-0000-0000FE640000}"/>
    <cellStyle name="Output 8 2 2 5" xfId="28735" xr:uid="{00000000-0005-0000-0000-0000FF640000}"/>
    <cellStyle name="Output 8 2 2 5 2" xfId="13954" xr:uid="{00000000-0005-0000-0000-000000650000}"/>
    <cellStyle name="Output 8 2 2 5 3" xfId="5872" xr:uid="{00000000-0005-0000-0000-000001650000}"/>
    <cellStyle name="Output 8 2 2 5 4" xfId="5880" xr:uid="{00000000-0005-0000-0000-000002650000}"/>
    <cellStyle name="Output 8 2 2 6" xfId="28736" xr:uid="{00000000-0005-0000-0000-000003650000}"/>
    <cellStyle name="Output 8 2 2 7" xfId="28737" xr:uid="{00000000-0005-0000-0000-000004650000}"/>
    <cellStyle name="Output 8 2 2 8" xfId="28738" xr:uid="{00000000-0005-0000-0000-000005650000}"/>
    <cellStyle name="Output 8 2 3" xfId="28739" xr:uid="{00000000-0005-0000-0000-000006650000}"/>
    <cellStyle name="Output 8 2 3 2" xfId="28740" xr:uid="{00000000-0005-0000-0000-000007650000}"/>
    <cellStyle name="Output 8 2 3 2 2" xfId="25280" xr:uid="{00000000-0005-0000-0000-000008650000}"/>
    <cellStyle name="Output 8 2 3 2 2 2" xfId="28741" xr:uid="{00000000-0005-0000-0000-000009650000}"/>
    <cellStyle name="Output 8 2 3 2 2 2 2" xfId="28742" xr:uid="{00000000-0005-0000-0000-00000A650000}"/>
    <cellStyle name="Output 8 2 3 2 2 2 3" xfId="28743" xr:uid="{00000000-0005-0000-0000-00000B650000}"/>
    <cellStyle name="Output 8 2 3 2 2 2 4" xfId="28744" xr:uid="{00000000-0005-0000-0000-00000C650000}"/>
    <cellStyle name="Output 8 2 3 2 2 3" xfId="28745" xr:uid="{00000000-0005-0000-0000-00000D650000}"/>
    <cellStyle name="Output 8 2 3 2 2 4" xfId="28746" xr:uid="{00000000-0005-0000-0000-00000E650000}"/>
    <cellStyle name="Output 8 2 3 2 2 5" xfId="28747" xr:uid="{00000000-0005-0000-0000-00000F650000}"/>
    <cellStyle name="Output 8 2 3 2 3" xfId="14124" xr:uid="{00000000-0005-0000-0000-000010650000}"/>
    <cellStyle name="Output 8 2 3 2 3 2" xfId="17798" xr:uid="{00000000-0005-0000-0000-000011650000}"/>
    <cellStyle name="Output 8 2 3 2 3 3" xfId="17803" xr:uid="{00000000-0005-0000-0000-000012650000}"/>
    <cellStyle name="Output 8 2 3 2 3 4" xfId="17808" xr:uid="{00000000-0005-0000-0000-000013650000}"/>
    <cellStyle name="Output 8 2 3 2 4" xfId="14129" xr:uid="{00000000-0005-0000-0000-000014650000}"/>
    <cellStyle name="Output 8 2 3 2 5" xfId="14135" xr:uid="{00000000-0005-0000-0000-000015650000}"/>
    <cellStyle name="Output 8 2 3 2 6" xfId="21549" xr:uid="{00000000-0005-0000-0000-000016650000}"/>
    <cellStyle name="Output 8 2 3 3" xfId="28748" xr:uid="{00000000-0005-0000-0000-000017650000}"/>
    <cellStyle name="Output 8 2 3 3 2" xfId="25283" xr:uid="{00000000-0005-0000-0000-000018650000}"/>
    <cellStyle name="Output 8 2 3 3 2 2" xfId="14849" xr:uid="{00000000-0005-0000-0000-000019650000}"/>
    <cellStyle name="Output 8 2 3 3 2 3" xfId="14851" xr:uid="{00000000-0005-0000-0000-00001A650000}"/>
    <cellStyle name="Output 8 2 3 3 2 4" xfId="28749" xr:uid="{00000000-0005-0000-0000-00001B650000}"/>
    <cellStyle name="Output 8 2 3 3 3" xfId="25285" xr:uid="{00000000-0005-0000-0000-00001C650000}"/>
    <cellStyle name="Output 8 2 3 3 4" xfId="28750" xr:uid="{00000000-0005-0000-0000-00001D650000}"/>
    <cellStyle name="Output 8 2 3 3 5" xfId="28751" xr:uid="{00000000-0005-0000-0000-00001E650000}"/>
    <cellStyle name="Output 8 2 3 4" xfId="23427" xr:uid="{00000000-0005-0000-0000-00001F650000}"/>
    <cellStyle name="Output 8 2 3 4 2" xfId="5626" xr:uid="{00000000-0005-0000-0000-000020650000}"/>
    <cellStyle name="Output 8 2 3 4 3" xfId="28752" xr:uid="{00000000-0005-0000-0000-000021650000}"/>
    <cellStyle name="Output 8 2 3 4 4" xfId="28753" xr:uid="{00000000-0005-0000-0000-000022650000}"/>
    <cellStyle name="Output 8 2 3 5" xfId="23429" xr:uid="{00000000-0005-0000-0000-000023650000}"/>
    <cellStyle name="Output 8 2 3 6" xfId="20450" xr:uid="{00000000-0005-0000-0000-000024650000}"/>
    <cellStyle name="Output 8 2 3 7" xfId="20454" xr:uid="{00000000-0005-0000-0000-000025650000}"/>
    <cellStyle name="Output 8 2 4" xfId="28754" xr:uid="{00000000-0005-0000-0000-000026650000}"/>
    <cellStyle name="Output 8 2 4 2" xfId="28756" xr:uid="{00000000-0005-0000-0000-000027650000}"/>
    <cellStyle name="Output 8 2 4 2 2" xfId="25299" xr:uid="{00000000-0005-0000-0000-000028650000}"/>
    <cellStyle name="Output 8 2 4 2 2 2" xfId="27782" xr:uid="{00000000-0005-0000-0000-000029650000}"/>
    <cellStyle name="Output 8 2 4 2 2 3" xfId="27784" xr:uid="{00000000-0005-0000-0000-00002A650000}"/>
    <cellStyle name="Output 8 2 4 2 2 4" xfId="28757" xr:uid="{00000000-0005-0000-0000-00002B650000}"/>
    <cellStyle name="Output 8 2 4 2 3" xfId="2728" xr:uid="{00000000-0005-0000-0000-00002C650000}"/>
    <cellStyle name="Output 8 2 4 2 4" xfId="5930" xr:uid="{00000000-0005-0000-0000-00002D650000}"/>
    <cellStyle name="Output 8 2 4 2 5" xfId="14260" xr:uid="{00000000-0005-0000-0000-00002E650000}"/>
    <cellStyle name="Output 8 2 4 3" xfId="28758" xr:uid="{00000000-0005-0000-0000-00002F650000}"/>
    <cellStyle name="Output 8 2 4 3 2" xfId="28759" xr:uid="{00000000-0005-0000-0000-000030650000}"/>
    <cellStyle name="Output 8 2 4 3 3" xfId="28760" xr:uid="{00000000-0005-0000-0000-000031650000}"/>
    <cellStyle name="Output 8 2 4 3 4" xfId="28761" xr:uid="{00000000-0005-0000-0000-000032650000}"/>
    <cellStyle name="Output 8 2 4 4" xfId="28762" xr:uid="{00000000-0005-0000-0000-000033650000}"/>
    <cellStyle name="Output 8 2 4 5" xfId="28763" xr:uid="{00000000-0005-0000-0000-000034650000}"/>
    <cellStyle name="Output 8 2 4 6" xfId="21047" xr:uid="{00000000-0005-0000-0000-000035650000}"/>
    <cellStyle name="Output 8 2 5" xfId="28764" xr:uid="{00000000-0005-0000-0000-000036650000}"/>
    <cellStyle name="Output 8 2 5 2" xfId="28765" xr:uid="{00000000-0005-0000-0000-000037650000}"/>
    <cellStyle name="Output 8 2 5 2 2" xfId="28766" xr:uid="{00000000-0005-0000-0000-000038650000}"/>
    <cellStyle name="Output 8 2 5 2 3" xfId="28767" xr:uid="{00000000-0005-0000-0000-000039650000}"/>
    <cellStyle name="Output 8 2 5 2 4" xfId="6103" xr:uid="{00000000-0005-0000-0000-00003A650000}"/>
    <cellStyle name="Output 8 2 5 3" xfId="28768" xr:uid="{00000000-0005-0000-0000-00003B650000}"/>
    <cellStyle name="Output 8 2 5 4" xfId="28769" xr:uid="{00000000-0005-0000-0000-00003C650000}"/>
    <cellStyle name="Output 8 2 5 5" xfId="28770" xr:uid="{00000000-0005-0000-0000-00003D650000}"/>
    <cellStyle name="Output 8 2 6" xfId="28772" xr:uid="{00000000-0005-0000-0000-00003E650000}"/>
    <cellStyle name="Output 8 2 6 2" xfId="28774" xr:uid="{00000000-0005-0000-0000-00003F650000}"/>
    <cellStyle name="Output 8 2 6 3" xfId="28776" xr:uid="{00000000-0005-0000-0000-000040650000}"/>
    <cellStyle name="Output 8 2 6 4" xfId="28778" xr:uid="{00000000-0005-0000-0000-000041650000}"/>
    <cellStyle name="Output 8 2 7" xfId="28780" xr:uid="{00000000-0005-0000-0000-000042650000}"/>
    <cellStyle name="Output 8 2 8" xfId="28782" xr:uid="{00000000-0005-0000-0000-000043650000}"/>
    <cellStyle name="Output 8 2 9" xfId="28784" xr:uid="{00000000-0005-0000-0000-000044650000}"/>
    <cellStyle name="Output 8 3" xfId="3904" xr:uid="{00000000-0005-0000-0000-000045650000}"/>
    <cellStyle name="Output 8 3 2" xfId="28785" xr:uid="{00000000-0005-0000-0000-000046650000}"/>
    <cellStyle name="Output 8 3 2 2" xfId="28786" xr:uid="{00000000-0005-0000-0000-000047650000}"/>
    <cellStyle name="Output 8 3 2 2 2" xfId="28787" xr:uid="{00000000-0005-0000-0000-000048650000}"/>
    <cellStyle name="Output 8 3 2 2 2 2" xfId="23162" xr:uid="{00000000-0005-0000-0000-000049650000}"/>
    <cellStyle name="Output 8 3 2 2 2 2 2" xfId="23165" xr:uid="{00000000-0005-0000-0000-00004A650000}"/>
    <cellStyle name="Output 8 3 2 2 2 2 2 2" xfId="16019" xr:uid="{00000000-0005-0000-0000-00004B650000}"/>
    <cellStyle name="Output 8 3 2 2 2 2 2 3" xfId="5564" xr:uid="{00000000-0005-0000-0000-00004C650000}"/>
    <cellStyle name="Output 8 3 2 2 2 2 2 4" xfId="28788" xr:uid="{00000000-0005-0000-0000-00004D650000}"/>
    <cellStyle name="Output 8 3 2 2 2 2 3" xfId="23167" xr:uid="{00000000-0005-0000-0000-00004E650000}"/>
    <cellStyle name="Output 8 3 2 2 2 2 4" xfId="23169" xr:uid="{00000000-0005-0000-0000-00004F650000}"/>
    <cellStyle name="Output 8 3 2 2 2 2 5" xfId="26300" xr:uid="{00000000-0005-0000-0000-000050650000}"/>
    <cellStyle name="Output 8 3 2 2 2 3" xfId="23172" xr:uid="{00000000-0005-0000-0000-000051650000}"/>
    <cellStyle name="Output 8 3 2 2 2 3 2" xfId="28789" xr:uid="{00000000-0005-0000-0000-000052650000}"/>
    <cellStyle name="Output 8 3 2 2 2 3 3" xfId="28790" xr:uid="{00000000-0005-0000-0000-000053650000}"/>
    <cellStyle name="Output 8 3 2 2 2 3 4" xfId="28791" xr:uid="{00000000-0005-0000-0000-000054650000}"/>
    <cellStyle name="Output 8 3 2 2 2 4" xfId="23174" xr:uid="{00000000-0005-0000-0000-000055650000}"/>
    <cellStyle name="Output 8 3 2 2 2 5" xfId="23176" xr:uid="{00000000-0005-0000-0000-000056650000}"/>
    <cellStyle name="Output 8 3 2 2 2 6" xfId="28792" xr:uid="{00000000-0005-0000-0000-000057650000}"/>
    <cellStyle name="Output 8 3 2 2 3" xfId="28793" xr:uid="{00000000-0005-0000-0000-000058650000}"/>
    <cellStyle name="Output 8 3 2 2 3 2" xfId="23192" xr:uid="{00000000-0005-0000-0000-000059650000}"/>
    <cellStyle name="Output 8 3 2 2 3 2 2" xfId="28794" xr:uid="{00000000-0005-0000-0000-00005A650000}"/>
    <cellStyle name="Output 8 3 2 2 3 2 3" xfId="28795" xr:uid="{00000000-0005-0000-0000-00005B650000}"/>
    <cellStyle name="Output 8 3 2 2 3 2 4" xfId="28796" xr:uid="{00000000-0005-0000-0000-00005C650000}"/>
    <cellStyle name="Output 8 3 2 2 3 3" xfId="23194" xr:uid="{00000000-0005-0000-0000-00005D650000}"/>
    <cellStyle name="Output 8 3 2 2 3 4" xfId="23196" xr:uid="{00000000-0005-0000-0000-00005E650000}"/>
    <cellStyle name="Output 8 3 2 2 3 5" xfId="28797" xr:uid="{00000000-0005-0000-0000-00005F650000}"/>
    <cellStyle name="Output 8 3 2 2 4" xfId="21120" xr:uid="{00000000-0005-0000-0000-000060650000}"/>
    <cellStyle name="Output 8 3 2 2 4 2" xfId="23205" xr:uid="{00000000-0005-0000-0000-000061650000}"/>
    <cellStyle name="Output 8 3 2 2 4 3" xfId="23207" xr:uid="{00000000-0005-0000-0000-000062650000}"/>
    <cellStyle name="Output 8 3 2 2 4 4" xfId="28798" xr:uid="{00000000-0005-0000-0000-000063650000}"/>
    <cellStyle name="Output 8 3 2 2 5" xfId="21124" xr:uid="{00000000-0005-0000-0000-000064650000}"/>
    <cellStyle name="Output 8 3 2 2 6" xfId="21568" xr:uid="{00000000-0005-0000-0000-000065650000}"/>
    <cellStyle name="Output 8 3 2 2 7" xfId="28799" xr:uid="{00000000-0005-0000-0000-000066650000}"/>
    <cellStyle name="Output 8 3 2 3" xfId="28800" xr:uid="{00000000-0005-0000-0000-000067650000}"/>
    <cellStyle name="Output 8 3 2 3 2" xfId="28801" xr:uid="{00000000-0005-0000-0000-000068650000}"/>
    <cellStyle name="Output 8 3 2 3 2 2" xfId="23937" xr:uid="{00000000-0005-0000-0000-000069650000}"/>
    <cellStyle name="Output 8 3 2 3 2 2 2" xfId="23939" xr:uid="{00000000-0005-0000-0000-00006A650000}"/>
    <cellStyle name="Output 8 3 2 3 2 2 3" xfId="23941" xr:uid="{00000000-0005-0000-0000-00006B650000}"/>
    <cellStyle name="Output 8 3 2 3 2 2 4" xfId="23943" xr:uid="{00000000-0005-0000-0000-00006C650000}"/>
    <cellStyle name="Output 8 3 2 3 2 3" xfId="23945" xr:uid="{00000000-0005-0000-0000-00006D650000}"/>
    <cellStyle name="Output 8 3 2 3 2 4" xfId="23947" xr:uid="{00000000-0005-0000-0000-00006E650000}"/>
    <cellStyle name="Output 8 3 2 3 2 5" xfId="23949" xr:uid="{00000000-0005-0000-0000-00006F650000}"/>
    <cellStyle name="Output 8 3 2 3 3" xfId="28802" xr:uid="{00000000-0005-0000-0000-000070650000}"/>
    <cellStyle name="Output 8 3 2 3 3 2" xfId="23962" xr:uid="{00000000-0005-0000-0000-000071650000}"/>
    <cellStyle name="Output 8 3 2 3 3 3" xfId="23964" xr:uid="{00000000-0005-0000-0000-000072650000}"/>
    <cellStyle name="Output 8 3 2 3 3 4" xfId="23966" xr:uid="{00000000-0005-0000-0000-000073650000}"/>
    <cellStyle name="Output 8 3 2 3 4" xfId="28803" xr:uid="{00000000-0005-0000-0000-000074650000}"/>
    <cellStyle name="Output 8 3 2 3 5" xfId="28804" xr:uid="{00000000-0005-0000-0000-000075650000}"/>
    <cellStyle name="Output 8 3 2 3 6" xfId="28805" xr:uid="{00000000-0005-0000-0000-000076650000}"/>
    <cellStyle name="Output 8 3 2 4" xfId="28806" xr:uid="{00000000-0005-0000-0000-000077650000}"/>
    <cellStyle name="Output 8 3 2 4 2" xfId="14711" xr:uid="{00000000-0005-0000-0000-000078650000}"/>
    <cellStyle name="Output 8 3 2 4 2 2" xfId="24726" xr:uid="{00000000-0005-0000-0000-000079650000}"/>
    <cellStyle name="Output 8 3 2 4 2 3" xfId="24734" xr:uid="{00000000-0005-0000-0000-00007A650000}"/>
    <cellStyle name="Output 8 3 2 4 2 4" xfId="24737" xr:uid="{00000000-0005-0000-0000-00007B650000}"/>
    <cellStyle name="Output 8 3 2 4 3" xfId="14713" xr:uid="{00000000-0005-0000-0000-00007C650000}"/>
    <cellStyle name="Output 8 3 2 4 4" xfId="28807" xr:uid="{00000000-0005-0000-0000-00007D650000}"/>
    <cellStyle name="Output 8 3 2 4 5" xfId="28808" xr:uid="{00000000-0005-0000-0000-00007E650000}"/>
    <cellStyle name="Output 8 3 2 5" xfId="28809" xr:uid="{00000000-0005-0000-0000-00007F650000}"/>
    <cellStyle name="Output 8 3 2 5 2" xfId="14720" xr:uid="{00000000-0005-0000-0000-000080650000}"/>
    <cellStyle name="Output 8 3 2 5 3" xfId="10519" xr:uid="{00000000-0005-0000-0000-000081650000}"/>
    <cellStyle name="Output 8 3 2 5 4" xfId="10522" xr:uid="{00000000-0005-0000-0000-000082650000}"/>
    <cellStyle name="Output 8 3 2 6" xfId="28810" xr:uid="{00000000-0005-0000-0000-000083650000}"/>
    <cellStyle name="Output 8 3 2 7" xfId="28811" xr:uid="{00000000-0005-0000-0000-000084650000}"/>
    <cellStyle name="Output 8 3 2 8" xfId="28812" xr:uid="{00000000-0005-0000-0000-000085650000}"/>
    <cellStyle name="Output 8 3 3" xfId="28813" xr:uid="{00000000-0005-0000-0000-000086650000}"/>
    <cellStyle name="Output 8 3 3 2" xfId="10321" xr:uid="{00000000-0005-0000-0000-000087650000}"/>
    <cellStyle name="Output 8 3 3 2 2" xfId="25328" xr:uid="{00000000-0005-0000-0000-000088650000}"/>
    <cellStyle name="Output 8 3 3 2 2 2" xfId="15741" xr:uid="{00000000-0005-0000-0000-000089650000}"/>
    <cellStyle name="Output 8 3 3 2 2 2 2" xfId="28814" xr:uid="{00000000-0005-0000-0000-00008A650000}"/>
    <cellStyle name="Output 8 3 3 2 2 2 3" xfId="18611" xr:uid="{00000000-0005-0000-0000-00008B650000}"/>
    <cellStyle name="Output 8 3 3 2 2 2 4" xfId="18615" xr:uid="{00000000-0005-0000-0000-00008C650000}"/>
    <cellStyle name="Output 8 3 3 2 2 3" xfId="15747" xr:uid="{00000000-0005-0000-0000-00008D650000}"/>
    <cellStyle name="Output 8 3 3 2 2 4" xfId="28815" xr:uid="{00000000-0005-0000-0000-00008E650000}"/>
    <cellStyle name="Output 8 3 3 2 2 5" xfId="28816" xr:uid="{00000000-0005-0000-0000-00008F650000}"/>
    <cellStyle name="Output 8 3 3 2 3" xfId="25330" xr:uid="{00000000-0005-0000-0000-000090650000}"/>
    <cellStyle name="Output 8 3 3 2 3 2" xfId="13960" xr:uid="{00000000-0005-0000-0000-000091650000}"/>
    <cellStyle name="Output 8 3 3 2 3 3" xfId="13971" xr:uid="{00000000-0005-0000-0000-000092650000}"/>
    <cellStyle name="Output 8 3 3 2 3 4" xfId="23600" xr:uid="{00000000-0005-0000-0000-000093650000}"/>
    <cellStyle name="Output 8 3 3 2 4" xfId="28817" xr:uid="{00000000-0005-0000-0000-000094650000}"/>
    <cellStyle name="Output 8 3 3 2 5" xfId="28818" xr:uid="{00000000-0005-0000-0000-000095650000}"/>
    <cellStyle name="Output 8 3 3 2 6" xfId="28819" xr:uid="{00000000-0005-0000-0000-000096650000}"/>
    <cellStyle name="Output 8 3 3 3" xfId="10327" xr:uid="{00000000-0005-0000-0000-000097650000}"/>
    <cellStyle name="Output 8 3 3 3 2" xfId="28820" xr:uid="{00000000-0005-0000-0000-000098650000}"/>
    <cellStyle name="Output 8 3 3 3 2 2" xfId="15495" xr:uid="{00000000-0005-0000-0000-000099650000}"/>
    <cellStyle name="Output 8 3 3 3 2 3" xfId="15498" xr:uid="{00000000-0005-0000-0000-00009A650000}"/>
    <cellStyle name="Output 8 3 3 3 2 4" xfId="28821" xr:uid="{00000000-0005-0000-0000-00009B650000}"/>
    <cellStyle name="Output 8 3 3 3 3" xfId="28822" xr:uid="{00000000-0005-0000-0000-00009C650000}"/>
    <cellStyle name="Output 8 3 3 3 4" xfId="28823" xr:uid="{00000000-0005-0000-0000-00009D650000}"/>
    <cellStyle name="Output 8 3 3 3 5" xfId="28824" xr:uid="{00000000-0005-0000-0000-00009E650000}"/>
    <cellStyle name="Output 8 3 3 4" xfId="16353" xr:uid="{00000000-0005-0000-0000-00009F650000}"/>
    <cellStyle name="Output 8 3 3 4 2" xfId="5293" xr:uid="{00000000-0005-0000-0000-0000A0650000}"/>
    <cellStyle name="Output 8 3 3 4 3" xfId="28825" xr:uid="{00000000-0005-0000-0000-0000A1650000}"/>
    <cellStyle name="Output 8 3 3 4 4" xfId="28826" xr:uid="{00000000-0005-0000-0000-0000A2650000}"/>
    <cellStyle name="Output 8 3 3 5" xfId="2896" xr:uid="{00000000-0005-0000-0000-0000A3650000}"/>
    <cellStyle name="Output 8 3 3 6" xfId="6087" xr:uid="{00000000-0005-0000-0000-0000A4650000}"/>
    <cellStyle name="Output 8 3 3 7" xfId="6105" xr:uid="{00000000-0005-0000-0000-0000A5650000}"/>
    <cellStyle name="Output 8 3 4" xfId="28827" xr:uid="{00000000-0005-0000-0000-0000A6650000}"/>
    <cellStyle name="Output 8 3 4 2" xfId="6315" xr:uid="{00000000-0005-0000-0000-0000A7650000}"/>
    <cellStyle name="Output 8 3 4 2 2" xfId="28828" xr:uid="{00000000-0005-0000-0000-0000A8650000}"/>
    <cellStyle name="Output 8 3 4 2 2 2" xfId="12596" xr:uid="{00000000-0005-0000-0000-0000A9650000}"/>
    <cellStyle name="Output 8 3 4 2 2 3" xfId="28829" xr:uid="{00000000-0005-0000-0000-0000AA650000}"/>
    <cellStyle name="Output 8 3 4 2 2 4" xfId="28830" xr:uid="{00000000-0005-0000-0000-0000AB650000}"/>
    <cellStyle name="Output 8 3 4 2 3" xfId="28831" xr:uid="{00000000-0005-0000-0000-0000AC650000}"/>
    <cellStyle name="Output 8 3 4 2 4" xfId="28832" xr:uid="{00000000-0005-0000-0000-0000AD650000}"/>
    <cellStyle name="Output 8 3 4 2 5" xfId="28833" xr:uid="{00000000-0005-0000-0000-0000AE650000}"/>
    <cellStyle name="Output 8 3 4 3" xfId="16356" xr:uid="{00000000-0005-0000-0000-0000AF650000}"/>
    <cellStyle name="Output 8 3 4 3 2" xfId="28834" xr:uid="{00000000-0005-0000-0000-0000B0650000}"/>
    <cellStyle name="Output 8 3 4 3 3" xfId="28835" xr:uid="{00000000-0005-0000-0000-0000B1650000}"/>
    <cellStyle name="Output 8 3 4 3 4" xfId="28836" xr:uid="{00000000-0005-0000-0000-0000B2650000}"/>
    <cellStyle name="Output 8 3 4 4" xfId="28837" xr:uid="{00000000-0005-0000-0000-0000B3650000}"/>
    <cellStyle name="Output 8 3 4 5" xfId="1235" xr:uid="{00000000-0005-0000-0000-0000B4650000}"/>
    <cellStyle name="Output 8 3 4 6" xfId="1250" xr:uid="{00000000-0005-0000-0000-0000B5650000}"/>
    <cellStyle name="Output 8 3 5" xfId="28838" xr:uid="{00000000-0005-0000-0000-0000B6650000}"/>
    <cellStyle name="Output 8 3 5 2" xfId="28839" xr:uid="{00000000-0005-0000-0000-0000B7650000}"/>
    <cellStyle name="Output 8 3 5 2 2" xfId="28840" xr:uid="{00000000-0005-0000-0000-0000B8650000}"/>
    <cellStyle name="Output 8 3 5 2 3" xfId="28841" xr:uid="{00000000-0005-0000-0000-0000B9650000}"/>
    <cellStyle name="Output 8 3 5 2 4" xfId="28842" xr:uid="{00000000-0005-0000-0000-0000BA650000}"/>
    <cellStyle name="Output 8 3 5 3" xfId="28843" xr:uid="{00000000-0005-0000-0000-0000BB650000}"/>
    <cellStyle name="Output 8 3 5 4" xfId="28844" xr:uid="{00000000-0005-0000-0000-0000BC650000}"/>
    <cellStyle name="Output 8 3 5 5" xfId="28845" xr:uid="{00000000-0005-0000-0000-0000BD650000}"/>
    <cellStyle name="Output 8 3 6" xfId="28847" xr:uid="{00000000-0005-0000-0000-0000BE650000}"/>
    <cellStyle name="Output 8 3 6 2" xfId="28848" xr:uid="{00000000-0005-0000-0000-0000BF650000}"/>
    <cellStyle name="Output 8 3 6 3" xfId="28849" xr:uid="{00000000-0005-0000-0000-0000C0650000}"/>
    <cellStyle name="Output 8 3 6 4" xfId="28850" xr:uid="{00000000-0005-0000-0000-0000C1650000}"/>
    <cellStyle name="Output 8 3 7" xfId="28852" xr:uid="{00000000-0005-0000-0000-0000C2650000}"/>
    <cellStyle name="Output 8 3 8" xfId="28854" xr:uid="{00000000-0005-0000-0000-0000C3650000}"/>
    <cellStyle name="Output 8 3 9" xfId="28855" xr:uid="{00000000-0005-0000-0000-0000C4650000}"/>
    <cellStyle name="Output 8 4" xfId="2466" xr:uid="{00000000-0005-0000-0000-0000C5650000}"/>
    <cellStyle name="Output 8 4 2" xfId="16887" xr:uid="{00000000-0005-0000-0000-0000C6650000}"/>
    <cellStyle name="Output 8 4 2 2" xfId="16891" xr:uid="{00000000-0005-0000-0000-0000C7650000}"/>
    <cellStyle name="Output 8 4 2 2 2" xfId="20674" xr:uid="{00000000-0005-0000-0000-0000C8650000}"/>
    <cellStyle name="Output 8 4 2 2 2 2" xfId="11284" xr:uid="{00000000-0005-0000-0000-0000C9650000}"/>
    <cellStyle name="Output 8 4 2 2 2 2 2" xfId="11287" xr:uid="{00000000-0005-0000-0000-0000CA650000}"/>
    <cellStyle name="Output 8 4 2 2 2 2 3" xfId="11291" xr:uid="{00000000-0005-0000-0000-0000CB650000}"/>
    <cellStyle name="Output 8 4 2 2 2 2 4" xfId="11295" xr:uid="{00000000-0005-0000-0000-0000CC650000}"/>
    <cellStyle name="Output 8 4 2 2 2 3" xfId="11299" xr:uid="{00000000-0005-0000-0000-0000CD650000}"/>
    <cellStyle name="Output 8 4 2 2 2 4" xfId="11302" xr:uid="{00000000-0005-0000-0000-0000CE650000}"/>
    <cellStyle name="Output 8 4 2 2 2 5" xfId="11305" xr:uid="{00000000-0005-0000-0000-0000CF650000}"/>
    <cellStyle name="Output 8 4 2 2 3" xfId="20679" xr:uid="{00000000-0005-0000-0000-0000D0650000}"/>
    <cellStyle name="Output 8 4 2 2 3 2" xfId="11361" xr:uid="{00000000-0005-0000-0000-0000D1650000}"/>
    <cellStyle name="Output 8 4 2 2 3 3" xfId="11364" xr:uid="{00000000-0005-0000-0000-0000D2650000}"/>
    <cellStyle name="Output 8 4 2 2 3 4" xfId="11367" xr:uid="{00000000-0005-0000-0000-0000D3650000}"/>
    <cellStyle name="Output 8 4 2 2 4" xfId="28857" xr:uid="{00000000-0005-0000-0000-0000D4650000}"/>
    <cellStyle name="Output 8 4 2 2 5" xfId="28859" xr:uid="{00000000-0005-0000-0000-0000D5650000}"/>
    <cellStyle name="Output 8 4 2 2 6" xfId="28861" xr:uid="{00000000-0005-0000-0000-0000D6650000}"/>
    <cellStyle name="Output 8 4 2 3" xfId="16895" xr:uid="{00000000-0005-0000-0000-0000D7650000}"/>
    <cellStyle name="Output 8 4 2 3 2" xfId="20688" xr:uid="{00000000-0005-0000-0000-0000D8650000}"/>
    <cellStyle name="Output 8 4 2 3 2 2" xfId="11594" xr:uid="{00000000-0005-0000-0000-0000D9650000}"/>
    <cellStyle name="Output 8 4 2 3 2 3" xfId="11598" xr:uid="{00000000-0005-0000-0000-0000DA650000}"/>
    <cellStyle name="Output 8 4 2 3 2 4" xfId="28863" xr:uid="{00000000-0005-0000-0000-0000DB650000}"/>
    <cellStyle name="Output 8 4 2 3 3" xfId="28865" xr:uid="{00000000-0005-0000-0000-0000DC650000}"/>
    <cellStyle name="Output 8 4 2 3 4" xfId="28868" xr:uid="{00000000-0005-0000-0000-0000DD650000}"/>
    <cellStyle name="Output 8 4 2 3 5" xfId="28871" xr:uid="{00000000-0005-0000-0000-0000DE650000}"/>
    <cellStyle name="Output 8 4 2 4" xfId="16900" xr:uid="{00000000-0005-0000-0000-0000DF650000}"/>
    <cellStyle name="Output 8 4 2 4 2" xfId="15349" xr:uid="{00000000-0005-0000-0000-0000E0650000}"/>
    <cellStyle name="Output 8 4 2 4 3" xfId="15352" xr:uid="{00000000-0005-0000-0000-0000E1650000}"/>
    <cellStyle name="Output 8 4 2 4 4" xfId="28873" xr:uid="{00000000-0005-0000-0000-0000E2650000}"/>
    <cellStyle name="Output 8 4 2 5" xfId="723" xr:uid="{00000000-0005-0000-0000-0000E3650000}"/>
    <cellStyle name="Output 8 4 2 6" xfId="761" xr:uid="{00000000-0005-0000-0000-0000E4650000}"/>
    <cellStyle name="Output 8 4 2 7" xfId="2392" xr:uid="{00000000-0005-0000-0000-0000E5650000}"/>
    <cellStyle name="Output 8 4 3" xfId="1945" xr:uid="{00000000-0005-0000-0000-0000E6650000}"/>
    <cellStyle name="Output 8 4 3 2" xfId="9899" xr:uid="{00000000-0005-0000-0000-0000E7650000}"/>
    <cellStyle name="Output 8 4 3 2 2" xfId="20692" xr:uid="{00000000-0005-0000-0000-0000E8650000}"/>
    <cellStyle name="Output 8 4 3 2 2 2" xfId="12053" xr:uid="{00000000-0005-0000-0000-0000E9650000}"/>
    <cellStyle name="Output 8 4 3 2 2 3" xfId="388" xr:uid="{00000000-0005-0000-0000-0000EA650000}"/>
    <cellStyle name="Output 8 4 3 2 2 4" xfId="419" xr:uid="{00000000-0005-0000-0000-0000EB650000}"/>
    <cellStyle name="Output 8 4 3 2 3" xfId="28874" xr:uid="{00000000-0005-0000-0000-0000EC650000}"/>
    <cellStyle name="Output 8 4 3 2 4" xfId="28875" xr:uid="{00000000-0005-0000-0000-0000ED650000}"/>
    <cellStyle name="Output 8 4 3 2 5" xfId="28876" xr:uid="{00000000-0005-0000-0000-0000EE650000}"/>
    <cellStyle name="Output 8 4 3 3" xfId="9906" xr:uid="{00000000-0005-0000-0000-0000EF650000}"/>
    <cellStyle name="Output 8 4 3 3 2" xfId="28877" xr:uid="{00000000-0005-0000-0000-0000F0650000}"/>
    <cellStyle name="Output 8 4 3 3 3" xfId="28878" xr:uid="{00000000-0005-0000-0000-0000F1650000}"/>
    <cellStyle name="Output 8 4 3 3 4" xfId="28879" xr:uid="{00000000-0005-0000-0000-0000F2650000}"/>
    <cellStyle name="Output 8 4 3 4" xfId="28880" xr:uid="{00000000-0005-0000-0000-0000F3650000}"/>
    <cellStyle name="Output 8 4 3 5" xfId="1600" xr:uid="{00000000-0005-0000-0000-0000F4650000}"/>
    <cellStyle name="Output 8 4 3 6" xfId="5034" xr:uid="{00000000-0005-0000-0000-0000F5650000}"/>
    <cellStyle name="Output 8 4 4" xfId="9911" xr:uid="{00000000-0005-0000-0000-0000F6650000}"/>
    <cellStyle name="Output 8 4 4 2" xfId="28881" xr:uid="{00000000-0005-0000-0000-0000F7650000}"/>
    <cellStyle name="Output 8 4 4 2 2" xfId="28882" xr:uid="{00000000-0005-0000-0000-0000F8650000}"/>
    <cellStyle name="Output 8 4 4 2 3" xfId="28883" xr:uid="{00000000-0005-0000-0000-0000F9650000}"/>
    <cellStyle name="Output 8 4 4 2 4" xfId="28884" xr:uid="{00000000-0005-0000-0000-0000FA650000}"/>
    <cellStyle name="Output 8 4 4 3" xfId="28886" xr:uid="{00000000-0005-0000-0000-0000FB650000}"/>
    <cellStyle name="Output 8 4 4 4" xfId="28888" xr:uid="{00000000-0005-0000-0000-0000FC650000}"/>
    <cellStyle name="Output 8 4 4 5" xfId="1407" xr:uid="{00000000-0005-0000-0000-0000FD650000}"/>
    <cellStyle name="Output 8 4 5" xfId="7244" xr:uid="{00000000-0005-0000-0000-0000FE650000}"/>
    <cellStyle name="Output 8 4 5 2" xfId="28889" xr:uid="{00000000-0005-0000-0000-0000FF650000}"/>
    <cellStyle name="Output 8 4 5 3" xfId="28891" xr:uid="{00000000-0005-0000-0000-000000660000}"/>
    <cellStyle name="Output 8 4 5 4" xfId="28893" xr:uid="{00000000-0005-0000-0000-000001660000}"/>
    <cellStyle name="Output 8 4 6" xfId="28894" xr:uid="{00000000-0005-0000-0000-000002660000}"/>
    <cellStyle name="Output 8 4 7" xfId="28895" xr:uid="{00000000-0005-0000-0000-000003660000}"/>
    <cellStyle name="Output 8 4 8" xfId="28896" xr:uid="{00000000-0005-0000-0000-000004660000}"/>
    <cellStyle name="Output 8 5" xfId="25604" xr:uid="{00000000-0005-0000-0000-000005660000}"/>
    <cellStyle name="Output 8 5 2" xfId="448" xr:uid="{00000000-0005-0000-0000-000006660000}"/>
    <cellStyle name="Output 8 5 2 2" xfId="23815" xr:uid="{00000000-0005-0000-0000-000007660000}"/>
    <cellStyle name="Output 8 5 2 2 2" xfId="845" xr:uid="{00000000-0005-0000-0000-000008660000}"/>
    <cellStyle name="Output 8 5 2 2 2 2" xfId="6544" xr:uid="{00000000-0005-0000-0000-000009660000}"/>
    <cellStyle name="Output 8 5 2 2 2 3" xfId="6557" xr:uid="{00000000-0005-0000-0000-00000A660000}"/>
    <cellStyle name="Output 8 5 2 2 2 4" xfId="28897" xr:uid="{00000000-0005-0000-0000-00000B660000}"/>
    <cellStyle name="Output 8 5 2 2 3" xfId="28898" xr:uid="{00000000-0005-0000-0000-00000C660000}"/>
    <cellStyle name="Output 8 5 2 2 4" xfId="28899" xr:uid="{00000000-0005-0000-0000-00000D660000}"/>
    <cellStyle name="Output 8 5 2 2 5" xfId="28900" xr:uid="{00000000-0005-0000-0000-00000E660000}"/>
    <cellStyle name="Output 8 5 2 3" xfId="28901" xr:uid="{00000000-0005-0000-0000-00000F660000}"/>
    <cellStyle name="Output 8 5 2 3 2" xfId="28902" xr:uid="{00000000-0005-0000-0000-000010660000}"/>
    <cellStyle name="Output 8 5 2 3 3" xfId="28903" xr:uid="{00000000-0005-0000-0000-000011660000}"/>
    <cellStyle name="Output 8 5 2 3 4" xfId="28904" xr:uid="{00000000-0005-0000-0000-000012660000}"/>
    <cellStyle name="Output 8 5 2 4" xfId="28905" xr:uid="{00000000-0005-0000-0000-000013660000}"/>
    <cellStyle name="Output 8 5 2 5" xfId="6905" xr:uid="{00000000-0005-0000-0000-000014660000}"/>
    <cellStyle name="Output 8 5 2 6" xfId="6932" xr:uid="{00000000-0005-0000-0000-000015660000}"/>
    <cellStyle name="Output 8 5 3" xfId="275" xr:uid="{00000000-0005-0000-0000-000016660000}"/>
    <cellStyle name="Output 8 5 3 2" xfId="28906" xr:uid="{00000000-0005-0000-0000-000017660000}"/>
    <cellStyle name="Output 8 5 3 2 2" xfId="26486" xr:uid="{00000000-0005-0000-0000-000018660000}"/>
    <cellStyle name="Output 8 5 3 2 3" xfId="28907" xr:uid="{00000000-0005-0000-0000-000019660000}"/>
    <cellStyle name="Output 8 5 3 2 4" xfId="28909" xr:uid="{00000000-0005-0000-0000-00001A660000}"/>
    <cellStyle name="Output 8 5 3 3" xfId="28910" xr:uid="{00000000-0005-0000-0000-00001B660000}"/>
    <cellStyle name="Output 8 5 3 4" xfId="28911" xr:uid="{00000000-0005-0000-0000-00001C660000}"/>
    <cellStyle name="Output 8 5 3 5" xfId="6952" xr:uid="{00000000-0005-0000-0000-00001D660000}"/>
    <cellStyle name="Output 8 5 4" xfId="89" xr:uid="{00000000-0005-0000-0000-00001E660000}"/>
    <cellStyle name="Output 8 5 4 2" xfId="28912" xr:uid="{00000000-0005-0000-0000-00001F660000}"/>
    <cellStyle name="Output 8 5 4 3" xfId="28914" xr:uid="{00000000-0005-0000-0000-000020660000}"/>
    <cellStyle name="Output 8 5 4 4" xfId="28916" xr:uid="{00000000-0005-0000-0000-000021660000}"/>
    <cellStyle name="Output 8 5 5" xfId="28917" xr:uid="{00000000-0005-0000-0000-000022660000}"/>
    <cellStyle name="Output 8 5 6" xfId="28918" xr:uid="{00000000-0005-0000-0000-000023660000}"/>
    <cellStyle name="Output 8 5 7" xfId="28919" xr:uid="{00000000-0005-0000-0000-000024660000}"/>
    <cellStyle name="Output 8 6" xfId="28922" xr:uid="{00000000-0005-0000-0000-000025660000}"/>
    <cellStyle name="Output 8 6 2" xfId="16908" xr:uid="{00000000-0005-0000-0000-000026660000}"/>
    <cellStyle name="Output 8 6 2 2" xfId="28923" xr:uid="{00000000-0005-0000-0000-000027660000}"/>
    <cellStyle name="Output 8 6 2 2 2" xfId="25994" xr:uid="{00000000-0005-0000-0000-000028660000}"/>
    <cellStyle name="Output 8 6 2 2 3" xfId="28924" xr:uid="{00000000-0005-0000-0000-000029660000}"/>
    <cellStyle name="Output 8 6 2 2 4" xfId="28925" xr:uid="{00000000-0005-0000-0000-00002A660000}"/>
    <cellStyle name="Output 8 6 2 3" xfId="28926" xr:uid="{00000000-0005-0000-0000-00002B660000}"/>
    <cellStyle name="Output 8 6 2 4" xfId="28927" xr:uid="{00000000-0005-0000-0000-00002C660000}"/>
    <cellStyle name="Output 8 6 2 5" xfId="8121" xr:uid="{00000000-0005-0000-0000-00002D660000}"/>
    <cellStyle name="Output 8 6 3" xfId="16910" xr:uid="{00000000-0005-0000-0000-00002E660000}"/>
    <cellStyle name="Output 8 6 3 2" xfId="28928" xr:uid="{00000000-0005-0000-0000-00002F660000}"/>
    <cellStyle name="Output 8 6 3 3" xfId="28929" xr:uid="{00000000-0005-0000-0000-000030660000}"/>
    <cellStyle name="Output 8 6 3 4" xfId="28930" xr:uid="{00000000-0005-0000-0000-000031660000}"/>
    <cellStyle name="Output 8 6 4" xfId="28931" xr:uid="{00000000-0005-0000-0000-000032660000}"/>
    <cellStyle name="Output 8 6 5" xfId="28932" xr:uid="{00000000-0005-0000-0000-000033660000}"/>
    <cellStyle name="Output 8 6 6" xfId="28933" xr:uid="{00000000-0005-0000-0000-000034660000}"/>
    <cellStyle name="Output 8 7" xfId="22934" xr:uid="{00000000-0005-0000-0000-000035660000}"/>
    <cellStyle name="Output 8 7 2" xfId="28934" xr:uid="{00000000-0005-0000-0000-000036660000}"/>
    <cellStyle name="Output 8 7 2 2" xfId="28935" xr:uid="{00000000-0005-0000-0000-000037660000}"/>
    <cellStyle name="Output 8 7 2 3" xfId="28936" xr:uid="{00000000-0005-0000-0000-000038660000}"/>
    <cellStyle name="Output 8 7 2 4" xfId="28937" xr:uid="{00000000-0005-0000-0000-000039660000}"/>
    <cellStyle name="Output 8 7 3" xfId="28938" xr:uid="{00000000-0005-0000-0000-00003A660000}"/>
    <cellStyle name="Output 8 7 4" xfId="28939" xr:uid="{00000000-0005-0000-0000-00003B660000}"/>
    <cellStyle name="Output 8 7 5" xfId="28940" xr:uid="{00000000-0005-0000-0000-00003C660000}"/>
    <cellStyle name="Output 8 8" xfId="22937" xr:uid="{00000000-0005-0000-0000-00003D660000}"/>
    <cellStyle name="Output 8 8 2" xfId="12918" xr:uid="{00000000-0005-0000-0000-00003E660000}"/>
    <cellStyle name="Output 8 8 3" xfId="13463" xr:uid="{00000000-0005-0000-0000-00003F660000}"/>
    <cellStyle name="Output 8 8 4" xfId="13465" xr:uid="{00000000-0005-0000-0000-000040660000}"/>
    <cellStyle name="Output 8 9" xfId="22939" xr:uid="{00000000-0005-0000-0000-000041660000}"/>
    <cellStyle name="Output 9" xfId="4615" xr:uid="{00000000-0005-0000-0000-000042660000}"/>
    <cellStyle name="Output 9 2" xfId="3951" xr:uid="{00000000-0005-0000-0000-000043660000}"/>
    <cellStyle name="Output 9 2 2" xfId="28941" xr:uid="{00000000-0005-0000-0000-000044660000}"/>
    <cellStyle name="Output 9 2 2 2" xfId="28943" xr:uid="{00000000-0005-0000-0000-000045660000}"/>
    <cellStyle name="Output 9 2 2 2 2" xfId="700" xr:uid="{00000000-0005-0000-0000-000046660000}"/>
    <cellStyle name="Output 9 2 2 2 2 2" xfId="28944" xr:uid="{00000000-0005-0000-0000-000047660000}"/>
    <cellStyle name="Output 9 2 2 2 2 2 2" xfId="23253" xr:uid="{00000000-0005-0000-0000-000048660000}"/>
    <cellStyle name="Output 9 2 2 2 2 2 3" xfId="15270" xr:uid="{00000000-0005-0000-0000-000049660000}"/>
    <cellStyle name="Output 9 2 2 2 2 2 4" xfId="15273" xr:uid="{00000000-0005-0000-0000-00004A660000}"/>
    <cellStyle name="Output 9 2 2 2 2 3" xfId="28945" xr:uid="{00000000-0005-0000-0000-00004B660000}"/>
    <cellStyle name="Output 9 2 2 2 2 4" xfId="28947" xr:uid="{00000000-0005-0000-0000-00004C660000}"/>
    <cellStyle name="Output 9 2 2 2 2 5" xfId="28949" xr:uid="{00000000-0005-0000-0000-00004D660000}"/>
    <cellStyle name="Output 9 2 2 2 3" xfId="605" xr:uid="{00000000-0005-0000-0000-00004E660000}"/>
    <cellStyle name="Output 9 2 2 2 3 2" xfId="2973" xr:uid="{00000000-0005-0000-0000-00004F660000}"/>
    <cellStyle name="Output 9 2 2 2 3 3" xfId="1854" xr:uid="{00000000-0005-0000-0000-000050660000}"/>
    <cellStyle name="Output 9 2 2 2 3 4" xfId="6258" xr:uid="{00000000-0005-0000-0000-000051660000}"/>
    <cellStyle name="Output 9 2 2 2 4" xfId="17826" xr:uid="{00000000-0005-0000-0000-000052660000}"/>
    <cellStyle name="Output 9 2 2 2 5" xfId="13345" xr:uid="{00000000-0005-0000-0000-000053660000}"/>
    <cellStyle name="Output 9 2 2 2 6" xfId="13349" xr:uid="{00000000-0005-0000-0000-000054660000}"/>
    <cellStyle name="Output 9 2 2 3" xfId="28951" xr:uid="{00000000-0005-0000-0000-000055660000}"/>
    <cellStyle name="Output 9 2 2 3 2" xfId="28952" xr:uid="{00000000-0005-0000-0000-000056660000}"/>
    <cellStyle name="Output 9 2 2 3 2 2" xfId="28953" xr:uid="{00000000-0005-0000-0000-000057660000}"/>
    <cellStyle name="Output 9 2 2 3 2 3" xfId="28954" xr:uid="{00000000-0005-0000-0000-000058660000}"/>
    <cellStyle name="Output 9 2 2 3 2 4" xfId="28956" xr:uid="{00000000-0005-0000-0000-000059660000}"/>
    <cellStyle name="Output 9 2 2 3 3" xfId="17835" xr:uid="{00000000-0005-0000-0000-00005A660000}"/>
    <cellStyle name="Output 9 2 2 3 4" xfId="17838" xr:uid="{00000000-0005-0000-0000-00005B660000}"/>
    <cellStyle name="Output 9 2 2 3 5" xfId="17843" xr:uid="{00000000-0005-0000-0000-00005C660000}"/>
    <cellStyle name="Output 9 2 2 4" xfId="24827" xr:uid="{00000000-0005-0000-0000-00005D660000}"/>
    <cellStyle name="Output 9 2 2 4 2" xfId="28957" xr:uid="{00000000-0005-0000-0000-00005E660000}"/>
    <cellStyle name="Output 9 2 2 4 3" xfId="17495" xr:uid="{00000000-0005-0000-0000-00005F660000}"/>
    <cellStyle name="Output 9 2 2 4 4" xfId="17540" xr:uid="{00000000-0005-0000-0000-000060660000}"/>
    <cellStyle name="Output 9 2 2 5" xfId="24358" xr:uid="{00000000-0005-0000-0000-000061660000}"/>
    <cellStyle name="Output 9 2 2 6" xfId="24361" xr:uid="{00000000-0005-0000-0000-000062660000}"/>
    <cellStyle name="Output 9 2 2 7" xfId="24364" xr:uid="{00000000-0005-0000-0000-000063660000}"/>
    <cellStyle name="Output 9 2 3" xfId="28958" xr:uid="{00000000-0005-0000-0000-000064660000}"/>
    <cellStyle name="Output 9 2 3 2" xfId="28960" xr:uid="{00000000-0005-0000-0000-000065660000}"/>
    <cellStyle name="Output 9 2 3 2 2" xfId="4467" xr:uid="{00000000-0005-0000-0000-000066660000}"/>
    <cellStyle name="Output 9 2 3 2 2 2" xfId="28961" xr:uid="{00000000-0005-0000-0000-000067660000}"/>
    <cellStyle name="Output 9 2 3 2 2 3" xfId="28962" xr:uid="{00000000-0005-0000-0000-000068660000}"/>
    <cellStyle name="Output 9 2 3 2 2 4" xfId="28965" xr:uid="{00000000-0005-0000-0000-000069660000}"/>
    <cellStyle name="Output 9 2 3 2 3" xfId="14889" xr:uid="{00000000-0005-0000-0000-00006A660000}"/>
    <cellStyle name="Output 9 2 3 2 4" xfId="14894" xr:uid="{00000000-0005-0000-0000-00006B660000}"/>
    <cellStyle name="Output 9 2 3 2 5" xfId="14901" xr:uid="{00000000-0005-0000-0000-00006C660000}"/>
    <cellStyle name="Output 9 2 3 3" xfId="28967" xr:uid="{00000000-0005-0000-0000-00006D660000}"/>
    <cellStyle name="Output 9 2 3 3 2" xfId="25832" xr:uid="{00000000-0005-0000-0000-00006E660000}"/>
    <cellStyle name="Output 9 2 3 3 3" xfId="17862" xr:uid="{00000000-0005-0000-0000-00006F660000}"/>
    <cellStyle name="Output 9 2 3 3 4" xfId="17865" xr:uid="{00000000-0005-0000-0000-000070660000}"/>
    <cellStyle name="Output 9 2 3 4" xfId="28968" xr:uid="{00000000-0005-0000-0000-000071660000}"/>
    <cellStyle name="Output 9 2 3 5" xfId="28969" xr:uid="{00000000-0005-0000-0000-000072660000}"/>
    <cellStyle name="Output 9 2 3 6" xfId="21053" xr:uid="{00000000-0005-0000-0000-000073660000}"/>
    <cellStyle name="Output 9 2 4" xfId="28970" xr:uid="{00000000-0005-0000-0000-000074660000}"/>
    <cellStyle name="Output 9 2 4 2" xfId="28971" xr:uid="{00000000-0005-0000-0000-000075660000}"/>
    <cellStyle name="Output 9 2 4 2 2" xfId="25844" xr:uid="{00000000-0005-0000-0000-000076660000}"/>
    <cellStyle name="Output 9 2 4 2 3" xfId="7977" xr:uid="{00000000-0005-0000-0000-000077660000}"/>
    <cellStyle name="Output 9 2 4 2 4" xfId="7984" xr:uid="{00000000-0005-0000-0000-000078660000}"/>
    <cellStyle name="Output 9 2 4 3" xfId="28972" xr:uid="{00000000-0005-0000-0000-000079660000}"/>
    <cellStyle name="Output 9 2 4 4" xfId="28973" xr:uid="{00000000-0005-0000-0000-00007A660000}"/>
    <cellStyle name="Output 9 2 4 5" xfId="28974" xr:uid="{00000000-0005-0000-0000-00007B660000}"/>
    <cellStyle name="Output 9 2 5" xfId="28975" xr:uid="{00000000-0005-0000-0000-00007C660000}"/>
    <cellStyle name="Output 9 2 5 2" xfId="28976" xr:uid="{00000000-0005-0000-0000-00007D660000}"/>
    <cellStyle name="Output 9 2 5 3" xfId="28977" xr:uid="{00000000-0005-0000-0000-00007E660000}"/>
    <cellStyle name="Output 9 2 5 4" xfId="28978" xr:uid="{00000000-0005-0000-0000-00007F660000}"/>
    <cellStyle name="Output 9 2 6" xfId="28980" xr:uid="{00000000-0005-0000-0000-000080660000}"/>
    <cellStyle name="Output 9 2 7" xfId="28982" xr:uid="{00000000-0005-0000-0000-000081660000}"/>
    <cellStyle name="Output 9 2 8" xfId="28984" xr:uid="{00000000-0005-0000-0000-000082660000}"/>
    <cellStyle name="Output 9 3" xfId="3956" xr:uid="{00000000-0005-0000-0000-000083660000}"/>
    <cellStyle name="Output 9 3 2" xfId="28985" xr:uid="{00000000-0005-0000-0000-000084660000}"/>
    <cellStyle name="Output 9 3 2 2" xfId="27799" xr:uid="{00000000-0005-0000-0000-000085660000}"/>
    <cellStyle name="Output 9 3 2 2 2" xfId="811" xr:uid="{00000000-0005-0000-0000-000086660000}"/>
    <cellStyle name="Output 9 3 2 2 2 2" xfId="3418" xr:uid="{00000000-0005-0000-0000-000087660000}"/>
    <cellStyle name="Output 9 3 2 2 2 3" xfId="27801" xr:uid="{00000000-0005-0000-0000-000088660000}"/>
    <cellStyle name="Output 9 3 2 2 2 4" xfId="27803" xr:uid="{00000000-0005-0000-0000-000089660000}"/>
    <cellStyle name="Output 9 3 2 2 3" xfId="821" xr:uid="{00000000-0005-0000-0000-00008A660000}"/>
    <cellStyle name="Output 9 3 2 2 4" xfId="21198" xr:uid="{00000000-0005-0000-0000-00008B660000}"/>
    <cellStyle name="Output 9 3 2 2 5" xfId="21204" xr:uid="{00000000-0005-0000-0000-00008C660000}"/>
    <cellStyle name="Output 9 3 2 3" xfId="27806" xr:uid="{00000000-0005-0000-0000-00008D660000}"/>
    <cellStyle name="Output 9 3 2 3 2" xfId="27808" xr:uid="{00000000-0005-0000-0000-00008E660000}"/>
    <cellStyle name="Output 9 3 2 3 3" xfId="17385" xr:uid="{00000000-0005-0000-0000-00008F660000}"/>
    <cellStyle name="Output 9 3 2 3 4" xfId="17390" xr:uid="{00000000-0005-0000-0000-000090660000}"/>
    <cellStyle name="Output 9 3 2 4" xfId="27810" xr:uid="{00000000-0005-0000-0000-000091660000}"/>
    <cellStyle name="Output 9 3 2 5" xfId="27812" xr:uid="{00000000-0005-0000-0000-000092660000}"/>
    <cellStyle name="Output 9 3 2 6" xfId="27814" xr:uid="{00000000-0005-0000-0000-000093660000}"/>
    <cellStyle name="Output 9 3 3" xfId="28986" xr:uid="{00000000-0005-0000-0000-000094660000}"/>
    <cellStyle name="Output 9 3 3 2" xfId="11706" xr:uid="{00000000-0005-0000-0000-000095660000}"/>
    <cellStyle name="Output 9 3 3 2 2" xfId="6200" xr:uid="{00000000-0005-0000-0000-000096660000}"/>
    <cellStyle name="Output 9 3 3 2 3" xfId="17875" xr:uid="{00000000-0005-0000-0000-000097660000}"/>
    <cellStyle name="Output 9 3 3 2 4" xfId="17881" xr:uid="{00000000-0005-0000-0000-000098660000}"/>
    <cellStyle name="Output 9 3 3 3" xfId="16363" xr:uid="{00000000-0005-0000-0000-000099660000}"/>
    <cellStyle name="Output 9 3 3 4" xfId="27827" xr:uid="{00000000-0005-0000-0000-00009A660000}"/>
    <cellStyle name="Output 9 3 3 5" xfId="675" xr:uid="{00000000-0005-0000-0000-00009B660000}"/>
    <cellStyle name="Output 9 3 4" xfId="28987" xr:uid="{00000000-0005-0000-0000-00009C660000}"/>
    <cellStyle name="Output 9 3 4 2" xfId="27835" xr:uid="{00000000-0005-0000-0000-00009D660000}"/>
    <cellStyle name="Output 9 3 4 3" xfId="27837" xr:uid="{00000000-0005-0000-0000-00009E660000}"/>
    <cellStyle name="Output 9 3 4 4" xfId="27839" xr:uid="{00000000-0005-0000-0000-00009F660000}"/>
    <cellStyle name="Output 9 3 5" xfId="28988" xr:uid="{00000000-0005-0000-0000-0000A0660000}"/>
    <cellStyle name="Output 9 3 6" xfId="28989" xr:uid="{00000000-0005-0000-0000-0000A1660000}"/>
    <cellStyle name="Output 9 3 7" xfId="28990" xr:uid="{00000000-0005-0000-0000-0000A2660000}"/>
    <cellStyle name="Output 9 4" xfId="28991" xr:uid="{00000000-0005-0000-0000-0000A3660000}"/>
    <cellStyle name="Output 9 4 2" xfId="16919" xr:uid="{00000000-0005-0000-0000-0000A4660000}"/>
    <cellStyle name="Output 9 4 2 2" xfId="23870" xr:uid="{00000000-0005-0000-0000-0000A5660000}"/>
    <cellStyle name="Output 9 4 2 2 2" xfId="945" xr:uid="{00000000-0005-0000-0000-0000A6660000}"/>
    <cellStyle name="Output 9 4 2 2 3" xfId="953" xr:uid="{00000000-0005-0000-0000-0000A7660000}"/>
    <cellStyle name="Output 9 4 2 2 4" xfId="27895" xr:uid="{00000000-0005-0000-0000-0000A8660000}"/>
    <cellStyle name="Output 9 4 2 3" xfId="27898" xr:uid="{00000000-0005-0000-0000-0000A9660000}"/>
    <cellStyle name="Output 9 4 2 4" xfId="27900" xr:uid="{00000000-0005-0000-0000-0000AA660000}"/>
    <cellStyle name="Output 9 4 2 5" xfId="16709" xr:uid="{00000000-0005-0000-0000-0000AB660000}"/>
    <cellStyle name="Output 9 4 3" xfId="9923" xr:uid="{00000000-0005-0000-0000-0000AC660000}"/>
    <cellStyle name="Output 9 4 3 2" xfId="27914" xr:uid="{00000000-0005-0000-0000-0000AD660000}"/>
    <cellStyle name="Output 9 4 3 3" xfId="27918" xr:uid="{00000000-0005-0000-0000-0000AE660000}"/>
    <cellStyle name="Output 9 4 3 4" xfId="27920" xr:uid="{00000000-0005-0000-0000-0000AF660000}"/>
    <cellStyle name="Output 9 4 4" xfId="9927" xr:uid="{00000000-0005-0000-0000-0000B0660000}"/>
    <cellStyle name="Output 9 4 5" xfId="28992" xr:uid="{00000000-0005-0000-0000-0000B1660000}"/>
    <cellStyle name="Output 9 4 6" xfId="28993" xr:uid="{00000000-0005-0000-0000-0000B2660000}"/>
    <cellStyle name="Output 9 5" xfId="28995" xr:uid="{00000000-0005-0000-0000-0000B3660000}"/>
    <cellStyle name="Output 9 5 2" xfId="16923" xr:uid="{00000000-0005-0000-0000-0000B4660000}"/>
    <cellStyle name="Output 9 5 2 2" xfId="27969" xr:uid="{00000000-0005-0000-0000-0000B5660000}"/>
    <cellStyle name="Output 9 5 2 3" xfId="27974" xr:uid="{00000000-0005-0000-0000-0000B6660000}"/>
    <cellStyle name="Output 9 5 2 4" xfId="27977" xr:uid="{00000000-0005-0000-0000-0000B7660000}"/>
    <cellStyle name="Output 9 5 3" xfId="16925" xr:uid="{00000000-0005-0000-0000-0000B8660000}"/>
    <cellStyle name="Output 9 5 4" xfId="28996" xr:uid="{00000000-0005-0000-0000-0000B9660000}"/>
    <cellStyle name="Output 9 5 5" xfId="28997" xr:uid="{00000000-0005-0000-0000-0000BA660000}"/>
    <cellStyle name="Output 9 6" xfId="28999" xr:uid="{00000000-0005-0000-0000-0000BB660000}"/>
    <cellStyle name="Output 9 6 2" xfId="9020" xr:uid="{00000000-0005-0000-0000-0000BC660000}"/>
    <cellStyle name="Output 9 6 3" xfId="9046" xr:uid="{00000000-0005-0000-0000-0000BD660000}"/>
    <cellStyle name="Output 9 6 4" xfId="9060" xr:uid="{00000000-0005-0000-0000-0000BE660000}"/>
    <cellStyle name="Output 9 7" xfId="29001" xr:uid="{00000000-0005-0000-0000-0000BF660000}"/>
    <cellStyle name="Output 9 8" xfId="29002" xr:uid="{00000000-0005-0000-0000-0000C0660000}"/>
    <cellStyle name="Output 9 9" xfId="29003" xr:uid="{00000000-0005-0000-0000-0000C1660000}"/>
    <cellStyle name="Percent 2" xfId="29004" xr:uid="{00000000-0005-0000-0000-0000C2660000}"/>
    <cellStyle name="Percent 2 2" xfId="29005" xr:uid="{00000000-0005-0000-0000-0000C3660000}"/>
    <cellStyle name="Percent 2 2 2" xfId="17624" xr:uid="{00000000-0005-0000-0000-0000C4660000}"/>
    <cellStyle name="Percent 2 2 2 2" xfId="29006" xr:uid="{00000000-0005-0000-0000-0000C5660000}"/>
    <cellStyle name="Percent 2 2 3" xfId="17626" xr:uid="{00000000-0005-0000-0000-0000C6660000}"/>
    <cellStyle name="Percent 2 2 3 2" xfId="29007" xr:uid="{00000000-0005-0000-0000-0000C7660000}"/>
    <cellStyle name="Percent 2 2 4" xfId="17628" xr:uid="{00000000-0005-0000-0000-0000C8660000}"/>
    <cellStyle name="Percent 2 2 4 2" xfId="29008" xr:uid="{00000000-0005-0000-0000-0000C9660000}"/>
    <cellStyle name="Percent 2 2 5" xfId="29009" xr:uid="{00000000-0005-0000-0000-0000CA660000}"/>
    <cellStyle name="Percent 2 2 5 2" xfId="29010" xr:uid="{00000000-0005-0000-0000-0000CB660000}"/>
    <cellStyle name="Percent 2 2 6" xfId="29011" xr:uid="{00000000-0005-0000-0000-0000CC660000}"/>
    <cellStyle name="Percent 2 2 6 2" xfId="29012" xr:uid="{00000000-0005-0000-0000-0000CD660000}"/>
    <cellStyle name="Percent 2 2 7" xfId="29013" xr:uid="{00000000-0005-0000-0000-0000CE660000}"/>
    <cellStyle name="Percent 2 2 7 2" xfId="28631" xr:uid="{00000000-0005-0000-0000-0000CF660000}"/>
    <cellStyle name="Percent 2 2 8" xfId="29014" xr:uid="{00000000-0005-0000-0000-0000D0660000}"/>
    <cellStyle name="Percent 2 2 8 2" xfId="1643" xr:uid="{00000000-0005-0000-0000-0000D1660000}"/>
    <cellStyle name="Percent 2 2 9" xfId="29015" xr:uid="{00000000-0005-0000-0000-0000D2660000}"/>
    <cellStyle name="Percent 2 3" xfId="29016" xr:uid="{00000000-0005-0000-0000-0000D3660000}"/>
    <cellStyle name="Percent 2 3 2" xfId="17637" xr:uid="{00000000-0005-0000-0000-0000D4660000}"/>
    <cellStyle name="Percent 2 3 3" xfId="17639" xr:uid="{00000000-0005-0000-0000-0000D5660000}"/>
    <cellStyle name="Percent 2 3 4" xfId="29017" xr:uid="{00000000-0005-0000-0000-0000D6660000}"/>
    <cellStyle name="Percent 2 4" xfId="29018" xr:uid="{00000000-0005-0000-0000-0000D7660000}"/>
    <cellStyle name="Percent 2 4 2" xfId="17645" xr:uid="{00000000-0005-0000-0000-0000D8660000}"/>
    <cellStyle name="Percent 2 5" xfId="29019" xr:uid="{00000000-0005-0000-0000-0000D9660000}"/>
    <cellStyle name="Percent 2 5 2" xfId="27567" xr:uid="{00000000-0005-0000-0000-0000DA660000}"/>
    <cellStyle name="Percent 2 6" xfId="29020" xr:uid="{00000000-0005-0000-0000-0000DB660000}"/>
    <cellStyle name="Percent 2 6 2" xfId="16277" xr:uid="{00000000-0005-0000-0000-0000DC660000}"/>
    <cellStyle name="Percent 2 7" xfId="29021" xr:uid="{00000000-0005-0000-0000-0000DD660000}"/>
    <cellStyle name="Percent 2 7 2" xfId="20763" xr:uid="{00000000-0005-0000-0000-0000DE660000}"/>
    <cellStyle name="Percent 2 8" xfId="29022" xr:uid="{00000000-0005-0000-0000-0000DF660000}"/>
    <cellStyle name="Percent 2 9" xfId="29023" xr:uid="{00000000-0005-0000-0000-0000E0660000}"/>
    <cellStyle name="Percent 2_1.6.Wine_&amp;_Ja" xfId="29024" xr:uid="{00000000-0005-0000-0000-0000E1660000}"/>
    <cellStyle name="Percent 3" xfId="1921" xr:uid="{00000000-0005-0000-0000-0000E2660000}"/>
    <cellStyle name="Title 2" xfId="24312" xr:uid="{00000000-0005-0000-0000-0000E3660000}"/>
    <cellStyle name="Title 3" xfId="24314" xr:uid="{00000000-0005-0000-0000-0000E4660000}"/>
    <cellStyle name="Total 10" xfId="29025" xr:uid="{00000000-0005-0000-0000-0000E5660000}"/>
    <cellStyle name="Total 2" xfId="20640" xr:uid="{00000000-0005-0000-0000-0000E6660000}"/>
    <cellStyle name="Total 2 10" xfId="17532" xr:uid="{00000000-0005-0000-0000-0000E7660000}"/>
    <cellStyle name="Total 2 11" xfId="17535" xr:uid="{00000000-0005-0000-0000-0000E8660000}"/>
    <cellStyle name="Total 2 12" xfId="17538" xr:uid="{00000000-0005-0000-0000-0000E9660000}"/>
    <cellStyle name="Total 2 13" xfId="29026" xr:uid="{00000000-0005-0000-0000-0000EA660000}"/>
    <cellStyle name="Total 2 2" xfId="18969" xr:uid="{00000000-0005-0000-0000-0000EB660000}"/>
    <cellStyle name="Total 2 2 10" xfId="7530" xr:uid="{00000000-0005-0000-0000-0000EC660000}"/>
    <cellStyle name="Total 2 2 11" xfId="7537" xr:uid="{00000000-0005-0000-0000-0000ED660000}"/>
    <cellStyle name="Total 2 2 12" xfId="18626" xr:uid="{00000000-0005-0000-0000-0000EE660000}"/>
    <cellStyle name="Total 2 2 2" xfId="20642" xr:uid="{00000000-0005-0000-0000-0000EF660000}"/>
    <cellStyle name="Total 2 2 2 2" xfId="20226" xr:uid="{00000000-0005-0000-0000-0000F0660000}"/>
    <cellStyle name="Total 2 2 2 2 2" xfId="1086" xr:uid="{00000000-0005-0000-0000-0000F1660000}"/>
    <cellStyle name="Total 2 2 2 2 2 2" xfId="1131" xr:uid="{00000000-0005-0000-0000-0000F2660000}"/>
    <cellStyle name="Total 2 2 2 2 2 2 2" xfId="12217" xr:uid="{00000000-0005-0000-0000-0000F3660000}"/>
    <cellStyle name="Total 2 2 2 2 2 2 2 2" xfId="26811" xr:uid="{00000000-0005-0000-0000-0000F4660000}"/>
    <cellStyle name="Total 2 2 2 2 2 2 2 2 2" xfId="16799" xr:uid="{00000000-0005-0000-0000-0000F5660000}"/>
    <cellStyle name="Total 2 2 2 2 2 2 2 2 3" xfId="16808" xr:uid="{00000000-0005-0000-0000-0000F6660000}"/>
    <cellStyle name="Total 2 2 2 2 2 2 2 2 4" xfId="16810" xr:uid="{00000000-0005-0000-0000-0000F7660000}"/>
    <cellStyle name="Total 2 2 2 2 2 2 2 3" xfId="26813" xr:uid="{00000000-0005-0000-0000-0000F8660000}"/>
    <cellStyle name="Total 2 2 2 2 2 2 2 4" xfId="26815" xr:uid="{00000000-0005-0000-0000-0000F9660000}"/>
    <cellStyle name="Total 2 2 2 2 2 2 2 5" xfId="14156" xr:uid="{00000000-0005-0000-0000-0000FA660000}"/>
    <cellStyle name="Total 2 2 2 2 2 2 3" xfId="19666" xr:uid="{00000000-0005-0000-0000-0000FB660000}"/>
    <cellStyle name="Total 2 2 2 2 2 2 3 2" xfId="29027" xr:uid="{00000000-0005-0000-0000-0000FC660000}"/>
    <cellStyle name="Total 2 2 2 2 2 2 3 3" xfId="29028" xr:uid="{00000000-0005-0000-0000-0000FD660000}"/>
    <cellStyle name="Total 2 2 2 2 2 2 3 4" xfId="29029" xr:uid="{00000000-0005-0000-0000-0000FE660000}"/>
    <cellStyle name="Total 2 2 2 2 2 2 4" xfId="11610" xr:uid="{00000000-0005-0000-0000-0000FF660000}"/>
    <cellStyle name="Total 2 2 2 2 2 2 5" xfId="11619" xr:uid="{00000000-0005-0000-0000-000000670000}"/>
    <cellStyle name="Total 2 2 2 2 2 2 6" xfId="11623" xr:uid="{00000000-0005-0000-0000-000001670000}"/>
    <cellStyle name="Total 2 2 2 2 2 3" xfId="26675" xr:uid="{00000000-0005-0000-0000-000002670000}"/>
    <cellStyle name="Total 2 2 2 2 2 3 2" xfId="6876" xr:uid="{00000000-0005-0000-0000-000003670000}"/>
    <cellStyle name="Total 2 2 2 2 2 3 2 2" xfId="2465" xr:uid="{00000000-0005-0000-0000-000004670000}"/>
    <cellStyle name="Total 2 2 2 2 2 3 2 3" xfId="25603" xr:uid="{00000000-0005-0000-0000-000005670000}"/>
    <cellStyle name="Total 2 2 2 2 2 3 2 4" xfId="28921" xr:uid="{00000000-0005-0000-0000-000006670000}"/>
    <cellStyle name="Total 2 2 2 2 2 3 3" xfId="26817" xr:uid="{00000000-0005-0000-0000-000007670000}"/>
    <cellStyle name="Total 2 2 2 2 2 3 4" xfId="6887" xr:uid="{00000000-0005-0000-0000-000008670000}"/>
    <cellStyle name="Total 2 2 2 2 2 3 5" xfId="1347" xr:uid="{00000000-0005-0000-0000-000009670000}"/>
    <cellStyle name="Total 2 2 2 2 2 4" xfId="26678" xr:uid="{00000000-0005-0000-0000-00000A670000}"/>
    <cellStyle name="Total 2 2 2 2 2 4 2" xfId="29030" xr:uid="{00000000-0005-0000-0000-00000B670000}"/>
    <cellStyle name="Total 2 2 2 2 2 4 3" xfId="29031" xr:uid="{00000000-0005-0000-0000-00000C670000}"/>
    <cellStyle name="Total 2 2 2 2 2 4 4" xfId="29032" xr:uid="{00000000-0005-0000-0000-00000D670000}"/>
    <cellStyle name="Total 2 2 2 2 2 5" xfId="26819" xr:uid="{00000000-0005-0000-0000-00000E670000}"/>
    <cellStyle name="Total 2 2 2 2 2 6" xfId="15865" xr:uid="{00000000-0005-0000-0000-00000F670000}"/>
    <cellStyle name="Total 2 2 2 2 2 7" xfId="15869" xr:uid="{00000000-0005-0000-0000-000010670000}"/>
    <cellStyle name="Total 2 2 2 2 3" xfId="1152" xr:uid="{00000000-0005-0000-0000-000011670000}"/>
    <cellStyle name="Total 2 2 2 2 3 2" xfId="26681" xr:uid="{00000000-0005-0000-0000-000012670000}"/>
    <cellStyle name="Total 2 2 2 2 3 2 2" xfId="19672" xr:uid="{00000000-0005-0000-0000-000013670000}"/>
    <cellStyle name="Total 2 2 2 2 3 2 2 2" xfId="19767" xr:uid="{00000000-0005-0000-0000-000014670000}"/>
    <cellStyle name="Total 2 2 2 2 3 2 2 3" xfId="3492" xr:uid="{00000000-0005-0000-0000-000015670000}"/>
    <cellStyle name="Total 2 2 2 2 3 2 2 4" xfId="3604" xr:uid="{00000000-0005-0000-0000-000016670000}"/>
    <cellStyle name="Total 2 2 2 2 3 2 3" xfId="19769" xr:uid="{00000000-0005-0000-0000-000017670000}"/>
    <cellStyle name="Total 2 2 2 2 3 2 4" xfId="13" xr:uid="{00000000-0005-0000-0000-000018670000}"/>
    <cellStyle name="Total 2 2 2 2 3 2 5" xfId="3820" xr:uid="{00000000-0005-0000-0000-000019670000}"/>
    <cellStyle name="Total 2 2 2 2 3 3" xfId="26684" xr:uid="{00000000-0005-0000-0000-00001A670000}"/>
    <cellStyle name="Total 2 2 2 2 3 3 2" xfId="567" xr:uid="{00000000-0005-0000-0000-00001B670000}"/>
    <cellStyle name="Total 2 2 2 2 3 3 3" xfId="2353" xr:uid="{00000000-0005-0000-0000-00001C670000}"/>
    <cellStyle name="Total 2 2 2 2 3 3 4" xfId="4182" xr:uid="{00000000-0005-0000-0000-00001D670000}"/>
    <cellStyle name="Total 2 2 2 2 3 4" xfId="26822" xr:uid="{00000000-0005-0000-0000-00001E670000}"/>
    <cellStyle name="Total 2 2 2 2 3 5" xfId="26824" xr:uid="{00000000-0005-0000-0000-00001F670000}"/>
    <cellStyle name="Total 2 2 2 2 3 6" xfId="15884" xr:uid="{00000000-0005-0000-0000-000020670000}"/>
    <cellStyle name="Total 2 2 2 2 4" xfId="1162" xr:uid="{00000000-0005-0000-0000-000021670000}"/>
    <cellStyle name="Total 2 2 2 2 4 2" xfId="26689" xr:uid="{00000000-0005-0000-0000-000022670000}"/>
    <cellStyle name="Total 2 2 2 2 4 2 2" xfId="17909" xr:uid="{00000000-0005-0000-0000-000023670000}"/>
    <cellStyle name="Total 2 2 2 2 4 2 3" xfId="22257" xr:uid="{00000000-0005-0000-0000-000024670000}"/>
    <cellStyle name="Total 2 2 2 2 4 2 4" xfId="6268" xr:uid="{00000000-0005-0000-0000-000025670000}"/>
    <cellStyle name="Total 2 2 2 2 4 3" xfId="26828" xr:uid="{00000000-0005-0000-0000-000026670000}"/>
    <cellStyle name="Total 2 2 2 2 4 4" xfId="26830" xr:uid="{00000000-0005-0000-0000-000027670000}"/>
    <cellStyle name="Total 2 2 2 2 4 5" xfId="29033" xr:uid="{00000000-0005-0000-0000-000028670000}"/>
    <cellStyle name="Total 2 2 2 2 5" xfId="29034" xr:uid="{00000000-0005-0000-0000-000029670000}"/>
    <cellStyle name="Total 2 2 2 2 5 2" xfId="26834" xr:uid="{00000000-0005-0000-0000-00002A670000}"/>
    <cellStyle name="Total 2 2 2 2 5 3" xfId="26836" xr:uid="{00000000-0005-0000-0000-00002B670000}"/>
    <cellStyle name="Total 2 2 2 2 5 4" xfId="29035" xr:uid="{00000000-0005-0000-0000-00002C670000}"/>
    <cellStyle name="Total 2 2 2 2 6" xfId="29036" xr:uid="{00000000-0005-0000-0000-00002D670000}"/>
    <cellStyle name="Total 2 2 2 2 7" xfId="29037" xr:uid="{00000000-0005-0000-0000-00002E670000}"/>
    <cellStyle name="Total 2 2 2 2 8" xfId="22964" xr:uid="{00000000-0005-0000-0000-00002F670000}"/>
    <cellStyle name="Total 2 2 2 3" xfId="18405" xr:uid="{00000000-0005-0000-0000-000030670000}"/>
    <cellStyle name="Total 2 2 2 3 2" xfId="17583" xr:uid="{00000000-0005-0000-0000-000031670000}"/>
    <cellStyle name="Total 2 2 2 3 2 2" xfId="18410" xr:uid="{00000000-0005-0000-0000-000032670000}"/>
    <cellStyle name="Total 2 2 2 3 2 2 2" xfId="19682" xr:uid="{00000000-0005-0000-0000-000033670000}"/>
    <cellStyle name="Total 2 2 2 3 2 2 2 2" xfId="29039" xr:uid="{00000000-0005-0000-0000-000034670000}"/>
    <cellStyle name="Total 2 2 2 3 2 2 2 3" xfId="29041" xr:uid="{00000000-0005-0000-0000-000035670000}"/>
    <cellStyle name="Total 2 2 2 3 2 2 2 4" xfId="29043" xr:uid="{00000000-0005-0000-0000-000036670000}"/>
    <cellStyle name="Total 2 2 2 3 2 2 3" xfId="26848" xr:uid="{00000000-0005-0000-0000-000037670000}"/>
    <cellStyle name="Total 2 2 2 3 2 2 4" xfId="12409" xr:uid="{00000000-0005-0000-0000-000038670000}"/>
    <cellStyle name="Total 2 2 2 3 2 2 5" xfId="12425" xr:uid="{00000000-0005-0000-0000-000039670000}"/>
    <cellStyle name="Total 2 2 2 3 2 3" xfId="18415" xr:uid="{00000000-0005-0000-0000-00003A670000}"/>
    <cellStyle name="Total 2 2 2 3 2 3 2" xfId="29044" xr:uid="{00000000-0005-0000-0000-00003B670000}"/>
    <cellStyle name="Total 2 2 2 3 2 3 3" xfId="29045" xr:uid="{00000000-0005-0000-0000-00003C670000}"/>
    <cellStyle name="Total 2 2 2 3 2 3 4" xfId="8612" xr:uid="{00000000-0005-0000-0000-00003D670000}"/>
    <cellStyle name="Total 2 2 2 3 2 4" xfId="18421" xr:uid="{00000000-0005-0000-0000-00003E670000}"/>
    <cellStyle name="Total 2 2 2 3 2 5" xfId="26850" xr:uid="{00000000-0005-0000-0000-00003F670000}"/>
    <cellStyle name="Total 2 2 2 3 2 6" xfId="15913" xr:uid="{00000000-0005-0000-0000-000040670000}"/>
    <cellStyle name="Total 2 2 2 3 3" xfId="18425" xr:uid="{00000000-0005-0000-0000-000041670000}"/>
    <cellStyle name="Total 2 2 2 3 3 2" xfId="26700" xr:uid="{00000000-0005-0000-0000-000042670000}"/>
    <cellStyle name="Total 2 2 2 3 3 2 2" xfId="29046" xr:uid="{00000000-0005-0000-0000-000043670000}"/>
    <cellStyle name="Total 2 2 2 3 3 2 3" xfId="29047" xr:uid="{00000000-0005-0000-0000-000044670000}"/>
    <cellStyle name="Total 2 2 2 3 3 2 4" xfId="10411" xr:uid="{00000000-0005-0000-0000-000045670000}"/>
    <cellStyle name="Total 2 2 2 3 3 3" xfId="26855" xr:uid="{00000000-0005-0000-0000-000046670000}"/>
    <cellStyle name="Total 2 2 2 3 3 4" xfId="26857" xr:uid="{00000000-0005-0000-0000-000047670000}"/>
    <cellStyle name="Total 2 2 2 3 3 5" xfId="29048" xr:uid="{00000000-0005-0000-0000-000048670000}"/>
    <cellStyle name="Total 2 2 2 3 4" xfId="18429" xr:uid="{00000000-0005-0000-0000-000049670000}"/>
    <cellStyle name="Total 2 2 2 3 4 2" xfId="19406" xr:uid="{00000000-0005-0000-0000-00004A670000}"/>
    <cellStyle name="Total 2 2 2 3 4 3" xfId="19409" xr:uid="{00000000-0005-0000-0000-00004B670000}"/>
    <cellStyle name="Total 2 2 2 3 4 4" xfId="19412" xr:uid="{00000000-0005-0000-0000-00004C670000}"/>
    <cellStyle name="Total 2 2 2 3 5" xfId="18434" xr:uid="{00000000-0005-0000-0000-00004D670000}"/>
    <cellStyle name="Total 2 2 2 3 6" xfId="19416" xr:uid="{00000000-0005-0000-0000-00004E670000}"/>
    <cellStyle name="Total 2 2 2 3 7" xfId="19419" xr:uid="{00000000-0005-0000-0000-00004F670000}"/>
    <cellStyle name="Total 2 2 2 4" xfId="18437" xr:uid="{00000000-0005-0000-0000-000050670000}"/>
    <cellStyle name="Total 2 2 2 4 2" xfId="18442" xr:uid="{00000000-0005-0000-0000-000051670000}"/>
    <cellStyle name="Total 2 2 2 4 2 2" xfId="26709" xr:uid="{00000000-0005-0000-0000-000052670000}"/>
    <cellStyle name="Total 2 2 2 4 2 2 2" xfId="27424" xr:uid="{00000000-0005-0000-0000-000053670000}"/>
    <cellStyle name="Total 2 2 2 4 2 2 3" xfId="27426" xr:uid="{00000000-0005-0000-0000-000054670000}"/>
    <cellStyle name="Total 2 2 2 4 2 2 4" xfId="16447" xr:uid="{00000000-0005-0000-0000-000055670000}"/>
    <cellStyle name="Total 2 2 2 4 2 3" xfId="26872" xr:uid="{00000000-0005-0000-0000-000056670000}"/>
    <cellStyle name="Total 2 2 2 4 2 4" xfId="26874" xr:uid="{00000000-0005-0000-0000-000057670000}"/>
    <cellStyle name="Total 2 2 2 4 2 5" xfId="29049" xr:uid="{00000000-0005-0000-0000-000058670000}"/>
    <cellStyle name="Total 2 2 2 4 3" xfId="2307" xr:uid="{00000000-0005-0000-0000-000059670000}"/>
    <cellStyle name="Total 2 2 2 4 3 2" xfId="26878" xr:uid="{00000000-0005-0000-0000-00005A670000}"/>
    <cellStyle name="Total 2 2 2 4 3 3" xfId="26880" xr:uid="{00000000-0005-0000-0000-00005B670000}"/>
    <cellStyle name="Total 2 2 2 4 3 4" xfId="29050" xr:uid="{00000000-0005-0000-0000-00005C670000}"/>
    <cellStyle name="Total 2 2 2 4 4" xfId="2320" xr:uid="{00000000-0005-0000-0000-00005D670000}"/>
    <cellStyle name="Total 2 2 2 4 5" xfId="19422" xr:uid="{00000000-0005-0000-0000-00005E670000}"/>
    <cellStyle name="Total 2 2 2 4 6" xfId="19424" xr:uid="{00000000-0005-0000-0000-00005F670000}"/>
    <cellStyle name="Total 2 2 2 5" xfId="18447" xr:uid="{00000000-0005-0000-0000-000060670000}"/>
    <cellStyle name="Total 2 2 2 5 2" xfId="29051" xr:uid="{00000000-0005-0000-0000-000061670000}"/>
    <cellStyle name="Total 2 2 2 5 2 2" xfId="26888" xr:uid="{00000000-0005-0000-0000-000062670000}"/>
    <cellStyle name="Total 2 2 2 5 2 3" xfId="26890" xr:uid="{00000000-0005-0000-0000-000063670000}"/>
    <cellStyle name="Total 2 2 2 5 2 4" xfId="29052" xr:uid="{00000000-0005-0000-0000-000064670000}"/>
    <cellStyle name="Total 2 2 2 5 3" xfId="2324" xr:uid="{00000000-0005-0000-0000-000065670000}"/>
    <cellStyle name="Total 2 2 2 5 4" xfId="2333" xr:uid="{00000000-0005-0000-0000-000066670000}"/>
    <cellStyle name="Total 2 2 2 5 5" xfId="25768" xr:uid="{00000000-0005-0000-0000-000067670000}"/>
    <cellStyle name="Total 2 2 2 6" xfId="18452" xr:uid="{00000000-0005-0000-0000-000068670000}"/>
    <cellStyle name="Total 2 2 2 6 2" xfId="29053" xr:uid="{00000000-0005-0000-0000-000069670000}"/>
    <cellStyle name="Total 2 2 2 6 3" xfId="2235" xr:uid="{00000000-0005-0000-0000-00006A670000}"/>
    <cellStyle name="Total 2 2 2 6 4" xfId="350" xr:uid="{00000000-0005-0000-0000-00006B670000}"/>
    <cellStyle name="Total 2 2 2 7" xfId="18457" xr:uid="{00000000-0005-0000-0000-00006C670000}"/>
    <cellStyle name="Total 2 2 2 8" xfId="29054" xr:uid="{00000000-0005-0000-0000-00006D670000}"/>
    <cellStyle name="Total 2 2 2 9" xfId="29055" xr:uid="{00000000-0005-0000-0000-00006E670000}"/>
    <cellStyle name="Total 2 2 3" xfId="20644" xr:uid="{00000000-0005-0000-0000-00006F670000}"/>
    <cellStyle name="Total 2 2 3 2" xfId="29056" xr:uid="{00000000-0005-0000-0000-000070670000}"/>
    <cellStyle name="Total 2 2 3 2 2" xfId="1263" xr:uid="{00000000-0005-0000-0000-000071670000}"/>
    <cellStyle name="Total 2 2 3 2 2 2" xfId="1272" xr:uid="{00000000-0005-0000-0000-000072670000}"/>
    <cellStyle name="Total 2 2 3 2 2 2 2" xfId="16327" xr:uid="{00000000-0005-0000-0000-000073670000}"/>
    <cellStyle name="Total 2 2 3 2 2 2 2 2" xfId="27511" xr:uid="{00000000-0005-0000-0000-000074670000}"/>
    <cellStyle name="Total 2 2 3 2 2 2 2 2 2" xfId="27514" xr:uid="{00000000-0005-0000-0000-000075670000}"/>
    <cellStyle name="Total 2 2 3 2 2 2 2 2 3" xfId="27519" xr:uid="{00000000-0005-0000-0000-000076670000}"/>
    <cellStyle name="Total 2 2 3 2 2 2 2 2 4" xfId="27522" xr:uid="{00000000-0005-0000-0000-000077670000}"/>
    <cellStyle name="Total 2 2 3 2 2 2 2 3" xfId="27531" xr:uid="{00000000-0005-0000-0000-000078670000}"/>
    <cellStyle name="Total 2 2 3 2 2 2 2 4" xfId="27544" xr:uid="{00000000-0005-0000-0000-000079670000}"/>
    <cellStyle name="Total 2 2 3 2 2 2 2 5" xfId="27553" xr:uid="{00000000-0005-0000-0000-00007A670000}"/>
    <cellStyle name="Total 2 2 3 2 2 2 3" xfId="28598" xr:uid="{00000000-0005-0000-0000-00007B670000}"/>
    <cellStyle name="Total 2 2 3 2 2 2 3 2" xfId="27627" xr:uid="{00000000-0005-0000-0000-00007C670000}"/>
    <cellStyle name="Total 2 2 3 2 2 2 3 3" xfId="27636" xr:uid="{00000000-0005-0000-0000-00007D670000}"/>
    <cellStyle name="Total 2 2 3 2 2 2 3 4" xfId="27641" xr:uid="{00000000-0005-0000-0000-00007E670000}"/>
    <cellStyle name="Total 2 2 3 2 2 2 4" xfId="7156" xr:uid="{00000000-0005-0000-0000-00007F670000}"/>
    <cellStyle name="Total 2 2 3 2 2 2 5" xfId="7161" xr:uid="{00000000-0005-0000-0000-000080670000}"/>
    <cellStyle name="Total 2 2 3 2 2 2 6" xfId="2923" xr:uid="{00000000-0005-0000-0000-000081670000}"/>
    <cellStyle name="Total 2 2 3 2 2 3" xfId="27057" xr:uid="{00000000-0005-0000-0000-000082670000}"/>
    <cellStyle name="Total 2 2 3 2 2 3 2" xfId="28602" xr:uid="{00000000-0005-0000-0000-000083670000}"/>
    <cellStyle name="Total 2 2 3 2 2 3 2 2" xfId="1794" xr:uid="{00000000-0005-0000-0000-000084670000}"/>
    <cellStyle name="Total 2 2 3 2 2 3 2 3" xfId="28029" xr:uid="{00000000-0005-0000-0000-000085670000}"/>
    <cellStyle name="Total 2 2 3 2 2 3 2 4" xfId="28041" xr:uid="{00000000-0005-0000-0000-000086670000}"/>
    <cellStyle name="Total 2 2 3 2 2 3 3" xfId="28604" xr:uid="{00000000-0005-0000-0000-000087670000}"/>
    <cellStyle name="Total 2 2 3 2 2 3 4" xfId="28606" xr:uid="{00000000-0005-0000-0000-000088670000}"/>
    <cellStyle name="Total 2 2 3 2 2 3 5" xfId="29057" xr:uid="{00000000-0005-0000-0000-000089670000}"/>
    <cellStyle name="Total 2 2 3 2 2 4" xfId="27060" xr:uid="{00000000-0005-0000-0000-00008A670000}"/>
    <cellStyle name="Total 2 2 3 2 2 4 2" xfId="28610" xr:uid="{00000000-0005-0000-0000-00008B670000}"/>
    <cellStyle name="Total 2 2 3 2 2 4 3" xfId="28612" xr:uid="{00000000-0005-0000-0000-00008C670000}"/>
    <cellStyle name="Total 2 2 3 2 2 4 4" xfId="29058" xr:uid="{00000000-0005-0000-0000-00008D670000}"/>
    <cellStyle name="Total 2 2 3 2 2 5" xfId="29059" xr:uid="{00000000-0005-0000-0000-00008E670000}"/>
    <cellStyle name="Total 2 2 3 2 2 6" xfId="16048" xr:uid="{00000000-0005-0000-0000-00008F670000}"/>
    <cellStyle name="Total 2 2 3 2 2 7" xfId="16053" xr:uid="{00000000-0005-0000-0000-000090670000}"/>
    <cellStyle name="Total 2 2 3 2 3" xfId="1282" xr:uid="{00000000-0005-0000-0000-000091670000}"/>
    <cellStyle name="Total 2 2 3 2 3 2" xfId="27064" xr:uid="{00000000-0005-0000-0000-000092670000}"/>
    <cellStyle name="Total 2 2 3 2 3 2 2" xfId="28646" xr:uid="{00000000-0005-0000-0000-000093670000}"/>
    <cellStyle name="Total 2 2 3 2 3 2 2 2" xfId="29060" xr:uid="{00000000-0005-0000-0000-000094670000}"/>
    <cellStyle name="Total 2 2 3 2 3 2 2 3" xfId="29061" xr:uid="{00000000-0005-0000-0000-000095670000}"/>
    <cellStyle name="Total 2 2 3 2 3 2 2 4" xfId="29062" xr:uid="{00000000-0005-0000-0000-000096670000}"/>
    <cellStyle name="Total 2 2 3 2 3 2 3" xfId="28648" xr:uid="{00000000-0005-0000-0000-000097670000}"/>
    <cellStyle name="Total 2 2 3 2 3 2 4" xfId="28651" xr:uid="{00000000-0005-0000-0000-000098670000}"/>
    <cellStyle name="Total 2 2 3 2 3 2 5" xfId="29064" xr:uid="{00000000-0005-0000-0000-000099670000}"/>
    <cellStyle name="Total 2 2 3 2 3 3" xfId="27067" xr:uid="{00000000-0005-0000-0000-00009A670000}"/>
    <cellStyle name="Total 2 2 3 2 3 3 2" xfId="27310" xr:uid="{00000000-0005-0000-0000-00009B670000}"/>
    <cellStyle name="Total 2 2 3 2 3 3 3" xfId="27313" xr:uid="{00000000-0005-0000-0000-00009C670000}"/>
    <cellStyle name="Total 2 2 3 2 3 3 4" xfId="29065" xr:uid="{00000000-0005-0000-0000-00009D670000}"/>
    <cellStyle name="Total 2 2 3 2 3 4" xfId="29066" xr:uid="{00000000-0005-0000-0000-00009E670000}"/>
    <cellStyle name="Total 2 2 3 2 3 5" xfId="29067" xr:uid="{00000000-0005-0000-0000-00009F670000}"/>
    <cellStyle name="Total 2 2 3 2 3 6" xfId="5143" xr:uid="{00000000-0005-0000-0000-0000A0670000}"/>
    <cellStyle name="Total 2 2 3 2 4" xfId="1296" xr:uid="{00000000-0005-0000-0000-0000A1670000}"/>
    <cellStyle name="Total 2 2 3 2 4 2" xfId="27230" xr:uid="{00000000-0005-0000-0000-0000A2670000}"/>
    <cellStyle name="Total 2 2 3 2 4 2 2" xfId="28679" xr:uid="{00000000-0005-0000-0000-0000A3670000}"/>
    <cellStyle name="Total 2 2 3 2 4 2 3" xfId="28681" xr:uid="{00000000-0005-0000-0000-0000A4670000}"/>
    <cellStyle name="Total 2 2 3 2 4 2 4" xfId="29068" xr:uid="{00000000-0005-0000-0000-0000A5670000}"/>
    <cellStyle name="Total 2 2 3 2 4 3" xfId="29069" xr:uid="{00000000-0005-0000-0000-0000A6670000}"/>
    <cellStyle name="Total 2 2 3 2 4 4" xfId="29070" xr:uid="{00000000-0005-0000-0000-0000A7670000}"/>
    <cellStyle name="Total 2 2 3 2 4 5" xfId="29071" xr:uid="{00000000-0005-0000-0000-0000A8670000}"/>
    <cellStyle name="Total 2 2 3 2 5" xfId="29072" xr:uid="{00000000-0005-0000-0000-0000A9670000}"/>
    <cellStyle name="Total 2 2 3 2 5 2" xfId="29073" xr:uid="{00000000-0005-0000-0000-0000AA670000}"/>
    <cellStyle name="Total 2 2 3 2 5 3" xfId="27659" xr:uid="{00000000-0005-0000-0000-0000AB670000}"/>
    <cellStyle name="Total 2 2 3 2 5 4" xfId="27661" xr:uid="{00000000-0005-0000-0000-0000AC670000}"/>
    <cellStyle name="Total 2 2 3 2 6" xfId="29074" xr:uid="{00000000-0005-0000-0000-0000AD670000}"/>
    <cellStyle name="Total 2 2 3 2 7" xfId="29075" xr:uid="{00000000-0005-0000-0000-0000AE670000}"/>
    <cellStyle name="Total 2 2 3 2 8" xfId="23057" xr:uid="{00000000-0005-0000-0000-0000AF670000}"/>
    <cellStyle name="Total 2 2 3 3" xfId="18461" xr:uid="{00000000-0005-0000-0000-0000B0670000}"/>
    <cellStyle name="Total 2 2 3 3 2" xfId="18464" xr:uid="{00000000-0005-0000-0000-0000B1670000}"/>
    <cellStyle name="Total 2 2 3 3 2 2" xfId="27079" xr:uid="{00000000-0005-0000-0000-0000B2670000}"/>
    <cellStyle name="Total 2 2 3 3 2 2 2" xfId="28885" xr:uid="{00000000-0005-0000-0000-0000B3670000}"/>
    <cellStyle name="Total 2 2 3 3 2 2 2 2" xfId="29076" xr:uid="{00000000-0005-0000-0000-0000B4670000}"/>
    <cellStyle name="Total 2 2 3 3 2 2 2 3" xfId="29077" xr:uid="{00000000-0005-0000-0000-0000B5670000}"/>
    <cellStyle name="Total 2 2 3 3 2 2 2 4" xfId="29078" xr:uid="{00000000-0005-0000-0000-0000B6670000}"/>
    <cellStyle name="Total 2 2 3 3 2 2 3" xfId="28887" xr:uid="{00000000-0005-0000-0000-0000B7670000}"/>
    <cellStyle name="Total 2 2 3 3 2 2 4" xfId="1406" xr:uid="{00000000-0005-0000-0000-0000B8670000}"/>
    <cellStyle name="Total 2 2 3 3 2 2 5" xfId="1427" xr:uid="{00000000-0005-0000-0000-0000B9670000}"/>
    <cellStyle name="Total 2 2 3 3 2 3" xfId="27082" xr:uid="{00000000-0005-0000-0000-0000BA670000}"/>
    <cellStyle name="Total 2 2 3 3 2 3 2" xfId="28890" xr:uid="{00000000-0005-0000-0000-0000BB670000}"/>
    <cellStyle name="Total 2 2 3 3 2 3 3" xfId="28892" xr:uid="{00000000-0005-0000-0000-0000BC670000}"/>
    <cellStyle name="Total 2 2 3 3 2 3 4" xfId="1636" xr:uid="{00000000-0005-0000-0000-0000BD670000}"/>
    <cellStyle name="Total 2 2 3 3 2 4" xfId="29079" xr:uid="{00000000-0005-0000-0000-0000BE670000}"/>
    <cellStyle name="Total 2 2 3 3 2 5" xfId="29080" xr:uid="{00000000-0005-0000-0000-0000BF670000}"/>
    <cellStyle name="Total 2 2 3 3 2 6" xfId="16085" xr:uid="{00000000-0005-0000-0000-0000C0670000}"/>
    <cellStyle name="Total 2 2 3 3 3" xfId="18467" xr:uid="{00000000-0005-0000-0000-0000C1670000}"/>
    <cellStyle name="Total 2 2 3 3 3 2" xfId="27239" xr:uid="{00000000-0005-0000-0000-0000C2670000}"/>
    <cellStyle name="Total 2 2 3 3 3 2 2" xfId="28913" xr:uid="{00000000-0005-0000-0000-0000C3670000}"/>
    <cellStyle name="Total 2 2 3 3 3 2 3" xfId="28915" xr:uid="{00000000-0005-0000-0000-0000C4670000}"/>
    <cellStyle name="Total 2 2 3 3 3 2 4" xfId="7017" xr:uid="{00000000-0005-0000-0000-0000C5670000}"/>
    <cellStyle name="Total 2 2 3 3 3 3" xfId="29081" xr:uid="{00000000-0005-0000-0000-0000C6670000}"/>
    <cellStyle name="Total 2 2 3 3 3 4" xfId="29082" xr:uid="{00000000-0005-0000-0000-0000C7670000}"/>
    <cellStyle name="Total 2 2 3 3 3 5" xfId="29083" xr:uid="{00000000-0005-0000-0000-0000C8670000}"/>
    <cellStyle name="Total 2 2 3 3 4" xfId="18470" xr:uid="{00000000-0005-0000-0000-0000C9670000}"/>
    <cellStyle name="Total 2 2 3 3 4 2" xfId="29084" xr:uid="{00000000-0005-0000-0000-0000CA670000}"/>
    <cellStyle name="Total 2 2 3 3 4 3" xfId="29085" xr:uid="{00000000-0005-0000-0000-0000CB670000}"/>
    <cellStyle name="Total 2 2 3 3 4 4" xfId="29086" xr:uid="{00000000-0005-0000-0000-0000CC670000}"/>
    <cellStyle name="Total 2 2 3 3 5" xfId="19441" xr:uid="{00000000-0005-0000-0000-0000CD670000}"/>
    <cellStyle name="Total 2 2 3 3 6" xfId="19443" xr:uid="{00000000-0005-0000-0000-0000CE670000}"/>
    <cellStyle name="Total 2 2 3 3 7" xfId="29087" xr:uid="{00000000-0005-0000-0000-0000CF670000}"/>
    <cellStyle name="Total 2 2 3 4" xfId="18475" xr:uid="{00000000-0005-0000-0000-0000D0670000}"/>
    <cellStyle name="Total 2 2 3 4 2" xfId="29088" xr:uid="{00000000-0005-0000-0000-0000D1670000}"/>
    <cellStyle name="Total 2 2 3 4 2 2" xfId="27248" xr:uid="{00000000-0005-0000-0000-0000D2670000}"/>
    <cellStyle name="Total 2 2 3 4 2 2 2" xfId="27930" xr:uid="{00000000-0005-0000-0000-0000D3670000}"/>
    <cellStyle name="Total 2 2 3 4 2 2 3" xfId="27932" xr:uid="{00000000-0005-0000-0000-0000D4670000}"/>
    <cellStyle name="Total 2 2 3 4 2 2 4" xfId="16737" xr:uid="{00000000-0005-0000-0000-0000D5670000}"/>
    <cellStyle name="Total 2 2 3 4 2 3" xfId="29089" xr:uid="{00000000-0005-0000-0000-0000D6670000}"/>
    <cellStyle name="Total 2 2 3 4 2 4" xfId="14805" xr:uid="{00000000-0005-0000-0000-0000D7670000}"/>
    <cellStyle name="Total 2 2 3 4 2 5" xfId="14808" xr:uid="{00000000-0005-0000-0000-0000D8670000}"/>
    <cellStyle name="Total 2 2 3 4 3" xfId="29090" xr:uid="{00000000-0005-0000-0000-0000D9670000}"/>
    <cellStyle name="Total 2 2 3 4 3 2" xfId="29091" xr:uid="{00000000-0005-0000-0000-0000DA670000}"/>
    <cellStyle name="Total 2 2 3 4 3 3" xfId="29092" xr:uid="{00000000-0005-0000-0000-0000DB670000}"/>
    <cellStyle name="Total 2 2 3 4 3 4" xfId="29093" xr:uid="{00000000-0005-0000-0000-0000DC670000}"/>
    <cellStyle name="Total 2 2 3 4 4" xfId="29094" xr:uid="{00000000-0005-0000-0000-0000DD670000}"/>
    <cellStyle name="Total 2 2 3 4 5" xfId="29095" xr:uid="{00000000-0005-0000-0000-0000DE670000}"/>
    <cellStyle name="Total 2 2 3 4 6" xfId="29096" xr:uid="{00000000-0005-0000-0000-0000DF670000}"/>
    <cellStyle name="Total 2 2 3 5" xfId="18480" xr:uid="{00000000-0005-0000-0000-0000E0670000}"/>
    <cellStyle name="Total 2 2 3 5 2" xfId="22809" xr:uid="{00000000-0005-0000-0000-0000E1670000}"/>
    <cellStyle name="Total 2 2 3 5 2 2" xfId="25101" xr:uid="{00000000-0005-0000-0000-0000E2670000}"/>
    <cellStyle name="Total 2 2 3 5 2 3" xfId="25103" xr:uid="{00000000-0005-0000-0000-0000E3670000}"/>
    <cellStyle name="Total 2 2 3 5 2 4" xfId="29097" xr:uid="{00000000-0005-0000-0000-0000E4670000}"/>
    <cellStyle name="Total 2 2 3 5 3" xfId="29098" xr:uid="{00000000-0005-0000-0000-0000E5670000}"/>
    <cellStyle name="Total 2 2 3 5 4" xfId="25776" xr:uid="{00000000-0005-0000-0000-0000E6670000}"/>
    <cellStyle name="Total 2 2 3 5 5" xfId="25778" xr:uid="{00000000-0005-0000-0000-0000E7670000}"/>
    <cellStyle name="Total 2 2 3 6" xfId="18484" xr:uid="{00000000-0005-0000-0000-0000E8670000}"/>
    <cellStyle name="Total 2 2 3 6 2" xfId="29099" xr:uid="{00000000-0005-0000-0000-0000E9670000}"/>
    <cellStyle name="Total 2 2 3 6 3" xfId="29100" xr:uid="{00000000-0005-0000-0000-0000EA670000}"/>
    <cellStyle name="Total 2 2 3 6 4" xfId="29101" xr:uid="{00000000-0005-0000-0000-0000EB670000}"/>
    <cellStyle name="Total 2 2 3 7" xfId="21720" xr:uid="{00000000-0005-0000-0000-0000EC670000}"/>
    <cellStyle name="Total 2 2 3 8" xfId="21723" xr:uid="{00000000-0005-0000-0000-0000ED670000}"/>
    <cellStyle name="Total 2 2 3 9" xfId="21726" xr:uid="{00000000-0005-0000-0000-0000EE670000}"/>
    <cellStyle name="Total 2 2 4" xfId="8081" xr:uid="{00000000-0005-0000-0000-0000EF670000}"/>
    <cellStyle name="Total 2 2 4 2" xfId="4192" xr:uid="{00000000-0005-0000-0000-0000F0670000}"/>
    <cellStyle name="Total 2 2 4 2 2" xfId="1456" xr:uid="{00000000-0005-0000-0000-0000F1670000}"/>
    <cellStyle name="Total 2 2 4 2 2 2" xfId="1461" xr:uid="{00000000-0005-0000-0000-0000F2670000}"/>
    <cellStyle name="Total 2 2 4 2 2 2 2" xfId="10993" xr:uid="{00000000-0005-0000-0000-0000F3670000}"/>
    <cellStyle name="Total 2 2 4 2 2 2 2 2" xfId="29102" xr:uid="{00000000-0005-0000-0000-0000F4670000}"/>
    <cellStyle name="Total 2 2 4 2 2 2 2 3" xfId="29103" xr:uid="{00000000-0005-0000-0000-0000F5670000}"/>
    <cellStyle name="Total 2 2 4 2 2 2 2 4" xfId="29104" xr:uid="{00000000-0005-0000-0000-0000F6670000}"/>
    <cellStyle name="Total 2 2 4 2 2 2 3" xfId="29105" xr:uid="{00000000-0005-0000-0000-0000F7670000}"/>
    <cellStyle name="Total 2 2 4 2 2 2 4" xfId="4533" xr:uid="{00000000-0005-0000-0000-0000F8670000}"/>
    <cellStyle name="Total 2 2 4 2 2 2 5" xfId="4510" xr:uid="{00000000-0005-0000-0000-0000F9670000}"/>
    <cellStyle name="Total 2 2 4 2 2 3" xfId="27171" xr:uid="{00000000-0005-0000-0000-0000FA670000}"/>
    <cellStyle name="Total 2 2 4 2 2 3 2" xfId="26216" xr:uid="{00000000-0005-0000-0000-0000FB670000}"/>
    <cellStyle name="Total 2 2 4 2 2 3 3" xfId="29106" xr:uid="{00000000-0005-0000-0000-0000FC670000}"/>
    <cellStyle name="Total 2 2 4 2 2 3 4" xfId="29107" xr:uid="{00000000-0005-0000-0000-0000FD670000}"/>
    <cellStyle name="Total 2 2 4 2 2 4" xfId="27174" xr:uid="{00000000-0005-0000-0000-0000FE670000}"/>
    <cellStyle name="Total 2 2 4 2 2 5" xfId="17418" xr:uid="{00000000-0005-0000-0000-0000FF670000}"/>
    <cellStyle name="Total 2 2 4 2 2 6" xfId="16175" xr:uid="{00000000-0005-0000-0000-000000680000}"/>
    <cellStyle name="Total 2 2 4 2 3" xfId="697" xr:uid="{00000000-0005-0000-0000-000001680000}"/>
    <cellStyle name="Total 2 2 4 2 3 2" xfId="27002" xr:uid="{00000000-0005-0000-0000-000002680000}"/>
    <cellStyle name="Total 2 2 4 2 3 2 2" xfId="29108" xr:uid="{00000000-0005-0000-0000-000003680000}"/>
    <cellStyle name="Total 2 2 4 2 3 2 3" xfId="29109" xr:uid="{00000000-0005-0000-0000-000004680000}"/>
    <cellStyle name="Total 2 2 4 2 3 2 4" xfId="29110" xr:uid="{00000000-0005-0000-0000-000005680000}"/>
    <cellStyle name="Total 2 2 4 2 3 3" xfId="27006" xr:uid="{00000000-0005-0000-0000-000006680000}"/>
    <cellStyle name="Total 2 2 4 2 3 4" xfId="29111" xr:uid="{00000000-0005-0000-0000-000007680000}"/>
    <cellStyle name="Total 2 2 4 2 3 5" xfId="17421" xr:uid="{00000000-0005-0000-0000-000008680000}"/>
    <cellStyle name="Total 2 2 4 2 4" xfId="708" xr:uid="{00000000-0005-0000-0000-000009680000}"/>
    <cellStyle name="Total 2 2 4 2 4 2" xfId="27731" xr:uid="{00000000-0005-0000-0000-00000A680000}"/>
    <cellStyle name="Total 2 2 4 2 4 3" xfId="29112" xr:uid="{00000000-0005-0000-0000-00000B680000}"/>
    <cellStyle name="Total 2 2 4 2 4 4" xfId="29113" xr:uid="{00000000-0005-0000-0000-00000C680000}"/>
    <cellStyle name="Total 2 2 4 2 5" xfId="29114" xr:uid="{00000000-0005-0000-0000-00000D680000}"/>
    <cellStyle name="Total 2 2 4 2 6" xfId="29115" xr:uid="{00000000-0005-0000-0000-00000E680000}"/>
    <cellStyle name="Total 2 2 4 2 7" xfId="29116" xr:uid="{00000000-0005-0000-0000-00000F680000}"/>
    <cellStyle name="Total 2 2 4 3" xfId="18492" xr:uid="{00000000-0005-0000-0000-000010680000}"/>
    <cellStyle name="Total 2 2 4 3 2" xfId="29117" xr:uid="{00000000-0005-0000-0000-000011680000}"/>
    <cellStyle name="Total 2 2 4 3 2 2" xfId="27179" xr:uid="{00000000-0005-0000-0000-000012680000}"/>
    <cellStyle name="Total 2 2 4 3 2 2 2" xfId="29118" xr:uid="{00000000-0005-0000-0000-000013680000}"/>
    <cellStyle name="Total 2 2 4 3 2 2 3" xfId="29119" xr:uid="{00000000-0005-0000-0000-000014680000}"/>
    <cellStyle name="Total 2 2 4 3 2 2 4" xfId="17054" xr:uid="{00000000-0005-0000-0000-000015680000}"/>
    <cellStyle name="Total 2 2 4 3 2 3" xfId="27182" xr:uid="{00000000-0005-0000-0000-000016680000}"/>
    <cellStyle name="Total 2 2 4 3 2 4" xfId="29120" xr:uid="{00000000-0005-0000-0000-000017680000}"/>
    <cellStyle name="Total 2 2 4 3 2 5" xfId="29121" xr:uid="{00000000-0005-0000-0000-000018680000}"/>
    <cellStyle name="Total 2 2 4 3 3" xfId="29122" xr:uid="{00000000-0005-0000-0000-000019680000}"/>
    <cellStyle name="Total 2 2 4 3 3 2" xfId="27740" xr:uid="{00000000-0005-0000-0000-00001A680000}"/>
    <cellStyle name="Total 2 2 4 3 3 3" xfId="29123" xr:uid="{00000000-0005-0000-0000-00001B680000}"/>
    <cellStyle name="Total 2 2 4 3 3 4" xfId="29124" xr:uid="{00000000-0005-0000-0000-00001C680000}"/>
    <cellStyle name="Total 2 2 4 3 4" xfId="29125" xr:uid="{00000000-0005-0000-0000-00001D680000}"/>
    <cellStyle name="Total 2 2 4 3 5" xfId="29126" xr:uid="{00000000-0005-0000-0000-00001E680000}"/>
    <cellStyle name="Total 2 2 4 3 6" xfId="25814" xr:uid="{00000000-0005-0000-0000-00001F680000}"/>
    <cellStyle name="Total 2 2 4 4" xfId="18497" xr:uid="{00000000-0005-0000-0000-000020680000}"/>
    <cellStyle name="Total 2 2 4 4 2" xfId="29127" xr:uid="{00000000-0005-0000-0000-000021680000}"/>
    <cellStyle name="Total 2 2 4 4 2 2" xfId="27748" xr:uid="{00000000-0005-0000-0000-000022680000}"/>
    <cellStyle name="Total 2 2 4 4 2 3" xfId="29128" xr:uid="{00000000-0005-0000-0000-000023680000}"/>
    <cellStyle name="Total 2 2 4 4 2 4" xfId="7098" xr:uid="{00000000-0005-0000-0000-000024680000}"/>
    <cellStyle name="Total 2 2 4 4 3" xfId="29129" xr:uid="{00000000-0005-0000-0000-000025680000}"/>
    <cellStyle name="Total 2 2 4 4 4" xfId="29130" xr:uid="{00000000-0005-0000-0000-000026680000}"/>
    <cellStyle name="Total 2 2 4 4 5" xfId="29131" xr:uid="{00000000-0005-0000-0000-000027680000}"/>
    <cellStyle name="Total 2 2 4 5" xfId="10783" xr:uid="{00000000-0005-0000-0000-000028680000}"/>
    <cellStyle name="Total 2 2 4 5 2" xfId="29132" xr:uid="{00000000-0005-0000-0000-000029680000}"/>
    <cellStyle name="Total 2 2 4 5 3" xfId="29133" xr:uid="{00000000-0005-0000-0000-00002A680000}"/>
    <cellStyle name="Total 2 2 4 5 4" xfId="29134" xr:uid="{00000000-0005-0000-0000-00002B680000}"/>
    <cellStyle name="Total 2 2 4 6" xfId="10787" xr:uid="{00000000-0005-0000-0000-00002C680000}"/>
    <cellStyle name="Total 2 2 4 7" xfId="10789" xr:uid="{00000000-0005-0000-0000-00002D680000}"/>
    <cellStyle name="Total 2 2 4 8" xfId="21728" xr:uid="{00000000-0005-0000-0000-00002E680000}"/>
    <cellStyle name="Total 2 2 5" xfId="8088" xr:uid="{00000000-0005-0000-0000-00002F680000}"/>
    <cellStyle name="Total 2 2 5 2" xfId="29135" xr:uid="{00000000-0005-0000-0000-000030680000}"/>
    <cellStyle name="Total 2 2 5 2 2" xfId="29136" xr:uid="{00000000-0005-0000-0000-000031680000}"/>
    <cellStyle name="Total 2 2 5 2 2 2" xfId="27211" xr:uid="{00000000-0005-0000-0000-000032680000}"/>
    <cellStyle name="Total 2 2 5 2 2 2 2" xfId="23377" xr:uid="{00000000-0005-0000-0000-000033680000}"/>
    <cellStyle name="Total 2 2 5 2 2 2 3" xfId="29137" xr:uid="{00000000-0005-0000-0000-000034680000}"/>
    <cellStyle name="Total 2 2 5 2 2 2 4" xfId="29138" xr:uid="{00000000-0005-0000-0000-000035680000}"/>
    <cellStyle name="Total 2 2 5 2 2 3" xfId="27214" xr:uid="{00000000-0005-0000-0000-000036680000}"/>
    <cellStyle name="Total 2 2 5 2 2 4" xfId="28236" xr:uid="{00000000-0005-0000-0000-000037680000}"/>
    <cellStyle name="Total 2 2 5 2 2 5" xfId="29139" xr:uid="{00000000-0005-0000-0000-000038680000}"/>
    <cellStyle name="Total 2 2 5 2 3" xfId="29140" xr:uid="{00000000-0005-0000-0000-000039680000}"/>
    <cellStyle name="Total 2 2 5 2 3 2" xfId="28243" xr:uid="{00000000-0005-0000-0000-00003A680000}"/>
    <cellStyle name="Total 2 2 5 2 3 3" xfId="28245" xr:uid="{00000000-0005-0000-0000-00003B680000}"/>
    <cellStyle name="Total 2 2 5 2 3 4" xfId="29141" xr:uid="{00000000-0005-0000-0000-00003C680000}"/>
    <cellStyle name="Total 2 2 5 2 4" xfId="29142" xr:uid="{00000000-0005-0000-0000-00003D680000}"/>
    <cellStyle name="Total 2 2 5 2 5" xfId="29143" xr:uid="{00000000-0005-0000-0000-00003E680000}"/>
    <cellStyle name="Total 2 2 5 2 6" xfId="29144" xr:uid="{00000000-0005-0000-0000-00003F680000}"/>
    <cellStyle name="Total 2 2 5 3" xfId="29145" xr:uid="{00000000-0005-0000-0000-000040680000}"/>
    <cellStyle name="Total 2 2 5 3 2" xfId="29146" xr:uid="{00000000-0005-0000-0000-000041680000}"/>
    <cellStyle name="Total 2 2 5 3 2 2" xfId="28257" xr:uid="{00000000-0005-0000-0000-000042680000}"/>
    <cellStyle name="Total 2 2 5 3 2 3" xfId="28259" xr:uid="{00000000-0005-0000-0000-000043680000}"/>
    <cellStyle name="Total 2 2 5 3 2 4" xfId="18842" xr:uid="{00000000-0005-0000-0000-000044680000}"/>
    <cellStyle name="Total 2 2 5 3 3" xfId="29147" xr:uid="{00000000-0005-0000-0000-000045680000}"/>
    <cellStyle name="Total 2 2 5 3 4" xfId="29148" xr:uid="{00000000-0005-0000-0000-000046680000}"/>
    <cellStyle name="Total 2 2 5 3 5" xfId="29149" xr:uid="{00000000-0005-0000-0000-000047680000}"/>
    <cellStyle name="Total 2 2 5 4" xfId="23233" xr:uid="{00000000-0005-0000-0000-000048680000}"/>
    <cellStyle name="Total 2 2 5 4 2" xfId="23235" xr:uid="{00000000-0005-0000-0000-000049680000}"/>
    <cellStyle name="Total 2 2 5 4 3" xfId="23237" xr:uid="{00000000-0005-0000-0000-00004A680000}"/>
    <cellStyle name="Total 2 2 5 4 4" xfId="23239" xr:uid="{00000000-0005-0000-0000-00004B680000}"/>
    <cellStyle name="Total 2 2 5 5" xfId="23241" xr:uid="{00000000-0005-0000-0000-00004C680000}"/>
    <cellStyle name="Total 2 2 5 6" xfId="23243" xr:uid="{00000000-0005-0000-0000-00004D680000}"/>
    <cellStyle name="Total 2 2 5 7" xfId="21732" xr:uid="{00000000-0005-0000-0000-00004E680000}"/>
    <cellStyle name="Total 2 2 6" xfId="27323" xr:uid="{00000000-0005-0000-0000-00004F680000}"/>
    <cellStyle name="Total 2 2 6 2" xfId="22663" xr:uid="{00000000-0005-0000-0000-000050680000}"/>
    <cellStyle name="Total 2 2 6 2 2" xfId="22665" xr:uid="{00000000-0005-0000-0000-000051680000}"/>
    <cellStyle name="Total 2 2 6 2 2 2" xfId="28666" xr:uid="{00000000-0005-0000-0000-000052680000}"/>
    <cellStyle name="Total 2 2 6 2 2 3" xfId="28669" xr:uid="{00000000-0005-0000-0000-000053680000}"/>
    <cellStyle name="Total 2 2 6 2 2 4" xfId="11406" xr:uid="{00000000-0005-0000-0000-000054680000}"/>
    <cellStyle name="Total 2 2 6 2 3" xfId="22667" xr:uid="{00000000-0005-0000-0000-000055680000}"/>
    <cellStyle name="Total 2 2 6 2 4" xfId="22669" xr:uid="{00000000-0005-0000-0000-000056680000}"/>
    <cellStyle name="Total 2 2 6 2 5" xfId="29150" xr:uid="{00000000-0005-0000-0000-000057680000}"/>
    <cellStyle name="Total 2 2 6 3" xfId="22671" xr:uid="{00000000-0005-0000-0000-000058680000}"/>
    <cellStyle name="Total 2 2 6 3 2" xfId="385" xr:uid="{00000000-0005-0000-0000-000059680000}"/>
    <cellStyle name="Total 2 2 6 3 3" xfId="29151" xr:uid="{00000000-0005-0000-0000-00005A680000}"/>
    <cellStyle name="Total 2 2 6 3 4" xfId="29152" xr:uid="{00000000-0005-0000-0000-00005B680000}"/>
    <cellStyle name="Total 2 2 6 4" xfId="22673" xr:uid="{00000000-0005-0000-0000-00005C680000}"/>
    <cellStyle name="Total 2 2 6 5" xfId="22676" xr:uid="{00000000-0005-0000-0000-00005D680000}"/>
    <cellStyle name="Total 2 2 6 6" xfId="23246" xr:uid="{00000000-0005-0000-0000-00005E680000}"/>
    <cellStyle name="Total 2 2 7" xfId="29153" xr:uid="{00000000-0005-0000-0000-00005F680000}"/>
    <cellStyle name="Total 2 2 7 2" xfId="22684" xr:uid="{00000000-0005-0000-0000-000060680000}"/>
    <cellStyle name="Total 2 2 7 2 2" xfId="29154" xr:uid="{00000000-0005-0000-0000-000061680000}"/>
    <cellStyle name="Total 2 2 7 2 3" xfId="29155" xr:uid="{00000000-0005-0000-0000-000062680000}"/>
    <cellStyle name="Total 2 2 7 2 4" xfId="29156" xr:uid="{00000000-0005-0000-0000-000063680000}"/>
    <cellStyle name="Total 2 2 7 3" xfId="22686" xr:uid="{00000000-0005-0000-0000-000064680000}"/>
    <cellStyle name="Total 2 2 7 4" xfId="22688" xr:uid="{00000000-0005-0000-0000-000065680000}"/>
    <cellStyle name="Total 2 2 7 5" xfId="29157" xr:uid="{00000000-0005-0000-0000-000066680000}"/>
    <cellStyle name="Total 2 2 8" xfId="29158" xr:uid="{00000000-0005-0000-0000-000067680000}"/>
    <cellStyle name="Total 2 2 8 2" xfId="22691" xr:uid="{00000000-0005-0000-0000-000068680000}"/>
    <cellStyle name="Total 2 2 8 3" xfId="22693" xr:uid="{00000000-0005-0000-0000-000069680000}"/>
    <cellStyle name="Total 2 2 8 4" xfId="29159" xr:uid="{00000000-0005-0000-0000-00006A680000}"/>
    <cellStyle name="Total 2 2 9" xfId="29160" xr:uid="{00000000-0005-0000-0000-00006B680000}"/>
    <cellStyle name="Total 2 3" xfId="18974" xr:uid="{00000000-0005-0000-0000-00006C680000}"/>
    <cellStyle name="Total 2 3 2" xfId="20647" xr:uid="{00000000-0005-0000-0000-00006D680000}"/>
    <cellStyle name="Total 2 3 2 2" xfId="7532" xr:uid="{00000000-0005-0000-0000-00006E680000}"/>
    <cellStyle name="Total 2 3 2 2 2" xfId="1221" xr:uid="{00000000-0005-0000-0000-00006F680000}"/>
    <cellStyle name="Total 2 3 2 2 2 2" xfId="23119" xr:uid="{00000000-0005-0000-0000-000070680000}"/>
    <cellStyle name="Total 2 3 2 2 2 2 2" xfId="3134" xr:uid="{00000000-0005-0000-0000-000071680000}"/>
    <cellStyle name="Total 2 3 2 2 2 2 2 2" xfId="27451" xr:uid="{00000000-0005-0000-0000-000072680000}"/>
    <cellStyle name="Total 2 3 2 2 2 2 2 3" xfId="27453" xr:uid="{00000000-0005-0000-0000-000073680000}"/>
    <cellStyle name="Total 2 3 2 2 2 2 2 4" xfId="27455" xr:uid="{00000000-0005-0000-0000-000074680000}"/>
    <cellStyle name="Total 2 3 2 2 2 2 3" xfId="3143" xr:uid="{00000000-0005-0000-0000-000075680000}"/>
    <cellStyle name="Total 2 3 2 2 2 2 4" xfId="27457" xr:uid="{00000000-0005-0000-0000-000076680000}"/>
    <cellStyle name="Total 2 3 2 2 2 2 5" xfId="27459" xr:uid="{00000000-0005-0000-0000-000077680000}"/>
    <cellStyle name="Total 2 3 2 2 2 3" xfId="27461" xr:uid="{00000000-0005-0000-0000-000078680000}"/>
    <cellStyle name="Total 2 3 2 2 2 3 2" xfId="3001" xr:uid="{00000000-0005-0000-0000-000079680000}"/>
    <cellStyle name="Total 2 3 2 2 2 3 3" xfId="27463" xr:uid="{00000000-0005-0000-0000-00007A680000}"/>
    <cellStyle name="Total 2 3 2 2 2 3 4" xfId="27465" xr:uid="{00000000-0005-0000-0000-00007B680000}"/>
    <cellStyle name="Total 2 3 2 2 2 4" xfId="27467" xr:uid="{00000000-0005-0000-0000-00007C680000}"/>
    <cellStyle name="Total 2 3 2 2 2 5" xfId="27469" xr:uid="{00000000-0005-0000-0000-00007D680000}"/>
    <cellStyle name="Total 2 3 2 2 2 6" xfId="7929" xr:uid="{00000000-0005-0000-0000-00007E680000}"/>
    <cellStyle name="Total 2 3 2 2 3" xfId="8350" xr:uid="{00000000-0005-0000-0000-00007F680000}"/>
    <cellStyle name="Total 2 3 2 2 3 2" xfId="26244" xr:uid="{00000000-0005-0000-0000-000080680000}"/>
    <cellStyle name="Total 2 3 2 2 3 2 2" xfId="3258" xr:uid="{00000000-0005-0000-0000-000081680000}"/>
    <cellStyle name="Total 2 3 2 2 3 2 3" xfId="27480" xr:uid="{00000000-0005-0000-0000-000082680000}"/>
    <cellStyle name="Total 2 3 2 2 3 2 4" xfId="27483" xr:uid="{00000000-0005-0000-0000-000083680000}"/>
    <cellStyle name="Total 2 3 2 2 3 3" xfId="26247" xr:uid="{00000000-0005-0000-0000-000084680000}"/>
    <cellStyle name="Total 2 3 2 2 3 4" xfId="27485" xr:uid="{00000000-0005-0000-0000-000085680000}"/>
    <cellStyle name="Total 2 3 2 2 3 5" xfId="27487" xr:uid="{00000000-0005-0000-0000-000086680000}"/>
    <cellStyle name="Total 2 3 2 2 4" xfId="29161" xr:uid="{00000000-0005-0000-0000-000087680000}"/>
    <cellStyle name="Total 2 3 2 2 4 2" xfId="26255" xr:uid="{00000000-0005-0000-0000-000088680000}"/>
    <cellStyle name="Total 2 3 2 2 4 3" xfId="27497" xr:uid="{00000000-0005-0000-0000-000089680000}"/>
    <cellStyle name="Total 2 3 2 2 4 4" xfId="27499" xr:uid="{00000000-0005-0000-0000-00008A680000}"/>
    <cellStyle name="Total 2 3 2 2 5" xfId="29162" xr:uid="{00000000-0005-0000-0000-00008B680000}"/>
    <cellStyle name="Total 2 3 2 2 6" xfId="29163" xr:uid="{00000000-0005-0000-0000-00008C680000}"/>
    <cellStyle name="Total 2 3 2 2 7" xfId="29164" xr:uid="{00000000-0005-0000-0000-00008D680000}"/>
    <cellStyle name="Total 2 3 2 3" xfId="7539" xr:uid="{00000000-0005-0000-0000-00008E680000}"/>
    <cellStyle name="Total 2 3 2 3 2" xfId="18613" xr:uid="{00000000-0005-0000-0000-00008F680000}"/>
    <cellStyle name="Total 2 3 2 3 2 2" xfId="27517" xr:uid="{00000000-0005-0000-0000-000090680000}"/>
    <cellStyle name="Total 2 3 2 3 2 2 2" xfId="11605" xr:uid="{00000000-0005-0000-0000-000091680000}"/>
    <cellStyle name="Total 2 3 2 3 2 2 3" xfId="26307" xr:uid="{00000000-0005-0000-0000-000092680000}"/>
    <cellStyle name="Total 2 3 2 3 2 2 4" xfId="26321" xr:uid="{00000000-0005-0000-0000-000093680000}"/>
    <cellStyle name="Total 2 3 2 3 2 3" xfId="8474" xr:uid="{00000000-0005-0000-0000-000094680000}"/>
    <cellStyle name="Total 2 3 2 3 2 4" xfId="8485" xr:uid="{00000000-0005-0000-0000-000095680000}"/>
    <cellStyle name="Total 2 3 2 3 2 5" xfId="8498" xr:uid="{00000000-0005-0000-0000-000096680000}"/>
    <cellStyle name="Total 2 3 2 3 3" xfId="18618" xr:uid="{00000000-0005-0000-0000-000097680000}"/>
    <cellStyle name="Total 2 3 2 3 3 2" xfId="26264" xr:uid="{00000000-0005-0000-0000-000098680000}"/>
    <cellStyle name="Total 2 3 2 3 3 3" xfId="8519" xr:uid="{00000000-0005-0000-0000-000099680000}"/>
    <cellStyle name="Total 2 3 2 3 3 4" xfId="8524" xr:uid="{00000000-0005-0000-0000-00009A680000}"/>
    <cellStyle name="Total 2 3 2 3 4" xfId="18623" xr:uid="{00000000-0005-0000-0000-00009B680000}"/>
    <cellStyle name="Total 2 3 2 3 5" xfId="19330" xr:uid="{00000000-0005-0000-0000-00009C680000}"/>
    <cellStyle name="Total 2 3 2 3 6" xfId="19332" xr:uid="{00000000-0005-0000-0000-00009D680000}"/>
    <cellStyle name="Total 2 3 2 4" xfId="18628" xr:uid="{00000000-0005-0000-0000-00009E680000}"/>
    <cellStyle name="Total 2 3 2 4 2" xfId="29165" xr:uid="{00000000-0005-0000-0000-00009F680000}"/>
    <cellStyle name="Total 2 3 2 4 2 2" xfId="27536" xr:uid="{00000000-0005-0000-0000-0000A0680000}"/>
    <cellStyle name="Total 2 3 2 4 2 3" xfId="8609" xr:uid="{00000000-0005-0000-0000-0000A1680000}"/>
    <cellStyle name="Total 2 3 2 4 2 4" xfId="8626" xr:uid="{00000000-0005-0000-0000-0000A2680000}"/>
    <cellStyle name="Total 2 3 2 4 3" xfId="29166" xr:uid="{00000000-0005-0000-0000-0000A3680000}"/>
    <cellStyle name="Total 2 3 2 4 4" xfId="29167" xr:uid="{00000000-0005-0000-0000-0000A4680000}"/>
    <cellStyle name="Total 2 3 2 4 5" xfId="29168" xr:uid="{00000000-0005-0000-0000-0000A5680000}"/>
    <cellStyle name="Total 2 3 2 5" xfId="18632" xr:uid="{00000000-0005-0000-0000-0000A6680000}"/>
    <cellStyle name="Total 2 3 2 5 2" xfId="24503" xr:uid="{00000000-0005-0000-0000-0000A7680000}"/>
    <cellStyle name="Total 2 3 2 5 3" xfId="24505" xr:uid="{00000000-0005-0000-0000-0000A8680000}"/>
    <cellStyle name="Total 2 3 2 5 4" xfId="24507" xr:uid="{00000000-0005-0000-0000-0000A9680000}"/>
    <cellStyle name="Total 2 3 2 6" xfId="18636" xr:uid="{00000000-0005-0000-0000-0000AA680000}"/>
    <cellStyle name="Total 2 3 2 7" xfId="29169" xr:uid="{00000000-0005-0000-0000-0000AB680000}"/>
    <cellStyle name="Total 2 3 2 8" xfId="29170" xr:uid="{00000000-0005-0000-0000-0000AC680000}"/>
    <cellStyle name="Total 2 3 3" xfId="20649" xr:uid="{00000000-0005-0000-0000-0000AD680000}"/>
    <cellStyle name="Total 2 3 3 2" xfId="29171" xr:uid="{00000000-0005-0000-0000-0000AE680000}"/>
    <cellStyle name="Total 2 3 3 2 2" xfId="17490" xr:uid="{00000000-0005-0000-0000-0000AF680000}"/>
    <cellStyle name="Total 2 3 3 2 2 2" xfId="27612" xr:uid="{00000000-0005-0000-0000-0000B0680000}"/>
    <cellStyle name="Total 2 3 3 2 2 2 2" xfId="20269" xr:uid="{00000000-0005-0000-0000-0000B1680000}"/>
    <cellStyle name="Total 2 3 3 2 2 2 3" xfId="29172" xr:uid="{00000000-0005-0000-0000-0000B2680000}"/>
    <cellStyle name="Total 2 3 3 2 2 2 4" xfId="29173" xr:uid="{00000000-0005-0000-0000-0000B3680000}"/>
    <cellStyle name="Total 2 3 3 2 2 3" xfId="27614" xr:uid="{00000000-0005-0000-0000-0000B4680000}"/>
    <cellStyle name="Total 2 3 3 2 2 4" xfId="27616" xr:uid="{00000000-0005-0000-0000-0000B5680000}"/>
    <cellStyle name="Total 2 3 3 2 2 5" xfId="29174" xr:uid="{00000000-0005-0000-0000-0000B6680000}"/>
    <cellStyle name="Total 2 3 3 2 3" xfId="29175" xr:uid="{00000000-0005-0000-0000-0000B7680000}"/>
    <cellStyle name="Total 2 3 3 2 3 2" xfId="26293" xr:uid="{00000000-0005-0000-0000-0000B8680000}"/>
    <cellStyle name="Total 2 3 3 2 3 3" xfId="27619" xr:uid="{00000000-0005-0000-0000-0000B9680000}"/>
    <cellStyle name="Total 2 3 3 2 3 4" xfId="29176" xr:uid="{00000000-0005-0000-0000-0000BA680000}"/>
    <cellStyle name="Total 2 3 3 2 4" xfId="29177" xr:uid="{00000000-0005-0000-0000-0000BB680000}"/>
    <cellStyle name="Total 2 3 3 2 5" xfId="29178" xr:uid="{00000000-0005-0000-0000-0000BC680000}"/>
    <cellStyle name="Total 2 3 3 2 6" xfId="29179" xr:uid="{00000000-0005-0000-0000-0000BD680000}"/>
    <cellStyle name="Total 2 3 3 3" xfId="18639" xr:uid="{00000000-0005-0000-0000-0000BE680000}"/>
    <cellStyle name="Total 2 3 3 3 2" xfId="29180" xr:uid="{00000000-0005-0000-0000-0000BF680000}"/>
    <cellStyle name="Total 2 3 3 3 2 2" xfId="27631" xr:uid="{00000000-0005-0000-0000-0000C0680000}"/>
    <cellStyle name="Total 2 3 3 3 2 3" xfId="5696" xr:uid="{00000000-0005-0000-0000-0000C1680000}"/>
    <cellStyle name="Total 2 3 3 3 2 4" xfId="36" xr:uid="{00000000-0005-0000-0000-0000C2680000}"/>
    <cellStyle name="Total 2 3 3 3 3" xfId="29181" xr:uid="{00000000-0005-0000-0000-0000C3680000}"/>
    <cellStyle name="Total 2 3 3 3 4" xfId="29182" xr:uid="{00000000-0005-0000-0000-0000C4680000}"/>
    <cellStyle name="Total 2 3 3 3 5" xfId="29183" xr:uid="{00000000-0005-0000-0000-0000C5680000}"/>
    <cellStyle name="Total 2 3 3 4" xfId="18642" xr:uid="{00000000-0005-0000-0000-0000C6680000}"/>
    <cellStyle name="Total 2 3 3 4 2" xfId="29184" xr:uid="{00000000-0005-0000-0000-0000C7680000}"/>
    <cellStyle name="Total 2 3 3 4 3" xfId="29185" xr:uid="{00000000-0005-0000-0000-0000C8680000}"/>
    <cellStyle name="Total 2 3 3 4 4" xfId="29186" xr:uid="{00000000-0005-0000-0000-0000C9680000}"/>
    <cellStyle name="Total 2 3 3 5" xfId="18646" xr:uid="{00000000-0005-0000-0000-0000CA680000}"/>
    <cellStyle name="Total 2 3 3 6" xfId="29187" xr:uid="{00000000-0005-0000-0000-0000CB680000}"/>
    <cellStyle name="Total 2 3 3 7" xfId="21740" xr:uid="{00000000-0005-0000-0000-0000CC680000}"/>
    <cellStyle name="Total 2 3 4" xfId="20651" xr:uid="{00000000-0005-0000-0000-0000CD680000}"/>
    <cellStyle name="Total 2 3 4 2" xfId="29188" xr:uid="{00000000-0005-0000-0000-0000CE680000}"/>
    <cellStyle name="Total 2 3 4 2 2" xfId="29189" xr:uid="{00000000-0005-0000-0000-0000CF680000}"/>
    <cellStyle name="Total 2 3 4 2 2 2" xfId="27686" xr:uid="{00000000-0005-0000-0000-0000D0680000}"/>
    <cellStyle name="Total 2 3 4 2 2 3" xfId="27688" xr:uid="{00000000-0005-0000-0000-0000D1680000}"/>
    <cellStyle name="Total 2 3 4 2 2 4" xfId="27690" xr:uid="{00000000-0005-0000-0000-0000D2680000}"/>
    <cellStyle name="Total 2 3 4 2 3" xfId="29190" xr:uid="{00000000-0005-0000-0000-0000D3680000}"/>
    <cellStyle name="Total 2 3 4 2 4" xfId="29191" xr:uid="{00000000-0005-0000-0000-0000D4680000}"/>
    <cellStyle name="Total 2 3 4 2 5" xfId="29192" xr:uid="{00000000-0005-0000-0000-0000D5680000}"/>
    <cellStyle name="Total 2 3 4 3" xfId="29193" xr:uid="{00000000-0005-0000-0000-0000D6680000}"/>
    <cellStyle name="Total 2 3 4 3 2" xfId="29194" xr:uid="{00000000-0005-0000-0000-0000D7680000}"/>
    <cellStyle name="Total 2 3 4 3 3" xfId="29195" xr:uid="{00000000-0005-0000-0000-0000D8680000}"/>
    <cellStyle name="Total 2 3 4 3 4" xfId="20079" xr:uid="{00000000-0005-0000-0000-0000D9680000}"/>
    <cellStyle name="Total 2 3 4 4" xfId="29196" xr:uid="{00000000-0005-0000-0000-0000DA680000}"/>
    <cellStyle name="Total 2 3 4 5" xfId="29197" xr:uid="{00000000-0005-0000-0000-0000DB680000}"/>
    <cellStyle name="Total 2 3 4 6" xfId="29198" xr:uid="{00000000-0005-0000-0000-0000DC680000}"/>
    <cellStyle name="Total 2 3 5" xfId="29199" xr:uid="{00000000-0005-0000-0000-0000DD680000}"/>
    <cellStyle name="Total 2 3 5 2" xfId="29200" xr:uid="{00000000-0005-0000-0000-0000DE680000}"/>
    <cellStyle name="Total 2 3 5 2 2" xfId="29201" xr:uid="{00000000-0005-0000-0000-0000DF680000}"/>
    <cellStyle name="Total 2 3 5 2 3" xfId="29202" xr:uid="{00000000-0005-0000-0000-0000E0680000}"/>
    <cellStyle name="Total 2 3 5 2 4" xfId="29203" xr:uid="{00000000-0005-0000-0000-0000E1680000}"/>
    <cellStyle name="Total 2 3 5 3" xfId="29204" xr:uid="{00000000-0005-0000-0000-0000E2680000}"/>
    <cellStyle name="Total 2 3 5 4" xfId="23256" xr:uid="{00000000-0005-0000-0000-0000E3680000}"/>
    <cellStyle name="Total 2 3 5 5" xfId="23258" xr:uid="{00000000-0005-0000-0000-0000E4680000}"/>
    <cellStyle name="Total 2 3 6" xfId="29205" xr:uid="{00000000-0005-0000-0000-0000E5680000}"/>
    <cellStyle name="Total 2 3 6 2" xfId="22707" xr:uid="{00000000-0005-0000-0000-0000E6680000}"/>
    <cellStyle name="Total 2 3 6 3" xfId="22709" xr:uid="{00000000-0005-0000-0000-0000E7680000}"/>
    <cellStyle name="Total 2 3 6 4" xfId="22711" xr:uid="{00000000-0005-0000-0000-0000E8680000}"/>
    <cellStyle name="Total 2 3 7" xfId="29206" xr:uid="{00000000-0005-0000-0000-0000E9680000}"/>
    <cellStyle name="Total 2 3 8" xfId="29207" xr:uid="{00000000-0005-0000-0000-0000EA680000}"/>
    <cellStyle name="Total 2 3 9" xfId="29208" xr:uid="{00000000-0005-0000-0000-0000EB680000}"/>
    <cellStyle name="Total 2 4" xfId="20655" xr:uid="{00000000-0005-0000-0000-0000EC680000}"/>
    <cellStyle name="Total 2 4 2" xfId="29209" xr:uid="{00000000-0005-0000-0000-0000ED680000}"/>
    <cellStyle name="Total 2 4 2 2" xfId="29210" xr:uid="{00000000-0005-0000-0000-0000EE680000}"/>
    <cellStyle name="Total 2 4 2 2 2" xfId="29212" xr:uid="{00000000-0005-0000-0000-0000EF680000}"/>
    <cellStyle name="Total 2 4 2 2 2 2" xfId="23891" xr:uid="{00000000-0005-0000-0000-0000F0680000}"/>
    <cellStyle name="Total 2 4 2 2 2 2 2" xfId="2734" xr:uid="{00000000-0005-0000-0000-0000F1680000}"/>
    <cellStyle name="Total 2 4 2 2 2 2 2 2" xfId="27958" xr:uid="{00000000-0005-0000-0000-0000F2680000}"/>
    <cellStyle name="Total 2 4 2 2 2 2 2 3" xfId="27960" xr:uid="{00000000-0005-0000-0000-0000F3680000}"/>
    <cellStyle name="Total 2 4 2 2 2 2 2 4" xfId="27962" xr:uid="{00000000-0005-0000-0000-0000F4680000}"/>
    <cellStyle name="Total 2 4 2 2 2 2 3" xfId="5934" xr:uid="{00000000-0005-0000-0000-0000F5680000}"/>
    <cellStyle name="Total 2 4 2 2 2 2 4" xfId="27964" xr:uid="{00000000-0005-0000-0000-0000F6680000}"/>
    <cellStyle name="Total 2 4 2 2 2 2 5" xfId="27966" xr:uid="{00000000-0005-0000-0000-0000F7680000}"/>
    <cellStyle name="Total 2 4 2 2 2 3" xfId="27968" xr:uid="{00000000-0005-0000-0000-0000F8680000}"/>
    <cellStyle name="Total 2 4 2 2 2 3 2" xfId="1067" xr:uid="{00000000-0005-0000-0000-0000F9680000}"/>
    <cellStyle name="Total 2 4 2 2 2 3 3" xfId="1079" xr:uid="{00000000-0005-0000-0000-0000FA680000}"/>
    <cellStyle name="Total 2 4 2 2 2 3 4" xfId="27971" xr:uid="{00000000-0005-0000-0000-0000FB680000}"/>
    <cellStyle name="Total 2 4 2 2 2 4" xfId="27973" xr:uid="{00000000-0005-0000-0000-0000FC680000}"/>
    <cellStyle name="Total 2 4 2 2 2 5" xfId="27976" xr:uid="{00000000-0005-0000-0000-0000FD680000}"/>
    <cellStyle name="Total 2 4 2 2 2 6" xfId="16751" xr:uid="{00000000-0005-0000-0000-0000FE680000}"/>
    <cellStyle name="Total 2 4 2 2 3" xfId="29214" xr:uid="{00000000-0005-0000-0000-0000FF680000}"/>
    <cellStyle name="Total 2 4 2 2 3 2" xfId="27984" xr:uid="{00000000-0005-0000-0000-000000690000}"/>
    <cellStyle name="Total 2 4 2 2 3 2 2" xfId="6090" xr:uid="{00000000-0005-0000-0000-000001690000}"/>
    <cellStyle name="Total 2 4 2 2 3 2 3" xfId="6108" xr:uid="{00000000-0005-0000-0000-000002690000}"/>
    <cellStyle name="Total 2 4 2 2 3 2 4" xfId="27987" xr:uid="{00000000-0005-0000-0000-000003690000}"/>
    <cellStyle name="Total 2 4 2 2 3 3" xfId="27989" xr:uid="{00000000-0005-0000-0000-000004690000}"/>
    <cellStyle name="Total 2 4 2 2 3 4" xfId="27991" xr:uid="{00000000-0005-0000-0000-000005690000}"/>
    <cellStyle name="Total 2 4 2 2 3 5" xfId="27993" xr:uid="{00000000-0005-0000-0000-000006690000}"/>
    <cellStyle name="Total 2 4 2 2 4" xfId="29215" xr:uid="{00000000-0005-0000-0000-000007690000}"/>
    <cellStyle name="Total 2 4 2 2 4 2" xfId="27998" xr:uid="{00000000-0005-0000-0000-000008690000}"/>
    <cellStyle name="Total 2 4 2 2 4 3" xfId="28000" xr:uid="{00000000-0005-0000-0000-000009690000}"/>
    <cellStyle name="Total 2 4 2 2 4 4" xfId="28002" xr:uid="{00000000-0005-0000-0000-00000A690000}"/>
    <cellStyle name="Total 2 4 2 2 5" xfId="27349" xr:uid="{00000000-0005-0000-0000-00000B690000}"/>
    <cellStyle name="Total 2 4 2 2 6" xfId="27351" xr:uid="{00000000-0005-0000-0000-00000C690000}"/>
    <cellStyle name="Total 2 4 2 2 7" xfId="27353" xr:uid="{00000000-0005-0000-0000-00000D690000}"/>
    <cellStyle name="Total 2 4 2 3" xfId="18689" xr:uid="{00000000-0005-0000-0000-00000E690000}"/>
    <cellStyle name="Total 2 4 2 3 2" xfId="19111" xr:uid="{00000000-0005-0000-0000-00000F690000}"/>
    <cellStyle name="Total 2 4 2 3 2 2" xfId="19114" xr:uid="{00000000-0005-0000-0000-000010690000}"/>
    <cellStyle name="Total 2 4 2 3 2 2 2" xfId="3151" xr:uid="{00000000-0005-0000-0000-000011690000}"/>
    <cellStyle name="Total 2 4 2 3 2 2 3" xfId="6321" xr:uid="{00000000-0005-0000-0000-000012690000}"/>
    <cellStyle name="Total 2 4 2 3 2 2 4" xfId="28018" xr:uid="{00000000-0005-0000-0000-000013690000}"/>
    <cellStyle name="Total 2 4 2 3 2 3" xfId="9023" xr:uid="{00000000-0005-0000-0000-000014690000}"/>
    <cellStyle name="Total 2 4 2 3 2 4" xfId="9029" xr:uid="{00000000-0005-0000-0000-000015690000}"/>
    <cellStyle name="Total 2 4 2 3 2 5" xfId="9037" xr:uid="{00000000-0005-0000-0000-000016690000}"/>
    <cellStyle name="Total 2 4 2 3 3" xfId="19118" xr:uid="{00000000-0005-0000-0000-000017690000}"/>
    <cellStyle name="Total 2 4 2 3 3 2" xfId="28021" xr:uid="{00000000-0005-0000-0000-000018690000}"/>
    <cellStyle name="Total 2 4 2 3 3 3" xfId="9048" xr:uid="{00000000-0005-0000-0000-000019690000}"/>
    <cellStyle name="Total 2 4 2 3 3 4" xfId="9051" xr:uid="{00000000-0005-0000-0000-00001A690000}"/>
    <cellStyle name="Total 2 4 2 3 4" xfId="19122" xr:uid="{00000000-0005-0000-0000-00001B690000}"/>
    <cellStyle name="Total 2 4 2 3 5" xfId="6966" xr:uid="{00000000-0005-0000-0000-00001C690000}"/>
    <cellStyle name="Total 2 4 2 3 6" xfId="29216" xr:uid="{00000000-0005-0000-0000-00001D690000}"/>
    <cellStyle name="Total 2 4 2 4" xfId="18693" xr:uid="{00000000-0005-0000-0000-00001E690000}"/>
    <cellStyle name="Total 2 4 2 4 2" xfId="19125" xr:uid="{00000000-0005-0000-0000-00001F690000}"/>
    <cellStyle name="Total 2 4 2 4 2 2" xfId="28033" xr:uid="{00000000-0005-0000-0000-000020690000}"/>
    <cellStyle name="Total 2 4 2 4 2 3" xfId="9073" xr:uid="{00000000-0005-0000-0000-000021690000}"/>
    <cellStyle name="Total 2 4 2 4 2 4" xfId="9076" xr:uid="{00000000-0005-0000-0000-000022690000}"/>
    <cellStyle name="Total 2 4 2 4 3" xfId="19128" xr:uid="{00000000-0005-0000-0000-000023690000}"/>
    <cellStyle name="Total 2 4 2 4 4" xfId="19131" xr:uid="{00000000-0005-0000-0000-000024690000}"/>
    <cellStyle name="Total 2 4 2 4 5" xfId="29217" xr:uid="{00000000-0005-0000-0000-000025690000}"/>
    <cellStyle name="Total 2 4 2 5" xfId="18699" xr:uid="{00000000-0005-0000-0000-000026690000}"/>
    <cellStyle name="Total 2 4 2 5 2" xfId="24557" xr:uid="{00000000-0005-0000-0000-000027690000}"/>
    <cellStyle name="Total 2 4 2 5 3" xfId="24559" xr:uid="{00000000-0005-0000-0000-000028690000}"/>
    <cellStyle name="Total 2 4 2 5 4" xfId="29218" xr:uid="{00000000-0005-0000-0000-000029690000}"/>
    <cellStyle name="Total 2 4 2 6" xfId="19136" xr:uid="{00000000-0005-0000-0000-00002A690000}"/>
    <cellStyle name="Total 2 4 2 7" xfId="19141" xr:uid="{00000000-0005-0000-0000-00002B690000}"/>
    <cellStyle name="Total 2 4 2 8" xfId="29219" xr:uid="{00000000-0005-0000-0000-00002C690000}"/>
    <cellStyle name="Total 2 4 3" xfId="29220" xr:uid="{00000000-0005-0000-0000-00002D690000}"/>
    <cellStyle name="Total 2 4 3 2" xfId="29221" xr:uid="{00000000-0005-0000-0000-00002E690000}"/>
    <cellStyle name="Total 2 4 3 2 2" xfId="29222" xr:uid="{00000000-0005-0000-0000-00002F690000}"/>
    <cellStyle name="Total 2 4 3 2 2 2" xfId="28115" xr:uid="{00000000-0005-0000-0000-000030690000}"/>
    <cellStyle name="Total 2 4 3 2 2 2 2" xfId="20769" xr:uid="{00000000-0005-0000-0000-000031690000}"/>
    <cellStyle name="Total 2 4 3 2 2 2 3" xfId="29223" xr:uid="{00000000-0005-0000-0000-000032690000}"/>
    <cellStyle name="Total 2 4 3 2 2 2 4" xfId="29224" xr:uid="{00000000-0005-0000-0000-000033690000}"/>
    <cellStyle name="Total 2 4 3 2 2 3" xfId="28117" xr:uid="{00000000-0005-0000-0000-000034690000}"/>
    <cellStyle name="Total 2 4 3 2 2 4" xfId="28119" xr:uid="{00000000-0005-0000-0000-000035690000}"/>
    <cellStyle name="Total 2 4 3 2 2 5" xfId="29225" xr:uid="{00000000-0005-0000-0000-000036690000}"/>
    <cellStyle name="Total 2 4 3 2 3" xfId="29226" xr:uid="{00000000-0005-0000-0000-000037690000}"/>
    <cellStyle name="Total 2 4 3 2 3 2" xfId="28124" xr:uid="{00000000-0005-0000-0000-000038690000}"/>
    <cellStyle name="Total 2 4 3 2 3 3" xfId="28126" xr:uid="{00000000-0005-0000-0000-000039690000}"/>
    <cellStyle name="Total 2 4 3 2 3 4" xfId="29227" xr:uid="{00000000-0005-0000-0000-00003A690000}"/>
    <cellStyle name="Total 2 4 3 2 4" xfId="29228" xr:uid="{00000000-0005-0000-0000-00003B690000}"/>
    <cellStyle name="Total 2 4 3 2 5" xfId="29229" xr:uid="{00000000-0005-0000-0000-00003C690000}"/>
    <cellStyle name="Total 2 4 3 2 6" xfId="29230" xr:uid="{00000000-0005-0000-0000-00003D690000}"/>
    <cellStyle name="Total 2 4 3 3" xfId="19145" xr:uid="{00000000-0005-0000-0000-00003E690000}"/>
    <cellStyle name="Total 2 4 3 3 2" xfId="19148" xr:uid="{00000000-0005-0000-0000-00003F690000}"/>
    <cellStyle name="Total 2 4 3 3 2 2" xfId="28135" xr:uid="{00000000-0005-0000-0000-000040690000}"/>
    <cellStyle name="Total 2 4 3 3 2 3" xfId="7638" xr:uid="{00000000-0005-0000-0000-000041690000}"/>
    <cellStyle name="Total 2 4 3 3 2 4" xfId="7642" xr:uid="{00000000-0005-0000-0000-000042690000}"/>
    <cellStyle name="Total 2 4 3 3 3" xfId="19151" xr:uid="{00000000-0005-0000-0000-000043690000}"/>
    <cellStyle name="Total 2 4 3 3 4" xfId="19154" xr:uid="{00000000-0005-0000-0000-000044690000}"/>
    <cellStyle name="Total 2 4 3 3 5" xfId="29231" xr:uid="{00000000-0005-0000-0000-000045690000}"/>
    <cellStyle name="Total 2 4 3 4" xfId="19158" xr:uid="{00000000-0005-0000-0000-000046690000}"/>
    <cellStyle name="Total 2 4 3 4 2" xfId="29232" xr:uid="{00000000-0005-0000-0000-000047690000}"/>
    <cellStyle name="Total 2 4 3 4 3" xfId="29233" xr:uid="{00000000-0005-0000-0000-000048690000}"/>
    <cellStyle name="Total 2 4 3 4 4" xfId="29234" xr:uid="{00000000-0005-0000-0000-000049690000}"/>
    <cellStyle name="Total 2 4 3 5" xfId="19163" xr:uid="{00000000-0005-0000-0000-00004A690000}"/>
    <cellStyle name="Total 2 4 3 6" xfId="19167" xr:uid="{00000000-0005-0000-0000-00004B690000}"/>
    <cellStyle name="Total 2 4 3 7" xfId="21760" xr:uid="{00000000-0005-0000-0000-00004C690000}"/>
    <cellStyle name="Total 2 4 4" xfId="29235" xr:uid="{00000000-0005-0000-0000-00004D690000}"/>
    <cellStyle name="Total 2 4 4 2" xfId="27819" xr:uid="{00000000-0005-0000-0000-00004E690000}"/>
    <cellStyle name="Total 2 4 4 2 2" xfId="29236" xr:uid="{00000000-0005-0000-0000-00004F690000}"/>
    <cellStyle name="Total 2 4 4 2 2 2" xfId="28193" xr:uid="{00000000-0005-0000-0000-000050690000}"/>
    <cellStyle name="Total 2 4 4 2 2 3" xfId="28195" xr:uid="{00000000-0005-0000-0000-000051690000}"/>
    <cellStyle name="Total 2 4 4 2 2 4" xfId="28197" xr:uid="{00000000-0005-0000-0000-000052690000}"/>
    <cellStyle name="Total 2 4 4 2 3" xfId="29237" xr:uid="{00000000-0005-0000-0000-000053690000}"/>
    <cellStyle name="Total 2 4 4 2 4" xfId="941" xr:uid="{00000000-0005-0000-0000-000054690000}"/>
    <cellStyle name="Total 2 4 4 2 5" xfId="960" xr:uid="{00000000-0005-0000-0000-000055690000}"/>
    <cellStyle name="Total 2 4 4 3" xfId="19172" xr:uid="{00000000-0005-0000-0000-000056690000}"/>
    <cellStyle name="Total 2 4 4 3 2" xfId="25624" xr:uid="{00000000-0005-0000-0000-000057690000}"/>
    <cellStyle name="Total 2 4 4 3 3" xfId="25629" xr:uid="{00000000-0005-0000-0000-000058690000}"/>
    <cellStyle name="Total 2 4 4 3 4" xfId="25631" xr:uid="{00000000-0005-0000-0000-000059690000}"/>
    <cellStyle name="Total 2 4 4 4" xfId="19177" xr:uid="{00000000-0005-0000-0000-00005A690000}"/>
    <cellStyle name="Total 2 4 4 5" xfId="19184" xr:uid="{00000000-0005-0000-0000-00005B690000}"/>
    <cellStyle name="Total 2 4 4 6" xfId="25636" xr:uid="{00000000-0005-0000-0000-00005C690000}"/>
    <cellStyle name="Total 2 4 5" xfId="29238" xr:uid="{00000000-0005-0000-0000-00005D690000}"/>
    <cellStyle name="Total 2 4 5 2" xfId="29239" xr:uid="{00000000-0005-0000-0000-00005E690000}"/>
    <cellStyle name="Total 2 4 5 2 2" xfId="29240" xr:uid="{00000000-0005-0000-0000-00005F690000}"/>
    <cellStyle name="Total 2 4 5 2 3" xfId="29241" xr:uid="{00000000-0005-0000-0000-000060690000}"/>
    <cellStyle name="Total 2 4 5 2 4" xfId="29242" xr:uid="{00000000-0005-0000-0000-000061690000}"/>
    <cellStyle name="Total 2 4 5 3" xfId="25641" xr:uid="{00000000-0005-0000-0000-000062690000}"/>
    <cellStyle name="Total 2 4 5 4" xfId="25647" xr:uid="{00000000-0005-0000-0000-000063690000}"/>
    <cellStyle name="Total 2 4 5 5" xfId="25651" xr:uid="{00000000-0005-0000-0000-000064690000}"/>
    <cellStyle name="Total 2 4 6" xfId="29243" xr:uid="{00000000-0005-0000-0000-000065690000}"/>
    <cellStyle name="Total 2 4 6 2" xfId="12805" xr:uid="{00000000-0005-0000-0000-000066690000}"/>
    <cellStyle name="Total 2 4 6 3" xfId="12819" xr:uid="{00000000-0005-0000-0000-000067690000}"/>
    <cellStyle name="Total 2 4 6 4" xfId="19976" xr:uid="{00000000-0005-0000-0000-000068690000}"/>
    <cellStyle name="Total 2 4 7" xfId="29244" xr:uid="{00000000-0005-0000-0000-000069690000}"/>
    <cellStyle name="Total 2 4 8" xfId="29245" xr:uid="{00000000-0005-0000-0000-00006A690000}"/>
    <cellStyle name="Total 2 4 9" xfId="29246" xr:uid="{00000000-0005-0000-0000-00006B690000}"/>
    <cellStyle name="Total 2 5" xfId="20659" xr:uid="{00000000-0005-0000-0000-00006C690000}"/>
    <cellStyle name="Total 2 5 2" xfId="29247" xr:uid="{00000000-0005-0000-0000-00006D690000}"/>
    <cellStyle name="Total 2 5 2 2" xfId="29248" xr:uid="{00000000-0005-0000-0000-00006E690000}"/>
    <cellStyle name="Total 2 5 2 2 2" xfId="13418" xr:uid="{00000000-0005-0000-0000-00006F690000}"/>
    <cellStyle name="Total 2 5 2 2 2 2" xfId="325" xr:uid="{00000000-0005-0000-0000-000070690000}"/>
    <cellStyle name="Total 2 5 2 2 2 2 2" xfId="1397" xr:uid="{00000000-0005-0000-0000-000071690000}"/>
    <cellStyle name="Total 2 5 2 2 2 2 3" xfId="5108" xr:uid="{00000000-0005-0000-0000-000072690000}"/>
    <cellStyle name="Total 2 5 2 2 2 2 4" xfId="28416" xr:uid="{00000000-0005-0000-0000-000073690000}"/>
    <cellStyle name="Total 2 5 2 2 2 3" xfId="3211" xr:uid="{00000000-0005-0000-0000-000074690000}"/>
    <cellStyle name="Total 2 5 2 2 2 4" xfId="13426" xr:uid="{00000000-0005-0000-0000-000075690000}"/>
    <cellStyle name="Total 2 5 2 2 2 5" xfId="17407" xr:uid="{00000000-0005-0000-0000-000076690000}"/>
    <cellStyle name="Total 2 5 2 2 3" xfId="13433" xr:uid="{00000000-0005-0000-0000-000077690000}"/>
    <cellStyle name="Total 2 5 2 2 3 2" xfId="28431" xr:uid="{00000000-0005-0000-0000-000078690000}"/>
    <cellStyle name="Total 2 5 2 2 3 3" xfId="28436" xr:uid="{00000000-0005-0000-0000-000079690000}"/>
    <cellStyle name="Total 2 5 2 2 3 4" xfId="28438" xr:uid="{00000000-0005-0000-0000-00007A690000}"/>
    <cellStyle name="Total 2 5 2 2 4" xfId="13437" xr:uid="{00000000-0005-0000-0000-00007B690000}"/>
    <cellStyle name="Total 2 5 2 2 5" xfId="9560" xr:uid="{00000000-0005-0000-0000-00007C690000}"/>
    <cellStyle name="Total 2 5 2 2 6" xfId="9563" xr:uid="{00000000-0005-0000-0000-00007D690000}"/>
    <cellStyle name="Total 2 5 2 3" xfId="19199" xr:uid="{00000000-0005-0000-0000-00007E690000}"/>
    <cellStyle name="Total 2 5 2 3 2" xfId="13480" xr:uid="{00000000-0005-0000-0000-00007F690000}"/>
    <cellStyle name="Total 2 5 2 3 2 2" xfId="12927" xr:uid="{00000000-0005-0000-0000-000080690000}"/>
    <cellStyle name="Total 2 5 2 3 2 3" xfId="9218" xr:uid="{00000000-0005-0000-0000-000081690000}"/>
    <cellStyle name="Total 2 5 2 3 2 4" xfId="9227" xr:uid="{00000000-0005-0000-0000-000082690000}"/>
    <cellStyle name="Total 2 5 2 3 3" xfId="363" xr:uid="{00000000-0005-0000-0000-000083690000}"/>
    <cellStyle name="Total 2 5 2 3 4" xfId="2258" xr:uid="{00000000-0005-0000-0000-000084690000}"/>
    <cellStyle name="Total 2 5 2 3 5" xfId="2679" xr:uid="{00000000-0005-0000-0000-000085690000}"/>
    <cellStyle name="Total 2 5 2 4" xfId="19202" xr:uid="{00000000-0005-0000-0000-000086690000}"/>
    <cellStyle name="Total 2 5 2 4 2" xfId="6498" xr:uid="{00000000-0005-0000-0000-000087690000}"/>
    <cellStyle name="Total 2 5 2 4 3" xfId="2273" xr:uid="{00000000-0005-0000-0000-000088690000}"/>
    <cellStyle name="Total 2 5 2 4 4" xfId="2278" xr:uid="{00000000-0005-0000-0000-000089690000}"/>
    <cellStyle name="Total 2 5 2 5" xfId="3872" xr:uid="{00000000-0005-0000-0000-00008A690000}"/>
    <cellStyle name="Total 2 5 2 6" xfId="3897" xr:uid="{00000000-0005-0000-0000-00008B690000}"/>
    <cellStyle name="Total 2 5 2 7" xfId="3923" xr:uid="{00000000-0005-0000-0000-00008C690000}"/>
    <cellStyle name="Total 2 5 3" xfId="29249" xr:uid="{00000000-0005-0000-0000-00008D690000}"/>
    <cellStyle name="Total 2 5 3 2" xfId="29250" xr:uid="{00000000-0005-0000-0000-00008E690000}"/>
    <cellStyle name="Total 2 5 3 2 2" xfId="13619" xr:uid="{00000000-0005-0000-0000-00008F690000}"/>
    <cellStyle name="Total 2 5 3 2 2 2" xfId="16268" xr:uid="{00000000-0005-0000-0000-000090690000}"/>
    <cellStyle name="Total 2 5 3 2 2 3" xfId="16409" xr:uid="{00000000-0005-0000-0000-000091690000}"/>
    <cellStyle name="Total 2 5 3 2 2 4" xfId="16471" xr:uid="{00000000-0005-0000-0000-000092690000}"/>
    <cellStyle name="Total 2 5 3 2 3" xfId="13623" xr:uid="{00000000-0005-0000-0000-000093690000}"/>
    <cellStyle name="Total 2 5 3 2 4" xfId="16957" xr:uid="{00000000-0005-0000-0000-000094690000}"/>
    <cellStyle name="Total 2 5 3 2 5" xfId="17286" xr:uid="{00000000-0005-0000-0000-000095690000}"/>
    <cellStyle name="Total 2 5 3 3" xfId="19205" xr:uid="{00000000-0005-0000-0000-000096690000}"/>
    <cellStyle name="Total 2 5 3 3 2" xfId="13635" xr:uid="{00000000-0005-0000-0000-000097690000}"/>
    <cellStyle name="Total 2 5 3 3 3" xfId="29251" xr:uid="{00000000-0005-0000-0000-000098690000}"/>
    <cellStyle name="Total 2 5 3 3 4" xfId="29252" xr:uid="{00000000-0005-0000-0000-000099690000}"/>
    <cellStyle name="Total 2 5 3 4" xfId="19208" xr:uid="{00000000-0005-0000-0000-00009A690000}"/>
    <cellStyle name="Total 2 5 3 5" xfId="19211" xr:uid="{00000000-0005-0000-0000-00009B690000}"/>
    <cellStyle name="Total 2 5 3 6" xfId="29253" xr:uid="{00000000-0005-0000-0000-00009C690000}"/>
    <cellStyle name="Total 2 5 4" xfId="29254" xr:uid="{00000000-0005-0000-0000-00009D690000}"/>
    <cellStyle name="Total 2 5 4 2" xfId="29255" xr:uid="{00000000-0005-0000-0000-00009E690000}"/>
    <cellStyle name="Total 2 5 4 2 2" xfId="13782" xr:uid="{00000000-0005-0000-0000-00009F690000}"/>
    <cellStyle name="Total 2 5 4 2 3" xfId="13785" xr:uid="{00000000-0005-0000-0000-0000A0690000}"/>
    <cellStyle name="Total 2 5 4 2 4" xfId="29256" xr:uid="{00000000-0005-0000-0000-0000A1690000}"/>
    <cellStyle name="Total 2 5 4 3" xfId="25655" xr:uid="{00000000-0005-0000-0000-0000A2690000}"/>
    <cellStyle name="Total 2 5 4 4" xfId="25658" xr:uid="{00000000-0005-0000-0000-0000A3690000}"/>
    <cellStyle name="Total 2 5 4 5" xfId="25661" xr:uid="{00000000-0005-0000-0000-0000A4690000}"/>
    <cellStyle name="Total 2 5 5" xfId="29257" xr:uid="{00000000-0005-0000-0000-0000A5690000}"/>
    <cellStyle name="Total 2 5 5 2" xfId="29258" xr:uid="{00000000-0005-0000-0000-0000A6690000}"/>
    <cellStyle name="Total 2 5 5 3" xfId="25665" xr:uid="{00000000-0005-0000-0000-0000A7690000}"/>
    <cellStyle name="Total 2 5 5 4" xfId="25667" xr:uid="{00000000-0005-0000-0000-0000A8690000}"/>
    <cellStyle name="Total 2 5 6" xfId="5433" xr:uid="{00000000-0005-0000-0000-0000A9690000}"/>
    <cellStyle name="Total 2 5 7" xfId="5461" xr:uid="{00000000-0005-0000-0000-0000AA690000}"/>
    <cellStyle name="Total 2 5 8" xfId="5489" xr:uid="{00000000-0005-0000-0000-0000AB690000}"/>
    <cellStyle name="Total 2 6" xfId="20661" xr:uid="{00000000-0005-0000-0000-0000AC690000}"/>
    <cellStyle name="Total 2 6 2" xfId="29259" xr:uid="{00000000-0005-0000-0000-0000AD690000}"/>
    <cellStyle name="Total 2 6 2 2" xfId="29260" xr:uid="{00000000-0005-0000-0000-0000AE690000}"/>
    <cellStyle name="Total 2 6 2 2 2" xfId="12991" xr:uid="{00000000-0005-0000-0000-0000AF690000}"/>
    <cellStyle name="Total 2 6 2 2 2 2" xfId="2727" xr:uid="{00000000-0005-0000-0000-0000B0690000}"/>
    <cellStyle name="Total 2 6 2 2 2 3" xfId="5929" xr:uid="{00000000-0005-0000-0000-0000B1690000}"/>
    <cellStyle name="Total 2 6 2 2 2 4" xfId="14259" xr:uid="{00000000-0005-0000-0000-0000B2690000}"/>
    <cellStyle name="Total 2 6 2 2 3" xfId="12997" xr:uid="{00000000-0005-0000-0000-0000B3690000}"/>
    <cellStyle name="Total 2 6 2 2 4" xfId="10101" xr:uid="{00000000-0005-0000-0000-0000B4690000}"/>
    <cellStyle name="Total 2 6 2 2 5" xfId="10116" xr:uid="{00000000-0005-0000-0000-0000B5690000}"/>
    <cellStyle name="Total 2 6 2 3" xfId="19225" xr:uid="{00000000-0005-0000-0000-0000B6690000}"/>
    <cellStyle name="Total 2 6 2 3 2" xfId="14294" xr:uid="{00000000-0005-0000-0000-0000B7690000}"/>
    <cellStyle name="Total 2 6 2 3 3" xfId="14297" xr:uid="{00000000-0005-0000-0000-0000B8690000}"/>
    <cellStyle name="Total 2 6 2 3 4" xfId="10125" xr:uid="{00000000-0005-0000-0000-0000B9690000}"/>
    <cellStyle name="Total 2 6 2 4" xfId="19228" xr:uid="{00000000-0005-0000-0000-0000BA690000}"/>
    <cellStyle name="Total 2 6 2 5" xfId="19231" xr:uid="{00000000-0005-0000-0000-0000BB690000}"/>
    <cellStyle name="Total 2 6 2 6" xfId="29261" xr:uid="{00000000-0005-0000-0000-0000BC690000}"/>
    <cellStyle name="Total 2 6 3" xfId="29262" xr:uid="{00000000-0005-0000-0000-0000BD690000}"/>
    <cellStyle name="Total 2 6 3 2" xfId="29263" xr:uid="{00000000-0005-0000-0000-0000BE690000}"/>
    <cellStyle name="Total 2 6 3 2 2" xfId="14428" xr:uid="{00000000-0005-0000-0000-0000BF690000}"/>
    <cellStyle name="Total 2 6 3 2 3" xfId="14431" xr:uid="{00000000-0005-0000-0000-0000C0690000}"/>
    <cellStyle name="Total 2 6 3 2 4" xfId="29264" xr:uid="{00000000-0005-0000-0000-0000C1690000}"/>
    <cellStyle name="Total 2 6 3 3" xfId="29265" xr:uid="{00000000-0005-0000-0000-0000C2690000}"/>
    <cellStyle name="Total 2 6 3 4" xfId="29266" xr:uid="{00000000-0005-0000-0000-0000C3690000}"/>
    <cellStyle name="Total 2 6 3 5" xfId="29267" xr:uid="{00000000-0005-0000-0000-0000C4690000}"/>
    <cellStyle name="Total 2 6 4" xfId="29268" xr:uid="{00000000-0005-0000-0000-0000C5690000}"/>
    <cellStyle name="Total 2 6 4 2" xfId="29269" xr:uid="{00000000-0005-0000-0000-0000C6690000}"/>
    <cellStyle name="Total 2 6 4 3" xfId="25671" xr:uid="{00000000-0005-0000-0000-0000C7690000}"/>
    <cellStyle name="Total 2 6 4 4" xfId="25673" xr:uid="{00000000-0005-0000-0000-0000C8690000}"/>
    <cellStyle name="Total 2 6 5" xfId="29270" xr:uid="{00000000-0005-0000-0000-0000C9690000}"/>
    <cellStyle name="Total 2 6 6" xfId="5524" xr:uid="{00000000-0005-0000-0000-0000CA690000}"/>
    <cellStyle name="Total 2 6 7" xfId="5544" xr:uid="{00000000-0005-0000-0000-0000CB690000}"/>
    <cellStyle name="Total 2 7" xfId="21155" xr:uid="{00000000-0005-0000-0000-0000CC690000}"/>
    <cellStyle name="Total 2 7 2" xfId="29271" xr:uid="{00000000-0005-0000-0000-0000CD690000}"/>
    <cellStyle name="Total 2 7 2 2" xfId="29272" xr:uid="{00000000-0005-0000-0000-0000CE690000}"/>
    <cellStyle name="Total 2 7 2 2 2" xfId="15030" xr:uid="{00000000-0005-0000-0000-0000CF690000}"/>
    <cellStyle name="Total 2 7 2 2 3" xfId="15040" xr:uid="{00000000-0005-0000-0000-0000D0690000}"/>
    <cellStyle name="Total 2 7 2 2 4" xfId="2533" xr:uid="{00000000-0005-0000-0000-0000D1690000}"/>
    <cellStyle name="Total 2 7 2 3" xfId="29273" xr:uid="{00000000-0005-0000-0000-0000D2690000}"/>
    <cellStyle name="Total 2 7 2 4" xfId="29274" xr:uid="{00000000-0005-0000-0000-0000D3690000}"/>
    <cellStyle name="Total 2 7 2 5" xfId="29275" xr:uid="{00000000-0005-0000-0000-0000D4690000}"/>
    <cellStyle name="Total 2 7 3" xfId="29276" xr:uid="{00000000-0005-0000-0000-0000D5690000}"/>
    <cellStyle name="Total 2 7 3 2" xfId="29277" xr:uid="{00000000-0005-0000-0000-0000D6690000}"/>
    <cellStyle name="Total 2 7 3 3" xfId="29278" xr:uid="{00000000-0005-0000-0000-0000D7690000}"/>
    <cellStyle name="Total 2 7 3 4" xfId="29279" xr:uid="{00000000-0005-0000-0000-0000D8690000}"/>
    <cellStyle name="Total 2 7 4" xfId="29280" xr:uid="{00000000-0005-0000-0000-0000D9690000}"/>
    <cellStyle name="Total 2 7 5" xfId="29281" xr:uid="{00000000-0005-0000-0000-0000DA690000}"/>
    <cellStyle name="Total 2 7 6" xfId="5581" xr:uid="{00000000-0005-0000-0000-0000DB690000}"/>
    <cellStyle name="Total 2 8" xfId="21579" xr:uid="{00000000-0005-0000-0000-0000DC690000}"/>
    <cellStyle name="Total 2 8 2" xfId="29282" xr:uid="{00000000-0005-0000-0000-0000DD690000}"/>
    <cellStyle name="Total 2 8 2 2" xfId="29283" xr:uid="{00000000-0005-0000-0000-0000DE690000}"/>
    <cellStyle name="Total 2 8 2 3" xfId="29284" xr:uid="{00000000-0005-0000-0000-0000DF690000}"/>
    <cellStyle name="Total 2 8 2 4" xfId="29285" xr:uid="{00000000-0005-0000-0000-0000E0690000}"/>
    <cellStyle name="Total 2 8 3" xfId="29286" xr:uid="{00000000-0005-0000-0000-0000E1690000}"/>
    <cellStyle name="Total 2 8 4" xfId="29287" xr:uid="{00000000-0005-0000-0000-0000E2690000}"/>
    <cellStyle name="Total 2 8 5" xfId="29288" xr:uid="{00000000-0005-0000-0000-0000E3690000}"/>
    <cellStyle name="Total 2 9" xfId="29289" xr:uid="{00000000-0005-0000-0000-0000E4690000}"/>
    <cellStyle name="Total 2 9 2" xfId="29290" xr:uid="{00000000-0005-0000-0000-0000E5690000}"/>
    <cellStyle name="Total 2 9 3" xfId="29292" xr:uid="{00000000-0005-0000-0000-0000E6690000}"/>
    <cellStyle name="Total 2 9 4" xfId="29294" xr:uid="{00000000-0005-0000-0000-0000E7690000}"/>
    <cellStyle name="Total 3" xfId="20665" xr:uid="{00000000-0005-0000-0000-0000E8690000}"/>
    <cellStyle name="Total 3 10" xfId="19824" xr:uid="{00000000-0005-0000-0000-0000E9690000}"/>
    <cellStyle name="Total 3 11" xfId="19841" xr:uid="{00000000-0005-0000-0000-0000EA690000}"/>
    <cellStyle name="Total 3 12" xfId="19843" xr:uid="{00000000-0005-0000-0000-0000EB690000}"/>
    <cellStyle name="Total 3 13" xfId="19849" xr:uid="{00000000-0005-0000-0000-0000EC690000}"/>
    <cellStyle name="Total 3 2" xfId="20667" xr:uid="{00000000-0005-0000-0000-0000ED690000}"/>
    <cellStyle name="Total 3 2 10" xfId="16838" xr:uid="{00000000-0005-0000-0000-0000EE690000}"/>
    <cellStyle name="Total 3 2 11" xfId="29295" xr:uid="{00000000-0005-0000-0000-0000EF690000}"/>
    <cellStyle name="Total 3 2 12" xfId="29296" xr:uid="{00000000-0005-0000-0000-0000F0690000}"/>
    <cellStyle name="Total 3 2 2" xfId="10887" xr:uid="{00000000-0005-0000-0000-0000F1690000}"/>
    <cellStyle name="Total 3 2 2 2" xfId="7728" xr:uid="{00000000-0005-0000-0000-0000F2690000}"/>
    <cellStyle name="Total 3 2 2 2 2" xfId="10890" xr:uid="{00000000-0005-0000-0000-0000F3690000}"/>
    <cellStyle name="Total 3 2 2 2 2 2" xfId="16716" xr:uid="{00000000-0005-0000-0000-0000F4690000}"/>
    <cellStyle name="Total 3 2 2 2 2 2 2" xfId="4763" xr:uid="{00000000-0005-0000-0000-0000F5690000}"/>
    <cellStyle name="Total 3 2 2 2 2 2 2 2" xfId="896" xr:uid="{00000000-0005-0000-0000-0000F6690000}"/>
    <cellStyle name="Total 3 2 2 2 2 2 2 2 2" xfId="25986" xr:uid="{00000000-0005-0000-0000-0000F7690000}"/>
    <cellStyle name="Total 3 2 2 2 2 2 2 2 3" xfId="29297" xr:uid="{00000000-0005-0000-0000-0000F8690000}"/>
    <cellStyle name="Total 3 2 2 2 2 2 2 2 4" xfId="29298" xr:uid="{00000000-0005-0000-0000-0000F9690000}"/>
    <cellStyle name="Total 3 2 2 2 2 2 2 3" xfId="17519" xr:uid="{00000000-0005-0000-0000-0000FA690000}"/>
    <cellStyle name="Total 3 2 2 2 2 2 2 4" xfId="20857" xr:uid="{00000000-0005-0000-0000-0000FB690000}"/>
    <cellStyle name="Total 3 2 2 2 2 2 2 5" xfId="12069" xr:uid="{00000000-0005-0000-0000-0000FC690000}"/>
    <cellStyle name="Total 3 2 2 2 2 2 3" xfId="4768" xr:uid="{00000000-0005-0000-0000-0000FD690000}"/>
    <cellStyle name="Total 3 2 2 2 2 2 3 2" xfId="17524" xr:uid="{00000000-0005-0000-0000-0000FE690000}"/>
    <cellStyle name="Total 3 2 2 2 2 2 3 3" xfId="29299" xr:uid="{00000000-0005-0000-0000-0000FF690000}"/>
    <cellStyle name="Total 3 2 2 2 2 2 3 4" xfId="20861" xr:uid="{00000000-0005-0000-0000-0000006A0000}"/>
    <cellStyle name="Total 3 2 2 2 2 2 4" xfId="29300" xr:uid="{00000000-0005-0000-0000-0000016A0000}"/>
    <cellStyle name="Total 3 2 2 2 2 2 5" xfId="29301" xr:uid="{00000000-0005-0000-0000-0000026A0000}"/>
    <cellStyle name="Total 3 2 2 2 2 2 6" xfId="29302" xr:uid="{00000000-0005-0000-0000-0000036A0000}"/>
    <cellStyle name="Total 3 2 2 2 2 3" xfId="16721" xr:uid="{00000000-0005-0000-0000-0000046A0000}"/>
    <cellStyle name="Total 3 2 2 2 2 3 2" xfId="4786" xr:uid="{00000000-0005-0000-0000-0000056A0000}"/>
    <cellStyle name="Total 3 2 2 2 2 3 2 2" xfId="17561" xr:uid="{00000000-0005-0000-0000-0000066A0000}"/>
    <cellStyle name="Total 3 2 2 2 2 3 2 3" xfId="29303" xr:uid="{00000000-0005-0000-0000-0000076A0000}"/>
    <cellStyle name="Total 3 2 2 2 2 3 2 4" xfId="21356" xr:uid="{00000000-0005-0000-0000-0000086A0000}"/>
    <cellStyle name="Total 3 2 2 2 2 3 3" xfId="29304" xr:uid="{00000000-0005-0000-0000-0000096A0000}"/>
    <cellStyle name="Total 3 2 2 2 2 3 4" xfId="29305" xr:uid="{00000000-0005-0000-0000-00000A6A0000}"/>
    <cellStyle name="Total 3 2 2 2 2 3 5" xfId="29306" xr:uid="{00000000-0005-0000-0000-00000B6A0000}"/>
    <cellStyle name="Total 3 2 2 2 2 4" xfId="29307" xr:uid="{00000000-0005-0000-0000-00000C6A0000}"/>
    <cellStyle name="Total 3 2 2 2 2 4 2" xfId="9213" xr:uid="{00000000-0005-0000-0000-00000D6A0000}"/>
    <cellStyle name="Total 3 2 2 2 2 4 3" xfId="9224" xr:uid="{00000000-0005-0000-0000-00000E6A0000}"/>
    <cellStyle name="Total 3 2 2 2 2 4 4" xfId="396" xr:uid="{00000000-0005-0000-0000-00000F6A0000}"/>
    <cellStyle name="Total 3 2 2 2 2 5" xfId="29308" xr:uid="{00000000-0005-0000-0000-0000106A0000}"/>
    <cellStyle name="Total 3 2 2 2 2 6" xfId="9091" xr:uid="{00000000-0005-0000-0000-0000116A0000}"/>
    <cellStyle name="Total 3 2 2 2 2 7" xfId="6783" xr:uid="{00000000-0005-0000-0000-0000126A0000}"/>
    <cellStyle name="Total 3 2 2 2 3" xfId="10893" xr:uid="{00000000-0005-0000-0000-0000136A0000}"/>
    <cellStyle name="Total 3 2 2 2 3 2" xfId="20186" xr:uid="{00000000-0005-0000-0000-0000146A0000}"/>
    <cellStyle name="Total 3 2 2 2 3 2 2" xfId="4321" xr:uid="{00000000-0005-0000-0000-0000156A0000}"/>
    <cellStyle name="Total 3 2 2 2 3 2 2 2" xfId="25754" xr:uid="{00000000-0005-0000-0000-0000166A0000}"/>
    <cellStyle name="Total 3 2 2 2 3 2 2 3" xfId="29310" xr:uid="{00000000-0005-0000-0000-0000176A0000}"/>
    <cellStyle name="Total 3 2 2 2 3 2 2 4" xfId="29312" xr:uid="{00000000-0005-0000-0000-0000186A0000}"/>
    <cellStyle name="Total 3 2 2 2 3 2 3" xfId="29314" xr:uid="{00000000-0005-0000-0000-0000196A0000}"/>
    <cellStyle name="Total 3 2 2 2 3 2 4" xfId="29316" xr:uid="{00000000-0005-0000-0000-00001A6A0000}"/>
    <cellStyle name="Total 3 2 2 2 3 2 5" xfId="29318" xr:uid="{00000000-0005-0000-0000-00001B6A0000}"/>
    <cellStyle name="Total 3 2 2 2 3 3" xfId="29320" xr:uid="{00000000-0005-0000-0000-00001C6A0000}"/>
    <cellStyle name="Total 3 2 2 2 3 3 2" xfId="29322" xr:uid="{00000000-0005-0000-0000-00001D6A0000}"/>
    <cellStyle name="Total 3 2 2 2 3 3 3" xfId="29324" xr:uid="{00000000-0005-0000-0000-00001E6A0000}"/>
    <cellStyle name="Total 3 2 2 2 3 3 4" xfId="29326" xr:uid="{00000000-0005-0000-0000-00001F6A0000}"/>
    <cellStyle name="Total 3 2 2 2 3 4" xfId="29328" xr:uid="{00000000-0005-0000-0000-0000206A0000}"/>
    <cellStyle name="Total 3 2 2 2 3 5" xfId="28531" xr:uid="{00000000-0005-0000-0000-0000216A0000}"/>
    <cellStyle name="Total 3 2 2 2 3 6" xfId="28535" xr:uid="{00000000-0005-0000-0000-0000226A0000}"/>
    <cellStyle name="Total 3 2 2 2 4" xfId="10900" xr:uid="{00000000-0005-0000-0000-0000236A0000}"/>
    <cellStyle name="Total 3 2 2 2 4 2" xfId="29331" xr:uid="{00000000-0005-0000-0000-0000246A0000}"/>
    <cellStyle name="Total 3 2 2 2 4 2 2" xfId="18182" xr:uid="{00000000-0005-0000-0000-0000256A0000}"/>
    <cellStyle name="Total 3 2 2 2 4 2 3" xfId="25820" xr:uid="{00000000-0005-0000-0000-0000266A0000}"/>
    <cellStyle name="Total 3 2 2 2 4 2 4" xfId="29334" xr:uid="{00000000-0005-0000-0000-0000276A0000}"/>
    <cellStyle name="Total 3 2 2 2 4 3" xfId="29337" xr:uid="{00000000-0005-0000-0000-0000286A0000}"/>
    <cellStyle name="Total 3 2 2 2 4 4" xfId="29340" xr:uid="{00000000-0005-0000-0000-0000296A0000}"/>
    <cellStyle name="Total 3 2 2 2 4 5" xfId="29343" xr:uid="{00000000-0005-0000-0000-00002A6A0000}"/>
    <cellStyle name="Total 3 2 2 2 5" xfId="29345" xr:uid="{00000000-0005-0000-0000-00002B6A0000}"/>
    <cellStyle name="Total 3 2 2 2 5 2" xfId="3911" xr:uid="{00000000-0005-0000-0000-00002C6A0000}"/>
    <cellStyle name="Total 3 2 2 2 5 3" xfId="29348" xr:uid="{00000000-0005-0000-0000-00002D6A0000}"/>
    <cellStyle name="Total 3 2 2 2 5 4" xfId="29351" xr:uid="{00000000-0005-0000-0000-00002E6A0000}"/>
    <cellStyle name="Total 3 2 2 2 6" xfId="29354" xr:uid="{00000000-0005-0000-0000-00002F6A0000}"/>
    <cellStyle name="Total 3 2 2 2 7" xfId="29357" xr:uid="{00000000-0005-0000-0000-0000306A0000}"/>
    <cellStyle name="Total 3 2 2 2 8" xfId="29360" xr:uid="{00000000-0005-0000-0000-0000316A0000}"/>
    <cellStyle name="Total 3 2 2 3" xfId="10902" xr:uid="{00000000-0005-0000-0000-0000326A0000}"/>
    <cellStyle name="Total 3 2 2 3 2" xfId="29361" xr:uid="{00000000-0005-0000-0000-0000336A0000}"/>
    <cellStyle name="Total 3 2 2 3 2 2" xfId="18351" xr:uid="{00000000-0005-0000-0000-0000346A0000}"/>
    <cellStyle name="Total 3 2 2 3 2 2 2" xfId="4982" xr:uid="{00000000-0005-0000-0000-0000356A0000}"/>
    <cellStyle name="Total 3 2 2 3 2 2 2 2" xfId="29363" xr:uid="{00000000-0005-0000-0000-0000366A0000}"/>
    <cellStyle name="Total 3 2 2 3 2 2 2 3" xfId="29365" xr:uid="{00000000-0005-0000-0000-0000376A0000}"/>
    <cellStyle name="Total 3 2 2 3 2 2 2 4" xfId="29367" xr:uid="{00000000-0005-0000-0000-0000386A0000}"/>
    <cellStyle name="Total 3 2 2 3 2 2 3" xfId="29369" xr:uid="{00000000-0005-0000-0000-0000396A0000}"/>
    <cellStyle name="Total 3 2 2 3 2 2 4" xfId="29371" xr:uid="{00000000-0005-0000-0000-00003A6A0000}"/>
    <cellStyle name="Total 3 2 2 3 2 2 5" xfId="29373" xr:uid="{00000000-0005-0000-0000-00003B6A0000}"/>
    <cellStyle name="Total 3 2 2 3 2 3" xfId="29374" xr:uid="{00000000-0005-0000-0000-00003C6A0000}"/>
    <cellStyle name="Total 3 2 2 3 2 3 2" xfId="29376" xr:uid="{00000000-0005-0000-0000-00003D6A0000}"/>
    <cellStyle name="Total 3 2 2 3 2 3 3" xfId="29378" xr:uid="{00000000-0005-0000-0000-00003E6A0000}"/>
    <cellStyle name="Total 3 2 2 3 2 3 4" xfId="29380" xr:uid="{00000000-0005-0000-0000-00003F6A0000}"/>
    <cellStyle name="Total 3 2 2 3 2 4" xfId="29381" xr:uid="{00000000-0005-0000-0000-0000406A0000}"/>
    <cellStyle name="Total 3 2 2 3 2 5" xfId="29382" xr:uid="{00000000-0005-0000-0000-0000416A0000}"/>
    <cellStyle name="Total 3 2 2 3 2 6" xfId="26451" xr:uid="{00000000-0005-0000-0000-0000426A0000}"/>
    <cellStyle name="Total 3 2 2 3 3" xfId="29383" xr:uid="{00000000-0005-0000-0000-0000436A0000}"/>
    <cellStyle name="Total 3 2 2 3 3 2" xfId="29353" xr:uid="{00000000-0005-0000-0000-0000446A0000}"/>
    <cellStyle name="Total 3 2 2 3 3 2 2" xfId="29386" xr:uid="{00000000-0005-0000-0000-0000456A0000}"/>
    <cellStyle name="Total 3 2 2 3 3 2 3" xfId="29389" xr:uid="{00000000-0005-0000-0000-0000466A0000}"/>
    <cellStyle name="Total 3 2 2 3 3 2 4" xfId="29392" xr:uid="{00000000-0005-0000-0000-0000476A0000}"/>
    <cellStyle name="Total 3 2 2 3 3 3" xfId="29356" xr:uid="{00000000-0005-0000-0000-0000486A0000}"/>
    <cellStyle name="Total 3 2 2 3 3 4" xfId="29359" xr:uid="{00000000-0005-0000-0000-0000496A0000}"/>
    <cellStyle name="Total 3 2 2 3 3 5" xfId="29394" xr:uid="{00000000-0005-0000-0000-00004A6A0000}"/>
    <cellStyle name="Total 3 2 2 3 4" xfId="19482" xr:uid="{00000000-0005-0000-0000-00004B6A0000}"/>
    <cellStyle name="Total 3 2 2 3 4 2" xfId="19490" xr:uid="{00000000-0005-0000-0000-00004C6A0000}"/>
    <cellStyle name="Total 3 2 2 3 4 3" xfId="29398" xr:uid="{00000000-0005-0000-0000-00004D6A0000}"/>
    <cellStyle name="Total 3 2 2 3 4 4" xfId="29401" xr:uid="{00000000-0005-0000-0000-00004E6A0000}"/>
    <cellStyle name="Total 3 2 2 3 5" xfId="19485" xr:uid="{00000000-0005-0000-0000-00004F6A0000}"/>
    <cellStyle name="Total 3 2 2 3 6" xfId="19489" xr:uid="{00000000-0005-0000-0000-0000506A0000}"/>
    <cellStyle name="Total 3 2 2 3 7" xfId="29397" xr:uid="{00000000-0005-0000-0000-0000516A0000}"/>
    <cellStyle name="Total 3 2 2 4" xfId="10905" xr:uid="{00000000-0005-0000-0000-0000526A0000}"/>
    <cellStyle name="Total 3 2 2 4 2" xfId="29402" xr:uid="{00000000-0005-0000-0000-0000536A0000}"/>
    <cellStyle name="Total 3 2 2 4 2 2" xfId="29403" xr:uid="{00000000-0005-0000-0000-0000546A0000}"/>
    <cellStyle name="Total 3 2 2 4 2 2 2" xfId="29404" xr:uid="{00000000-0005-0000-0000-0000556A0000}"/>
    <cellStyle name="Total 3 2 2 4 2 2 3" xfId="29405" xr:uid="{00000000-0005-0000-0000-0000566A0000}"/>
    <cellStyle name="Total 3 2 2 4 2 2 4" xfId="29406" xr:uid="{00000000-0005-0000-0000-0000576A0000}"/>
    <cellStyle name="Total 3 2 2 4 2 3" xfId="29407" xr:uid="{00000000-0005-0000-0000-0000586A0000}"/>
    <cellStyle name="Total 3 2 2 4 2 4" xfId="29408" xr:uid="{00000000-0005-0000-0000-0000596A0000}"/>
    <cellStyle name="Total 3 2 2 4 2 5" xfId="9394" xr:uid="{00000000-0005-0000-0000-00005A6A0000}"/>
    <cellStyle name="Total 3 2 2 4 3" xfId="29409" xr:uid="{00000000-0005-0000-0000-00005B6A0000}"/>
    <cellStyle name="Total 3 2 2 4 3 2" xfId="29411" xr:uid="{00000000-0005-0000-0000-00005C6A0000}"/>
    <cellStyle name="Total 3 2 2 4 3 3" xfId="17609" xr:uid="{00000000-0005-0000-0000-00005D6A0000}"/>
    <cellStyle name="Total 3 2 2 4 3 4" xfId="6036" xr:uid="{00000000-0005-0000-0000-00005E6A0000}"/>
    <cellStyle name="Total 3 2 2 4 4" xfId="29413" xr:uid="{00000000-0005-0000-0000-00005F6A0000}"/>
    <cellStyle name="Total 3 2 2 4 5" xfId="29415" xr:uid="{00000000-0005-0000-0000-0000606A0000}"/>
    <cellStyle name="Total 3 2 2 4 6" xfId="29418" xr:uid="{00000000-0005-0000-0000-0000616A0000}"/>
    <cellStyle name="Total 3 2 2 5" xfId="10908" xr:uid="{00000000-0005-0000-0000-0000626A0000}"/>
    <cellStyle name="Total 3 2 2 5 2" xfId="29420" xr:uid="{00000000-0005-0000-0000-0000636A0000}"/>
    <cellStyle name="Total 3 2 2 5 2 2" xfId="29421" xr:uid="{00000000-0005-0000-0000-0000646A0000}"/>
    <cellStyle name="Total 3 2 2 5 2 3" xfId="29422" xr:uid="{00000000-0005-0000-0000-0000656A0000}"/>
    <cellStyle name="Total 3 2 2 5 2 4" xfId="29423" xr:uid="{00000000-0005-0000-0000-0000666A0000}"/>
    <cellStyle name="Total 3 2 2 5 3" xfId="29424" xr:uid="{00000000-0005-0000-0000-0000676A0000}"/>
    <cellStyle name="Total 3 2 2 5 4" xfId="25835" xr:uid="{00000000-0005-0000-0000-0000686A0000}"/>
    <cellStyle name="Total 3 2 2 5 5" xfId="25838" xr:uid="{00000000-0005-0000-0000-0000696A0000}"/>
    <cellStyle name="Total 3 2 2 6" xfId="29425" xr:uid="{00000000-0005-0000-0000-00006A6A0000}"/>
    <cellStyle name="Total 3 2 2 6 2" xfId="29426" xr:uid="{00000000-0005-0000-0000-00006B6A0000}"/>
    <cellStyle name="Total 3 2 2 6 3" xfId="29427" xr:uid="{00000000-0005-0000-0000-00006C6A0000}"/>
    <cellStyle name="Total 3 2 2 6 4" xfId="29429" xr:uid="{00000000-0005-0000-0000-00006D6A0000}"/>
    <cellStyle name="Total 3 2 2 7" xfId="29430" xr:uid="{00000000-0005-0000-0000-00006E6A0000}"/>
    <cellStyle name="Total 3 2 2 8" xfId="29431" xr:uid="{00000000-0005-0000-0000-00006F6A0000}"/>
    <cellStyle name="Total 3 2 2 9" xfId="29432" xr:uid="{00000000-0005-0000-0000-0000706A0000}"/>
    <cellStyle name="Total 3 2 3" xfId="10911" xr:uid="{00000000-0005-0000-0000-0000716A0000}"/>
    <cellStyle name="Total 3 2 3 2" xfId="10914" xr:uid="{00000000-0005-0000-0000-0000726A0000}"/>
    <cellStyle name="Total 3 2 3 2 2" xfId="29433" xr:uid="{00000000-0005-0000-0000-0000736A0000}"/>
    <cellStyle name="Total 3 2 3 2 2 2" xfId="20229" xr:uid="{00000000-0005-0000-0000-0000746A0000}"/>
    <cellStyle name="Total 3 2 3 2 2 2 2" xfId="2213" xr:uid="{00000000-0005-0000-0000-0000756A0000}"/>
    <cellStyle name="Total 3 2 3 2 2 2 2 2" xfId="29434" xr:uid="{00000000-0005-0000-0000-0000766A0000}"/>
    <cellStyle name="Total 3 2 3 2 2 2 2 2 2" xfId="29435" xr:uid="{00000000-0005-0000-0000-0000776A0000}"/>
    <cellStyle name="Total 3 2 3 2 2 2 2 2 3" xfId="2015" xr:uid="{00000000-0005-0000-0000-0000786A0000}"/>
    <cellStyle name="Total 3 2 3 2 2 2 2 2 4" xfId="9635" xr:uid="{00000000-0005-0000-0000-0000796A0000}"/>
    <cellStyle name="Total 3 2 3 2 2 2 2 3" xfId="29436" xr:uid="{00000000-0005-0000-0000-00007A6A0000}"/>
    <cellStyle name="Total 3 2 3 2 2 2 2 4" xfId="29437" xr:uid="{00000000-0005-0000-0000-00007B6A0000}"/>
    <cellStyle name="Total 3 2 3 2 2 2 2 5" xfId="29438" xr:uid="{00000000-0005-0000-0000-00007C6A0000}"/>
    <cellStyle name="Total 3 2 3 2 2 2 3" xfId="6008" xr:uid="{00000000-0005-0000-0000-00007D6A0000}"/>
    <cellStyle name="Total 3 2 3 2 2 2 3 2" xfId="29439" xr:uid="{00000000-0005-0000-0000-00007E6A0000}"/>
    <cellStyle name="Total 3 2 3 2 2 2 3 3" xfId="29440" xr:uid="{00000000-0005-0000-0000-00007F6A0000}"/>
    <cellStyle name="Total 3 2 3 2 2 2 3 4" xfId="29441" xr:uid="{00000000-0005-0000-0000-0000806A0000}"/>
    <cellStyle name="Total 3 2 3 2 2 2 4" xfId="8489" xr:uid="{00000000-0005-0000-0000-0000816A0000}"/>
    <cellStyle name="Total 3 2 3 2 2 2 5" xfId="173" xr:uid="{00000000-0005-0000-0000-0000826A0000}"/>
    <cellStyle name="Total 3 2 3 2 2 2 6" xfId="8491" xr:uid="{00000000-0005-0000-0000-0000836A0000}"/>
    <cellStyle name="Total 3 2 3 2 2 3" xfId="20231" xr:uid="{00000000-0005-0000-0000-0000846A0000}"/>
    <cellStyle name="Total 3 2 3 2 2 3 2" xfId="6055" xr:uid="{00000000-0005-0000-0000-0000856A0000}"/>
    <cellStyle name="Total 3 2 3 2 2 3 2 2" xfId="29442" xr:uid="{00000000-0005-0000-0000-0000866A0000}"/>
    <cellStyle name="Total 3 2 3 2 2 3 2 3" xfId="29443" xr:uid="{00000000-0005-0000-0000-0000876A0000}"/>
    <cellStyle name="Total 3 2 3 2 2 3 2 4" xfId="29444" xr:uid="{00000000-0005-0000-0000-0000886A0000}"/>
    <cellStyle name="Total 3 2 3 2 2 3 3" xfId="29445" xr:uid="{00000000-0005-0000-0000-0000896A0000}"/>
    <cellStyle name="Total 3 2 3 2 2 3 4" xfId="29446" xr:uid="{00000000-0005-0000-0000-00008A6A0000}"/>
    <cellStyle name="Total 3 2 3 2 2 3 5" xfId="29447" xr:uid="{00000000-0005-0000-0000-00008B6A0000}"/>
    <cellStyle name="Total 3 2 3 2 2 4" xfId="29448" xr:uid="{00000000-0005-0000-0000-00008C6A0000}"/>
    <cellStyle name="Total 3 2 3 2 2 4 2" xfId="6101" xr:uid="{00000000-0005-0000-0000-00008D6A0000}"/>
    <cellStyle name="Total 3 2 3 2 2 4 3" xfId="7201" xr:uid="{00000000-0005-0000-0000-00008E6A0000}"/>
    <cellStyle name="Total 3 2 3 2 2 4 4" xfId="29449" xr:uid="{00000000-0005-0000-0000-00008F6A0000}"/>
    <cellStyle name="Total 3 2 3 2 2 5" xfId="29450" xr:uid="{00000000-0005-0000-0000-0000906A0000}"/>
    <cellStyle name="Total 3 2 3 2 2 6" xfId="15872" xr:uid="{00000000-0005-0000-0000-0000916A0000}"/>
    <cellStyle name="Total 3 2 3 2 2 7" xfId="15877" xr:uid="{00000000-0005-0000-0000-0000926A0000}"/>
    <cellStyle name="Total 3 2 3 2 3" xfId="29451" xr:uid="{00000000-0005-0000-0000-0000936A0000}"/>
    <cellStyle name="Total 3 2 3 2 3 2" xfId="20233" xr:uid="{00000000-0005-0000-0000-0000946A0000}"/>
    <cellStyle name="Total 3 2 3 2 3 2 2" xfId="1546" xr:uid="{00000000-0005-0000-0000-0000956A0000}"/>
    <cellStyle name="Total 3 2 3 2 3 2 2 2" xfId="29452" xr:uid="{00000000-0005-0000-0000-0000966A0000}"/>
    <cellStyle name="Total 3 2 3 2 3 2 2 3" xfId="22701" xr:uid="{00000000-0005-0000-0000-0000976A0000}"/>
    <cellStyle name="Total 3 2 3 2 3 2 2 4" xfId="22706" xr:uid="{00000000-0005-0000-0000-0000986A0000}"/>
    <cellStyle name="Total 3 2 3 2 3 2 3" xfId="29453" xr:uid="{00000000-0005-0000-0000-0000996A0000}"/>
    <cellStyle name="Total 3 2 3 2 3 2 4" xfId="29454" xr:uid="{00000000-0005-0000-0000-00009A6A0000}"/>
    <cellStyle name="Total 3 2 3 2 3 2 5" xfId="29455" xr:uid="{00000000-0005-0000-0000-00009B6A0000}"/>
    <cellStyle name="Total 3 2 3 2 3 3" xfId="29456" xr:uid="{00000000-0005-0000-0000-00009C6A0000}"/>
    <cellStyle name="Total 3 2 3 2 3 3 2" xfId="27822" xr:uid="{00000000-0005-0000-0000-00009D6A0000}"/>
    <cellStyle name="Total 3 2 3 2 3 3 3" xfId="27824" xr:uid="{00000000-0005-0000-0000-00009E6A0000}"/>
    <cellStyle name="Total 3 2 3 2 3 3 4" xfId="29457" xr:uid="{00000000-0005-0000-0000-00009F6A0000}"/>
    <cellStyle name="Total 3 2 3 2 3 4" xfId="29458" xr:uid="{00000000-0005-0000-0000-0000A06A0000}"/>
    <cellStyle name="Total 3 2 3 2 3 5" xfId="29459" xr:uid="{00000000-0005-0000-0000-0000A16A0000}"/>
    <cellStyle name="Total 3 2 3 2 3 6" xfId="29461" xr:uid="{00000000-0005-0000-0000-0000A26A0000}"/>
    <cellStyle name="Total 3 2 3 2 4" xfId="29462" xr:uid="{00000000-0005-0000-0000-0000A36A0000}"/>
    <cellStyle name="Total 3 2 3 2 4 2" xfId="29463" xr:uid="{00000000-0005-0000-0000-0000A46A0000}"/>
    <cellStyle name="Total 3 2 3 2 4 2 2" xfId="25856" xr:uid="{00000000-0005-0000-0000-0000A56A0000}"/>
    <cellStyle name="Total 3 2 3 2 4 2 3" xfId="29464" xr:uid="{00000000-0005-0000-0000-0000A66A0000}"/>
    <cellStyle name="Total 3 2 3 2 4 2 4" xfId="29465" xr:uid="{00000000-0005-0000-0000-0000A76A0000}"/>
    <cellStyle name="Total 3 2 3 2 4 3" xfId="29466" xr:uid="{00000000-0005-0000-0000-0000A86A0000}"/>
    <cellStyle name="Total 3 2 3 2 4 4" xfId="29467" xr:uid="{00000000-0005-0000-0000-0000A96A0000}"/>
    <cellStyle name="Total 3 2 3 2 4 5" xfId="29468" xr:uid="{00000000-0005-0000-0000-0000AA6A0000}"/>
    <cellStyle name="Total 3 2 3 2 5" xfId="29469" xr:uid="{00000000-0005-0000-0000-0000AB6A0000}"/>
    <cellStyle name="Total 3 2 3 2 5 2" xfId="29470" xr:uid="{00000000-0005-0000-0000-0000AC6A0000}"/>
    <cellStyle name="Total 3 2 3 2 5 3" xfId="29471" xr:uid="{00000000-0005-0000-0000-0000AD6A0000}"/>
    <cellStyle name="Total 3 2 3 2 5 4" xfId="29472" xr:uid="{00000000-0005-0000-0000-0000AE6A0000}"/>
    <cellStyle name="Total 3 2 3 2 6" xfId="29410" xr:uid="{00000000-0005-0000-0000-0000AF6A0000}"/>
    <cellStyle name="Total 3 2 3 2 7" xfId="17608" xr:uid="{00000000-0005-0000-0000-0000B06A0000}"/>
    <cellStyle name="Total 3 2 3 2 8" xfId="6035" xr:uid="{00000000-0005-0000-0000-0000B16A0000}"/>
    <cellStyle name="Total 3 2 3 3" xfId="10916" xr:uid="{00000000-0005-0000-0000-0000B26A0000}"/>
    <cellStyle name="Total 3 2 3 3 2" xfId="29473" xr:uid="{00000000-0005-0000-0000-0000B36A0000}"/>
    <cellStyle name="Total 3 2 3 3 2 2" xfId="18419" xr:uid="{00000000-0005-0000-0000-0000B46A0000}"/>
    <cellStyle name="Total 3 2 3 3 2 2 2" xfId="2524" xr:uid="{00000000-0005-0000-0000-0000B56A0000}"/>
    <cellStyle name="Total 3 2 3 3 2 2 2 2" xfId="29474" xr:uid="{00000000-0005-0000-0000-0000B66A0000}"/>
    <cellStyle name="Total 3 2 3 3 2 2 2 3" xfId="29475" xr:uid="{00000000-0005-0000-0000-0000B76A0000}"/>
    <cellStyle name="Total 3 2 3 3 2 2 2 4" xfId="29476" xr:uid="{00000000-0005-0000-0000-0000B86A0000}"/>
    <cellStyle name="Total 3 2 3 3 2 2 3" xfId="29477" xr:uid="{00000000-0005-0000-0000-0000B96A0000}"/>
    <cellStyle name="Total 3 2 3 3 2 2 4" xfId="29478" xr:uid="{00000000-0005-0000-0000-0000BA6A0000}"/>
    <cellStyle name="Total 3 2 3 3 2 2 5" xfId="26519" xr:uid="{00000000-0005-0000-0000-0000BB6A0000}"/>
    <cellStyle name="Total 3 2 3 3 2 3" xfId="29479" xr:uid="{00000000-0005-0000-0000-0000BC6A0000}"/>
    <cellStyle name="Total 3 2 3 3 2 3 2" xfId="29480" xr:uid="{00000000-0005-0000-0000-0000BD6A0000}"/>
    <cellStyle name="Total 3 2 3 3 2 3 3" xfId="29481" xr:uid="{00000000-0005-0000-0000-0000BE6A0000}"/>
    <cellStyle name="Total 3 2 3 3 2 3 4" xfId="29482" xr:uid="{00000000-0005-0000-0000-0000BF6A0000}"/>
    <cellStyle name="Total 3 2 3 3 2 4" xfId="29483" xr:uid="{00000000-0005-0000-0000-0000C06A0000}"/>
    <cellStyle name="Total 3 2 3 3 2 5" xfId="29484" xr:uid="{00000000-0005-0000-0000-0000C16A0000}"/>
    <cellStyle name="Total 3 2 3 3 2 6" xfId="26544" xr:uid="{00000000-0005-0000-0000-0000C26A0000}"/>
    <cellStyle name="Total 3 2 3 3 3" xfId="29485" xr:uid="{00000000-0005-0000-0000-0000C36A0000}"/>
    <cellStyle name="Total 3 2 3 3 3 2" xfId="29487" xr:uid="{00000000-0005-0000-0000-0000C46A0000}"/>
    <cellStyle name="Total 3 2 3 3 3 2 2" xfId="29488" xr:uid="{00000000-0005-0000-0000-0000C56A0000}"/>
    <cellStyle name="Total 3 2 3 3 3 2 3" xfId="29489" xr:uid="{00000000-0005-0000-0000-0000C66A0000}"/>
    <cellStyle name="Total 3 2 3 3 3 2 4" xfId="29490" xr:uid="{00000000-0005-0000-0000-0000C76A0000}"/>
    <cellStyle name="Total 3 2 3 3 3 3" xfId="29492" xr:uid="{00000000-0005-0000-0000-0000C86A0000}"/>
    <cellStyle name="Total 3 2 3 3 3 4" xfId="29493" xr:uid="{00000000-0005-0000-0000-0000C96A0000}"/>
    <cellStyle name="Total 3 2 3 3 3 5" xfId="4705" xr:uid="{00000000-0005-0000-0000-0000CA6A0000}"/>
    <cellStyle name="Total 3 2 3 3 4" xfId="29494" xr:uid="{00000000-0005-0000-0000-0000CB6A0000}"/>
    <cellStyle name="Total 3 2 3 3 4 2" xfId="29496" xr:uid="{00000000-0005-0000-0000-0000CC6A0000}"/>
    <cellStyle name="Total 3 2 3 3 4 3" xfId="29497" xr:uid="{00000000-0005-0000-0000-0000CD6A0000}"/>
    <cellStyle name="Total 3 2 3 3 4 4" xfId="29498" xr:uid="{00000000-0005-0000-0000-0000CE6A0000}"/>
    <cellStyle name="Total 3 2 3 3 5" xfId="29499" xr:uid="{00000000-0005-0000-0000-0000CF6A0000}"/>
    <cellStyle name="Total 3 2 3 3 6" xfId="29501" xr:uid="{00000000-0005-0000-0000-0000D06A0000}"/>
    <cellStyle name="Total 3 2 3 3 7" xfId="29503" xr:uid="{00000000-0005-0000-0000-0000D16A0000}"/>
    <cellStyle name="Total 3 2 3 4" xfId="10918" xr:uid="{00000000-0005-0000-0000-0000D26A0000}"/>
    <cellStyle name="Total 3 2 3 4 2" xfId="29504" xr:uid="{00000000-0005-0000-0000-0000D36A0000}"/>
    <cellStyle name="Total 3 2 3 4 2 2" xfId="29505" xr:uid="{00000000-0005-0000-0000-0000D46A0000}"/>
    <cellStyle name="Total 3 2 3 4 2 2 2" xfId="29506" xr:uid="{00000000-0005-0000-0000-0000D56A0000}"/>
    <cellStyle name="Total 3 2 3 4 2 2 3" xfId="29507" xr:uid="{00000000-0005-0000-0000-0000D66A0000}"/>
    <cellStyle name="Total 3 2 3 4 2 2 4" xfId="29508" xr:uid="{00000000-0005-0000-0000-0000D76A0000}"/>
    <cellStyle name="Total 3 2 3 4 2 3" xfId="29509" xr:uid="{00000000-0005-0000-0000-0000D86A0000}"/>
    <cellStyle name="Total 3 2 3 4 2 4" xfId="9483" xr:uid="{00000000-0005-0000-0000-0000D96A0000}"/>
    <cellStyle name="Total 3 2 3 4 2 5" xfId="9486" xr:uid="{00000000-0005-0000-0000-0000DA6A0000}"/>
    <cellStyle name="Total 3 2 3 4 3" xfId="29510" xr:uid="{00000000-0005-0000-0000-0000DB6A0000}"/>
    <cellStyle name="Total 3 2 3 4 3 2" xfId="29512" xr:uid="{00000000-0005-0000-0000-0000DC6A0000}"/>
    <cellStyle name="Total 3 2 3 4 3 3" xfId="29513" xr:uid="{00000000-0005-0000-0000-0000DD6A0000}"/>
    <cellStyle name="Total 3 2 3 4 3 4" xfId="29514" xr:uid="{00000000-0005-0000-0000-0000DE6A0000}"/>
    <cellStyle name="Total 3 2 3 4 4" xfId="29515" xr:uid="{00000000-0005-0000-0000-0000DF6A0000}"/>
    <cellStyle name="Total 3 2 3 4 5" xfId="29516" xr:uid="{00000000-0005-0000-0000-0000E06A0000}"/>
    <cellStyle name="Total 3 2 3 4 6" xfId="29518" xr:uid="{00000000-0005-0000-0000-0000E16A0000}"/>
    <cellStyle name="Total 3 2 3 5" xfId="29519" xr:uid="{00000000-0005-0000-0000-0000E26A0000}"/>
    <cellStyle name="Total 3 2 3 5 2" xfId="29520" xr:uid="{00000000-0005-0000-0000-0000E36A0000}"/>
    <cellStyle name="Total 3 2 3 5 2 2" xfId="25186" xr:uid="{00000000-0005-0000-0000-0000E46A0000}"/>
    <cellStyle name="Total 3 2 3 5 2 3" xfId="25188" xr:uid="{00000000-0005-0000-0000-0000E56A0000}"/>
    <cellStyle name="Total 3 2 3 5 2 4" xfId="29521" xr:uid="{00000000-0005-0000-0000-0000E66A0000}"/>
    <cellStyle name="Total 3 2 3 5 3" xfId="29522" xr:uid="{00000000-0005-0000-0000-0000E76A0000}"/>
    <cellStyle name="Total 3 2 3 5 4" xfId="29523" xr:uid="{00000000-0005-0000-0000-0000E86A0000}"/>
    <cellStyle name="Total 3 2 3 5 5" xfId="29524" xr:uid="{00000000-0005-0000-0000-0000E96A0000}"/>
    <cellStyle name="Total 3 2 3 6" xfId="29525" xr:uid="{00000000-0005-0000-0000-0000EA6A0000}"/>
    <cellStyle name="Total 3 2 3 6 2" xfId="28288" xr:uid="{00000000-0005-0000-0000-0000EB6A0000}"/>
    <cellStyle name="Total 3 2 3 6 3" xfId="28292" xr:uid="{00000000-0005-0000-0000-0000EC6A0000}"/>
    <cellStyle name="Total 3 2 3 6 4" xfId="28294" xr:uid="{00000000-0005-0000-0000-0000ED6A0000}"/>
    <cellStyle name="Total 3 2 3 7" xfId="14122" xr:uid="{00000000-0005-0000-0000-0000EE6A0000}"/>
    <cellStyle name="Total 3 2 3 8" xfId="14127" xr:uid="{00000000-0005-0000-0000-0000EF6A0000}"/>
    <cellStyle name="Total 3 2 3 9" xfId="14133" xr:uid="{00000000-0005-0000-0000-0000F06A0000}"/>
    <cellStyle name="Total 3 2 4" xfId="10920" xr:uid="{00000000-0005-0000-0000-0000F16A0000}"/>
    <cellStyle name="Total 3 2 4 2" xfId="29526" xr:uid="{00000000-0005-0000-0000-0000F26A0000}"/>
    <cellStyle name="Total 3 2 4 2 2" xfId="29527" xr:uid="{00000000-0005-0000-0000-0000F36A0000}"/>
    <cellStyle name="Total 3 2 4 2 2 2" xfId="20280" xr:uid="{00000000-0005-0000-0000-0000F46A0000}"/>
    <cellStyle name="Total 3 2 4 2 2 2 2" xfId="5327" xr:uid="{00000000-0005-0000-0000-0000F56A0000}"/>
    <cellStyle name="Total 3 2 4 2 2 2 2 2" xfId="29529" xr:uid="{00000000-0005-0000-0000-0000F66A0000}"/>
    <cellStyle name="Total 3 2 4 2 2 2 2 3" xfId="29531" xr:uid="{00000000-0005-0000-0000-0000F76A0000}"/>
    <cellStyle name="Total 3 2 4 2 2 2 2 4" xfId="29533" xr:uid="{00000000-0005-0000-0000-0000F86A0000}"/>
    <cellStyle name="Total 3 2 4 2 2 2 3" xfId="5335" xr:uid="{00000000-0005-0000-0000-0000F96A0000}"/>
    <cellStyle name="Total 3 2 4 2 2 2 4" xfId="8770" xr:uid="{00000000-0005-0000-0000-0000FA6A0000}"/>
    <cellStyle name="Total 3 2 4 2 2 2 5" xfId="8772" xr:uid="{00000000-0005-0000-0000-0000FB6A0000}"/>
    <cellStyle name="Total 3 2 4 2 2 3" xfId="29534" xr:uid="{00000000-0005-0000-0000-0000FC6A0000}"/>
    <cellStyle name="Total 3 2 4 2 2 3 2" xfId="5478" xr:uid="{00000000-0005-0000-0000-0000FD6A0000}"/>
    <cellStyle name="Total 3 2 4 2 2 3 3" xfId="29535" xr:uid="{00000000-0005-0000-0000-0000FE6A0000}"/>
    <cellStyle name="Total 3 2 4 2 2 3 4" xfId="29536" xr:uid="{00000000-0005-0000-0000-0000FF6A0000}"/>
    <cellStyle name="Total 3 2 4 2 2 4" xfId="29537" xr:uid="{00000000-0005-0000-0000-0000006B0000}"/>
    <cellStyle name="Total 3 2 4 2 2 5" xfId="29538" xr:uid="{00000000-0005-0000-0000-0000016B0000}"/>
    <cellStyle name="Total 3 2 4 2 2 6" xfId="16056" xr:uid="{00000000-0005-0000-0000-0000026B0000}"/>
    <cellStyle name="Total 3 2 4 2 3" xfId="29539" xr:uid="{00000000-0005-0000-0000-0000036B0000}"/>
    <cellStyle name="Total 3 2 4 2 3 2" xfId="27583" xr:uid="{00000000-0005-0000-0000-0000046B0000}"/>
    <cellStyle name="Total 3 2 4 2 3 2 2" xfId="5533" xr:uid="{00000000-0005-0000-0000-0000056B0000}"/>
    <cellStyle name="Total 3 2 4 2 3 2 3" xfId="29540" xr:uid="{00000000-0005-0000-0000-0000066B0000}"/>
    <cellStyle name="Total 3 2 4 2 3 2 4" xfId="29541" xr:uid="{00000000-0005-0000-0000-0000076B0000}"/>
    <cellStyle name="Total 3 2 4 2 3 3" xfId="27585" xr:uid="{00000000-0005-0000-0000-0000086B0000}"/>
    <cellStyle name="Total 3 2 4 2 3 4" xfId="29542" xr:uid="{00000000-0005-0000-0000-0000096B0000}"/>
    <cellStyle name="Total 3 2 4 2 3 5" xfId="29543" xr:uid="{00000000-0005-0000-0000-00000A6B0000}"/>
    <cellStyle name="Total 3 2 4 2 4" xfId="29544" xr:uid="{00000000-0005-0000-0000-00000B6B0000}"/>
    <cellStyle name="Total 3 2 4 2 4 2" xfId="29545" xr:uid="{00000000-0005-0000-0000-00000C6B0000}"/>
    <cellStyle name="Total 3 2 4 2 4 3" xfId="29546" xr:uid="{00000000-0005-0000-0000-00000D6B0000}"/>
    <cellStyle name="Total 3 2 4 2 4 4" xfId="29547" xr:uid="{00000000-0005-0000-0000-00000E6B0000}"/>
    <cellStyle name="Total 3 2 4 2 5" xfId="29548" xr:uid="{00000000-0005-0000-0000-00000F6B0000}"/>
    <cellStyle name="Total 3 2 4 2 6" xfId="29549" xr:uid="{00000000-0005-0000-0000-0000106B0000}"/>
    <cellStyle name="Total 3 2 4 2 7" xfId="24774" xr:uid="{00000000-0005-0000-0000-0000116B0000}"/>
    <cellStyle name="Total 3 2 4 3" xfId="29550" xr:uid="{00000000-0005-0000-0000-0000126B0000}"/>
    <cellStyle name="Total 3 2 4 3 2" xfId="5382" xr:uid="{00000000-0005-0000-0000-0000136B0000}"/>
    <cellStyle name="Total 3 2 4 3 2 2" xfId="29551" xr:uid="{00000000-0005-0000-0000-0000146B0000}"/>
    <cellStyle name="Total 3 2 4 3 2 2 2" xfId="125" xr:uid="{00000000-0005-0000-0000-0000156B0000}"/>
    <cellStyle name="Total 3 2 4 3 2 2 3" xfId="1901" xr:uid="{00000000-0005-0000-0000-0000166B0000}"/>
    <cellStyle name="Total 3 2 4 3 2 2 4" xfId="1904" xr:uid="{00000000-0005-0000-0000-0000176B0000}"/>
    <cellStyle name="Total 3 2 4 3 2 3" xfId="29552" xr:uid="{00000000-0005-0000-0000-0000186B0000}"/>
    <cellStyle name="Total 3 2 4 3 2 4" xfId="29553" xr:uid="{00000000-0005-0000-0000-0000196B0000}"/>
    <cellStyle name="Total 3 2 4 3 2 5" xfId="29554" xr:uid="{00000000-0005-0000-0000-00001A6B0000}"/>
    <cellStyle name="Total 3 2 4 3 3" xfId="29555" xr:uid="{00000000-0005-0000-0000-00001B6B0000}"/>
    <cellStyle name="Total 3 2 4 3 3 2" xfId="29557" xr:uid="{00000000-0005-0000-0000-00001C6B0000}"/>
    <cellStyle name="Total 3 2 4 3 3 3" xfId="29559" xr:uid="{00000000-0005-0000-0000-00001D6B0000}"/>
    <cellStyle name="Total 3 2 4 3 3 4" xfId="29560" xr:uid="{00000000-0005-0000-0000-00001E6B0000}"/>
    <cellStyle name="Total 3 2 4 3 4" xfId="29561" xr:uid="{00000000-0005-0000-0000-00001F6B0000}"/>
    <cellStyle name="Total 3 2 4 3 5" xfId="29562" xr:uid="{00000000-0005-0000-0000-0000206B0000}"/>
    <cellStyle name="Total 3 2 4 3 6" xfId="29564" xr:uid="{00000000-0005-0000-0000-0000216B0000}"/>
    <cellStyle name="Total 3 2 4 4" xfId="29565" xr:uid="{00000000-0005-0000-0000-0000226B0000}"/>
    <cellStyle name="Total 3 2 4 4 2" xfId="29566" xr:uid="{00000000-0005-0000-0000-0000236B0000}"/>
    <cellStyle name="Total 3 2 4 4 2 2" xfId="29567" xr:uid="{00000000-0005-0000-0000-0000246B0000}"/>
    <cellStyle name="Total 3 2 4 4 2 3" xfId="29568" xr:uid="{00000000-0005-0000-0000-0000256B0000}"/>
    <cellStyle name="Total 3 2 4 4 2 4" xfId="7301" xr:uid="{00000000-0005-0000-0000-0000266B0000}"/>
    <cellStyle name="Total 3 2 4 4 3" xfId="29569" xr:uid="{00000000-0005-0000-0000-0000276B0000}"/>
    <cellStyle name="Total 3 2 4 4 4" xfId="29570" xr:uid="{00000000-0005-0000-0000-0000286B0000}"/>
    <cellStyle name="Total 3 2 4 4 5" xfId="29571" xr:uid="{00000000-0005-0000-0000-0000296B0000}"/>
    <cellStyle name="Total 3 2 4 5" xfId="29572" xr:uid="{00000000-0005-0000-0000-00002A6B0000}"/>
    <cellStyle name="Total 3 2 4 5 2" xfId="29573" xr:uid="{00000000-0005-0000-0000-00002B6B0000}"/>
    <cellStyle name="Total 3 2 4 5 3" xfId="29574" xr:uid="{00000000-0005-0000-0000-00002C6B0000}"/>
    <cellStyle name="Total 3 2 4 5 4" xfId="29575" xr:uid="{00000000-0005-0000-0000-00002D6B0000}"/>
    <cellStyle name="Total 3 2 4 6" xfId="29576" xr:uid="{00000000-0005-0000-0000-00002E6B0000}"/>
    <cellStyle name="Total 3 2 4 7" xfId="21782" xr:uid="{00000000-0005-0000-0000-00002F6B0000}"/>
    <cellStyle name="Total 3 2 4 8" xfId="21784" xr:uid="{00000000-0005-0000-0000-0000306B0000}"/>
    <cellStyle name="Total 3 2 5" xfId="10923" xr:uid="{00000000-0005-0000-0000-0000316B0000}"/>
    <cellStyle name="Total 3 2 5 2" xfId="29577" xr:uid="{00000000-0005-0000-0000-0000326B0000}"/>
    <cellStyle name="Total 3 2 5 2 2" xfId="29578" xr:uid="{00000000-0005-0000-0000-0000336B0000}"/>
    <cellStyle name="Total 3 2 5 2 2 2" xfId="29579" xr:uid="{00000000-0005-0000-0000-0000346B0000}"/>
    <cellStyle name="Total 3 2 5 2 2 2 2" xfId="5984" xr:uid="{00000000-0005-0000-0000-0000356B0000}"/>
    <cellStyle name="Total 3 2 5 2 2 2 3" xfId="5991" xr:uid="{00000000-0005-0000-0000-0000366B0000}"/>
    <cellStyle name="Total 3 2 5 2 2 2 4" xfId="29580" xr:uid="{00000000-0005-0000-0000-0000376B0000}"/>
    <cellStyle name="Total 3 2 5 2 2 3" xfId="29581" xr:uid="{00000000-0005-0000-0000-0000386B0000}"/>
    <cellStyle name="Total 3 2 5 2 2 4" xfId="29582" xr:uid="{00000000-0005-0000-0000-0000396B0000}"/>
    <cellStyle name="Total 3 2 5 2 2 5" xfId="29583" xr:uid="{00000000-0005-0000-0000-00003A6B0000}"/>
    <cellStyle name="Total 3 2 5 2 3" xfId="29584" xr:uid="{00000000-0005-0000-0000-00003B6B0000}"/>
    <cellStyle name="Total 3 2 5 2 3 2" xfId="29585" xr:uid="{00000000-0005-0000-0000-00003C6B0000}"/>
    <cellStyle name="Total 3 2 5 2 3 3" xfId="29586" xr:uid="{00000000-0005-0000-0000-00003D6B0000}"/>
    <cellStyle name="Total 3 2 5 2 3 4" xfId="29587" xr:uid="{00000000-0005-0000-0000-00003E6B0000}"/>
    <cellStyle name="Total 3 2 5 2 4" xfId="29588" xr:uid="{00000000-0005-0000-0000-00003F6B0000}"/>
    <cellStyle name="Total 3 2 5 2 5" xfId="29589" xr:uid="{00000000-0005-0000-0000-0000406B0000}"/>
    <cellStyle name="Total 3 2 5 2 6" xfId="29590" xr:uid="{00000000-0005-0000-0000-0000416B0000}"/>
    <cellStyle name="Total 3 2 5 3" xfId="29591" xr:uid="{00000000-0005-0000-0000-0000426B0000}"/>
    <cellStyle name="Total 3 2 5 3 2" xfId="22634" xr:uid="{00000000-0005-0000-0000-0000436B0000}"/>
    <cellStyle name="Total 3 2 5 3 2 2" xfId="5113" xr:uid="{00000000-0005-0000-0000-0000446B0000}"/>
    <cellStyle name="Total 3 2 5 3 2 3" xfId="5117" xr:uid="{00000000-0005-0000-0000-0000456B0000}"/>
    <cellStyle name="Total 3 2 5 3 2 4" xfId="5122" xr:uid="{00000000-0005-0000-0000-0000466B0000}"/>
    <cellStyle name="Total 3 2 5 3 3" xfId="22638" xr:uid="{00000000-0005-0000-0000-0000476B0000}"/>
    <cellStyle name="Total 3 2 5 3 4" xfId="22643" xr:uid="{00000000-0005-0000-0000-0000486B0000}"/>
    <cellStyle name="Total 3 2 5 3 5" xfId="22645" xr:uid="{00000000-0005-0000-0000-0000496B0000}"/>
    <cellStyle name="Total 3 2 5 4" xfId="23273" xr:uid="{00000000-0005-0000-0000-00004A6B0000}"/>
    <cellStyle name="Total 3 2 5 4 2" xfId="22751" xr:uid="{00000000-0005-0000-0000-00004B6B0000}"/>
    <cellStyle name="Total 3 2 5 4 3" xfId="22755" xr:uid="{00000000-0005-0000-0000-00004C6B0000}"/>
    <cellStyle name="Total 3 2 5 4 4" xfId="22759" xr:uid="{00000000-0005-0000-0000-00004D6B0000}"/>
    <cellStyle name="Total 3 2 5 5" xfId="23275" xr:uid="{00000000-0005-0000-0000-00004E6B0000}"/>
    <cellStyle name="Total 3 2 5 6" xfId="23277" xr:uid="{00000000-0005-0000-0000-00004F6B0000}"/>
    <cellStyle name="Total 3 2 5 7" xfId="29592" xr:uid="{00000000-0005-0000-0000-0000506B0000}"/>
    <cellStyle name="Total 3 2 6" xfId="10925" xr:uid="{00000000-0005-0000-0000-0000516B0000}"/>
    <cellStyle name="Total 3 2 6 2" xfId="14754" xr:uid="{00000000-0005-0000-0000-0000526B0000}"/>
    <cellStyle name="Total 3 2 6 2 2" xfId="29593" xr:uid="{00000000-0005-0000-0000-0000536B0000}"/>
    <cellStyle name="Total 3 2 6 2 2 2" xfId="29594" xr:uid="{00000000-0005-0000-0000-0000546B0000}"/>
    <cellStyle name="Total 3 2 6 2 2 3" xfId="29596" xr:uid="{00000000-0005-0000-0000-0000556B0000}"/>
    <cellStyle name="Total 3 2 6 2 2 4" xfId="11072" xr:uid="{00000000-0005-0000-0000-0000566B0000}"/>
    <cellStyle name="Total 3 2 6 2 3" xfId="29597" xr:uid="{00000000-0005-0000-0000-0000576B0000}"/>
    <cellStyle name="Total 3 2 6 2 4" xfId="29598" xr:uid="{00000000-0005-0000-0000-0000586B0000}"/>
    <cellStyle name="Total 3 2 6 2 5" xfId="29599" xr:uid="{00000000-0005-0000-0000-0000596B0000}"/>
    <cellStyle name="Total 3 2 6 3" xfId="22725" xr:uid="{00000000-0005-0000-0000-00005A6B0000}"/>
    <cellStyle name="Total 3 2 6 3 2" xfId="22920" xr:uid="{00000000-0005-0000-0000-00005B6B0000}"/>
    <cellStyle name="Total 3 2 6 3 3" xfId="22928" xr:uid="{00000000-0005-0000-0000-00005C6B0000}"/>
    <cellStyle name="Total 3 2 6 3 4" xfId="22093" xr:uid="{00000000-0005-0000-0000-00005D6B0000}"/>
    <cellStyle name="Total 3 2 6 4" xfId="22727" xr:uid="{00000000-0005-0000-0000-00005E6B0000}"/>
    <cellStyle name="Total 3 2 6 5" xfId="29600" xr:uid="{00000000-0005-0000-0000-00005F6B0000}"/>
    <cellStyle name="Total 3 2 6 6" xfId="29601" xr:uid="{00000000-0005-0000-0000-0000606B0000}"/>
    <cellStyle name="Total 3 2 7" xfId="29602" xr:uid="{00000000-0005-0000-0000-0000616B0000}"/>
    <cellStyle name="Total 3 2 7 2" xfId="22729" xr:uid="{00000000-0005-0000-0000-0000626B0000}"/>
    <cellStyle name="Total 3 2 7 2 2" xfId="29603" xr:uid="{00000000-0005-0000-0000-0000636B0000}"/>
    <cellStyle name="Total 3 2 7 2 3" xfId="29604" xr:uid="{00000000-0005-0000-0000-0000646B0000}"/>
    <cellStyle name="Total 3 2 7 2 4" xfId="29605" xr:uid="{00000000-0005-0000-0000-0000656B0000}"/>
    <cellStyle name="Total 3 2 7 3" xfId="22731" xr:uid="{00000000-0005-0000-0000-0000666B0000}"/>
    <cellStyle name="Total 3 2 7 4" xfId="29606" xr:uid="{00000000-0005-0000-0000-0000676B0000}"/>
    <cellStyle name="Total 3 2 7 5" xfId="29607" xr:uid="{00000000-0005-0000-0000-0000686B0000}"/>
    <cellStyle name="Total 3 2 8" xfId="29608" xr:uid="{00000000-0005-0000-0000-0000696B0000}"/>
    <cellStyle name="Total 3 2 8 2" xfId="29609" xr:uid="{00000000-0005-0000-0000-00006A6B0000}"/>
    <cellStyle name="Total 3 2 8 3" xfId="29610" xr:uid="{00000000-0005-0000-0000-00006B6B0000}"/>
    <cellStyle name="Total 3 2 8 4" xfId="29611" xr:uid="{00000000-0005-0000-0000-00006C6B0000}"/>
    <cellStyle name="Total 3 2 9" xfId="11646" xr:uid="{00000000-0005-0000-0000-00006D6B0000}"/>
    <cellStyle name="Total 3 3" xfId="20670" xr:uid="{00000000-0005-0000-0000-00006E6B0000}"/>
    <cellStyle name="Total 3 3 2" xfId="11181" xr:uid="{00000000-0005-0000-0000-00006F6B0000}"/>
    <cellStyle name="Total 3 3 2 2" xfId="11183" xr:uid="{00000000-0005-0000-0000-0000706B0000}"/>
    <cellStyle name="Total 3 3 2 2 2" xfId="9873" xr:uid="{00000000-0005-0000-0000-0000716B0000}"/>
    <cellStyle name="Total 3 3 2 2 2 2" xfId="16821" xr:uid="{00000000-0005-0000-0000-0000726B0000}"/>
    <cellStyle name="Total 3 3 2 2 2 2 2" xfId="26000" xr:uid="{00000000-0005-0000-0000-0000736B0000}"/>
    <cellStyle name="Total 3 3 2 2 2 2 2 2" xfId="5255" xr:uid="{00000000-0005-0000-0000-0000746B0000}"/>
    <cellStyle name="Total 3 3 2 2 2 2 2 3" xfId="29612" xr:uid="{00000000-0005-0000-0000-0000756B0000}"/>
    <cellStyle name="Total 3 3 2 2 2 2 2 4" xfId="29613" xr:uid="{00000000-0005-0000-0000-0000766B0000}"/>
    <cellStyle name="Total 3 3 2 2 2 2 3" xfId="26002" xr:uid="{00000000-0005-0000-0000-0000776B0000}"/>
    <cellStyle name="Total 3 3 2 2 2 2 4" xfId="29614" xr:uid="{00000000-0005-0000-0000-0000786B0000}"/>
    <cellStyle name="Total 3 3 2 2 2 2 5" xfId="29615" xr:uid="{00000000-0005-0000-0000-0000796B0000}"/>
    <cellStyle name="Total 3 3 2 2 2 3" xfId="16631" xr:uid="{00000000-0005-0000-0000-00007A6B0000}"/>
    <cellStyle name="Total 3 3 2 2 2 3 2" xfId="16635" xr:uid="{00000000-0005-0000-0000-00007B6B0000}"/>
    <cellStyle name="Total 3 3 2 2 2 3 3" xfId="16641" xr:uid="{00000000-0005-0000-0000-00007C6B0000}"/>
    <cellStyle name="Total 3 3 2 2 2 3 4" xfId="10206" xr:uid="{00000000-0005-0000-0000-00007D6B0000}"/>
    <cellStyle name="Total 3 3 2 2 2 4" xfId="3685" xr:uid="{00000000-0005-0000-0000-00007E6B0000}"/>
    <cellStyle name="Total 3 3 2 2 2 5" xfId="3693" xr:uid="{00000000-0005-0000-0000-00007F6B0000}"/>
    <cellStyle name="Total 3 3 2 2 2 6" xfId="9306" xr:uid="{00000000-0005-0000-0000-0000806B0000}"/>
    <cellStyle name="Total 3 3 2 2 3" xfId="11185" xr:uid="{00000000-0005-0000-0000-0000816B0000}"/>
    <cellStyle name="Total 3 3 2 2 3 2" xfId="20715" xr:uid="{00000000-0005-0000-0000-0000826B0000}"/>
    <cellStyle name="Total 3 3 2 2 3 2 2" xfId="26017" xr:uid="{00000000-0005-0000-0000-0000836B0000}"/>
    <cellStyle name="Total 3 3 2 2 3 2 3" xfId="8695" xr:uid="{00000000-0005-0000-0000-0000846B0000}"/>
    <cellStyle name="Total 3 3 2 2 3 2 4" xfId="14066" xr:uid="{00000000-0005-0000-0000-0000856B0000}"/>
    <cellStyle name="Total 3 3 2 2 3 3" xfId="16645" xr:uid="{00000000-0005-0000-0000-0000866B0000}"/>
    <cellStyle name="Total 3 3 2 2 3 4" xfId="10368" xr:uid="{00000000-0005-0000-0000-0000876B0000}"/>
    <cellStyle name="Total 3 3 2 2 3 5" xfId="10387" xr:uid="{00000000-0005-0000-0000-0000886B0000}"/>
    <cellStyle name="Total 3 3 2 2 4" xfId="11188" xr:uid="{00000000-0005-0000-0000-0000896B0000}"/>
    <cellStyle name="Total 3 3 2 2 4 2" xfId="26490" xr:uid="{00000000-0005-0000-0000-00008A6B0000}"/>
    <cellStyle name="Total 3 3 2 2 4 3" xfId="16652" xr:uid="{00000000-0005-0000-0000-00008B6B0000}"/>
    <cellStyle name="Total 3 3 2 2 4 4" xfId="10409" xr:uid="{00000000-0005-0000-0000-00008C6B0000}"/>
    <cellStyle name="Total 3 3 2 2 5" xfId="29616" xr:uid="{00000000-0005-0000-0000-00008D6B0000}"/>
    <cellStyle name="Total 3 3 2 2 6" xfId="29486" xr:uid="{00000000-0005-0000-0000-00008E6B0000}"/>
    <cellStyle name="Total 3 3 2 2 7" xfId="29491" xr:uid="{00000000-0005-0000-0000-00008F6B0000}"/>
    <cellStyle name="Total 3 3 2 3" xfId="11190" xr:uid="{00000000-0005-0000-0000-0000906B0000}"/>
    <cellStyle name="Total 3 3 2 3 2" xfId="29617" xr:uid="{00000000-0005-0000-0000-0000916B0000}"/>
    <cellStyle name="Total 3 3 2 3 2 2" xfId="18587" xr:uid="{00000000-0005-0000-0000-0000926B0000}"/>
    <cellStyle name="Total 3 3 2 3 2 2 2" xfId="26052" xr:uid="{00000000-0005-0000-0000-0000936B0000}"/>
    <cellStyle name="Total 3 3 2 3 2 2 3" xfId="23978" xr:uid="{00000000-0005-0000-0000-0000946B0000}"/>
    <cellStyle name="Total 3 3 2 3 2 2 4" xfId="23980" xr:uid="{00000000-0005-0000-0000-0000956B0000}"/>
    <cellStyle name="Total 3 3 2 3 2 3" xfId="2119" xr:uid="{00000000-0005-0000-0000-0000966B0000}"/>
    <cellStyle name="Total 3 3 2 3 2 4" xfId="2238" xr:uid="{00000000-0005-0000-0000-0000976B0000}"/>
    <cellStyle name="Total 3 3 2 3 2 5" xfId="1925" xr:uid="{00000000-0005-0000-0000-0000986B0000}"/>
    <cellStyle name="Total 3 3 2 3 3" xfId="29618" xr:uid="{00000000-0005-0000-0000-0000996B0000}"/>
    <cellStyle name="Total 3 3 2 3 3 2" xfId="26497" xr:uid="{00000000-0005-0000-0000-00009A6B0000}"/>
    <cellStyle name="Total 3 3 2 3 3 3" xfId="4883" xr:uid="{00000000-0005-0000-0000-00009B6B0000}"/>
    <cellStyle name="Total 3 3 2 3 3 4" xfId="6342" xr:uid="{00000000-0005-0000-0000-00009C6B0000}"/>
    <cellStyle name="Total 3 3 2 3 4" xfId="29619" xr:uid="{00000000-0005-0000-0000-00009D6B0000}"/>
    <cellStyle name="Total 3 3 2 3 5" xfId="29620" xr:uid="{00000000-0005-0000-0000-00009E6B0000}"/>
    <cellStyle name="Total 3 3 2 3 6" xfId="29495" xr:uid="{00000000-0005-0000-0000-00009F6B0000}"/>
    <cellStyle name="Total 3 3 2 4" xfId="11192" xr:uid="{00000000-0005-0000-0000-0000A06B0000}"/>
    <cellStyle name="Total 3 3 2 4 2" xfId="29621" xr:uid="{00000000-0005-0000-0000-0000A16B0000}"/>
    <cellStyle name="Total 3 3 2 4 2 2" xfId="15529" xr:uid="{00000000-0005-0000-0000-0000A26B0000}"/>
    <cellStyle name="Total 3 3 2 4 2 3" xfId="9796" xr:uid="{00000000-0005-0000-0000-0000A36B0000}"/>
    <cellStyle name="Total 3 3 2 4 2 4" xfId="9801" xr:uid="{00000000-0005-0000-0000-0000A46B0000}"/>
    <cellStyle name="Total 3 3 2 4 3" xfId="29622" xr:uid="{00000000-0005-0000-0000-0000A56B0000}"/>
    <cellStyle name="Total 3 3 2 4 4" xfId="29623" xr:uid="{00000000-0005-0000-0000-0000A66B0000}"/>
    <cellStyle name="Total 3 3 2 4 5" xfId="29624" xr:uid="{00000000-0005-0000-0000-0000A76B0000}"/>
    <cellStyle name="Total 3 3 2 5" xfId="11195" xr:uid="{00000000-0005-0000-0000-0000A86B0000}"/>
    <cellStyle name="Total 3 3 2 5 2" xfId="24626" xr:uid="{00000000-0005-0000-0000-0000A96B0000}"/>
    <cellStyle name="Total 3 3 2 5 3" xfId="24628" xr:uid="{00000000-0005-0000-0000-0000AA6B0000}"/>
    <cellStyle name="Total 3 3 2 5 4" xfId="29625" xr:uid="{00000000-0005-0000-0000-0000AB6B0000}"/>
    <cellStyle name="Total 3 3 2 6" xfId="29627" xr:uid="{00000000-0005-0000-0000-0000AC6B0000}"/>
    <cellStyle name="Total 3 3 2 7" xfId="29629" xr:uid="{00000000-0005-0000-0000-0000AD6B0000}"/>
    <cellStyle name="Total 3 3 2 8" xfId="29630" xr:uid="{00000000-0005-0000-0000-0000AE6B0000}"/>
    <cellStyle name="Total 3 3 3" xfId="11197" xr:uid="{00000000-0005-0000-0000-0000AF6B0000}"/>
    <cellStyle name="Total 3 3 3 2" xfId="11199" xr:uid="{00000000-0005-0000-0000-0000B06B0000}"/>
    <cellStyle name="Total 3 3 3 2 2" xfId="29631" xr:uid="{00000000-0005-0000-0000-0000B16B0000}"/>
    <cellStyle name="Total 3 3 3 2 2 2" xfId="3616" xr:uid="{00000000-0005-0000-0000-0000B26B0000}"/>
    <cellStyle name="Total 3 3 3 2 2 2 2" xfId="26782" xr:uid="{00000000-0005-0000-0000-0000B36B0000}"/>
    <cellStyle name="Total 3 3 3 2 2 2 3" xfId="903" xr:uid="{00000000-0005-0000-0000-0000B46B0000}"/>
    <cellStyle name="Total 3 3 3 2 2 2 4" xfId="29632" xr:uid="{00000000-0005-0000-0000-0000B56B0000}"/>
    <cellStyle name="Total 3 3 3 2 2 3" xfId="10285" xr:uid="{00000000-0005-0000-0000-0000B66B0000}"/>
    <cellStyle name="Total 3 3 3 2 2 4" xfId="7933" xr:uid="{00000000-0005-0000-0000-0000B76B0000}"/>
    <cellStyle name="Total 3 3 3 2 2 5" xfId="27055" xr:uid="{00000000-0005-0000-0000-0000B86B0000}"/>
    <cellStyle name="Total 3 3 3 2 3" xfId="29633" xr:uid="{00000000-0005-0000-0000-0000B96B0000}"/>
    <cellStyle name="Total 3 3 3 2 3 2" xfId="10441" xr:uid="{00000000-0005-0000-0000-0000BA6B0000}"/>
    <cellStyle name="Total 3 3 3 2 3 3" xfId="10445" xr:uid="{00000000-0005-0000-0000-0000BB6B0000}"/>
    <cellStyle name="Total 3 3 3 2 3 4" xfId="10450" xr:uid="{00000000-0005-0000-0000-0000BC6B0000}"/>
    <cellStyle name="Total 3 3 3 2 4" xfId="29634" xr:uid="{00000000-0005-0000-0000-0000BD6B0000}"/>
    <cellStyle name="Total 3 3 3 2 5" xfId="29635" xr:uid="{00000000-0005-0000-0000-0000BE6B0000}"/>
    <cellStyle name="Total 3 3 3 2 6" xfId="29511" xr:uid="{00000000-0005-0000-0000-0000BF6B0000}"/>
    <cellStyle name="Total 3 3 3 3" xfId="11201" xr:uid="{00000000-0005-0000-0000-0000C06B0000}"/>
    <cellStyle name="Total 3 3 3 3 2" xfId="29636" xr:uid="{00000000-0005-0000-0000-0000C16B0000}"/>
    <cellStyle name="Total 3 3 3 3 2 2" xfId="8482" xr:uid="{00000000-0005-0000-0000-0000C26B0000}"/>
    <cellStyle name="Total 3 3 3 3 2 3" xfId="8495" xr:uid="{00000000-0005-0000-0000-0000C36B0000}"/>
    <cellStyle name="Total 3 3 3 3 2 4" xfId="8505" xr:uid="{00000000-0005-0000-0000-0000C46B0000}"/>
    <cellStyle name="Total 3 3 3 3 3" xfId="29637" xr:uid="{00000000-0005-0000-0000-0000C56B0000}"/>
    <cellStyle name="Total 3 3 3 3 4" xfId="29638" xr:uid="{00000000-0005-0000-0000-0000C66B0000}"/>
    <cellStyle name="Total 3 3 3 3 5" xfId="29639" xr:uid="{00000000-0005-0000-0000-0000C76B0000}"/>
    <cellStyle name="Total 3 3 3 4" xfId="11203" xr:uid="{00000000-0005-0000-0000-0000C86B0000}"/>
    <cellStyle name="Total 3 3 3 4 2" xfId="29640" xr:uid="{00000000-0005-0000-0000-0000C96B0000}"/>
    <cellStyle name="Total 3 3 3 4 3" xfId="29641" xr:uid="{00000000-0005-0000-0000-0000CA6B0000}"/>
    <cellStyle name="Total 3 3 3 4 4" xfId="29642" xr:uid="{00000000-0005-0000-0000-0000CB6B0000}"/>
    <cellStyle name="Total 3 3 3 5" xfId="29643" xr:uid="{00000000-0005-0000-0000-0000CC6B0000}"/>
    <cellStyle name="Total 3 3 3 6" xfId="29644" xr:uid="{00000000-0005-0000-0000-0000CD6B0000}"/>
    <cellStyle name="Total 3 3 3 7" xfId="2725" xr:uid="{00000000-0005-0000-0000-0000CE6B0000}"/>
    <cellStyle name="Total 3 3 4" xfId="11205" xr:uid="{00000000-0005-0000-0000-0000CF6B0000}"/>
    <cellStyle name="Total 3 3 4 2" xfId="29645" xr:uid="{00000000-0005-0000-0000-0000D06B0000}"/>
    <cellStyle name="Total 3 3 4 2 2" xfId="29646" xr:uid="{00000000-0005-0000-0000-0000D16B0000}"/>
    <cellStyle name="Total 3 3 4 2 2 2" xfId="20790" xr:uid="{00000000-0005-0000-0000-0000D26B0000}"/>
    <cellStyle name="Total 3 3 4 2 2 3" xfId="29647" xr:uid="{00000000-0005-0000-0000-0000D36B0000}"/>
    <cellStyle name="Total 3 3 4 2 2 4" xfId="29648" xr:uid="{00000000-0005-0000-0000-0000D46B0000}"/>
    <cellStyle name="Total 3 3 4 2 3" xfId="29649" xr:uid="{00000000-0005-0000-0000-0000D56B0000}"/>
    <cellStyle name="Total 3 3 4 2 4" xfId="25191" xr:uid="{00000000-0005-0000-0000-0000D66B0000}"/>
    <cellStyle name="Total 3 3 4 2 5" xfId="25193" xr:uid="{00000000-0005-0000-0000-0000D76B0000}"/>
    <cellStyle name="Total 3 3 4 3" xfId="29650" xr:uid="{00000000-0005-0000-0000-0000D86B0000}"/>
    <cellStyle name="Total 3 3 4 3 2" xfId="29651" xr:uid="{00000000-0005-0000-0000-0000D96B0000}"/>
    <cellStyle name="Total 3 3 4 3 3" xfId="29652" xr:uid="{00000000-0005-0000-0000-0000DA6B0000}"/>
    <cellStyle name="Total 3 3 4 3 4" xfId="29653" xr:uid="{00000000-0005-0000-0000-0000DB6B0000}"/>
    <cellStyle name="Total 3 3 4 4" xfId="29654" xr:uid="{00000000-0005-0000-0000-0000DC6B0000}"/>
    <cellStyle name="Total 3 3 4 5" xfId="29655" xr:uid="{00000000-0005-0000-0000-0000DD6B0000}"/>
    <cellStyle name="Total 3 3 4 6" xfId="29656" xr:uid="{00000000-0005-0000-0000-0000DE6B0000}"/>
    <cellStyle name="Total 3 3 5" xfId="11207" xr:uid="{00000000-0005-0000-0000-0000DF6B0000}"/>
    <cellStyle name="Total 3 3 5 2" xfId="29657" xr:uid="{00000000-0005-0000-0000-0000E06B0000}"/>
    <cellStyle name="Total 3 3 5 2 2" xfId="29658" xr:uid="{00000000-0005-0000-0000-0000E16B0000}"/>
    <cellStyle name="Total 3 3 5 2 3" xfId="29659" xr:uid="{00000000-0005-0000-0000-0000E26B0000}"/>
    <cellStyle name="Total 3 3 5 2 4" xfId="29660" xr:uid="{00000000-0005-0000-0000-0000E36B0000}"/>
    <cellStyle name="Total 3 3 5 3" xfId="29661" xr:uid="{00000000-0005-0000-0000-0000E46B0000}"/>
    <cellStyle name="Total 3 3 5 4" xfId="29662" xr:uid="{00000000-0005-0000-0000-0000E56B0000}"/>
    <cellStyle name="Total 3 3 5 5" xfId="29663" xr:uid="{00000000-0005-0000-0000-0000E66B0000}"/>
    <cellStyle name="Total 3 3 6" xfId="11209" xr:uid="{00000000-0005-0000-0000-0000E76B0000}"/>
    <cellStyle name="Total 3 3 6 2" xfId="22735" xr:uid="{00000000-0005-0000-0000-0000E86B0000}"/>
    <cellStyle name="Total 3 3 6 3" xfId="22737" xr:uid="{00000000-0005-0000-0000-0000E96B0000}"/>
    <cellStyle name="Total 3 3 6 4" xfId="29664" xr:uid="{00000000-0005-0000-0000-0000EA6B0000}"/>
    <cellStyle name="Total 3 3 7" xfId="29665" xr:uid="{00000000-0005-0000-0000-0000EB6B0000}"/>
    <cellStyle name="Total 3 3 8" xfId="29666" xr:uid="{00000000-0005-0000-0000-0000EC6B0000}"/>
    <cellStyle name="Total 3 3 9" xfId="29667" xr:uid="{00000000-0005-0000-0000-0000ED6B0000}"/>
    <cellStyle name="Total 3 4" xfId="20673" xr:uid="{00000000-0005-0000-0000-0000EE6B0000}"/>
    <cellStyle name="Total 3 4 2" xfId="11283" xr:uid="{00000000-0005-0000-0000-0000EF6B0000}"/>
    <cellStyle name="Total 3 4 2 2" xfId="11286" xr:uid="{00000000-0005-0000-0000-0000F06B0000}"/>
    <cellStyle name="Total 3 4 2 2 2" xfId="29668" xr:uid="{00000000-0005-0000-0000-0000F16B0000}"/>
    <cellStyle name="Total 3 4 2 2 2 2" xfId="856" xr:uid="{00000000-0005-0000-0000-0000F26B0000}"/>
    <cellStyle name="Total 3 4 2 2 2 2 2" xfId="29669" xr:uid="{00000000-0005-0000-0000-0000F36B0000}"/>
    <cellStyle name="Total 3 4 2 2 2 2 2 2" xfId="29670" xr:uid="{00000000-0005-0000-0000-0000F46B0000}"/>
    <cellStyle name="Total 3 4 2 2 2 2 2 3" xfId="29671" xr:uid="{00000000-0005-0000-0000-0000F56B0000}"/>
    <cellStyle name="Total 3 4 2 2 2 2 2 4" xfId="29672" xr:uid="{00000000-0005-0000-0000-0000F66B0000}"/>
    <cellStyle name="Total 3 4 2 2 2 2 3" xfId="29673" xr:uid="{00000000-0005-0000-0000-0000F76B0000}"/>
    <cellStyle name="Total 3 4 2 2 2 2 4" xfId="29674" xr:uid="{00000000-0005-0000-0000-0000F86B0000}"/>
    <cellStyle name="Total 3 4 2 2 2 2 5" xfId="29675" xr:uid="{00000000-0005-0000-0000-0000F96B0000}"/>
    <cellStyle name="Total 3 4 2 2 2 3" xfId="21164" xr:uid="{00000000-0005-0000-0000-0000FA6B0000}"/>
    <cellStyle name="Total 3 4 2 2 2 3 2" xfId="29676" xr:uid="{00000000-0005-0000-0000-0000FB6B0000}"/>
    <cellStyle name="Total 3 4 2 2 2 3 3" xfId="29677" xr:uid="{00000000-0005-0000-0000-0000FC6B0000}"/>
    <cellStyle name="Total 3 4 2 2 2 3 4" xfId="29678" xr:uid="{00000000-0005-0000-0000-0000FD6B0000}"/>
    <cellStyle name="Total 3 4 2 2 2 4" xfId="29679" xr:uid="{00000000-0005-0000-0000-0000FE6B0000}"/>
    <cellStyle name="Total 3 4 2 2 2 5" xfId="29680" xr:uid="{00000000-0005-0000-0000-0000FF6B0000}"/>
    <cellStyle name="Total 3 4 2 2 2 6" xfId="29682" xr:uid="{00000000-0005-0000-0000-0000006C0000}"/>
    <cellStyle name="Total 3 4 2 2 3" xfId="29683" xr:uid="{00000000-0005-0000-0000-0000016C0000}"/>
    <cellStyle name="Total 3 4 2 2 3 2" xfId="2253" xr:uid="{00000000-0005-0000-0000-0000026C0000}"/>
    <cellStyle name="Total 3 4 2 2 3 2 2" xfId="26846" xr:uid="{00000000-0005-0000-0000-0000036C0000}"/>
    <cellStyle name="Total 3 4 2 2 3 2 3" xfId="14229" xr:uid="{00000000-0005-0000-0000-0000046C0000}"/>
    <cellStyle name="Total 3 4 2 2 3 2 4" xfId="14232" xr:uid="{00000000-0005-0000-0000-0000056C0000}"/>
    <cellStyle name="Total 3 4 2 2 3 3" xfId="29684" xr:uid="{00000000-0005-0000-0000-0000066C0000}"/>
    <cellStyle name="Total 3 4 2 2 3 4" xfId="29685" xr:uid="{00000000-0005-0000-0000-0000076C0000}"/>
    <cellStyle name="Total 3 4 2 2 3 5" xfId="29686" xr:uid="{00000000-0005-0000-0000-0000086C0000}"/>
    <cellStyle name="Total 3 4 2 2 4" xfId="29687" xr:uid="{00000000-0005-0000-0000-0000096C0000}"/>
    <cellStyle name="Total 3 4 2 2 4 2" xfId="2281" xr:uid="{00000000-0005-0000-0000-00000A6C0000}"/>
    <cellStyle name="Total 3 4 2 2 4 3" xfId="29688" xr:uid="{00000000-0005-0000-0000-00000B6C0000}"/>
    <cellStyle name="Total 3 4 2 2 4 4" xfId="29689" xr:uid="{00000000-0005-0000-0000-00000C6C0000}"/>
    <cellStyle name="Total 3 4 2 2 5" xfId="29690" xr:uid="{00000000-0005-0000-0000-00000D6C0000}"/>
    <cellStyle name="Total 3 4 2 2 6" xfId="29556" xr:uid="{00000000-0005-0000-0000-00000E6C0000}"/>
    <cellStyle name="Total 3 4 2 2 7" xfId="29558" xr:uid="{00000000-0005-0000-0000-00000F6C0000}"/>
    <cellStyle name="Total 3 4 2 3" xfId="11290" xr:uid="{00000000-0005-0000-0000-0000106C0000}"/>
    <cellStyle name="Total 3 4 2 3 2" xfId="19245" xr:uid="{00000000-0005-0000-0000-0000116C0000}"/>
    <cellStyle name="Total 3 4 2 3 2 2" xfId="21166" xr:uid="{00000000-0005-0000-0000-0000126C0000}"/>
    <cellStyle name="Total 3 4 2 3 2 2 2" xfId="29691" xr:uid="{00000000-0005-0000-0000-0000136C0000}"/>
    <cellStyle name="Total 3 4 2 3 2 2 3" xfId="29692" xr:uid="{00000000-0005-0000-0000-0000146C0000}"/>
    <cellStyle name="Total 3 4 2 3 2 2 4" xfId="29693" xr:uid="{00000000-0005-0000-0000-0000156C0000}"/>
    <cellStyle name="Total 3 4 2 3 2 3" xfId="10200" xr:uid="{00000000-0005-0000-0000-0000166C0000}"/>
    <cellStyle name="Total 3 4 2 3 2 4" xfId="8124" xr:uid="{00000000-0005-0000-0000-0000176C0000}"/>
    <cellStyle name="Total 3 4 2 3 2 5" xfId="8185" xr:uid="{00000000-0005-0000-0000-0000186C0000}"/>
    <cellStyle name="Total 3 4 2 3 3" xfId="19247" xr:uid="{00000000-0005-0000-0000-0000196C0000}"/>
    <cellStyle name="Total 3 4 2 3 3 2" xfId="29695" xr:uid="{00000000-0005-0000-0000-00001A6C0000}"/>
    <cellStyle name="Total 3 4 2 3 3 3" xfId="10227" xr:uid="{00000000-0005-0000-0000-00001B6C0000}"/>
    <cellStyle name="Total 3 4 2 3 3 4" xfId="8239" xr:uid="{00000000-0005-0000-0000-00001C6C0000}"/>
    <cellStyle name="Total 3 4 2 3 4" xfId="19249" xr:uid="{00000000-0005-0000-0000-00001D6C0000}"/>
    <cellStyle name="Total 3 4 2 3 5" xfId="29696" xr:uid="{00000000-0005-0000-0000-00001E6C0000}"/>
    <cellStyle name="Total 3 4 2 3 6" xfId="29697" xr:uid="{00000000-0005-0000-0000-00001F6C0000}"/>
    <cellStyle name="Total 3 4 2 4" xfId="11294" xr:uid="{00000000-0005-0000-0000-0000206C0000}"/>
    <cellStyle name="Total 3 4 2 4 2" xfId="29698" xr:uid="{00000000-0005-0000-0000-0000216C0000}"/>
    <cellStyle name="Total 3 4 2 4 2 2" xfId="29699" xr:uid="{00000000-0005-0000-0000-0000226C0000}"/>
    <cellStyle name="Total 3 4 2 4 2 3" xfId="10240" xr:uid="{00000000-0005-0000-0000-0000236C0000}"/>
    <cellStyle name="Total 3 4 2 4 2 4" xfId="9442" xr:uid="{00000000-0005-0000-0000-0000246C0000}"/>
    <cellStyle name="Total 3 4 2 4 3" xfId="29700" xr:uid="{00000000-0005-0000-0000-0000256C0000}"/>
    <cellStyle name="Total 3 4 2 4 4" xfId="29701" xr:uid="{00000000-0005-0000-0000-0000266C0000}"/>
    <cellStyle name="Total 3 4 2 4 5" xfId="29702" xr:uid="{00000000-0005-0000-0000-0000276C0000}"/>
    <cellStyle name="Total 3 4 2 5" xfId="19251" xr:uid="{00000000-0005-0000-0000-0000286C0000}"/>
    <cellStyle name="Total 3 4 2 5 2" xfId="24662" xr:uid="{00000000-0005-0000-0000-0000296C0000}"/>
    <cellStyle name="Total 3 4 2 5 3" xfId="29703" xr:uid="{00000000-0005-0000-0000-00002A6C0000}"/>
    <cellStyle name="Total 3 4 2 5 4" xfId="29704" xr:uid="{00000000-0005-0000-0000-00002B6C0000}"/>
    <cellStyle name="Total 3 4 2 6" xfId="19253" xr:uid="{00000000-0005-0000-0000-00002C6C0000}"/>
    <cellStyle name="Total 3 4 2 7" xfId="29705" xr:uid="{00000000-0005-0000-0000-00002D6C0000}"/>
    <cellStyle name="Total 3 4 2 8" xfId="29706" xr:uid="{00000000-0005-0000-0000-00002E6C0000}"/>
    <cellStyle name="Total 3 4 3" xfId="11298" xr:uid="{00000000-0005-0000-0000-00002F6C0000}"/>
    <cellStyle name="Total 3 4 3 2" xfId="29707" xr:uid="{00000000-0005-0000-0000-0000306C0000}"/>
    <cellStyle name="Total 3 4 3 2 2" xfId="29708" xr:uid="{00000000-0005-0000-0000-0000316C0000}"/>
    <cellStyle name="Total 3 4 3 2 2 2" xfId="21249" xr:uid="{00000000-0005-0000-0000-0000326C0000}"/>
    <cellStyle name="Total 3 4 3 2 2 2 2" xfId="27398" xr:uid="{00000000-0005-0000-0000-0000336C0000}"/>
    <cellStyle name="Total 3 4 3 2 2 2 3" xfId="29709" xr:uid="{00000000-0005-0000-0000-0000346C0000}"/>
    <cellStyle name="Total 3 4 3 2 2 2 4" xfId="29710" xr:uid="{00000000-0005-0000-0000-0000356C0000}"/>
    <cellStyle name="Total 3 4 3 2 2 3" xfId="21251" xr:uid="{00000000-0005-0000-0000-0000366C0000}"/>
    <cellStyle name="Total 3 4 3 2 2 4" xfId="29711" xr:uid="{00000000-0005-0000-0000-0000376C0000}"/>
    <cellStyle name="Total 3 4 3 2 2 5" xfId="16755" xr:uid="{00000000-0005-0000-0000-0000386C0000}"/>
    <cellStyle name="Total 3 4 3 2 3" xfId="29712" xr:uid="{00000000-0005-0000-0000-0000396C0000}"/>
    <cellStyle name="Total 3 4 3 2 3 2" xfId="21256" xr:uid="{00000000-0005-0000-0000-00003A6C0000}"/>
    <cellStyle name="Total 3 4 3 2 3 3" xfId="29713" xr:uid="{00000000-0005-0000-0000-00003B6C0000}"/>
    <cellStyle name="Total 3 4 3 2 3 4" xfId="29714" xr:uid="{00000000-0005-0000-0000-00003C6C0000}"/>
    <cellStyle name="Total 3 4 3 2 4" xfId="29715" xr:uid="{00000000-0005-0000-0000-00003D6C0000}"/>
    <cellStyle name="Total 3 4 3 2 5" xfId="29716" xr:uid="{00000000-0005-0000-0000-00003E6C0000}"/>
    <cellStyle name="Total 3 4 3 2 6" xfId="29717" xr:uid="{00000000-0005-0000-0000-00003F6C0000}"/>
    <cellStyle name="Total 3 4 3 3" xfId="19255" xr:uid="{00000000-0005-0000-0000-0000406C0000}"/>
    <cellStyle name="Total 3 4 3 3 2" xfId="29718" xr:uid="{00000000-0005-0000-0000-0000416C0000}"/>
    <cellStyle name="Total 3 4 3 3 2 2" xfId="9027" xr:uid="{00000000-0005-0000-0000-0000426C0000}"/>
    <cellStyle name="Total 3 4 3 3 2 3" xfId="9035" xr:uid="{00000000-0005-0000-0000-0000436C0000}"/>
    <cellStyle name="Total 3 4 3 3 2 4" xfId="9044" xr:uid="{00000000-0005-0000-0000-0000446C0000}"/>
    <cellStyle name="Total 3 4 3 3 3" xfId="29719" xr:uid="{00000000-0005-0000-0000-0000456C0000}"/>
    <cellStyle name="Total 3 4 3 3 4" xfId="29720" xr:uid="{00000000-0005-0000-0000-0000466C0000}"/>
    <cellStyle name="Total 3 4 3 3 5" xfId="29721" xr:uid="{00000000-0005-0000-0000-0000476C0000}"/>
    <cellStyle name="Total 3 4 3 4" xfId="19257" xr:uid="{00000000-0005-0000-0000-0000486C0000}"/>
    <cellStyle name="Total 3 4 3 4 2" xfId="29722" xr:uid="{00000000-0005-0000-0000-0000496C0000}"/>
    <cellStyle name="Total 3 4 3 4 3" xfId="29723" xr:uid="{00000000-0005-0000-0000-00004A6C0000}"/>
    <cellStyle name="Total 3 4 3 4 4" xfId="29724" xr:uid="{00000000-0005-0000-0000-00004B6C0000}"/>
    <cellStyle name="Total 3 4 3 5" xfId="19259" xr:uid="{00000000-0005-0000-0000-00004C6C0000}"/>
    <cellStyle name="Total 3 4 3 6" xfId="29725" xr:uid="{00000000-0005-0000-0000-00004D6C0000}"/>
    <cellStyle name="Total 3 4 3 7" xfId="29726" xr:uid="{00000000-0005-0000-0000-00004E6C0000}"/>
    <cellStyle name="Total 3 4 4" xfId="11301" xr:uid="{00000000-0005-0000-0000-00004F6C0000}"/>
    <cellStyle name="Total 3 4 4 2" xfId="29727" xr:uid="{00000000-0005-0000-0000-0000506C0000}"/>
    <cellStyle name="Total 3 4 4 2 2" xfId="29728" xr:uid="{00000000-0005-0000-0000-0000516C0000}"/>
    <cellStyle name="Total 3 4 4 2 2 2" xfId="21309" xr:uid="{00000000-0005-0000-0000-0000526C0000}"/>
    <cellStyle name="Total 3 4 4 2 2 3" xfId="29729" xr:uid="{00000000-0005-0000-0000-0000536C0000}"/>
    <cellStyle name="Total 3 4 4 2 2 4" xfId="29730" xr:uid="{00000000-0005-0000-0000-0000546C0000}"/>
    <cellStyle name="Total 3 4 4 2 3" xfId="29731" xr:uid="{00000000-0005-0000-0000-0000556C0000}"/>
    <cellStyle name="Total 3 4 4 2 4" xfId="29732" xr:uid="{00000000-0005-0000-0000-0000566C0000}"/>
    <cellStyle name="Total 3 4 4 2 5" xfId="29733" xr:uid="{00000000-0005-0000-0000-0000576C0000}"/>
    <cellStyle name="Total 3 4 4 3" xfId="25677" xr:uid="{00000000-0005-0000-0000-0000586C0000}"/>
    <cellStyle name="Total 3 4 4 3 2" xfId="25679" xr:uid="{00000000-0005-0000-0000-0000596C0000}"/>
    <cellStyle name="Total 3 4 4 3 3" xfId="25681" xr:uid="{00000000-0005-0000-0000-00005A6C0000}"/>
    <cellStyle name="Total 3 4 4 3 4" xfId="25683" xr:uid="{00000000-0005-0000-0000-00005B6C0000}"/>
    <cellStyle name="Total 3 4 4 4" xfId="25685" xr:uid="{00000000-0005-0000-0000-00005C6C0000}"/>
    <cellStyle name="Total 3 4 4 5" xfId="25688" xr:uid="{00000000-0005-0000-0000-00005D6C0000}"/>
    <cellStyle name="Total 3 4 4 6" xfId="25691" xr:uid="{00000000-0005-0000-0000-00005E6C0000}"/>
    <cellStyle name="Total 3 4 5" xfId="11304" xr:uid="{00000000-0005-0000-0000-00005F6C0000}"/>
    <cellStyle name="Total 3 4 5 2" xfId="23996" xr:uid="{00000000-0005-0000-0000-0000606C0000}"/>
    <cellStyle name="Total 3 4 5 2 2" xfId="23998" xr:uid="{00000000-0005-0000-0000-0000616C0000}"/>
    <cellStyle name="Total 3 4 5 2 3" xfId="24000" xr:uid="{00000000-0005-0000-0000-0000626C0000}"/>
    <cellStyle name="Total 3 4 5 2 4" xfId="24002" xr:uid="{00000000-0005-0000-0000-0000636C0000}"/>
    <cellStyle name="Total 3 4 5 3" xfId="24004" xr:uid="{00000000-0005-0000-0000-0000646C0000}"/>
    <cellStyle name="Total 3 4 5 4" xfId="24007" xr:uid="{00000000-0005-0000-0000-0000656C0000}"/>
    <cellStyle name="Total 3 4 5 5" xfId="24011" xr:uid="{00000000-0005-0000-0000-0000666C0000}"/>
    <cellStyle name="Total 3 4 6" xfId="24014" xr:uid="{00000000-0005-0000-0000-0000676C0000}"/>
    <cellStyle name="Total 3 4 6 2" xfId="24016" xr:uid="{00000000-0005-0000-0000-0000686C0000}"/>
    <cellStyle name="Total 3 4 6 3" xfId="19000" xr:uid="{00000000-0005-0000-0000-0000696C0000}"/>
    <cellStyle name="Total 3 4 6 4" xfId="19013" xr:uid="{00000000-0005-0000-0000-00006A6C0000}"/>
    <cellStyle name="Total 3 4 7" xfId="24018" xr:uid="{00000000-0005-0000-0000-00006B6C0000}"/>
    <cellStyle name="Total 3 4 8" xfId="24020" xr:uid="{00000000-0005-0000-0000-00006C6C0000}"/>
    <cellStyle name="Total 3 4 9" xfId="24022" xr:uid="{00000000-0005-0000-0000-00006D6C0000}"/>
    <cellStyle name="Total 3 5" xfId="20678" xr:uid="{00000000-0005-0000-0000-00006E6C0000}"/>
    <cellStyle name="Total 3 5 2" xfId="11360" xr:uid="{00000000-0005-0000-0000-00006F6C0000}"/>
    <cellStyle name="Total 3 5 2 2" xfId="29734" xr:uid="{00000000-0005-0000-0000-0000706C0000}"/>
    <cellStyle name="Total 3 5 2 2 2" xfId="29735" xr:uid="{00000000-0005-0000-0000-0000716C0000}"/>
    <cellStyle name="Total 3 5 2 2 2 2" xfId="21582" xr:uid="{00000000-0005-0000-0000-0000726C0000}"/>
    <cellStyle name="Total 3 5 2 2 2 2 2" xfId="28867" xr:uid="{00000000-0005-0000-0000-0000736C0000}"/>
    <cellStyle name="Total 3 5 2 2 2 2 3" xfId="28870" xr:uid="{00000000-0005-0000-0000-0000746C0000}"/>
    <cellStyle name="Total 3 5 2 2 2 2 4" xfId="29737" xr:uid="{00000000-0005-0000-0000-0000756C0000}"/>
    <cellStyle name="Total 3 5 2 2 2 3" xfId="21584" xr:uid="{00000000-0005-0000-0000-0000766C0000}"/>
    <cellStyle name="Total 3 5 2 2 2 4" xfId="29738" xr:uid="{00000000-0005-0000-0000-0000776C0000}"/>
    <cellStyle name="Total 3 5 2 2 2 5" xfId="29739" xr:uid="{00000000-0005-0000-0000-0000786C0000}"/>
    <cellStyle name="Total 3 5 2 2 3" xfId="29740" xr:uid="{00000000-0005-0000-0000-0000796C0000}"/>
    <cellStyle name="Total 3 5 2 2 3 2" xfId="21588" xr:uid="{00000000-0005-0000-0000-00007A6C0000}"/>
    <cellStyle name="Total 3 5 2 2 3 3" xfId="29741" xr:uid="{00000000-0005-0000-0000-00007B6C0000}"/>
    <cellStyle name="Total 3 5 2 2 3 4" xfId="29742" xr:uid="{00000000-0005-0000-0000-00007C6C0000}"/>
    <cellStyle name="Total 3 5 2 2 4" xfId="29743" xr:uid="{00000000-0005-0000-0000-00007D6C0000}"/>
    <cellStyle name="Total 3 5 2 2 5" xfId="29744" xr:uid="{00000000-0005-0000-0000-00007E6C0000}"/>
    <cellStyle name="Total 3 5 2 2 6" xfId="22640" xr:uid="{00000000-0005-0000-0000-00007F6C0000}"/>
    <cellStyle name="Total 3 5 2 3" xfId="19261" xr:uid="{00000000-0005-0000-0000-0000806C0000}"/>
    <cellStyle name="Total 3 5 2 3 2" xfId="29745" xr:uid="{00000000-0005-0000-0000-0000816C0000}"/>
    <cellStyle name="Total 3 5 2 3 2 2" xfId="21594" xr:uid="{00000000-0005-0000-0000-0000826C0000}"/>
    <cellStyle name="Total 3 5 2 3 2 3" xfId="10312" xr:uid="{00000000-0005-0000-0000-0000836C0000}"/>
    <cellStyle name="Total 3 5 2 3 2 4" xfId="10338" xr:uid="{00000000-0005-0000-0000-0000846C0000}"/>
    <cellStyle name="Total 3 5 2 3 3" xfId="29746" xr:uid="{00000000-0005-0000-0000-0000856C0000}"/>
    <cellStyle name="Total 3 5 2 3 4" xfId="29747" xr:uid="{00000000-0005-0000-0000-0000866C0000}"/>
    <cellStyle name="Total 3 5 2 3 5" xfId="29748" xr:uid="{00000000-0005-0000-0000-0000876C0000}"/>
    <cellStyle name="Total 3 5 2 4" xfId="19263" xr:uid="{00000000-0005-0000-0000-0000886C0000}"/>
    <cellStyle name="Total 3 5 2 4 2" xfId="7576" xr:uid="{00000000-0005-0000-0000-0000896C0000}"/>
    <cellStyle name="Total 3 5 2 4 3" xfId="7579" xr:uid="{00000000-0005-0000-0000-00008A6C0000}"/>
    <cellStyle name="Total 3 5 2 4 4" xfId="7581" xr:uid="{00000000-0005-0000-0000-00008B6C0000}"/>
    <cellStyle name="Total 3 5 2 5" xfId="19265" xr:uid="{00000000-0005-0000-0000-00008C6C0000}"/>
    <cellStyle name="Total 3 5 2 6" xfId="727" xr:uid="{00000000-0005-0000-0000-00008D6C0000}"/>
    <cellStyle name="Total 3 5 2 7" xfId="29749" xr:uid="{00000000-0005-0000-0000-00008E6C0000}"/>
    <cellStyle name="Total 3 5 3" xfId="11363" xr:uid="{00000000-0005-0000-0000-00008F6C0000}"/>
    <cellStyle name="Total 3 5 3 2" xfId="29750" xr:uid="{00000000-0005-0000-0000-0000906C0000}"/>
    <cellStyle name="Total 3 5 3 2 2" xfId="29751" xr:uid="{00000000-0005-0000-0000-0000916C0000}"/>
    <cellStyle name="Total 3 5 3 2 2 2" xfId="13423" xr:uid="{00000000-0005-0000-0000-0000926C0000}"/>
    <cellStyle name="Total 3 5 3 2 2 3" xfId="17404" xr:uid="{00000000-0005-0000-0000-0000936C0000}"/>
    <cellStyle name="Total 3 5 3 2 2 4" xfId="29752" xr:uid="{00000000-0005-0000-0000-0000946C0000}"/>
    <cellStyle name="Total 3 5 3 2 3" xfId="29753" xr:uid="{00000000-0005-0000-0000-0000956C0000}"/>
    <cellStyle name="Total 3 5 3 2 4" xfId="29754" xr:uid="{00000000-0005-0000-0000-0000966C0000}"/>
    <cellStyle name="Total 3 5 3 2 5" xfId="29755" xr:uid="{00000000-0005-0000-0000-0000976C0000}"/>
    <cellStyle name="Total 3 5 3 3" xfId="29756" xr:uid="{00000000-0005-0000-0000-0000986C0000}"/>
    <cellStyle name="Total 3 5 3 3 2" xfId="29757" xr:uid="{00000000-0005-0000-0000-0000996C0000}"/>
    <cellStyle name="Total 3 5 3 3 3" xfId="29758" xr:uid="{00000000-0005-0000-0000-00009A6C0000}"/>
    <cellStyle name="Total 3 5 3 3 4" xfId="29759" xr:uid="{00000000-0005-0000-0000-00009B6C0000}"/>
    <cellStyle name="Total 3 5 3 4" xfId="29760" xr:uid="{00000000-0005-0000-0000-00009C6C0000}"/>
    <cellStyle name="Total 3 5 3 5" xfId="29761" xr:uid="{00000000-0005-0000-0000-00009D6C0000}"/>
    <cellStyle name="Total 3 5 3 6" xfId="1607" xr:uid="{00000000-0005-0000-0000-00009E6C0000}"/>
    <cellStyle name="Total 3 5 4" xfId="11366" xr:uid="{00000000-0005-0000-0000-00009F6C0000}"/>
    <cellStyle name="Total 3 5 4 2" xfId="29762" xr:uid="{00000000-0005-0000-0000-0000A06C0000}"/>
    <cellStyle name="Total 3 5 4 2 2" xfId="24802" xr:uid="{00000000-0005-0000-0000-0000A16C0000}"/>
    <cellStyle name="Total 3 5 4 2 3" xfId="24804" xr:uid="{00000000-0005-0000-0000-0000A26C0000}"/>
    <cellStyle name="Total 3 5 4 2 4" xfId="29763" xr:uid="{00000000-0005-0000-0000-0000A36C0000}"/>
    <cellStyle name="Total 3 5 4 3" xfId="25693" xr:uid="{00000000-0005-0000-0000-0000A46C0000}"/>
    <cellStyle name="Total 3 5 4 4" xfId="25695" xr:uid="{00000000-0005-0000-0000-0000A56C0000}"/>
    <cellStyle name="Total 3 5 4 5" xfId="25698" xr:uid="{00000000-0005-0000-0000-0000A66C0000}"/>
    <cellStyle name="Total 3 5 5" xfId="24025" xr:uid="{00000000-0005-0000-0000-0000A76C0000}"/>
    <cellStyle name="Total 3 5 5 2" xfId="24027" xr:uid="{00000000-0005-0000-0000-0000A86C0000}"/>
    <cellStyle name="Total 3 5 5 3" xfId="24029" xr:uid="{00000000-0005-0000-0000-0000A96C0000}"/>
    <cellStyle name="Total 3 5 5 4" xfId="24031" xr:uid="{00000000-0005-0000-0000-0000AA6C0000}"/>
    <cellStyle name="Total 3 5 6" xfId="5648" xr:uid="{00000000-0005-0000-0000-0000AB6C0000}"/>
    <cellStyle name="Total 3 5 7" xfId="5657" xr:uid="{00000000-0005-0000-0000-0000AC6C0000}"/>
    <cellStyle name="Total 3 5 8" xfId="5666" xr:uid="{00000000-0005-0000-0000-0000AD6C0000}"/>
    <cellStyle name="Total 3 6" xfId="28856" xr:uid="{00000000-0005-0000-0000-0000AE6C0000}"/>
    <cellStyle name="Total 3 6 2" xfId="8412" xr:uid="{00000000-0005-0000-0000-0000AF6C0000}"/>
    <cellStyle name="Total 3 6 2 2" xfId="22175" xr:uid="{00000000-0005-0000-0000-0000B06C0000}"/>
    <cellStyle name="Total 3 6 2 2 2" xfId="29764" xr:uid="{00000000-0005-0000-0000-0000B16C0000}"/>
    <cellStyle name="Total 3 6 2 2 2 2" xfId="21744" xr:uid="{00000000-0005-0000-0000-0000B26C0000}"/>
    <cellStyle name="Total 3 6 2 2 2 3" xfId="21746" xr:uid="{00000000-0005-0000-0000-0000B36C0000}"/>
    <cellStyle name="Total 3 6 2 2 2 4" xfId="29765" xr:uid="{00000000-0005-0000-0000-0000B46C0000}"/>
    <cellStyle name="Total 3 6 2 2 3" xfId="29766" xr:uid="{00000000-0005-0000-0000-0000B56C0000}"/>
    <cellStyle name="Total 3 6 2 2 4" xfId="29767" xr:uid="{00000000-0005-0000-0000-0000B66C0000}"/>
    <cellStyle name="Total 3 6 2 2 5" xfId="29768" xr:uid="{00000000-0005-0000-0000-0000B76C0000}"/>
    <cellStyle name="Total 3 6 2 3" xfId="22177" xr:uid="{00000000-0005-0000-0000-0000B86C0000}"/>
    <cellStyle name="Total 3 6 2 3 2" xfId="29769" xr:uid="{00000000-0005-0000-0000-0000B96C0000}"/>
    <cellStyle name="Total 3 6 2 3 3" xfId="29770" xr:uid="{00000000-0005-0000-0000-0000BA6C0000}"/>
    <cellStyle name="Total 3 6 2 3 4" xfId="29771" xr:uid="{00000000-0005-0000-0000-0000BB6C0000}"/>
    <cellStyle name="Total 3 6 2 4" xfId="29772" xr:uid="{00000000-0005-0000-0000-0000BC6C0000}"/>
    <cellStyle name="Total 3 6 2 5" xfId="29773" xr:uid="{00000000-0005-0000-0000-0000BD6C0000}"/>
    <cellStyle name="Total 3 6 2 6" xfId="29774" xr:uid="{00000000-0005-0000-0000-0000BE6C0000}"/>
    <cellStyle name="Total 3 6 3" xfId="8418" xr:uid="{00000000-0005-0000-0000-0000BF6C0000}"/>
    <cellStyle name="Total 3 6 3 2" xfId="29775" xr:uid="{00000000-0005-0000-0000-0000C06C0000}"/>
    <cellStyle name="Total 3 6 3 2 2" xfId="29776" xr:uid="{00000000-0005-0000-0000-0000C16C0000}"/>
    <cellStyle name="Total 3 6 3 2 3" xfId="29777" xr:uid="{00000000-0005-0000-0000-0000C26C0000}"/>
    <cellStyle name="Total 3 6 3 2 4" xfId="19778" xr:uid="{00000000-0005-0000-0000-0000C36C0000}"/>
    <cellStyle name="Total 3 6 3 3" xfId="29778" xr:uid="{00000000-0005-0000-0000-0000C46C0000}"/>
    <cellStyle name="Total 3 6 3 4" xfId="29779" xr:uid="{00000000-0005-0000-0000-0000C56C0000}"/>
    <cellStyle name="Total 3 6 3 5" xfId="29780" xr:uid="{00000000-0005-0000-0000-0000C66C0000}"/>
    <cellStyle name="Total 3 6 4" xfId="29781" xr:uid="{00000000-0005-0000-0000-0000C76C0000}"/>
    <cellStyle name="Total 3 6 4 2" xfId="29782" xr:uid="{00000000-0005-0000-0000-0000C86C0000}"/>
    <cellStyle name="Total 3 6 4 3" xfId="29783" xr:uid="{00000000-0005-0000-0000-0000C96C0000}"/>
    <cellStyle name="Total 3 6 4 4" xfId="29784" xr:uid="{00000000-0005-0000-0000-0000CA6C0000}"/>
    <cellStyle name="Total 3 6 5" xfId="24034" xr:uid="{00000000-0005-0000-0000-0000CB6C0000}"/>
    <cellStyle name="Total 3 6 6" xfId="3892" xr:uid="{00000000-0005-0000-0000-0000CC6C0000}"/>
    <cellStyle name="Total 3 6 7" xfId="3918" xr:uid="{00000000-0005-0000-0000-0000CD6C0000}"/>
    <cellStyle name="Total 3 7" xfId="28858" xr:uid="{00000000-0005-0000-0000-0000CE6C0000}"/>
    <cellStyle name="Total 3 7 2" xfId="8446" xr:uid="{00000000-0005-0000-0000-0000CF6C0000}"/>
    <cellStyle name="Total 3 7 2 2" xfId="12976" xr:uid="{00000000-0005-0000-0000-0000D06C0000}"/>
    <cellStyle name="Total 3 7 2 2 2" xfId="21078" xr:uid="{00000000-0005-0000-0000-0000D16C0000}"/>
    <cellStyle name="Total 3 7 2 2 3" xfId="21080" xr:uid="{00000000-0005-0000-0000-0000D26C0000}"/>
    <cellStyle name="Total 3 7 2 2 4" xfId="29785" xr:uid="{00000000-0005-0000-0000-0000D36C0000}"/>
    <cellStyle name="Total 3 7 2 3" xfId="29786" xr:uid="{00000000-0005-0000-0000-0000D46C0000}"/>
    <cellStyle name="Total 3 7 2 4" xfId="29787" xr:uid="{00000000-0005-0000-0000-0000D56C0000}"/>
    <cellStyle name="Total 3 7 2 5" xfId="29788" xr:uid="{00000000-0005-0000-0000-0000D66C0000}"/>
    <cellStyle name="Total 3 7 3" xfId="29789" xr:uid="{00000000-0005-0000-0000-0000D76C0000}"/>
    <cellStyle name="Total 3 7 3 2" xfId="12981" xr:uid="{00000000-0005-0000-0000-0000D86C0000}"/>
    <cellStyle name="Total 3 7 3 3" xfId="29790" xr:uid="{00000000-0005-0000-0000-0000D96C0000}"/>
    <cellStyle name="Total 3 7 3 4" xfId="29791" xr:uid="{00000000-0005-0000-0000-0000DA6C0000}"/>
    <cellStyle name="Total 3 7 4" xfId="29792" xr:uid="{00000000-0005-0000-0000-0000DB6C0000}"/>
    <cellStyle name="Total 3 7 5" xfId="29793" xr:uid="{00000000-0005-0000-0000-0000DC6C0000}"/>
    <cellStyle name="Total 3 7 6" xfId="29794" xr:uid="{00000000-0005-0000-0000-0000DD6C0000}"/>
    <cellStyle name="Total 3 8" xfId="28860" xr:uid="{00000000-0005-0000-0000-0000DE6C0000}"/>
    <cellStyle name="Total 3 8 2" xfId="9914" xr:uid="{00000000-0005-0000-0000-0000DF6C0000}"/>
    <cellStyle name="Total 3 8 2 2" xfId="29795" xr:uid="{00000000-0005-0000-0000-0000E06C0000}"/>
    <cellStyle name="Total 3 8 2 3" xfId="29796" xr:uid="{00000000-0005-0000-0000-0000E16C0000}"/>
    <cellStyle name="Total 3 8 2 4" xfId="29797" xr:uid="{00000000-0005-0000-0000-0000E26C0000}"/>
    <cellStyle name="Total 3 8 3" xfId="9916" xr:uid="{00000000-0005-0000-0000-0000E36C0000}"/>
    <cellStyle name="Total 3 8 4" xfId="29798" xr:uid="{00000000-0005-0000-0000-0000E46C0000}"/>
    <cellStyle name="Total 3 8 5" xfId="25531" xr:uid="{00000000-0005-0000-0000-0000E56C0000}"/>
    <cellStyle name="Total 3 9" xfId="29799" xr:uid="{00000000-0005-0000-0000-0000E66C0000}"/>
    <cellStyle name="Total 3 9 2" xfId="9938" xr:uid="{00000000-0005-0000-0000-0000E76C0000}"/>
    <cellStyle name="Total 3 9 3" xfId="29800" xr:uid="{00000000-0005-0000-0000-0000E86C0000}"/>
    <cellStyle name="Total 3 9 4" xfId="16106" xr:uid="{00000000-0005-0000-0000-0000E96C0000}"/>
    <cellStyle name="Total 4" xfId="20681" xr:uid="{00000000-0005-0000-0000-0000EA6C0000}"/>
    <cellStyle name="Total 4 10" xfId="11540" xr:uid="{00000000-0005-0000-0000-0000EB6C0000}"/>
    <cellStyle name="Total 4 11" xfId="11542" xr:uid="{00000000-0005-0000-0000-0000EC6C0000}"/>
    <cellStyle name="Total 4 12" xfId="11427" xr:uid="{00000000-0005-0000-0000-0000ED6C0000}"/>
    <cellStyle name="Total 4 13" xfId="11432" xr:uid="{00000000-0005-0000-0000-0000EE6C0000}"/>
    <cellStyle name="Total 4 2" xfId="20683" xr:uid="{00000000-0005-0000-0000-0000EF6C0000}"/>
    <cellStyle name="Total 4 2 10" xfId="8939" xr:uid="{00000000-0005-0000-0000-0000F06C0000}"/>
    <cellStyle name="Total 4 2 11" xfId="29801" xr:uid="{00000000-0005-0000-0000-0000F16C0000}"/>
    <cellStyle name="Total 4 2 12" xfId="29802" xr:uid="{00000000-0005-0000-0000-0000F26C0000}"/>
    <cellStyle name="Total 4 2 2" xfId="11514" xr:uid="{00000000-0005-0000-0000-0000F36C0000}"/>
    <cellStyle name="Total 4 2 2 2" xfId="8058" xr:uid="{00000000-0005-0000-0000-0000F46C0000}"/>
    <cellStyle name="Total 4 2 2 2 2" xfId="29803" xr:uid="{00000000-0005-0000-0000-0000F56C0000}"/>
    <cellStyle name="Total 4 2 2 2 2 2" xfId="25762" xr:uid="{00000000-0005-0000-0000-0000F66C0000}"/>
    <cellStyle name="Total 4 2 2 2 2 2 2" xfId="29804" xr:uid="{00000000-0005-0000-0000-0000F76C0000}"/>
    <cellStyle name="Total 4 2 2 2 2 2 2 2" xfId="29805" xr:uid="{00000000-0005-0000-0000-0000F86C0000}"/>
    <cellStyle name="Total 4 2 2 2 2 2 2 2 2" xfId="24488" xr:uid="{00000000-0005-0000-0000-0000F96C0000}"/>
    <cellStyle name="Total 4 2 2 2 2 2 2 2 3" xfId="29806" xr:uid="{00000000-0005-0000-0000-0000FA6C0000}"/>
    <cellStyle name="Total 4 2 2 2 2 2 2 2 4" xfId="29419" xr:uid="{00000000-0005-0000-0000-0000FB6C0000}"/>
    <cellStyle name="Total 4 2 2 2 2 2 2 3" xfId="29807" xr:uid="{00000000-0005-0000-0000-0000FC6C0000}"/>
    <cellStyle name="Total 4 2 2 2 2 2 2 4" xfId="29808" xr:uid="{00000000-0005-0000-0000-0000FD6C0000}"/>
    <cellStyle name="Total 4 2 2 2 2 2 2 5" xfId="15551" xr:uid="{00000000-0005-0000-0000-0000FE6C0000}"/>
    <cellStyle name="Total 4 2 2 2 2 2 3" xfId="29809" xr:uid="{00000000-0005-0000-0000-0000FF6C0000}"/>
    <cellStyle name="Total 4 2 2 2 2 2 3 2" xfId="29810" xr:uid="{00000000-0005-0000-0000-0000006D0000}"/>
    <cellStyle name="Total 4 2 2 2 2 2 3 3" xfId="28271" xr:uid="{00000000-0005-0000-0000-0000016D0000}"/>
    <cellStyle name="Total 4 2 2 2 2 2 3 4" xfId="28297" xr:uid="{00000000-0005-0000-0000-0000026D0000}"/>
    <cellStyle name="Total 4 2 2 2 2 2 4" xfId="29811" xr:uid="{00000000-0005-0000-0000-0000036D0000}"/>
    <cellStyle name="Total 4 2 2 2 2 2 5" xfId="29812" xr:uid="{00000000-0005-0000-0000-0000046D0000}"/>
    <cellStyle name="Total 4 2 2 2 2 2 6" xfId="29813" xr:uid="{00000000-0005-0000-0000-0000056D0000}"/>
    <cellStyle name="Total 4 2 2 2 2 3" xfId="24616" xr:uid="{00000000-0005-0000-0000-0000066D0000}"/>
    <cellStyle name="Total 4 2 2 2 2 3 2" xfId="24619" xr:uid="{00000000-0005-0000-0000-0000076D0000}"/>
    <cellStyle name="Total 4 2 2 2 2 3 2 2" xfId="24621" xr:uid="{00000000-0005-0000-0000-0000086D0000}"/>
    <cellStyle name="Total 4 2 2 2 2 3 2 3" xfId="24630" xr:uid="{00000000-0005-0000-0000-0000096D0000}"/>
    <cellStyle name="Total 4 2 2 2 2 3 2 4" xfId="13200" xr:uid="{00000000-0005-0000-0000-00000A6D0000}"/>
    <cellStyle name="Total 4 2 2 2 2 3 3" xfId="24635" xr:uid="{00000000-0005-0000-0000-00000B6D0000}"/>
    <cellStyle name="Total 4 2 2 2 2 3 4" xfId="24642" xr:uid="{00000000-0005-0000-0000-00000C6D0000}"/>
    <cellStyle name="Total 4 2 2 2 2 3 5" xfId="24651" xr:uid="{00000000-0005-0000-0000-00000D6D0000}"/>
    <cellStyle name="Total 4 2 2 2 2 4" xfId="24654" xr:uid="{00000000-0005-0000-0000-00000E6D0000}"/>
    <cellStyle name="Total 4 2 2 2 2 4 2" xfId="24657" xr:uid="{00000000-0005-0000-0000-00000F6D0000}"/>
    <cellStyle name="Total 4 2 2 2 2 4 3" xfId="24665" xr:uid="{00000000-0005-0000-0000-0000106D0000}"/>
    <cellStyle name="Total 4 2 2 2 2 4 4" xfId="24670" xr:uid="{00000000-0005-0000-0000-0000116D0000}"/>
    <cellStyle name="Total 4 2 2 2 2 5" xfId="24677" xr:uid="{00000000-0005-0000-0000-0000126D0000}"/>
    <cellStyle name="Total 4 2 2 2 2 6" xfId="24688" xr:uid="{00000000-0005-0000-0000-0000136D0000}"/>
    <cellStyle name="Total 4 2 2 2 2 7" xfId="24698" xr:uid="{00000000-0005-0000-0000-0000146D0000}"/>
    <cellStyle name="Total 4 2 2 2 3" xfId="29814" xr:uid="{00000000-0005-0000-0000-0000156D0000}"/>
    <cellStyle name="Total 4 2 2 2 3 2" xfId="25787" xr:uid="{00000000-0005-0000-0000-0000166D0000}"/>
    <cellStyle name="Total 4 2 2 2 3 2 2" xfId="29815" xr:uid="{00000000-0005-0000-0000-0000176D0000}"/>
    <cellStyle name="Total 4 2 2 2 3 2 2 2" xfId="26099" xr:uid="{00000000-0005-0000-0000-0000186D0000}"/>
    <cellStyle name="Total 4 2 2 2 3 2 2 3" xfId="29816" xr:uid="{00000000-0005-0000-0000-0000196D0000}"/>
    <cellStyle name="Total 4 2 2 2 3 2 2 4" xfId="29817" xr:uid="{00000000-0005-0000-0000-00001A6D0000}"/>
    <cellStyle name="Total 4 2 2 2 3 2 3" xfId="29818" xr:uid="{00000000-0005-0000-0000-00001B6D0000}"/>
    <cellStyle name="Total 4 2 2 2 3 2 4" xfId="29819" xr:uid="{00000000-0005-0000-0000-00001C6D0000}"/>
    <cellStyle name="Total 4 2 2 2 3 2 5" xfId="29820" xr:uid="{00000000-0005-0000-0000-00001D6D0000}"/>
    <cellStyle name="Total 4 2 2 2 3 3" xfId="24705" xr:uid="{00000000-0005-0000-0000-00001E6D0000}"/>
    <cellStyle name="Total 4 2 2 2 3 3 2" xfId="13551" xr:uid="{00000000-0005-0000-0000-00001F6D0000}"/>
    <cellStyle name="Total 4 2 2 2 3 3 3" xfId="13708" xr:uid="{00000000-0005-0000-0000-0000206D0000}"/>
    <cellStyle name="Total 4 2 2 2 3 3 4" xfId="24710" xr:uid="{00000000-0005-0000-0000-0000216D0000}"/>
    <cellStyle name="Total 4 2 2 2 3 4" xfId="24717" xr:uid="{00000000-0005-0000-0000-0000226D0000}"/>
    <cellStyle name="Total 4 2 2 2 3 5" xfId="24725" xr:uid="{00000000-0005-0000-0000-0000236D0000}"/>
    <cellStyle name="Total 4 2 2 2 3 6" xfId="24733" xr:uid="{00000000-0005-0000-0000-0000246D0000}"/>
    <cellStyle name="Total 4 2 2 2 4" xfId="26492" xr:uid="{00000000-0005-0000-0000-0000256D0000}"/>
    <cellStyle name="Total 4 2 2 2 4 2" xfId="25798" xr:uid="{00000000-0005-0000-0000-0000266D0000}"/>
    <cellStyle name="Total 4 2 2 2 4 2 2" xfId="29821" xr:uid="{00000000-0005-0000-0000-0000276D0000}"/>
    <cellStyle name="Total 4 2 2 2 4 2 3" xfId="29822" xr:uid="{00000000-0005-0000-0000-0000286D0000}"/>
    <cellStyle name="Total 4 2 2 2 4 2 4" xfId="29823" xr:uid="{00000000-0005-0000-0000-0000296D0000}"/>
    <cellStyle name="Total 4 2 2 2 4 3" xfId="24742" xr:uid="{00000000-0005-0000-0000-00002A6D0000}"/>
    <cellStyle name="Total 4 2 2 2 4 4" xfId="24749" xr:uid="{00000000-0005-0000-0000-00002B6D0000}"/>
    <cellStyle name="Total 4 2 2 2 4 5" xfId="24754" xr:uid="{00000000-0005-0000-0000-00002C6D0000}"/>
    <cellStyle name="Total 4 2 2 2 5" xfId="26494" xr:uid="{00000000-0005-0000-0000-00002D6D0000}"/>
    <cellStyle name="Total 4 2 2 2 5 2" xfId="26057" xr:uid="{00000000-0005-0000-0000-00002E6D0000}"/>
    <cellStyle name="Total 4 2 2 2 5 3" xfId="24761" xr:uid="{00000000-0005-0000-0000-00002F6D0000}"/>
    <cellStyle name="Total 4 2 2 2 5 4" xfId="24766" xr:uid="{00000000-0005-0000-0000-0000306D0000}"/>
    <cellStyle name="Total 4 2 2 2 6" xfId="26496" xr:uid="{00000000-0005-0000-0000-0000316D0000}"/>
    <cellStyle name="Total 4 2 2 2 7" xfId="4882" xr:uid="{00000000-0005-0000-0000-0000326D0000}"/>
    <cellStyle name="Total 4 2 2 2 8" xfId="6341" xr:uid="{00000000-0005-0000-0000-0000336D0000}"/>
    <cellStyle name="Total 4 2 2 3" xfId="8775" xr:uid="{00000000-0005-0000-0000-0000346D0000}"/>
    <cellStyle name="Total 4 2 2 3 2" xfId="29824" xr:uid="{00000000-0005-0000-0000-0000356D0000}"/>
    <cellStyle name="Total 4 2 2 3 2 2" xfId="18196" xr:uid="{00000000-0005-0000-0000-0000366D0000}"/>
    <cellStyle name="Total 4 2 2 3 2 2 2" xfId="22030" xr:uid="{00000000-0005-0000-0000-0000376D0000}"/>
    <cellStyle name="Total 4 2 2 3 2 2 2 2" xfId="22032" xr:uid="{00000000-0005-0000-0000-0000386D0000}"/>
    <cellStyle name="Total 4 2 2 3 2 2 2 3" xfId="22034" xr:uid="{00000000-0005-0000-0000-0000396D0000}"/>
    <cellStyle name="Total 4 2 2 3 2 2 2 4" xfId="22036" xr:uid="{00000000-0005-0000-0000-00003A6D0000}"/>
    <cellStyle name="Total 4 2 2 3 2 2 3" xfId="22038" xr:uid="{00000000-0005-0000-0000-00003B6D0000}"/>
    <cellStyle name="Total 4 2 2 3 2 2 4" xfId="22040" xr:uid="{00000000-0005-0000-0000-00003C6D0000}"/>
    <cellStyle name="Total 4 2 2 3 2 2 5" xfId="22042" xr:uid="{00000000-0005-0000-0000-00003D6D0000}"/>
    <cellStyle name="Total 4 2 2 3 2 3" xfId="25265" xr:uid="{00000000-0005-0000-0000-00003E6D0000}"/>
    <cellStyle name="Total 4 2 2 3 2 3 2" xfId="22061" xr:uid="{00000000-0005-0000-0000-00003F6D0000}"/>
    <cellStyle name="Total 4 2 2 3 2 3 3" xfId="22064" xr:uid="{00000000-0005-0000-0000-0000406D0000}"/>
    <cellStyle name="Total 4 2 2 3 2 3 4" xfId="22067" xr:uid="{00000000-0005-0000-0000-0000416D0000}"/>
    <cellStyle name="Total 4 2 2 3 2 4" xfId="25292" xr:uid="{00000000-0005-0000-0000-0000426D0000}"/>
    <cellStyle name="Total 4 2 2 3 2 5" xfId="19566" xr:uid="{00000000-0005-0000-0000-0000436D0000}"/>
    <cellStyle name="Total 4 2 2 3 2 6" xfId="4084" xr:uid="{00000000-0005-0000-0000-0000446D0000}"/>
    <cellStyle name="Total 4 2 2 3 3" xfId="29825" xr:uid="{00000000-0005-0000-0000-0000456D0000}"/>
    <cellStyle name="Total 4 2 2 3 3 2" xfId="25846" xr:uid="{00000000-0005-0000-0000-0000466D0000}"/>
    <cellStyle name="Total 4 2 2 3 3 2 2" xfId="22118" xr:uid="{00000000-0005-0000-0000-0000476D0000}"/>
    <cellStyle name="Total 4 2 2 3 3 2 3" xfId="22120" xr:uid="{00000000-0005-0000-0000-0000486D0000}"/>
    <cellStyle name="Total 4 2 2 3 3 2 4" xfId="22122" xr:uid="{00000000-0005-0000-0000-0000496D0000}"/>
    <cellStyle name="Total 4 2 2 3 3 3" xfId="25319" xr:uid="{00000000-0005-0000-0000-00004A6D0000}"/>
    <cellStyle name="Total 4 2 2 3 3 4" xfId="25335" xr:uid="{00000000-0005-0000-0000-00004B6D0000}"/>
    <cellStyle name="Total 4 2 2 3 3 5" xfId="19577" xr:uid="{00000000-0005-0000-0000-00004C6D0000}"/>
    <cellStyle name="Total 4 2 2 3 4" xfId="29826" xr:uid="{00000000-0005-0000-0000-00004D6D0000}"/>
    <cellStyle name="Total 4 2 2 3 4 2" xfId="26063" xr:uid="{00000000-0005-0000-0000-00004E6D0000}"/>
    <cellStyle name="Total 4 2 2 3 4 3" xfId="25352" xr:uid="{00000000-0005-0000-0000-00004F6D0000}"/>
    <cellStyle name="Total 4 2 2 3 4 4" xfId="25357" xr:uid="{00000000-0005-0000-0000-0000506D0000}"/>
    <cellStyle name="Total 4 2 2 3 5" xfId="29827" xr:uid="{00000000-0005-0000-0000-0000516D0000}"/>
    <cellStyle name="Total 4 2 2 3 6" xfId="29828" xr:uid="{00000000-0005-0000-0000-0000526D0000}"/>
    <cellStyle name="Total 4 2 2 3 7" xfId="9736" xr:uid="{00000000-0005-0000-0000-0000536D0000}"/>
    <cellStyle name="Total 4 2 2 4" xfId="8780" xr:uid="{00000000-0005-0000-0000-0000546D0000}"/>
    <cellStyle name="Total 4 2 2 4 2" xfId="29829" xr:uid="{00000000-0005-0000-0000-0000556D0000}"/>
    <cellStyle name="Total 4 2 2 4 2 2" xfId="25858" xr:uid="{00000000-0005-0000-0000-0000566D0000}"/>
    <cellStyle name="Total 4 2 2 4 2 2 2" xfId="22238" xr:uid="{00000000-0005-0000-0000-0000576D0000}"/>
    <cellStyle name="Total 4 2 2 4 2 2 3" xfId="601" xr:uid="{00000000-0005-0000-0000-0000586D0000}"/>
    <cellStyle name="Total 4 2 2 4 2 2 4" xfId="641" xr:uid="{00000000-0005-0000-0000-0000596D0000}"/>
    <cellStyle name="Total 4 2 2 4 2 3" xfId="18165" xr:uid="{00000000-0005-0000-0000-00005A6D0000}"/>
    <cellStyle name="Total 4 2 2 4 2 4" xfId="9152" xr:uid="{00000000-0005-0000-0000-00005B6D0000}"/>
    <cellStyle name="Total 4 2 2 4 2 5" xfId="11988" xr:uid="{00000000-0005-0000-0000-00005C6D0000}"/>
    <cellStyle name="Total 4 2 2 4 3" xfId="29830" xr:uid="{00000000-0005-0000-0000-00005D6D0000}"/>
    <cellStyle name="Total 4 2 2 4 3 2" xfId="29831" xr:uid="{00000000-0005-0000-0000-00005E6D0000}"/>
    <cellStyle name="Total 4 2 2 4 3 3" xfId="18233" xr:uid="{00000000-0005-0000-0000-00005F6D0000}"/>
    <cellStyle name="Total 4 2 2 4 3 4" xfId="18250" xr:uid="{00000000-0005-0000-0000-0000606D0000}"/>
    <cellStyle name="Total 4 2 2 4 4" xfId="29832" xr:uid="{00000000-0005-0000-0000-0000616D0000}"/>
    <cellStyle name="Total 4 2 2 4 5" xfId="29833" xr:uid="{00000000-0005-0000-0000-0000626D0000}"/>
    <cellStyle name="Total 4 2 2 4 6" xfId="29834" xr:uid="{00000000-0005-0000-0000-0000636D0000}"/>
    <cellStyle name="Total 4 2 2 5" xfId="18927" xr:uid="{00000000-0005-0000-0000-0000646D0000}"/>
    <cellStyle name="Total 4 2 2 5 2" xfId="29835" xr:uid="{00000000-0005-0000-0000-0000656D0000}"/>
    <cellStyle name="Total 4 2 2 5 2 2" xfId="29836" xr:uid="{00000000-0005-0000-0000-0000666D0000}"/>
    <cellStyle name="Total 4 2 2 5 2 3" xfId="18326" xr:uid="{00000000-0005-0000-0000-0000676D0000}"/>
    <cellStyle name="Total 4 2 2 5 2 4" xfId="18360" xr:uid="{00000000-0005-0000-0000-0000686D0000}"/>
    <cellStyle name="Total 4 2 2 5 3" xfId="29837" xr:uid="{00000000-0005-0000-0000-0000696D0000}"/>
    <cellStyle name="Total 4 2 2 5 4" xfId="29838" xr:uid="{00000000-0005-0000-0000-00006A6D0000}"/>
    <cellStyle name="Total 4 2 2 5 5" xfId="29839" xr:uid="{00000000-0005-0000-0000-00006B6D0000}"/>
    <cellStyle name="Total 4 2 2 6" xfId="16347" xr:uid="{00000000-0005-0000-0000-00006C6D0000}"/>
    <cellStyle name="Total 4 2 2 6 2" xfId="20882" xr:uid="{00000000-0005-0000-0000-00006D6D0000}"/>
    <cellStyle name="Total 4 2 2 6 3" xfId="20885" xr:uid="{00000000-0005-0000-0000-00006E6D0000}"/>
    <cellStyle name="Total 4 2 2 6 4" xfId="20888" xr:uid="{00000000-0005-0000-0000-00006F6D0000}"/>
    <cellStyle name="Total 4 2 2 7" xfId="14397" xr:uid="{00000000-0005-0000-0000-0000706D0000}"/>
    <cellStyle name="Total 4 2 2 8" xfId="14406" xr:uid="{00000000-0005-0000-0000-0000716D0000}"/>
    <cellStyle name="Total 4 2 2 9" xfId="14410" xr:uid="{00000000-0005-0000-0000-0000726D0000}"/>
    <cellStyle name="Total 4 2 3" xfId="11516" xr:uid="{00000000-0005-0000-0000-0000736D0000}"/>
    <cellStyle name="Total 4 2 3 2" xfId="15104" xr:uid="{00000000-0005-0000-0000-0000746D0000}"/>
    <cellStyle name="Total 4 2 3 2 2" xfId="15583" xr:uid="{00000000-0005-0000-0000-0000756D0000}"/>
    <cellStyle name="Total 4 2 3 2 2 2" xfId="9207" xr:uid="{00000000-0005-0000-0000-0000766D0000}"/>
    <cellStyle name="Total 4 2 3 2 2 2 2" xfId="9215" xr:uid="{00000000-0005-0000-0000-0000776D0000}"/>
    <cellStyle name="Total 4 2 3 2 2 2 2 2" xfId="1145" xr:uid="{00000000-0005-0000-0000-0000786D0000}"/>
    <cellStyle name="Total 4 2 3 2 2 2 2 2 2" xfId="15585" xr:uid="{00000000-0005-0000-0000-0000796D0000}"/>
    <cellStyle name="Total 4 2 3 2 2 2 2 2 3" xfId="15587" xr:uid="{00000000-0005-0000-0000-00007A6D0000}"/>
    <cellStyle name="Total 4 2 3 2 2 2 2 2 4" xfId="15589" xr:uid="{00000000-0005-0000-0000-00007B6D0000}"/>
    <cellStyle name="Total 4 2 3 2 2 2 2 3" xfId="1156" xr:uid="{00000000-0005-0000-0000-00007C6D0000}"/>
    <cellStyle name="Total 4 2 3 2 2 2 2 4" xfId="4097" xr:uid="{00000000-0005-0000-0000-00007D6D0000}"/>
    <cellStyle name="Total 4 2 3 2 2 2 2 5" xfId="15592" xr:uid="{00000000-0005-0000-0000-00007E6D0000}"/>
    <cellStyle name="Total 4 2 3 2 2 2 3" xfId="9221" xr:uid="{00000000-0005-0000-0000-00007F6D0000}"/>
    <cellStyle name="Total 4 2 3 2 2 2 3 2" xfId="15596" xr:uid="{00000000-0005-0000-0000-0000806D0000}"/>
    <cellStyle name="Total 4 2 3 2 2 2 3 3" xfId="15599" xr:uid="{00000000-0005-0000-0000-0000816D0000}"/>
    <cellStyle name="Total 4 2 3 2 2 2 3 4" xfId="15603" xr:uid="{00000000-0005-0000-0000-0000826D0000}"/>
    <cellStyle name="Total 4 2 3 2 2 2 4" xfId="391" xr:uid="{00000000-0005-0000-0000-0000836D0000}"/>
    <cellStyle name="Total 4 2 3 2 2 2 5" xfId="420" xr:uid="{00000000-0005-0000-0000-0000846D0000}"/>
    <cellStyle name="Total 4 2 3 2 2 2 6" xfId="462" xr:uid="{00000000-0005-0000-0000-0000856D0000}"/>
    <cellStyle name="Total 4 2 3 2 2 3" xfId="9230" xr:uid="{00000000-0005-0000-0000-0000866D0000}"/>
    <cellStyle name="Total 4 2 3 2 2 3 2" xfId="151" xr:uid="{00000000-0005-0000-0000-0000876D0000}"/>
    <cellStyle name="Total 4 2 3 2 2 3 2 2" xfId="15606" xr:uid="{00000000-0005-0000-0000-0000886D0000}"/>
    <cellStyle name="Total 4 2 3 2 2 3 2 3" xfId="1293" xr:uid="{00000000-0005-0000-0000-0000896D0000}"/>
    <cellStyle name="Total 4 2 3 2 2 3 2 4" xfId="9626" xr:uid="{00000000-0005-0000-0000-00008A6D0000}"/>
    <cellStyle name="Total 4 2 3 2 2 3 3" xfId="9236" xr:uid="{00000000-0005-0000-0000-00008B6D0000}"/>
    <cellStyle name="Total 4 2 3 2 2 3 4" xfId="9242" xr:uid="{00000000-0005-0000-0000-00008C6D0000}"/>
    <cellStyle name="Total 4 2 3 2 2 3 5" xfId="11031" xr:uid="{00000000-0005-0000-0000-00008D6D0000}"/>
    <cellStyle name="Total 4 2 3 2 2 4" xfId="9093" xr:uid="{00000000-0005-0000-0000-00008E6D0000}"/>
    <cellStyle name="Total 4 2 3 2 2 4 2" xfId="14840" xr:uid="{00000000-0005-0000-0000-00008F6D0000}"/>
    <cellStyle name="Total 4 2 3 2 2 4 3" xfId="15608" xr:uid="{00000000-0005-0000-0000-0000906D0000}"/>
    <cellStyle name="Total 4 2 3 2 2 4 4" xfId="11037" xr:uid="{00000000-0005-0000-0000-0000916D0000}"/>
    <cellStyle name="Total 4 2 3 2 2 5" xfId="6785" xr:uid="{00000000-0005-0000-0000-0000926D0000}"/>
    <cellStyle name="Total 4 2 3 2 2 6" xfId="6384" xr:uid="{00000000-0005-0000-0000-0000936D0000}"/>
    <cellStyle name="Total 4 2 3 2 2 7" xfId="6433" xr:uid="{00000000-0005-0000-0000-0000946D0000}"/>
    <cellStyle name="Total 4 2 3 2 3" xfId="15611" xr:uid="{00000000-0005-0000-0000-0000956D0000}"/>
    <cellStyle name="Total 4 2 3 2 3 2" xfId="9268" xr:uid="{00000000-0005-0000-0000-0000966D0000}"/>
    <cellStyle name="Total 4 2 3 2 3 2 2" xfId="9275" xr:uid="{00000000-0005-0000-0000-0000976D0000}"/>
    <cellStyle name="Total 4 2 3 2 3 2 2 2" xfId="8344" xr:uid="{00000000-0005-0000-0000-0000986D0000}"/>
    <cellStyle name="Total 4 2 3 2 3 2 2 3" xfId="15554" xr:uid="{00000000-0005-0000-0000-0000996D0000}"/>
    <cellStyle name="Total 4 2 3 2 3 2 2 4" xfId="15558" xr:uid="{00000000-0005-0000-0000-00009A6D0000}"/>
    <cellStyle name="Total 4 2 3 2 3 2 3" xfId="9279" xr:uid="{00000000-0005-0000-0000-00009B6D0000}"/>
    <cellStyle name="Total 4 2 3 2 3 2 4" xfId="9286" xr:uid="{00000000-0005-0000-0000-00009C6D0000}"/>
    <cellStyle name="Total 4 2 3 2 3 2 5" xfId="15613" xr:uid="{00000000-0005-0000-0000-00009D6D0000}"/>
    <cellStyle name="Total 4 2 3 2 3 3" xfId="9292" xr:uid="{00000000-0005-0000-0000-00009E6D0000}"/>
    <cellStyle name="Total 4 2 3 2 3 3 2" xfId="13196" xr:uid="{00000000-0005-0000-0000-00009F6D0000}"/>
    <cellStyle name="Total 4 2 3 2 3 3 3" xfId="13216" xr:uid="{00000000-0005-0000-0000-0000A06D0000}"/>
    <cellStyle name="Total 4 2 3 2 3 3 4" xfId="11057" xr:uid="{00000000-0005-0000-0000-0000A16D0000}"/>
    <cellStyle name="Total 4 2 3 2 3 4" xfId="9296" xr:uid="{00000000-0005-0000-0000-0000A26D0000}"/>
    <cellStyle name="Total 4 2 3 2 3 5" xfId="8841" xr:uid="{00000000-0005-0000-0000-0000A36D0000}"/>
    <cellStyle name="Total 4 2 3 2 3 6" xfId="6477" xr:uid="{00000000-0005-0000-0000-0000A46D0000}"/>
    <cellStyle name="Total 4 2 3 2 4" xfId="15617" xr:uid="{00000000-0005-0000-0000-0000A56D0000}"/>
    <cellStyle name="Total 4 2 3 2 4 2" xfId="9314" xr:uid="{00000000-0005-0000-0000-0000A66D0000}"/>
    <cellStyle name="Total 4 2 3 2 4 2 2" xfId="14865" xr:uid="{00000000-0005-0000-0000-0000A76D0000}"/>
    <cellStyle name="Total 4 2 3 2 4 2 3" xfId="15619" xr:uid="{00000000-0005-0000-0000-0000A86D0000}"/>
    <cellStyle name="Total 4 2 3 2 4 2 4" xfId="15625" xr:uid="{00000000-0005-0000-0000-0000A96D0000}"/>
    <cellStyle name="Total 4 2 3 2 4 3" xfId="9318" xr:uid="{00000000-0005-0000-0000-0000AA6D0000}"/>
    <cellStyle name="Total 4 2 3 2 4 4" xfId="9321" xr:uid="{00000000-0005-0000-0000-0000AB6D0000}"/>
    <cellStyle name="Total 4 2 3 2 4 5" xfId="10139" xr:uid="{00000000-0005-0000-0000-0000AC6D0000}"/>
    <cellStyle name="Total 4 2 3 2 5" xfId="15628" xr:uid="{00000000-0005-0000-0000-0000AD6D0000}"/>
    <cellStyle name="Total 4 2 3 2 5 2" xfId="9330" xr:uid="{00000000-0005-0000-0000-0000AE6D0000}"/>
    <cellStyle name="Total 4 2 3 2 5 3" xfId="9334" xr:uid="{00000000-0005-0000-0000-0000AF6D0000}"/>
    <cellStyle name="Total 4 2 3 2 5 4" xfId="15302" xr:uid="{00000000-0005-0000-0000-0000B06D0000}"/>
    <cellStyle name="Total 4 2 3 2 6" xfId="15630" xr:uid="{00000000-0005-0000-0000-0000B16D0000}"/>
    <cellStyle name="Total 4 2 3 2 7" xfId="9828" xr:uid="{00000000-0005-0000-0000-0000B26D0000}"/>
    <cellStyle name="Total 4 2 3 2 8" xfId="9833" xr:uid="{00000000-0005-0000-0000-0000B36D0000}"/>
    <cellStyle name="Total 4 2 3 3" xfId="29840" xr:uid="{00000000-0005-0000-0000-0000B46D0000}"/>
    <cellStyle name="Total 4 2 3 3 2" xfId="15656" xr:uid="{00000000-0005-0000-0000-0000B56D0000}"/>
    <cellStyle name="Total 4 2 3 3 2 2" xfId="663" xr:uid="{00000000-0005-0000-0000-0000B66D0000}"/>
    <cellStyle name="Total 4 2 3 3 2 2 2" xfId="7837" xr:uid="{00000000-0005-0000-0000-0000B76D0000}"/>
    <cellStyle name="Total 4 2 3 3 2 2 2 2" xfId="15660" xr:uid="{00000000-0005-0000-0000-0000B86D0000}"/>
    <cellStyle name="Total 4 2 3 3 2 2 2 3" xfId="15664" xr:uid="{00000000-0005-0000-0000-0000B96D0000}"/>
    <cellStyle name="Total 4 2 3 3 2 2 2 4" xfId="15667" xr:uid="{00000000-0005-0000-0000-0000BA6D0000}"/>
    <cellStyle name="Total 4 2 3 3 2 2 3" xfId="7846" xr:uid="{00000000-0005-0000-0000-0000BB6D0000}"/>
    <cellStyle name="Total 4 2 3 3 2 2 4" xfId="9365" xr:uid="{00000000-0005-0000-0000-0000BC6D0000}"/>
    <cellStyle name="Total 4 2 3 3 2 2 5" xfId="15670" xr:uid="{00000000-0005-0000-0000-0000BD6D0000}"/>
    <cellStyle name="Total 4 2 3 3 2 3" xfId="2785" xr:uid="{00000000-0005-0000-0000-0000BE6D0000}"/>
    <cellStyle name="Total 4 2 3 3 2 3 2" xfId="7854" xr:uid="{00000000-0005-0000-0000-0000BF6D0000}"/>
    <cellStyle name="Total 4 2 3 3 2 3 3" xfId="14991" xr:uid="{00000000-0005-0000-0000-0000C06D0000}"/>
    <cellStyle name="Total 4 2 3 3 2 3 4" xfId="11137" xr:uid="{00000000-0005-0000-0000-0000C16D0000}"/>
    <cellStyle name="Total 4 2 3 3 2 4" xfId="9373" xr:uid="{00000000-0005-0000-0000-0000C26D0000}"/>
    <cellStyle name="Total 4 2 3 3 2 5" xfId="8847" xr:uid="{00000000-0005-0000-0000-0000C36D0000}"/>
    <cellStyle name="Total 4 2 3 3 2 6" xfId="6677" xr:uid="{00000000-0005-0000-0000-0000C46D0000}"/>
    <cellStyle name="Total 4 2 3 3 3" xfId="15675" xr:uid="{00000000-0005-0000-0000-0000C56D0000}"/>
    <cellStyle name="Total 4 2 3 3 3 2" xfId="30" xr:uid="{00000000-0005-0000-0000-0000C66D0000}"/>
    <cellStyle name="Total 4 2 3 3 3 2 2" xfId="7898" xr:uid="{00000000-0005-0000-0000-0000C76D0000}"/>
    <cellStyle name="Total 4 2 3 3 3 2 3" xfId="15014" xr:uid="{00000000-0005-0000-0000-0000C86D0000}"/>
    <cellStyle name="Total 4 2 3 3 3 2 4" xfId="15677" xr:uid="{00000000-0005-0000-0000-0000C96D0000}"/>
    <cellStyle name="Total 4 2 3 3 3 3" xfId="5982" xr:uid="{00000000-0005-0000-0000-0000CA6D0000}"/>
    <cellStyle name="Total 4 2 3 3 3 4" xfId="5989" xr:uid="{00000000-0005-0000-0000-0000CB6D0000}"/>
    <cellStyle name="Total 4 2 3 3 3 5" xfId="15681" xr:uid="{00000000-0005-0000-0000-0000CC6D0000}"/>
    <cellStyle name="Total 4 2 3 3 4" xfId="15684" xr:uid="{00000000-0005-0000-0000-0000CD6D0000}"/>
    <cellStyle name="Total 4 2 3 3 4 2" xfId="5996" xr:uid="{00000000-0005-0000-0000-0000CE6D0000}"/>
    <cellStyle name="Total 4 2 3 3 4 3" xfId="6002" xr:uid="{00000000-0005-0000-0000-0000CF6D0000}"/>
    <cellStyle name="Total 4 2 3 3 4 4" xfId="15686" xr:uid="{00000000-0005-0000-0000-0000D06D0000}"/>
    <cellStyle name="Total 4 2 3 3 5" xfId="15688" xr:uid="{00000000-0005-0000-0000-0000D16D0000}"/>
    <cellStyle name="Total 4 2 3 3 6" xfId="15690" xr:uid="{00000000-0005-0000-0000-0000D26D0000}"/>
    <cellStyle name="Total 4 2 3 3 7" xfId="15692" xr:uid="{00000000-0005-0000-0000-0000D36D0000}"/>
    <cellStyle name="Total 4 2 3 4" xfId="29841" xr:uid="{00000000-0005-0000-0000-0000D46D0000}"/>
    <cellStyle name="Total 4 2 3 4 2" xfId="15708" xr:uid="{00000000-0005-0000-0000-0000D56D0000}"/>
    <cellStyle name="Total 4 2 3 4 2 2" xfId="9390" xr:uid="{00000000-0005-0000-0000-0000D66D0000}"/>
    <cellStyle name="Total 4 2 3 4 2 2 2" xfId="8017" xr:uid="{00000000-0005-0000-0000-0000D76D0000}"/>
    <cellStyle name="Total 4 2 3 4 2 2 3" xfId="15078" xr:uid="{00000000-0005-0000-0000-0000D86D0000}"/>
    <cellStyle name="Total 4 2 3 4 2 2 4" xfId="15710" xr:uid="{00000000-0005-0000-0000-0000D96D0000}"/>
    <cellStyle name="Total 4 2 3 4 2 3" xfId="9396" xr:uid="{00000000-0005-0000-0000-0000DA6D0000}"/>
    <cellStyle name="Total 4 2 3 4 2 4" xfId="9404" xr:uid="{00000000-0005-0000-0000-0000DB6D0000}"/>
    <cellStyle name="Total 4 2 3 4 2 5" xfId="12273" xr:uid="{00000000-0005-0000-0000-0000DC6D0000}"/>
    <cellStyle name="Total 4 2 3 4 3" xfId="15713" xr:uid="{00000000-0005-0000-0000-0000DD6D0000}"/>
    <cellStyle name="Total 4 2 3 4 3 2" xfId="6038" xr:uid="{00000000-0005-0000-0000-0000DE6D0000}"/>
    <cellStyle name="Total 4 2 3 4 3 3" xfId="6046" xr:uid="{00000000-0005-0000-0000-0000DF6D0000}"/>
    <cellStyle name="Total 4 2 3 4 3 4" xfId="15718" xr:uid="{00000000-0005-0000-0000-0000E06D0000}"/>
    <cellStyle name="Total 4 2 3 4 4" xfId="14454" xr:uid="{00000000-0005-0000-0000-0000E16D0000}"/>
    <cellStyle name="Total 4 2 3 4 5" xfId="14460" xr:uid="{00000000-0005-0000-0000-0000E26D0000}"/>
    <cellStyle name="Total 4 2 3 4 6" xfId="14463" xr:uid="{00000000-0005-0000-0000-0000E36D0000}"/>
    <cellStyle name="Total 4 2 3 5" xfId="29842" xr:uid="{00000000-0005-0000-0000-0000E46D0000}"/>
    <cellStyle name="Total 4 2 3 5 2" xfId="15729" xr:uid="{00000000-0005-0000-0000-0000E56D0000}"/>
    <cellStyle name="Total 4 2 3 5 2 2" xfId="9004" xr:uid="{00000000-0005-0000-0000-0000E66D0000}"/>
    <cellStyle name="Total 4 2 3 5 2 3" xfId="9011" xr:uid="{00000000-0005-0000-0000-0000E76D0000}"/>
    <cellStyle name="Total 4 2 3 5 2 4" xfId="15733" xr:uid="{00000000-0005-0000-0000-0000E86D0000}"/>
    <cellStyle name="Total 4 2 3 5 3" xfId="2339" xr:uid="{00000000-0005-0000-0000-0000E96D0000}"/>
    <cellStyle name="Total 4 2 3 5 4" xfId="3046" xr:uid="{00000000-0005-0000-0000-0000EA6D0000}"/>
    <cellStyle name="Total 4 2 3 5 5" xfId="3054" xr:uid="{00000000-0005-0000-0000-0000EB6D0000}"/>
    <cellStyle name="Total 4 2 3 6" xfId="21133" xr:uid="{00000000-0005-0000-0000-0000EC6D0000}"/>
    <cellStyle name="Total 4 2 3 6 2" xfId="15744" xr:uid="{00000000-0005-0000-0000-0000ED6D0000}"/>
    <cellStyle name="Total 4 2 3 6 3" xfId="15749" xr:uid="{00000000-0005-0000-0000-0000EE6D0000}"/>
    <cellStyle name="Total 4 2 3 6 4" xfId="15267" xr:uid="{00000000-0005-0000-0000-0000EF6D0000}"/>
    <cellStyle name="Total 4 2 3 7" xfId="21135" xr:uid="{00000000-0005-0000-0000-0000F06D0000}"/>
    <cellStyle name="Total 4 2 3 8" xfId="21138" xr:uid="{00000000-0005-0000-0000-0000F16D0000}"/>
    <cellStyle name="Total 4 2 3 9" xfId="21798" xr:uid="{00000000-0005-0000-0000-0000F26D0000}"/>
    <cellStyle name="Total 4 2 4" xfId="11518" xr:uid="{00000000-0005-0000-0000-0000F36D0000}"/>
    <cellStyle name="Total 4 2 4 2" xfId="29843" xr:uid="{00000000-0005-0000-0000-0000F46D0000}"/>
    <cellStyle name="Total 4 2 4 2 2" xfId="15862" xr:uid="{00000000-0005-0000-0000-0000F56D0000}"/>
    <cellStyle name="Total 4 2 4 2 2 2" xfId="15864" xr:uid="{00000000-0005-0000-0000-0000F66D0000}"/>
    <cellStyle name="Total 4 2 4 2 2 2 2" xfId="6099" xr:uid="{00000000-0005-0000-0000-0000F76D0000}"/>
    <cellStyle name="Total 4 2 4 2 2 2 2 2" xfId="14775" xr:uid="{00000000-0005-0000-0000-0000F86D0000}"/>
    <cellStyle name="Total 4 2 4 2 2 2 2 3" xfId="29844" xr:uid="{00000000-0005-0000-0000-0000F96D0000}"/>
    <cellStyle name="Total 4 2 4 2 2 2 2 4" xfId="29845" xr:uid="{00000000-0005-0000-0000-0000FA6D0000}"/>
    <cellStyle name="Total 4 2 4 2 2 2 3" xfId="7199" xr:uid="{00000000-0005-0000-0000-0000FB6D0000}"/>
    <cellStyle name="Total 4 2 4 2 2 2 4" xfId="9454" xr:uid="{00000000-0005-0000-0000-0000FC6D0000}"/>
    <cellStyle name="Total 4 2 4 2 2 2 5" xfId="1443" xr:uid="{00000000-0005-0000-0000-0000FD6D0000}"/>
    <cellStyle name="Total 4 2 4 2 2 3" xfId="15868" xr:uid="{00000000-0005-0000-0000-0000FE6D0000}"/>
    <cellStyle name="Total 4 2 4 2 2 3 2" xfId="29846" xr:uid="{00000000-0005-0000-0000-0000FF6D0000}"/>
    <cellStyle name="Total 4 2 4 2 2 3 3" xfId="27719" xr:uid="{00000000-0005-0000-0000-0000006E0000}"/>
    <cellStyle name="Total 4 2 4 2 2 3 4" xfId="27168" xr:uid="{00000000-0005-0000-0000-0000016E0000}"/>
    <cellStyle name="Total 4 2 4 2 2 4" xfId="15874" xr:uid="{00000000-0005-0000-0000-0000026E0000}"/>
    <cellStyle name="Total 4 2 4 2 2 5" xfId="15879" xr:uid="{00000000-0005-0000-0000-0000036E0000}"/>
    <cellStyle name="Total 4 2 4 2 2 6" xfId="29848" xr:uid="{00000000-0005-0000-0000-0000046E0000}"/>
    <cellStyle name="Total 4 2 4 2 3" xfId="15881" xr:uid="{00000000-0005-0000-0000-0000056E0000}"/>
    <cellStyle name="Total 4 2 4 2 3 2" xfId="15883" xr:uid="{00000000-0005-0000-0000-0000066E0000}"/>
    <cellStyle name="Total 4 2 4 2 3 2 2" xfId="15165" xr:uid="{00000000-0005-0000-0000-0000076E0000}"/>
    <cellStyle name="Total 4 2 4 2 3 2 3" xfId="21638" xr:uid="{00000000-0005-0000-0000-0000086E0000}"/>
    <cellStyle name="Total 4 2 4 2 3 2 4" xfId="29849" xr:uid="{00000000-0005-0000-0000-0000096E0000}"/>
    <cellStyle name="Total 4 2 4 2 3 3" xfId="15887" xr:uid="{00000000-0005-0000-0000-00000A6E0000}"/>
    <cellStyle name="Total 4 2 4 2 3 4" xfId="15890" xr:uid="{00000000-0005-0000-0000-00000B6E0000}"/>
    <cellStyle name="Total 4 2 4 2 3 5" xfId="29850" xr:uid="{00000000-0005-0000-0000-00000C6E0000}"/>
    <cellStyle name="Total 4 2 4 2 4" xfId="15892" xr:uid="{00000000-0005-0000-0000-00000D6E0000}"/>
    <cellStyle name="Total 4 2 4 2 4 2" xfId="29851" xr:uid="{00000000-0005-0000-0000-00000E6E0000}"/>
    <cellStyle name="Total 4 2 4 2 4 3" xfId="29852" xr:uid="{00000000-0005-0000-0000-00000F6E0000}"/>
    <cellStyle name="Total 4 2 4 2 4 4" xfId="29853" xr:uid="{00000000-0005-0000-0000-0000106E0000}"/>
    <cellStyle name="Total 4 2 4 2 5" xfId="15894" xr:uid="{00000000-0005-0000-0000-0000116E0000}"/>
    <cellStyle name="Total 4 2 4 2 6" xfId="15896" xr:uid="{00000000-0005-0000-0000-0000126E0000}"/>
    <cellStyle name="Total 4 2 4 2 7" xfId="29854" xr:uid="{00000000-0005-0000-0000-0000136E0000}"/>
    <cellStyle name="Total 4 2 4 3" xfId="29855" xr:uid="{00000000-0005-0000-0000-0000146E0000}"/>
    <cellStyle name="Total 4 2 4 3 2" xfId="15910" xr:uid="{00000000-0005-0000-0000-0000156E0000}"/>
    <cellStyle name="Total 4 2 4 3 2 2" xfId="15912" xr:uid="{00000000-0005-0000-0000-0000166E0000}"/>
    <cellStyle name="Total 4 2 4 3 2 2 2" xfId="23524" xr:uid="{00000000-0005-0000-0000-0000176E0000}"/>
    <cellStyle name="Total 4 2 4 3 2 2 3" xfId="23527" xr:uid="{00000000-0005-0000-0000-0000186E0000}"/>
    <cellStyle name="Total 4 2 4 3 2 2 4" xfId="23529" xr:uid="{00000000-0005-0000-0000-0000196E0000}"/>
    <cellStyle name="Total 4 2 4 3 2 3" xfId="15915" xr:uid="{00000000-0005-0000-0000-00001A6E0000}"/>
    <cellStyle name="Total 4 2 4 3 2 4" xfId="15917" xr:uid="{00000000-0005-0000-0000-00001B6E0000}"/>
    <cellStyle name="Total 4 2 4 3 2 5" xfId="19715" xr:uid="{00000000-0005-0000-0000-00001C6E0000}"/>
    <cellStyle name="Total 4 2 4 3 3" xfId="15919" xr:uid="{00000000-0005-0000-0000-00001D6E0000}"/>
    <cellStyle name="Total 4 2 4 3 3 2" xfId="29856" xr:uid="{00000000-0005-0000-0000-00001E6E0000}"/>
    <cellStyle name="Total 4 2 4 3 3 3" xfId="29857" xr:uid="{00000000-0005-0000-0000-00001F6E0000}"/>
    <cellStyle name="Total 4 2 4 3 3 4" xfId="29858" xr:uid="{00000000-0005-0000-0000-0000206E0000}"/>
    <cellStyle name="Total 4 2 4 3 4" xfId="15921" xr:uid="{00000000-0005-0000-0000-0000216E0000}"/>
    <cellStyle name="Total 4 2 4 3 5" xfId="15923" xr:uid="{00000000-0005-0000-0000-0000226E0000}"/>
    <cellStyle name="Total 4 2 4 3 6" xfId="29859" xr:uid="{00000000-0005-0000-0000-0000236E0000}"/>
    <cellStyle name="Total 4 2 4 4" xfId="29860" xr:uid="{00000000-0005-0000-0000-0000246E0000}"/>
    <cellStyle name="Total 4 2 4 4 2" xfId="15425" xr:uid="{00000000-0005-0000-0000-0000256E0000}"/>
    <cellStyle name="Total 4 2 4 4 2 2" xfId="29861" xr:uid="{00000000-0005-0000-0000-0000266E0000}"/>
    <cellStyle name="Total 4 2 4 4 2 3" xfId="9489" xr:uid="{00000000-0005-0000-0000-0000276E0000}"/>
    <cellStyle name="Total 4 2 4 4 2 4" xfId="15431" xr:uid="{00000000-0005-0000-0000-0000286E0000}"/>
    <cellStyle name="Total 4 2 4 4 3" xfId="15434" xr:uid="{00000000-0005-0000-0000-0000296E0000}"/>
    <cellStyle name="Total 4 2 4 4 4" xfId="14480" xr:uid="{00000000-0005-0000-0000-00002A6E0000}"/>
    <cellStyle name="Total 4 2 4 4 5" xfId="29862" xr:uid="{00000000-0005-0000-0000-00002B6E0000}"/>
    <cellStyle name="Total 4 2 4 5" xfId="29863" xr:uid="{00000000-0005-0000-0000-00002C6E0000}"/>
    <cellStyle name="Total 4 2 4 5 2" xfId="15474" xr:uid="{00000000-0005-0000-0000-00002D6E0000}"/>
    <cellStyle name="Total 4 2 4 5 3" xfId="6235" xr:uid="{00000000-0005-0000-0000-00002E6E0000}"/>
    <cellStyle name="Total 4 2 4 5 4" xfId="29864" xr:uid="{00000000-0005-0000-0000-00002F6E0000}"/>
    <cellStyle name="Total 4 2 4 6" xfId="29865" xr:uid="{00000000-0005-0000-0000-0000306E0000}"/>
    <cellStyle name="Total 4 2 4 7" xfId="29866" xr:uid="{00000000-0005-0000-0000-0000316E0000}"/>
    <cellStyle name="Total 4 2 4 8" xfId="29867" xr:uid="{00000000-0005-0000-0000-0000326E0000}"/>
    <cellStyle name="Total 4 2 5" xfId="11520" xr:uid="{00000000-0005-0000-0000-0000336E0000}"/>
    <cellStyle name="Total 4 2 5 2" xfId="29868" xr:uid="{00000000-0005-0000-0000-0000346E0000}"/>
    <cellStyle name="Total 4 2 5 2 2" xfId="16045" xr:uid="{00000000-0005-0000-0000-0000356E0000}"/>
    <cellStyle name="Total 4 2 5 2 2 2" xfId="16047" xr:uid="{00000000-0005-0000-0000-0000366E0000}"/>
    <cellStyle name="Total 4 2 5 2 2 2 2" xfId="15249" xr:uid="{00000000-0005-0000-0000-0000376E0000}"/>
    <cellStyle name="Total 4 2 5 2 2 2 3" xfId="15252" xr:uid="{00000000-0005-0000-0000-0000386E0000}"/>
    <cellStyle name="Total 4 2 5 2 2 2 4" xfId="16050" xr:uid="{00000000-0005-0000-0000-0000396E0000}"/>
    <cellStyle name="Total 4 2 5 2 2 3" xfId="16052" xr:uid="{00000000-0005-0000-0000-00003A6E0000}"/>
    <cellStyle name="Total 4 2 5 2 2 4" xfId="16058" xr:uid="{00000000-0005-0000-0000-00003B6E0000}"/>
    <cellStyle name="Total 4 2 5 2 2 5" xfId="16063" xr:uid="{00000000-0005-0000-0000-00003C6E0000}"/>
    <cellStyle name="Total 4 2 5 2 3" xfId="5134" xr:uid="{00000000-0005-0000-0000-00003D6E0000}"/>
    <cellStyle name="Total 4 2 5 2 3 2" xfId="5142" xr:uid="{00000000-0005-0000-0000-00003E6E0000}"/>
    <cellStyle name="Total 4 2 5 2 3 3" xfId="5306" xr:uid="{00000000-0005-0000-0000-00003F6E0000}"/>
    <cellStyle name="Total 4 2 5 2 3 4" xfId="5379" xr:uid="{00000000-0005-0000-0000-0000406E0000}"/>
    <cellStyle name="Total 4 2 5 2 4" xfId="5209" xr:uid="{00000000-0005-0000-0000-0000416E0000}"/>
    <cellStyle name="Total 4 2 5 2 5" xfId="5215" xr:uid="{00000000-0005-0000-0000-0000426E0000}"/>
    <cellStyle name="Total 4 2 5 2 6" xfId="5227" xr:uid="{00000000-0005-0000-0000-0000436E0000}"/>
    <cellStyle name="Total 4 2 5 3" xfId="29869" xr:uid="{00000000-0005-0000-0000-0000446E0000}"/>
    <cellStyle name="Total 4 2 5 3 2" xfId="16082" xr:uid="{00000000-0005-0000-0000-0000456E0000}"/>
    <cellStyle name="Total 4 2 5 3 2 2" xfId="16084" xr:uid="{00000000-0005-0000-0000-0000466E0000}"/>
    <cellStyle name="Total 4 2 5 3 2 3" xfId="16087" xr:uid="{00000000-0005-0000-0000-0000476E0000}"/>
    <cellStyle name="Total 4 2 5 3 2 4" xfId="16089" xr:uid="{00000000-0005-0000-0000-0000486E0000}"/>
    <cellStyle name="Total 4 2 5 3 3" xfId="5277" xr:uid="{00000000-0005-0000-0000-0000496E0000}"/>
    <cellStyle name="Total 4 2 5 3 4" xfId="5176" xr:uid="{00000000-0005-0000-0000-00004A6E0000}"/>
    <cellStyle name="Total 4 2 5 3 5" xfId="1481" xr:uid="{00000000-0005-0000-0000-00004B6E0000}"/>
    <cellStyle name="Total 4 2 5 4" xfId="29870" xr:uid="{00000000-0005-0000-0000-00004C6E0000}"/>
    <cellStyle name="Total 4 2 5 4 2" xfId="7295" xr:uid="{00000000-0005-0000-0000-00004D6E0000}"/>
    <cellStyle name="Total 4 2 5 4 3" xfId="6215" xr:uid="{00000000-0005-0000-0000-00004E6E0000}"/>
    <cellStyle name="Total 4 2 5 4 4" xfId="6327" xr:uid="{00000000-0005-0000-0000-00004F6E0000}"/>
    <cellStyle name="Total 4 2 5 5" xfId="29871" xr:uid="{00000000-0005-0000-0000-0000506E0000}"/>
    <cellStyle name="Total 4 2 5 6" xfId="29872" xr:uid="{00000000-0005-0000-0000-0000516E0000}"/>
    <cellStyle name="Total 4 2 5 7" xfId="29873" xr:uid="{00000000-0005-0000-0000-0000526E0000}"/>
    <cellStyle name="Total 4 2 6" xfId="29874" xr:uid="{00000000-0005-0000-0000-0000536E0000}"/>
    <cellStyle name="Total 4 2 6 2" xfId="22742" xr:uid="{00000000-0005-0000-0000-0000546E0000}"/>
    <cellStyle name="Total 4 2 6 2 2" xfId="16172" xr:uid="{00000000-0005-0000-0000-0000556E0000}"/>
    <cellStyle name="Total 4 2 6 2 2 2" xfId="16174" xr:uid="{00000000-0005-0000-0000-0000566E0000}"/>
    <cellStyle name="Total 4 2 6 2 2 3" xfId="16178" xr:uid="{00000000-0005-0000-0000-0000576E0000}"/>
    <cellStyle name="Total 4 2 6 2 2 4" xfId="16181" xr:uid="{00000000-0005-0000-0000-0000586E0000}"/>
    <cellStyle name="Total 4 2 6 2 3" xfId="4257" xr:uid="{00000000-0005-0000-0000-0000596E0000}"/>
    <cellStyle name="Total 4 2 6 2 4" xfId="5137" xr:uid="{00000000-0005-0000-0000-00005A6E0000}"/>
    <cellStyle name="Total 4 2 6 2 5" xfId="5299" xr:uid="{00000000-0005-0000-0000-00005B6E0000}"/>
    <cellStyle name="Total 4 2 6 3" xfId="22744" xr:uid="{00000000-0005-0000-0000-00005C6E0000}"/>
    <cellStyle name="Total 4 2 6 3 2" xfId="16197" xr:uid="{00000000-0005-0000-0000-00005D6E0000}"/>
    <cellStyle name="Total 4 2 6 3 3" xfId="6624" xr:uid="{00000000-0005-0000-0000-00005E6E0000}"/>
    <cellStyle name="Total 4 2 6 3 4" xfId="5417" xr:uid="{00000000-0005-0000-0000-00005F6E0000}"/>
    <cellStyle name="Total 4 2 6 4" xfId="29875" xr:uid="{00000000-0005-0000-0000-0000606E0000}"/>
    <cellStyle name="Total 4 2 6 5" xfId="29876" xr:uid="{00000000-0005-0000-0000-0000616E0000}"/>
    <cellStyle name="Total 4 2 6 6" xfId="29877" xr:uid="{00000000-0005-0000-0000-0000626E0000}"/>
    <cellStyle name="Total 4 2 7" xfId="29878" xr:uid="{00000000-0005-0000-0000-0000636E0000}"/>
    <cellStyle name="Total 4 2 7 2" xfId="29879" xr:uid="{00000000-0005-0000-0000-0000646E0000}"/>
    <cellStyle name="Total 4 2 7 2 2" xfId="12140" xr:uid="{00000000-0005-0000-0000-0000656E0000}"/>
    <cellStyle name="Total 4 2 7 2 3" xfId="6701" xr:uid="{00000000-0005-0000-0000-0000666E0000}"/>
    <cellStyle name="Total 4 2 7 2 4" xfId="5753" xr:uid="{00000000-0005-0000-0000-0000676E0000}"/>
    <cellStyle name="Total 4 2 7 3" xfId="29880" xr:uid="{00000000-0005-0000-0000-0000686E0000}"/>
    <cellStyle name="Total 4 2 7 4" xfId="19669" xr:uid="{00000000-0005-0000-0000-0000696E0000}"/>
    <cellStyle name="Total 4 2 7 5" xfId="17889" xr:uid="{00000000-0005-0000-0000-00006A6E0000}"/>
    <cellStyle name="Total 4 2 8" xfId="29881" xr:uid="{00000000-0005-0000-0000-00006B6E0000}"/>
    <cellStyle name="Total 4 2 8 2" xfId="29882" xr:uid="{00000000-0005-0000-0000-00006C6E0000}"/>
    <cellStyle name="Total 4 2 8 3" xfId="29883" xr:uid="{00000000-0005-0000-0000-00006D6E0000}"/>
    <cellStyle name="Total 4 2 8 4" xfId="19686" xr:uid="{00000000-0005-0000-0000-00006E6E0000}"/>
    <cellStyle name="Total 4 2 9" xfId="29884" xr:uid="{00000000-0005-0000-0000-00006F6E0000}"/>
    <cellStyle name="Total 4 3" xfId="20685" xr:uid="{00000000-0005-0000-0000-0000706E0000}"/>
    <cellStyle name="Total 4 3 2" xfId="11556" xr:uid="{00000000-0005-0000-0000-0000716E0000}"/>
    <cellStyle name="Total 4 3 2 2" xfId="15107" xr:uid="{00000000-0005-0000-0000-0000726E0000}"/>
    <cellStyle name="Total 4 3 2 2 2" xfId="11701" xr:uid="{00000000-0005-0000-0000-0000736E0000}"/>
    <cellStyle name="Total 4 3 2 2 2 2" xfId="3524" xr:uid="{00000000-0005-0000-0000-0000746E0000}"/>
    <cellStyle name="Total 4 3 2 2 2 2 2" xfId="10198" xr:uid="{00000000-0005-0000-0000-0000756E0000}"/>
    <cellStyle name="Total 4 3 2 2 2 2 2 2" xfId="10202" xr:uid="{00000000-0005-0000-0000-0000766E0000}"/>
    <cellStyle name="Total 4 3 2 2 2 2 2 3" xfId="10209" xr:uid="{00000000-0005-0000-0000-0000776E0000}"/>
    <cellStyle name="Total 4 3 2 2 2 2 2 4" xfId="10216" xr:uid="{00000000-0005-0000-0000-0000786E0000}"/>
    <cellStyle name="Total 4 3 2 2 2 2 3" xfId="8118" xr:uid="{00000000-0005-0000-0000-0000796E0000}"/>
    <cellStyle name="Total 4 3 2 2 2 2 4" xfId="8179" xr:uid="{00000000-0005-0000-0000-00007A6E0000}"/>
    <cellStyle name="Total 4 3 2 2 2 2 5" xfId="8197" xr:uid="{00000000-0005-0000-0000-00007B6E0000}"/>
    <cellStyle name="Total 4 3 2 2 2 3" xfId="3532" xr:uid="{00000000-0005-0000-0000-00007C6E0000}"/>
    <cellStyle name="Total 4 3 2 2 2 3 2" xfId="10224" xr:uid="{00000000-0005-0000-0000-00007D6E0000}"/>
    <cellStyle name="Total 4 3 2 2 2 3 3" xfId="8233" xr:uid="{00000000-0005-0000-0000-00007E6E0000}"/>
    <cellStyle name="Total 4 3 2 2 2 3 4" xfId="8274" xr:uid="{00000000-0005-0000-0000-00007F6E0000}"/>
    <cellStyle name="Total 4 3 2 2 2 4" xfId="3542" xr:uid="{00000000-0005-0000-0000-0000806E0000}"/>
    <cellStyle name="Total 4 3 2 2 2 5" xfId="6450" xr:uid="{00000000-0005-0000-0000-0000816E0000}"/>
    <cellStyle name="Total 4 3 2 2 2 6" xfId="10235" xr:uid="{00000000-0005-0000-0000-0000826E0000}"/>
    <cellStyle name="Total 4 3 2 2 3" xfId="11717" xr:uid="{00000000-0005-0000-0000-0000836E0000}"/>
    <cellStyle name="Total 4 3 2 2 3 2" xfId="3558" xr:uid="{00000000-0005-0000-0000-0000846E0000}"/>
    <cellStyle name="Total 4 3 2 2 3 2 2" xfId="10238" xr:uid="{00000000-0005-0000-0000-0000856E0000}"/>
    <cellStyle name="Total 4 3 2 2 3 2 3" xfId="9438" xr:uid="{00000000-0005-0000-0000-0000866E0000}"/>
    <cellStyle name="Total 4 3 2 2 3 2 4" xfId="9463" xr:uid="{00000000-0005-0000-0000-0000876E0000}"/>
    <cellStyle name="Total 4 3 2 2 3 3" xfId="3572" xr:uid="{00000000-0005-0000-0000-0000886E0000}"/>
    <cellStyle name="Total 4 3 2 2 3 4" xfId="10242" xr:uid="{00000000-0005-0000-0000-0000896E0000}"/>
    <cellStyle name="Total 4 3 2 2 3 5" xfId="10246" xr:uid="{00000000-0005-0000-0000-00008A6E0000}"/>
    <cellStyle name="Total 4 3 2 2 4" xfId="11730" xr:uid="{00000000-0005-0000-0000-00008B6E0000}"/>
    <cellStyle name="Total 4 3 2 2 4 2" xfId="12" xr:uid="{00000000-0005-0000-0000-00008C6E0000}"/>
    <cellStyle name="Total 4 3 2 2 4 3" xfId="3819" xr:uid="{00000000-0005-0000-0000-00008D6E0000}"/>
    <cellStyle name="Total 4 3 2 2 4 4" xfId="3826" xr:uid="{00000000-0005-0000-0000-00008E6E0000}"/>
    <cellStyle name="Total 4 3 2 2 5" xfId="8522" xr:uid="{00000000-0005-0000-0000-00008F6E0000}"/>
    <cellStyle name="Total 4 3 2 2 6" xfId="8527" xr:uid="{00000000-0005-0000-0000-0000906E0000}"/>
    <cellStyle name="Total 4 3 2 2 7" xfId="8529" xr:uid="{00000000-0005-0000-0000-0000916E0000}"/>
    <cellStyle name="Total 4 3 2 3" xfId="29885" xr:uid="{00000000-0005-0000-0000-0000926E0000}"/>
    <cellStyle name="Total 4 3 2 3 2" xfId="11777" xr:uid="{00000000-0005-0000-0000-0000936E0000}"/>
    <cellStyle name="Total 4 3 2 3 2 2" xfId="3058" xr:uid="{00000000-0005-0000-0000-0000946E0000}"/>
    <cellStyle name="Total 4 3 2 3 2 2 2" xfId="9033" xr:uid="{00000000-0005-0000-0000-0000956E0000}"/>
    <cellStyle name="Total 4 3 2 3 2 2 3" xfId="9040" xr:uid="{00000000-0005-0000-0000-0000966E0000}"/>
    <cellStyle name="Total 4 3 2 3 2 2 4" xfId="10257" xr:uid="{00000000-0005-0000-0000-0000976E0000}"/>
    <cellStyle name="Total 4 3 2 3 2 3" xfId="1831" xr:uid="{00000000-0005-0000-0000-0000986E0000}"/>
    <cellStyle name="Total 4 3 2 3 2 4" xfId="1839" xr:uid="{00000000-0005-0000-0000-0000996E0000}"/>
    <cellStyle name="Total 4 3 2 3 2 5" xfId="10262" xr:uid="{00000000-0005-0000-0000-00009A6E0000}"/>
    <cellStyle name="Total 4 3 2 3 3" xfId="11782" xr:uid="{00000000-0005-0000-0000-00009B6E0000}"/>
    <cellStyle name="Total 4 3 2 3 3 2" xfId="2969" xr:uid="{00000000-0005-0000-0000-00009C6E0000}"/>
    <cellStyle name="Total 4 3 2 3 3 3" xfId="1850" xr:uid="{00000000-0005-0000-0000-00009D6E0000}"/>
    <cellStyle name="Total 4 3 2 3 3 4" xfId="6253" xr:uid="{00000000-0005-0000-0000-00009E6E0000}"/>
    <cellStyle name="Total 4 3 2 3 4" xfId="11786" xr:uid="{00000000-0005-0000-0000-00009F6E0000}"/>
    <cellStyle name="Total 4 3 2 3 5" xfId="8542" xr:uid="{00000000-0005-0000-0000-0000A06E0000}"/>
    <cellStyle name="Total 4 3 2 3 6" xfId="8547" xr:uid="{00000000-0005-0000-0000-0000A16E0000}"/>
    <cellStyle name="Total 4 3 2 4" xfId="29886" xr:uid="{00000000-0005-0000-0000-0000A26E0000}"/>
    <cellStyle name="Total 4 3 2 4 2" xfId="11810" xr:uid="{00000000-0005-0000-0000-0000A36E0000}"/>
    <cellStyle name="Total 4 3 2 4 2 2" xfId="2500" xr:uid="{00000000-0005-0000-0000-0000A46E0000}"/>
    <cellStyle name="Total 4 3 2 4 2 3" xfId="2510" xr:uid="{00000000-0005-0000-0000-0000A56E0000}"/>
    <cellStyle name="Total 4 3 2 4 2 4" xfId="10274" xr:uid="{00000000-0005-0000-0000-0000A66E0000}"/>
    <cellStyle name="Total 4 3 2 4 3" xfId="11814" xr:uid="{00000000-0005-0000-0000-0000A76E0000}"/>
    <cellStyle name="Total 4 3 2 4 4" xfId="11816" xr:uid="{00000000-0005-0000-0000-0000A86E0000}"/>
    <cellStyle name="Total 4 3 2 4 5" xfId="11818" xr:uid="{00000000-0005-0000-0000-0000A96E0000}"/>
    <cellStyle name="Total 4 3 2 5" xfId="29887" xr:uid="{00000000-0005-0000-0000-0000AA6E0000}"/>
    <cellStyle name="Total 4 3 2 5 2" xfId="257" xr:uid="{00000000-0005-0000-0000-0000AB6E0000}"/>
    <cellStyle name="Total 4 3 2 5 3" xfId="2505" xr:uid="{00000000-0005-0000-0000-0000AC6E0000}"/>
    <cellStyle name="Total 4 3 2 5 4" xfId="2520" xr:uid="{00000000-0005-0000-0000-0000AD6E0000}"/>
    <cellStyle name="Total 4 3 2 6" xfId="21141" xr:uid="{00000000-0005-0000-0000-0000AE6E0000}"/>
    <cellStyle name="Total 4 3 2 7" xfId="21143" xr:uid="{00000000-0005-0000-0000-0000AF6E0000}"/>
    <cellStyle name="Total 4 3 2 8" xfId="21145" xr:uid="{00000000-0005-0000-0000-0000B06E0000}"/>
    <cellStyle name="Total 4 3 3" xfId="11558" xr:uid="{00000000-0005-0000-0000-0000B16E0000}"/>
    <cellStyle name="Total 4 3 3 2" xfId="29888" xr:uid="{00000000-0005-0000-0000-0000B26E0000}"/>
    <cellStyle name="Total 4 3 3 2 2" xfId="12529" xr:uid="{00000000-0005-0000-0000-0000B36E0000}"/>
    <cellStyle name="Total 4 3 3 2 2 2" xfId="3687" xr:uid="{00000000-0005-0000-0000-0000B46E0000}"/>
    <cellStyle name="Total 4 3 3 2 2 2 2" xfId="10309" xr:uid="{00000000-0005-0000-0000-0000B56E0000}"/>
    <cellStyle name="Total 4 3 3 2 2 2 3" xfId="10334" xr:uid="{00000000-0005-0000-0000-0000B66E0000}"/>
    <cellStyle name="Total 4 3 3 2 2 2 4" xfId="8131" xr:uid="{00000000-0005-0000-0000-0000B76E0000}"/>
    <cellStyle name="Total 4 3 3 2 2 3" xfId="3696" xr:uid="{00000000-0005-0000-0000-0000B86E0000}"/>
    <cellStyle name="Total 4 3 3 2 2 4" xfId="9309" xr:uid="{00000000-0005-0000-0000-0000B96E0000}"/>
    <cellStyle name="Total 4 3 3 2 2 5" xfId="48" xr:uid="{00000000-0005-0000-0000-0000BA6E0000}"/>
    <cellStyle name="Total 4 3 3 2 3" xfId="12532" xr:uid="{00000000-0005-0000-0000-0000BB6E0000}"/>
    <cellStyle name="Total 4 3 3 2 3 2" xfId="10370" xr:uid="{00000000-0005-0000-0000-0000BC6E0000}"/>
    <cellStyle name="Total 4 3 3 2 3 3" xfId="10391" xr:uid="{00000000-0005-0000-0000-0000BD6E0000}"/>
    <cellStyle name="Total 4 3 3 2 3 4" xfId="10398" xr:uid="{00000000-0005-0000-0000-0000BE6E0000}"/>
    <cellStyle name="Total 4 3 3 2 4" xfId="12535" xr:uid="{00000000-0005-0000-0000-0000BF6E0000}"/>
    <cellStyle name="Total 4 3 3 2 5" xfId="8642" xr:uid="{00000000-0005-0000-0000-0000C06E0000}"/>
    <cellStyle name="Total 4 3 3 2 6" xfId="8647" xr:uid="{00000000-0005-0000-0000-0000C16E0000}"/>
    <cellStyle name="Total 4 3 3 3" xfId="29889" xr:uid="{00000000-0005-0000-0000-0000C26E0000}"/>
    <cellStyle name="Total 4 3 3 3 2" xfId="12547" xr:uid="{00000000-0005-0000-0000-0000C36E0000}"/>
    <cellStyle name="Total 4 3 3 3 2 2" xfId="2241" xr:uid="{00000000-0005-0000-0000-0000C46E0000}"/>
    <cellStyle name="Total 4 3 3 3 2 3" xfId="1929" xr:uid="{00000000-0005-0000-0000-0000C56E0000}"/>
    <cellStyle name="Total 4 3 3 3 2 4" xfId="9710" xr:uid="{00000000-0005-0000-0000-0000C66E0000}"/>
    <cellStyle name="Total 4 3 3 3 3" xfId="12550" xr:uid="{00000000-0005-0000-0000-0000C76E0000}"/>
    <cellStyle name="Total 4 3 3 3 4" xfId="12553" xr:uid="{00000000-0005-0000-0000-0000C86E0000}"/>
    <cellStyle name="Total 4 3 3 3 5" xfId="12556" xr:uid="{00000000-0005-0000-0000-0000C96E0000}"/>
    <cellStyle name="Total 4 3 3 4" xfId="29890" xr:uid="{00000000-0005-0000-0000-0000CA6E0000}"/>
    <cellStyle name="Total 4 3 3 4 2" xfId="12569" xr:uid="{00000000-0005-0000-0000-0000CB6E0000}"/>
    <cellStyle name="Total 4 3 3 4 3" xfId="12573" xr:uid="{00000000-0005-0000-0000-0000CC6E0000}"/>
    <cellStyle name="Total 4 3 3 4 4" xfId="12578" xr:uid="{00000000-0005-0000-0000-0000CD6E0000}"/>
    <cellStyle name="Total 4 3 3 5" xfId="29891" xr:uid="{00000000-0005-0000-0000-0000CE6E0000}"/>
    <cellStyle name="Total 4 3 3 6" xfId="29892" xr:uid="{00000000-0005-0000-0000-0000CF6E0000}"/>
    <cellStyle name="Total 4 3 3 7" xfId="29893" xr:uid="{00000000-0005-0000-0000-0000D06E0000}"/>
    <cellStyle name="Total 4 3 4" xfId="11560" xr:uid="{00000000-0005-0000-0000-0000D16E0000}"/>
    <cellStyle name="Total 4 3 4 2" xfId="29894" xr:uid="{00000000-0005-0000-0000-0000D26E0000}"/>
    <cellStyle name="Total 4 3 4 2 2" xfId="12863" xr:uid="{00000000-0005-0000-0000-0000D36E0000}"/>
    <cellStyle name="Total 4 3 4 2 2 2" xfId="7928" xr:uid="{00000000-0005-0000-0000-0000D46E0000}"/>
    <cellStyle name="Total 4 3 4 2 2 3" xfId="7938" xr:uid="{00000000-0005-0000-0000-0000D56E0000}"/>
    <cellStyle name="Total 4 3 4 2 2 4" xfId="7944" xr:uid="{00000000-0005-0000-0000-0000D66E0000}"/>
    <cellStyle name="Total 4 3 4 2 3" xfId="12866" xr:uid="{00000000-0005-0000-0000-0000D76E0000}"/>
    <cellStyle name="Total 4 3 4 2 4" xfId="12869" xr:uid="{00000000-0005-0000-0000-0000D86E0000}"/>
    <cellStyle name="Total 4 3 4 2 5" xfId="12873" xr:uid="{00000000-0005-0000-0000-0000D96E0000}"/>
    <cellStyle name="Total 4 3 4 3" xfId="29895" xr:uid="{00000000-0005-0000-0000-0000DA6E0000}"/>
    <cellStyle name="Total 4 3 4 3 2" xfId="12885" xr:uid="{00000000-0005-0000-0000-0000DB6E0000}"/>
    <cellStyle name="Total 4 3 4 3 3" xfId="12888" xr:uid="{00000000-0005-0000-0000-0000DC6E0000}"/>
    <cellStyle name="Total 4 3 4 3 4" xfId="12891" xr:uid="{00000000-0005-0000-0000-0000DD6E0000}"/>
    <cellStyle name="Total 4 3 4 4" xfId="29896" xr:uid="{00000000-0005-0000-0000-0000DE6E0000}"/>
    <cellStyle name="Total 4 3 4 5" xfId="29897" xr:uid="{00000000-0005-0000-0000-0000DF6E0000}"/>
    <cellStyle name="Total 4 3 4 6" xfId="29898" xr:uid="{00000000-0005-0000-0000-0000E06E0000}"/>
    <cellStyle name="Total 4 3 5" xfId="29899" xr:uid="{00000000-0005-0000-0000-0000E16E0000}"/>
    <cellStyle name="Total 4 3 5 2" xfId="29901" xr:uid="{00000000-0005-0000-0000-0000E26E0000}"/>
    <cellStyle name="Total 4 3 5 2 2" xfId="16522" xr:uid="{00000000-0005-0000-0000-0000E36E0000}"/>
    <cellStyle name="Total 4 3 5 2 3" xfId="5469" xr:uid="{00000000-0005-0000-0000-0000E46E0000}"/>
    <cellStyle name="Total 4 3 5 2 4" xfId="5480" xr:uid="{00000000-0005-0000-0000-0000E56E0000}"/>
    <cellStyle name="Total 4 3 5 3" xfId="29903" xr:uid="{00000000-0005-0000-0000-0000E66E0000}"/>
    <cellStyle name="Total 4 3 5 4" xfId="29905" xr:uid="{00000000-0005-0000-0000-0000E76E0000}"/>
    <cellStyle name="Total 4 3 5 5" xfId="29907" xr:uid="{00000000-0005-0000-0000-0000E86E0000}"/>
    <cellStyle name="Total 4 3 6" xfId="29908" xr:uid="{00000000-0005-0000-0000-0000E96E0000}"/>
    <cellStyle name="Total 4 3 6 2" xfId="29909" xr:uid="{00000000-0005-0000-0000-0000EA6E0000}"/>
    <cellStyle name="Total 4 3 6 3" xfId="29910" xr:uid="{00000000-0005-0000-0000-0000EB6E0000}"/>
    <cellStyle name="Total 4 3 6 4" xfId="29911" xr:uid="{00000000-0005-0000-0000-0000EC6E0000}"/>
    <cellStyle name="Total 4 3 7" xfId="29912" xr:uid="{00000000-0005-0000-0000-0000ED6E0000}"/>
    <cellStyle name="Total 4 3 8" xfId="17485" xr:uid="{00000000-0005-0000-0000-0000EE6E0000}"/>
    <cellStyle name="Total 4 3 9" xfId="29913" xr:uid="{00000000-0005-0000-0000-0000EF6E0000}"/>
    <cellStyle name="Total 4 4" xfId="20687" xr:uid="{00000000-0005-0000-0000-0000F06E0000}"/>
    <cellStyle name="Total 4 4 2" xfId="11593" xr:uid="{00000000-0005-0000-0000-0000F16E0000}"/>
    <cellStyle name="Total 4 4 2 2" xfId="29914" xr:uid="{00000000-0005-0000-0000-0000F26E0000}"/>
    <cellStyle name="Total 4 4 2 2 2" xfId="29915" xr:uid="{00000000-0005-0000-0000-0000F36E0000}"/>
    <cellStyle name="Total 4 4 2 2 2 2" xfId="22653" xr:uid="{00000000-0005-0000-0000-0000F46E0000}"/>
    <cellStyle name="Total 4 4 2 2 2 2 2" xfId="29916" xr:uid="{00000000-0005-0000-0000-0000F56E0000}"/>
    <cellStyle name="Total 4 4 2 2 2 2 2 2" xfId="8282" xr:uid="{00000000-0005-0000-0000-0000F66E0000}"/>
    <cellStyle name="Total 4 4 2 2 2 2 2 3" xfId="27347" xr:uid="{00000000-0005-0000-0000-0000F76E0000}"/>
    <cellStyle name="Total 4 4 2 2 2 2 2 4" xfId="27355" xr:uid="{00000000-0005-0000-0000-0000F86E0000}"/>
    <cellStyle name="Total 4 4 2 2 2 2 3" xfId="29917" xr:uid="{00000000-0005-0000-0000-0000F96E0000}"/>
    <cellStyle name="Total 4 4 2 2 2 2 4" xfId="29918" xr:uid="{00000000-0005-0000-0000-0000FA6E0000}"/>
    <cellStyle name="Total 4 4 2 2 2 2 5" xfId="11419" xr:uid="{00000000-0005-0000-0000-0000FB6E0000}"/>
    <cellStyle name="Total 4 4 2 2 2 3" xfId="22657" xr:uid="{00000000-0005-0000-0000-0000FC6E0000}"/>
    <cellStyle name="Total 4 4 2 2 2 3 2" xfId="23103" xr:uid="{00000000-0005-0000-0000-0000FD6E0000}"/>
    <cellStyle name="Total 4 4 2 2 2 3 3" xfId="23106" xr:uid="{00000000-0005-0000-0000-0000FE6E0000}"/>
    <cellStyle name="Total 4 4 2 2 2 3 4" xfId="26238" xr:uid="{00000000-0005-0000-0000-0000FF6E0000}"/>
    <cellStyle name="Total 4 4 2 2 2 4" xfId="28630" xr:uid="{00000000-0005-0000-0000-0000006F0000}"/>
    <cellStyle name="Total 4 4 2 2 2 5" xfId="29919" xr:uid="{00000000-0005-0000-0000-0000016F0000}"/>
    <cellStyle name="Total 4 4 2 2 2 6" xfId="29921" xr:uid="{00000000-0005-0000-0000-0000026F0000}"/>
    <cellStyle name="Total 4 4 2 2 3" xfId="5739" xr:uid="{00000000-0005-0000-0000-0000036F0000}"/>
    <cellStyle name="Total 4 4 2 2 3 2" xfId="6971" xr:uid="{00000000-0005-0000-0000-0000046F0000}"/>
    <cellStyle name="Total 4 4 2 2 3 2 2" xfId="11469" xr:uid="{00000000-0005-0000-0000-0000056F0000}"/>
    <cellStyle name="Total 4 4 2 2 3 2 3" xfId="11476" xr:uid="{00000000-0005-0000-0000-0000066F0000}"/>
    <cellStyle name="Total 4 4 2 2 3 2 4" xfId="29922" xr:uid="{00000000-0005-0000-0000-0000076F0000}"/>
    <cellStyle name="Total 4 4 2 2 3 3" xfId="6978" xr:uid="{00000000-0005-0000-0000-0000086F0000}"/>
    <cellStyle name="Total 4 4 2 2 3 4" xfId="1642" xr:uid="{00000000-0005-0000-0000-0000096F0000}"/>
    <cellStyle name="Total 4 4 2 2 3 5" xfId="29923" xr:uid="{00000000-0005-0000-0000-00000A6F0000}"/>
    <cellStyle name="Total 4 4 2 2 4" xfId="5743" xr:uid="{00000000-0005-0000-0000-00000B6F0000}"/>
    <cellStyle name="Total 4 4 2 2 4 2" xfId="28650" xr:uid="{00000000-0005-0000-0000-00000C6F0000}"/>
    <cellStyle name="Total 4 4 2 2 4 3" xfId="29063" xr:uid="{00000000-0005-0000-0000-00000D6F0000}"/>
    <cellStyle name="Total 4 4 2 2 4 4" xfId="29924" xr:uid="{00000000-0005-0000-0000-00000E6F0000}"/>
    <cellStyle name="Total 4 4 2 2 5" xfId="7168" xr:uid="{00000000-0005-0000-0000-00000F6F0000}"/>
    <cellStyle name="Total 4 4 2 2 6" xfId="7171" xr:uid="{00000000-0005-0000-0000-0000106F0000}"/>
    <cellStyle name="Total 4 4 2 2 7" xfId="8785" xr:uid="{00000000-0005-0000-0000-0000116F0000}"/>
    <cellStyle name="Total 4 4 2 3" xfId="19283" xr:uid="{00000000-0005-0000-0000-0000126F0000}"/>
    <cellStyle name="Total 4 4 2 3 2" xfId="29927" xr:uid="{00000000-0005-0000-0000-0000136F0000}"/>
    <cellStyle name="Total 4 4 2 3 2 2" xfId="28668" xr:uid="{00000000-0005-0000-0000-0000146F0000}"/>
    <cellStyle name="Total 4 4 2 3 2 2 2" xfId="29928" xr:uid="{00000000-0005-0000-0000-0000156F0000}"/>
    <cellStyle name="Total 4 4 2 3 2 2 3" xfId="29929" xr:uid="{00000000-0005-0000-0000-0000166F0000}"/>
    <cellStyle name="Total 4 4 2 3 2 2 4" xfId="29930" xr:uid="{00000000-0005-0000-0000-0000176F0000}"/>
    <cellStyle name="Total 4 4 2 3 2 3" xfId="11405" xr:uid="{00000000-0005-0000-0000-0000186F0000}"/>
    <cellStyle name="Total 4 4 2 3 2 4" xfId="11410" xr:uid="{00000000-0005-0000-0000-0000196F0000}"/>
    <cellStyle name="Total 4 4 2 3 2 5" xfId="11412" xr:uid="{00000000-0005-0000-0000-00001A6F0000}"/>
    <cellStyle name="Total 4 4 2 3 3" xfId="825" xr:uid="{00000000-0005-0000-0000-00001B6F0000}"/>
    <cellStyle name="Total 4 4 2 3 3 2" xfId="28675" xr:uid="{00000000-0005-0000-0000-00001C6F0000}"/>
    <cellStyle name="Total 4 4 2 3 3 3" xfId="11430" xr:uid="{00000000-0005-0000-0000-00001D6F0000}"/>
    <cellStyle name="Total 4 4 2 3 3 4" xfId="11435" xr:uid="{00000000-0005-0000-0000-00001E6F0000}"/>
    <cellStyle name="Total 4 4 2 3 4" xfId="7174" xr:uid="{00000000-0005-0000-0000-00001F6F0000}"/>
    <cellStyle name="Total 4 4 2 3 5" xfId="7177" xr:uid="{00000000-0005-0000-0000-0000206F0000}"/>
    <cellStyle name="Total 4 4 2 3 6" xfId="29931" xr:uid="{00000000-0005-0000-0000-0000216F0000}"/>
    <cellStyle name="Total 4 4 2 4" xfId="19285" xr:uid="{00000000-0005-0000-0000-0000226F0000}"/>
    <cellStyle name="Total 4 4 2 4 2" xfId="29932" xr:uid="{00000000-0005-0000-0000-0000236F0000}"/>
    <cellStyle name="Total 4 4 2 4 2 2" xfId="17396" xr:uid="{00000000-0005-0000-0000-0000246F0000}"/>
    <cellStyle name="Total 4 4 2 4 2 3" xfId="11473" xr:uid="{00000000-0005-0000-0000-0000256F0000}"/>
    <cellStyle name="Total 4 4 2 4 2 4" xfId="11479" xr:uid="{00000000-0005-0000-0000-0000266F0000}"/>
    <cellStyle name="Total 4 4 2 4 3" xfId="29933" xr:uid="{00000000-0005-0000-0000-0000276F0000}"/>
    <cellStyle name="Total 4 4 2 4 4" xfId="29934" xr:uid="{00000000-0005-0000-0000-0000286F0000}"/>
    <cellStyle name="Total 4 4 2 4 5" xfId="29935" xr:uid="{00000000-0005-0000-0000-0000296F0000}"/>
    <cellStyle name="Total 4 4 2 5" xfId="19287" xr:uid="{00000000-0005-0000-0000-00002A6F0000}"/>
    <cellStyle name="Total 4 4 2 5 2" xfId="29936" xr:uid="{00000000-0005-0000-0000-00002B6F0000}"/>
    <cellStyle name="Total 4 4 2 5 3" xfId="29937" xr:uid="{00000000-0005-0000-0000-00002C6F0000}"/>
    <cellStyle name="Total 4 4 2 5 4" xfId="29938" xr:uid="{00000000-0005-0000-0000-00002D6F0000}"/>
    <cellStyle name="Total 4 4 2 6" xfId="8138" xr:uid="{00000000-0005-0000-0000-00002E6F0000}"/>
    <cellStyle name="Total 4 4 2 7" xfId="8144" xr:uid="{00000000-0005-0000-0000-00002F6F0000}"/>
    <cellStyle name="Total 4 4 2 8" xfId="8147" xr:uid="{00000000-0005-0000-0000-0000306F0000}"/>
    <cellStyle name="Total 4 4 3" xfId="11597" xr:uid="{00000000-0005-0000-0000-0000316F0000}"/>
    <cellStyle name="Total 4 4 3 2" xfId="29939" xr:uid="{00000000-0005-0000-0000-0000326F0000}"/>
    <cellStyle name="Total 4 4 3 2 2" xfId="6159" xr:uid="{00000000-0005-0000-0000-0000336F0000}"/>
    <cellStyle name="Total 4 4 3 2 2 2" xfId="6904" xr:uid="{00000000-0005-0000-0000-0000346F0000}"/>
    <cellStyle name="Total 4 4 3 2 2 2 2" xfId="6909" xr:uid="{00000000-0005-0000-0000-0000356F0000}"/>
    <cellStyle name="Total 4 4 3 2 2 2 3" xfId="6220" xr:uid="{00000000-0005-0000-0000-0000366F0000}"/>
    <cellStyle name="Total 4 4 3 2 2 2 4" xfId="6280" xr:uid="{00000000-0005-0000-0000-0000376F0000}"/>
    <cellStyle name="Total 4 4 3 2 2 3" xfId="6931" xr:uid="{00000000-0005-0000-0000-0000386F0000}"/>
    <cellStyle name="Total 4 4 3 2 2 4" xfId="4228" xr:uid="{00000000-0005-0000-0000-0000396F0000}"/>
    <cellStyle name="Total 4 4 3 2 2 5" xfId="4282" xr:uid="{00000000-0005-0000-0000-00003A6F0000}"/>
    <cellStyle name="Total 4 4 3 2 3" xfId="6171" xr:uid="{00000000-0005-0000-0000-00003B6F0000}"/>
    <cellStyle name="Total 4 4 3 2 3 2" xfId="6951" xr:uid="{00000000-0005-0000-0000-00003C6F0000}"/>
    <cellStyle name="Total 4 4 3 2 3 3" xfId="6994" xr:uid="{00000000-0005-0000-0000-00003D6F0000}"/>
    <cellStyle name="Total 4 4 3 2 3 4" xfId="4373" xr:uid="{00000000-0005-0000-0000-00003E6F0000}"/>
    <cellStyle name="Total 4 4 3 2 4" xfId="6178" xr:uid="{00000000-0005-0000-0000-00003F6F0000}"/>
    <cellStyle name="Total 4 4 3 2 5" xfId="7037" xr:uid="{00000000-0005-0000-0000-0000406F0000}"/>
    <cellStyle name="Total 4 4 3 2 6" xfId="1118" xr:uid="{00000000-0005-0000-0000-0000416F0000}"/>
    <cellStyle name="Total 4 4 3 3" xfId="29940" xr:uid="{00000000-0005-0000-0000-0000426F0000}"/>
    <cellStyle name="Total 4 4 3 3 2" xfId="6196" xr:uid="{00000000-0005-0000-0000-0000436F0000}"/>
    <cellStyle name="Total 4 4 3 3 2 2" xfId="8120" xr:uid="{00000000-0005-0000-0000-0000446F0000}"/>
    <cellStyle name="Total 4 4 3 3 2 3" xfId="8181" xr:uid="{00000000-0005-0000-0000-0000456F0000}"/>
    <cellStyle name="Total 4 4 3 3 2 4" xfId="8199" xr:uid="{00000000-0005-0000-0000-0000466F0000}"/>
    <cellStyle name="Total 4 4 3 3 3" xfId="8230" xr:uid="{00000000-0005-0000-0000-0000476F0000}"/>
    <cellStyle name="Total 4 4 3 3 4" xfId="8301" xr:uid="{00000000-0005-0000-0000-0000486F0000}"/>
    <cellStyle name="Total 4 4 3 3 5" xfId="8328" xr:uid="{00000000-0005-0000-0000-0000496F0000}"/>
    <cellStyle name="Total 4 4 3 4" xfId="29941" xr:uid="{00000000-0005-0000-0000-00004A6F0000}"/>
    <cellStyle name="Total 4 4 3 4 2" xfId="9435" xr:uid="{00000000-0005-0000-0000-00004B6F0000}"/>
    <cellStyle name="Total 4 4 3 4 3" xfId="9521" xr:uid="{00000000-0005-0000-0000-00004C6F0000}"/>
    <cellStyle name="Total 4 4 3 4 4" xfId="9575" xr:uid="{00000000-0005-0000-0000-00004D6F0000}"/>
    <cellStyle name="Total 4 4 3 5" xfId="29942" xr:uid="{00000000-0005-0000-0000-00004E6F0000}"/>
    <cellStyle name="Total 4 4 3 6" xfId="672" xr:uid="{00000000-0005-0000-0000-00004F6F0000}"/>
    <cellStyle name="Total 4 4 3 7" xfId="776" xr:uid="{00000000-0005-0000-0000-0000506F0000}"/>
    <cellStyle name="Total 4 4 4" xfId="28862" xr:uid="{00000000-0005-0000-0000-0000516F0000}"/>
    <cellStyle name="Total 4 4 4 2" xfId="24372" xr:uid="{00000000-0005-0000-0000-0000526F0000}"/>
    <cellStyle name="Total 4 4 4 2 2" xfId="16748" xr:uid="{00000000-0005-0000-0000-0000536F0000}"/>
    <cellStyle name="Total 4 4 4 2 2 2" xfId="16750" xr:uid="{00000000-0005-0000-0000-0000546F0000}"/>
    <cellStyle name="Total 4 4 4 2 2 3" xfId="16757" xr:uid="{00000000-0005-0000-0000-0000556F0000}"/>
    <cellStyle name="Total 4 4 4 2 2 4" xfId="16760" xr:uid="{00000000-0005-0000-0000-0000566F0000}"/>
    <cellStyle name="Total 4 4 4 2 3" xfId="16764" xr:uid="{00000000-0005-0000-0000-0000576F0000}"/>
    <cellStyle name="Total 4 4 4 2 4" xfId="16666" xr:uid="{00000000-0005-0000-0000-0000586F0000}"/>
    <cellStyle name="Total 4 4 4 2 5" xfId="16669" xr:uid="{00000000-0005-0000-0000-0000596F0000}"/>
    <cellStyle name="Total 4 4 4 3" xfId="24374" xr:uid="{00000000-0005-0000-0000-00005A6F0000}"/>
    <cellStyle name="Total 4 4 4 3 2" xfId="16771" xr:uid="{00000000-0005-0000-0000-00005B6F0000}"/>
    <cellStyle name="Total 4 4 4 3 3" xfId="16774" xr:uid="{00000000-0005-0000-0000-00005C6F0000}"/>
    <cellStyle name="Total 4 4 4 3 4" xfId="16776" xr:uid="{00000000-0005-0000-0000-00005D6F0000}"/>
    <cellStyle name="Total 4 4 4 4" xfId="25704" xr:uid="{00000000-0005-0000-0000-00005E6F0000}"/>
    <cellStyle name="Total 4 4 4 5" xfId="25707" xr:uid="{00000000-0005-0000-0000-00005F6F0000}"/>
    <cellStyle name="Total 4 4 4 6" xfId="29944" xr:uid="{00000000-0005-0000-0000-0000606F0000}"/>
    <cellStyle name="Total 4 4 5" xfId="24043" xr:uid="{00000000-0005-0000-0000-0000616F0000}"/>
    <cellStyle name="Total 4 4 5 2" xfId="24045" xr:uid="{00000000-0005-0000-0000-0000626F0000}"/>
    <cellStyle name="Total 4 4 5 2 2" xfId="16850" xr:uid="{00000000-0005-0000-0000-0000636F0000}"/>
    <cellStyle name="Total 4 4 5 2 3" xfId="8250" xr:uid="{00000000-0005-0000-0000-0000646F0000}"/>
    <cellStyle name="Total 4 4 5 2 4" xfId="8255" xr:uid="{00000000-0005-0000-0000-0000656F0000}"/>
    <cellStyle name="Total 4 4 5 3" xfId="24048" xr:uid="{00000000-0005-0000-0000-0000666F0000}"/>
    <cellStyle name="Total 4 4 5 4" xfId="24050" xr:uid="{00000000-0005-0000-0000-0000676F0000}"/>
    <cellStyle name="Total 4 4 5 5" xfId="29946" xr:uid="{00000000-0005-0000-0000-0000686F0000}"/>
    <cellStyle name="Total 4 4 6" xfId="24052" xr:uid="{00000000-0005-0000-0000-0000696F0000}"/>
    <cellStyle name="Total 4 4 6 2" xfId="29947" xr:uid="{00000000-0005-0000-0000-00006A6F0000}"/>
    <cellStyle name="Total 4 4 6 3" xfId="29948" xr:uid="{00000000-0005-0000-0000-00006B6F0000}"/>
    <cellStyle name="Total 4 4 6 4" xfId="29949" xr:uid="{00000000-0005-0000-0000-00006C6F0000}"/>
    <cellStyle name="Total 4 4 7" xfId="24054" xr:uid="{00000000-0005-0000-0000-00006D6F0000}"/>
    <cellStyle name="Total 4 4 8" xfId="24056" xr:uid="{00000000-0005-0000-0000-00006E6F0000}"/>
    <cellStyle name="Total 4 4 9" xfId="29950" xr:uid="{00000000-0005-0000-0000-00006F6F0000}"/>
    <cellStyle name="Total 4 5" xfId="28864" xr:uid="{00000000-0005-0000-0000-0000706F0000}"/>
    <cellStyle name="Total 4 5 2" xfId="11625" xr:uid="{00000000-0005-0000-0000-0000716F0000}"/>
    <cellStyle name="Total 4 5 2 2" xfId="29951" xr:uid="{00000000-0005-0000-0000-0000726F0000}"/>
    <cellStyle name="Total 4 5 2 2 2" xfId="5402" xr:uid="{00000000-0005-0000-0000-0000736F0000}"/>
    <cellStyle name="Total 4 5 2 2 2 2" xfId="27726" xr:uid="{00000000-0005-0000-0000-0000746F0000}"/>
    <cellStyle name="Total 4 5 2 2 2 2 2" xfId="11075" xr:uid="{00000000-0005-0000-0000-0000756F0000}"/>
    <cellStyle name="Total 4 5 2 2 2 2 3" xfId="11077" xr:uid="{00000000-0005-0000-0000-0000766F0000}"/>
    <cellStyle name="Total 4 5 2 2 2 2 4" xfId="11086" xr:uid="{00000000-0005-0000-0000-0000776F0000}"/>
    <cellStyle name="Total 4 5 2 2 2 3" xfId="29952" xr:uid="{00000000-0005-0000-0000-0000786F0000}"/>
    <cellStyle name="Total 4 5 2 2 2 4" xfId="29953" xr:uid="{00000000-0005-0000-0000-0000796F0000}"/>
    <cellStyle name="Total 4 5 2 2 2 5" xfId="29954" xr:uid="{00000000-0005-0000-0000-00007A6F0000}"/>
    <cellStyle name="Total 4 5 2 2 3" xfId="5411" xr:uid="{00000000-0005-0000-0000-00007B6F0000}"/>
    <cellStyle name="Total 4 5 2 2 3 2" xfId="7340" xr:uid="{00000000-0005-0000-0000-00007C6F0000}"/>
    <cellStyle name="Total 4 5 2 2 3 3" xfId="6842" xr:uid="{00000000-0005-0000-0000-00007D6F0000}"/>
    <cellStyle name="Total 4 5 2 2 3 4" xfId="5961" xr:uid="{00000000-0005-0000-0000-00007E6F0000}"/>
    <cellStyle name="Total 4 5 2 2 4" xfId="1402" xr:uid="{00000000-0005-0000-0000-00007F6F0000}"/>
    <cellStyle name="Total 4 5 2 2 5" xfId="5102" xr:uid="{00000000-0005-0000-0000-0000806F0000}"/>
    <cellStyle name="Total 4 5 2 2 6" xfId="7071" xr:uid="{00000000-0005-0000-0000-0000816F0000}"/>
    <cellStyle name="Total 4 5 2 3" xfId="29956" xr:uid="{00000000-0005-0000-0000-0000826F0000}"/>
    <cellStyle name="Total 4 5 2 3 2" xfId="29957" xr:uid="{00000000-0005-0000-0000-0000836F0000}"/>
    <cellStyle name="Total 4 5 2 3 2 2" xfId="29958" xr:uid="{00000000-0005-0000-0000-0000846F0000}"/>
    <cellStyle name="Total 4 5 2 3 2 3" xfId="6916" xr:uid="{00000000-0005-0000-0000-0000856F0000}"/>
    <cellStyle name="Total 4 5 2 3 2 4" xfId="6226" xr:uid="{00000000-0005-0000-0000-0000866F0000}"/>
    <cellStyle name="Total 4 5 2 3 3" xfId="958" xr:uid="{00000000-0005-0000-0000-0000876F0000}"/>
    <cellStyle name="Total 4 5 2 3 4" xfId="7344" xr:uid="{00000000-0005-0000-0000-0000886F0000}"/>
    <cellStyle name="Total 4 5 2 3 5" xfId="7347" xr:uid="{00000000-0005-0000-0000-0000896F0000}"/>
    <cellStyle name="Total 4 5 2 4" xfId="29960" xr:uid="{00000000-0005-0000-0000-00008A6F0000}"/>
    <cellStyle name="Total 4 5 2 4 2" xfId="8934" xr:uid="{00000000-0005-0000-0000-00008B6F0000}"/>
    <cellStyle name="Total 4 5 2 4 3" xfId="133" xr:uid="{00000000-0005-0000-0000-00008C6F0000}"/>
    <cellStyle name="Total 4 5 2 4 4" xfId="8936" xr:uid="{00000000-0005-0000-0000-00008D6F0000}"/>
    <cellStyle name="Total 4 5 2 5" xfId="29962" xr:uid="{00000000-0005-0000-0000-00008E6F0000}"/>
    <cellStyle name="Total 4 5 2 6" xfId="1730" xr:uid="{00000000-0005-0000-0000-00008F6F0000}"/>
    <cellStyle name="Total 4 5 2 7" xfId="8160" xr:uid="{00000000-0005-0000-0000-0000906F0000}"/>
    <cellStyle name="Total 4 5 3" xfId="29963" xr:uid="{00000000-0005-0000-0000-0000916F0000}"/>
    <cellStyle name="Total 4 5 3 2" xfId="29964" xr:uid="{00000000-0005-0000-0000-0000926F0000}"/>
    <cellStyle name="Total 4 5 3 2 2" xfId="5593" xr:uid="{00000000-0005-0000-0000-0000936F0000}"/>
    <cellStyle name="Total 4 5 3 2 2 2" xfId="17066" xr:uid="{00000000-0005-0000-0000-0000946F0000}"/>
    <cellStyle name="Total 4 5 3 2 2 3" xfId="17068" xr:uid="{00000000-0005-0000-0000-0000956F0000}"/>
    <cellStyle name="Total 4 5 3 2 2 4" xfId="17070" xr:uid="{00000000-0005-0000-0000-0000966F0000}"/>
    <cellStyle name="Total 4 5 3 2 3" xfId="5607" xr:uid="{00000000-0005-0000-0000-0000976F0000}"/>
    <cellStyle name="Total 4 5 3 2 4" xfId="6546" xr:uid="{00000000-0005-0000-0000-0000986F0000}"/>
    <cellStyle name="Total 4 5 3 2 5" xfId="6559" xr:uid="{00000000-0005-0000-0000-0000996F0000}"/>
    <cellStyle name="Total 4 5 3 3" xfId="29965" xr:uid="{00000000-0005-0000-0000-00009A6F0000}"/>
    <cellStyle name="Total 4 5 3 3 2" xfId="17079" xr:uid="{00000000-0005-0000-0000-00009B6F0000}"/>
    <cellStyle name="Total 4 5 3 3 3" xfId="17081" xr:uid="{00000000-0005-0000-0000-00009C6F0000}"/>
    <cellStyle name="Total 4 5 3 3 4" xfId="17083" xr:uid="{00000000-0005-0000-0000-00009D6F0000}"/>
    <cellStyle name="Total 4 5 3 4" xfId="29966" xr:uid="{00000000-0005-0000-0000-00009E6F0000}"/>
    <cellStyle name="Total 4 5 3 5" xfId="29967" xr:uid="{00000000-0005-0000-0000-00009F6F0000}"/>
    <cellStyle name="Total 4 5 3 6" xfId="1765" xr:uid="{00000000-0005-0000-0000-0000A06F0000}"/>
    <cellStyle name="Total 4 5 4" xfId="29968" xr:uid="{00000000-0005-0000-0000-0000A16F0000}"/>
    <cellStyle name="Total 4 5 4 2" xfId="24390" xr:uid="{00000000-0005-0000-0000-0000A26F0000}"/>
    <cellStyle name="Total 4 5 4 2 2" xfId="17167" xr:uid="{00000000-0005-0000-0000-0000A36F0000}"/>
    <cellStyle name="Total 4 5 4 2 3" xfId="17175" xr:uid="{00000000-0005-0000-0000-0000A46F0000}"/>
    <cellStyle name="Total 4 5 4 2 4" xfId="17181" xr:uid="{00000000-0005-0000-0000-0000A56F0000}"/>
    <cellStyle name="Total 4 5 4 3" xfId="29969" xr:uid="{00000000-0005-0000-0000-0000A66F0000}"/>
    <cellStyle name="Total 4 5 4 4" xfId="29970" xr:uid="{00000000-0005-0000-0000-0000A76F0000}"/>
    <cellStyle name="Total 4 5 4 5" xfId="29972" xr:uid="{00000000-0005-0000-0000-0000A86F0000}"/>
    <cellStyle name="Total 4 5 5" xfId="24059" xr:uid="{00000000-0005-0000-0000-0000A96F0000}"/>
    <cellStyle name="Total 4 5 5 2" xfId="29973" xr:uid="{00000000-0005-0000-0000-0000AA6F0000}"/>
    <cellStyle name="Total 4 5 5 3" xfId="29974" xr:uid="{00000000-0005-0000-0000-0000AB6F0000}"/>
    <cellStyle name="Total 4 5 5 4" xfId="29975" xr:uid="{00000000-0005-0000-0000-0000AC6F0000}"/>
    <cellStyle name="Total 4 5 6" xfId="5712" xr:uid="{00000000-0005-0000-0000-0000AD6F0000}"/>
    <cellStyle name="Total 4 5 7" xfId="5718" xr:uid="{00000000-0005-0000-0000-0000AE6F0000}"/>
    <cellStyle name="Total 4 5 8" xfId="5726" xr:uid="{00000000-0005-0000-0000-0000AF6F0000}"/>
    <cellStyle name="Total 4 6" xfId="28866" xr:uid="{00000000-0005-0000-0000-0000B06F0000}"/>
    <cellStyle name="Total 4 6 2" xfId="1369" xr:uid="{00000000-0005-0000-0000-0000B16F0000}"/>
    <cellStyle name="Total 4 6 2 2" xfId="29976" xr:uid="{00000000-0005-0000-0000-0000B26F0000}"/>
    <cellStyle name="Total 4 6 2 2 2" xfId="2739" xr:uid="{00000000-0005-0000-0000-0000B36F0000}"/>
    <cellStyle name="Total 4 6 2 2 2 2" xfId="28240" xr:uid="{00000000-0005-0000-0000-0000B46F0000}"/>
    <cellStyle name="Total 4 6 2 2 2 3" xfId="29977" xr:uid="{00000000-0005-0000-0000-0000B56F0000}"/>
    <cellStyle name="Total 4 6 2 2 2 4" xfId="29978" xr:uid="{00000000-0005-0000-0000-0000B66F0000}"/>
    <cellStyle name="Total 4 6 2 2 3" xfId="5940" xr:uid="{00000000-0005-0000-0000-0000B76F0000}"/>
    <cellStyle name="Total 4 6 2 2 4" xfId="5950" xr:uid="{00000000-0005-0000-0000-0000B86F0000}"/>
    <cellStyle name="Total 4 6 2 2 5" xfId="7475" xr:uid="{00000000-0005-0000-0000-0000B96F0000}"/>
    <cellStyle name="Total 4 6 2 3" xfId="29979" xr:uid="{00000000-0005-0000-0000-0000BA6F0000}"/>
    <cellStyle name="Total 4 6 2 3 2" xfId="29980" xr:uid="{00000000-0005-0000-0000-0000BB6F0000}"/>
    <cellStyle name="Total 4 6 2 3 3" xfId="29981" xr:uid="{00000000-0005-0000-0000-0000BC6F0000}"/>
    <cellStyle name="Total 4 6 2 3 4" xfId="29982" xr:uid="{00000000-0005-0000-0000-0000BD6F0000}"/>
    <cellStyle name="Total 4 6 2 4" xfId="29983" xr:uid="{00000000-0005-0000-0000-0000BE6F0000}"/>
    <cellStyle name="Total 4 6 2 5" xfId="29984" xr:uid="{00000000-0005-0000-0000-0000BF6F0000}"/>
    <cellStyle name="Total 4 6 2 6" xfId="29985" xr:uid="{00000000-0005-0000-0000-0000C06F0000}"/>
    <cellStyle name="Total 4 6 3" xfId="29986" xr:uid="{00000000-0005-0000-0000-0000C16F0000}"/>
    <cellStyle name="Total 4 6 3 2" xfId="29987" xr:uid="{00000000-0005-0000-0000-0000C26F0000}"/>
    <cellStyle name="Total 4 6 3 2 2" xfId="6096" xr:uid="{00000000-0005-0000-0000-0000C36F0000}"/>
    <cellStyle name="Total 4 6 3 2 3" xfId="6111" xr:uid="{00000000-0005-0000-0000-0000C46F0000}"/>
    <cellStyle name="Total 4 6 3 2 4" xfId="17321" xr:uid="{00000000-0005-0000-0000-0000C56F0000}"/>
    <cellStyle name="Total 4 6 3 3" xfId="29988" xr:uid="{00000000-0005-0000-0000-0000C66F0000}"/>
    <cellStyle name="Total 4 6 3 4" xfId="29989" xr:uid="{00000000-0005-0000-0000-0000C76F0000}"/>
    <cellStyle name="Total 4 6 3 5" xfId="29990" xr:uid="{00000000-0005-0000-0000-0000C86F0000}"/>
    <cellStyle name="Total 4 6 4" xfId="29991" xr:uid="{00000000-0005-0000-0000-0000C96F0000}"/>
    <cellStyle name="Total 4 6 4 2" xfId="26397" xr:uid="{00000000-0005-0000-0000-0000CA6F0000}"/>
    <cellStyle name="Total 4 6 4 3" xfId="26038" xr:uid="{00000000-0005-0000-0000-0000CB6F0000}"/>
    <cellStyle name="Total 4 6 4 4" xfId="26040" xr:uid="{00000000-0005-0000-0000-0000CC6F0000}"/>
    <cellStyle name="Total 4 6 5" xfId="29992" xr:uid="{00000000-0005-0000-0000-0000CD6F0000}"/>
    <cellStyle name="Total 4 6 6" xfId="29993" xr:uid="{00000000-0005-0000-0000-0000CE6F0000}"/>
    <cellStyle name="Total 4 6 7" xfId="29994" xr:uid="{00000000-0005-0000-0000-0000CF6F0000}"/>
    <cellStyle name="Total 4 7" xfId="28869" xr:uid="{00000000-0005-0000-0000-0000D06F0000}"/>
    <cellStyle name="Total 4 7 2" xfId="13237" xr:uid="{00000000-0005-0000-0000-0000D16F0000}"/>
    <cellStyle name="Total 4 7 2 2" xfId="29995" xr:uid="{00000000-0005-0000-0000-0000D26F0000}"/>
    <cellStyle name="Total 4 7 2 2 2" xfId="3156" xr:uid="{00000000-0005-0000-0000-0000D36F0000}"/>
    <cellStyle name="Total 4 7 2 2 3" xfId="6324" xr:uid="{00000000-0005-0000-0000-0000D46F0000}"/>
    <cellStyle name="Total 4 7 2 2 4" xfId="29996" xr:uid="{00000000-0005-0000-0000-0000D56F0000}"/>
    <cellStyle name="Total 4 7 2 3" xfId="29997" xr:uid="{00000000-0005-0000-0000-0000D66F0000}"/>
    <cellStyle name="Total 4 7 2 4" xfId="23230" xr:uid="{00000000-0005-0000-0000-0000D76F0000}"/>
    <cellStyle name="Total 4 7 2 5" xfId="23252" xr:uid="{00000000-0005-0000-0000-0000D86F0000}"/>
    <cellStyle name="Total 4 7 3" xfId="29998" xr:uid="{00000000-0005-0000-0000-0000D96F0000}"/>
    <cellStyle name="Total 4 7 3 2" xfId="29999" xr:uid="{00000000-0005-0000-0000-0000DA6F0000}"/>
    <cellStyle name="Total 4 7 3 3" xfId="30000" xr:uid="{00000000-0005-0000-0000-0000DB6F0000}"/>
    <cellStyle name="Total 4 7 3 4" xfId="23270" xr:uid="{00000000-0005-0000-0000-0000DC6F0000}"/>
    <cellStyle name="Total 4 7 4" xfId="30001" xr:uid="{00000000-0005-0000-0000-0000DD6F0000}"/>
    <cellStyle name="Total 4 7 5" xfId="30002" xr:uid="{00000000-0005-0000-0000-0000DE6F0000}"/>
    <cellStyle name="Total 4 7 6" xfId="30003" xr:uid="{00000000-0005-0000-0000-0000DF6F0000}"/>
    <cellStyle name="Total 4 8" xfId="29736" xr:uid="{00000000-0005-0000-0000-0000E06F0000}"/>
    <cellStyle name="Total 4 8 2" xfId="9960" xr:uid="{00000000-0005-0000-0000-0000E16F0000}"/>
    <cellStyle name="Total 4 8 2 2" xfId="30004" xr:uid="{00000000-0005-0000-0000-0000E26F0000}"/>
    <cellStyle name="Total 4 8 2 3" xfId="30005" xr:uid="{00000000-0005-0000-0000-0000E36F0000}"/>
    <cellStyle name="Total 4 8 2 4" xfId="23306" xr:uid="{00000000-0005-0000-0000-0000E46F0000}"/>
    <cellStyle name="Total 4 8 3" xfId="30006" xr:uid="{00000000-0005-0000-0000-0000E56F0000}"/>
    <cellStyle name="Total 4 8 4" xfId="30007" xr:uid="{00000000-0005-0000-0000-0000E66F0000}"/>
    <cellStyle name="Total 4 8 5" xfId="25540" xr:uid="{00000000-0005-0000-0000-0000E76F0000}"/>
    <cellStyle name="Total 4 9" xfId="30008" xr:uid="{00000000-0005-0000-0000-0000E86F0000}"/>
    <cellStyle name="Total 4 9 2" xfId="30009" xr:uid="{00000000-0005-0000-0000-0000E96F0000}"/>
    <cellStyle name="Total 4 9 3" xfId="17415" xr:uid="{00000000-0005-0000-0000-0000EA6F0000}"/>
    <cellStyle name="Total 4 9 4" xfId="16166" xr:uid="{00000000-0005-0000-0000-0000EB6F0000}"/>
    <cellStyle name="Total 5" xfId="15341" xr:uid="{00000000-0005-0000-0000-0000EC6F0000}"/>
    <cellStyle name="Total 5 10" xfId="29900" xr:uid="{00000000-0005-0000-0000-0000ED6F0000}"/>
    <cellStyle name="Total 5 11" xfId="29902" xr:uid="{00000000-0005-0000-0000-0000EE6F0000}"/>
    <cellStyle name="Total 5 12" xfId="29904" xr:uid="{00000000-0005-0000-0000-0000EF6F0000}"/>
    <cellStyle name="Total 5 13" xfId="29906" xr:uid="{00000000-0005-0000-0000-0000F06F0000}"/>
    <cellStyle name="Total 5 2" xfId="15344" xr:uid="{00000000-0005-0000-0000-0000F16F0000}"/>
    <cellStyle name="Total 5 2 10" xfId="3254" xr:uid="{00000000-0005-0000-0000-0000F26F0000}"/>
    <cellStyle name="Total 5 2 11" xfId="682" xr:uid="{00000000-0005-0000-0000-0000F36F0000}"/>
    <cellStyle name="Total 5 2 12" xfId="9866" xr:uid="{00000000-0005-0000-0000-0000F46F0000}"/>
    <cellStyle name="Total 5 2 2" xfId="11684" xr:uid="{00000000-0005-0000-0000-0000F56F0000}"/>
    <cellStyle name="Total 5 2 2 2" xfId="11687" xr:uid="{00000000-0005-0000-0000-0000F66F0000}"/>
    <cellStyle name="Total 5 2 2 2 2" xfId="14569" xr:uid="{00000000-0005-0000-0000-0000F76F0000}"/>
    <cellStyle name="Total 5 2 2 2 2 2" xfId="8538" xr:uid="{00000000-0005-0000-0000-0000F86F0000}"/>
    <cellStyle name="Total 5 2 2 2 2 2 2" xfId="30010" xr:uid="{00000000-0005-0000-0000-0000F96F0000}"/>
    <cellStyle name="Total 5 2 2 2 2 2 2 2" xfId="30011" xr:uid="{00000000-0005-0000-0000-0000FA6F0000}"/>
    <cellStyle name="Total 5 2 2 2 2 2 2 2 2" xfId="30012" xr:uid="{00000000-0005-0000-0000-0000FB6F0000}"/>
    <cellStyle name="Total 5 2 2 2 2 2 2 2 3" xfId="30014" xr:uid="{00000000-0005-0000-0000-0000FC6F0000}"/>
    <cellStyle name="Total 5 2 2 2 2 2 2 2 4" xfId="29926" xr:uid="{00000000-0005-0000-0000-0000FD6F0000}"/>
    <cellStyle name="Total 5 2 2 2 2 2 2 3" xfId="30015" xr:uid="{00000000-0005-0000-0000-0000FE6F0000}"/>
    <cellStyle name="Total 5 2 2 2 2 2 2 4" xfId="24720" xr:uid="{00000000-0005-0000-0000-0000FF6F0000}"/>
    <cellStyle name="Total 5 2 2 2 2 2 2 5" xfId="16299" xr:uid="{00000000-0005-0000-0000-000000700000}"/>
    <cellStyle name="Total 5 2 2 2 2 2 3" xfId="30016" xr:uid="{00000000-0005-0000-0000-000001700000}"/>
    <cellStyle name="Total 5 2 2 2 2 2 3 2" xfId="30017" xr:uid="{00000000-0005-0000-0000-000002700000}"/>
    <cellStyle name="Total 5 2 2 2 2 2 3 3" xfId="30019" xr:uid="{00000000-0005-0000-0000-000003700000}"/>
    <cellStyle name="Total 5 2 2 2 2 2 3 4" xfId="30021" xr:uid="{00000000-0005-0000-0000-000004700000}"/>
    <cellStyle name="Total 5 2 2 2 2 2 4" xfId="30022" xr:uid="{00000000-0005-0000-0000-000005700000}"/>
    <cellStyle name="Total 5 2 2 2 2 2 5" xfId="30023" xr:uid="{00000000-0005-0000-0000-000006700000}"/>
    <cellStyle name="Total 5 2 2 2 2 2 6" xfId="26129" xr:uid="{00000000-0005-0000-0000-000007700000}"/>
    <cellStyle name="Total 5 2 2 2 2 3" xfId="8554" xr:uid="{00000000-0005-0000-0000-000008700000}"/>
    <cellStyle name="Total 5 2 2 2 2 3 2" xfId="30024" xr:uid="{00000000-0005-0000-0000-000009700000}"/>
    <cellStyle name="Total 5 2 2 2 2 3 2 2" xfId="14584" xr:uid="{00000000-0005-0000-0000-00000A700000}"/>
    <cellStyle name="Total 5 2 2 2 2 3 2 3" xfId="30025" xr:uid="{00000000-0005-0000-0000-00000B700000}"/>
    <cellStyle name="Total 5 2 2 2 2 3 2 4" xfId="30026" xr:uid="{00000000-0005-0000-0000-00000C700000}"/>
    <cellStyle name="Total 5 2 2 2 2 3 3" xfId="30027" xr:uid="{00000000-0005-0000-0000-00000D700000}"/>
    <cellStyle name="Total 5 2 2 2 2 3 4" xfId="11917" xr:uid="{00000000-0005-0000-0000-00000E700000}"/>
    <cellStyle name="Total 5 2 2 2 2 3 5" xfId="11921" xr:uid="{00000000-0005-0000-0000-00000F700000}"/>
    <cellStyle name="Total 5 2 2 2 2 4" xfId="8559" xr:uid="{00000000-0005-0000-0000-000010700000}"/>
    <cellStyle name="Total 5 2 2 2 2 4 2" xfId="3082" xr:uid="{00000000-0005-0000-0000-000011700000}"/>
    <cellStyle name="Total 5 2 2 2 2 4 3" xfId="30028" xr:uid="{00000000-0005-0000-0000-000012700000}"/>
    <cellStyle name="Total 5 2 2 2 2 4 4" xfId="19932" xr:uid="{00000000-0005-0000-0000-000013700000}"/>
    <cellStyle name="Total 5 2 2 2 2 5" xfId="30029" xr:uid="{00000000-0005-0000-0000-000014700000}"/>
    <cellStyle name="Total 5 2 2 2 2 6" xfId="22522" xr:uid="{00000000-0005-0000-0000-000015700000}"/>
    <cellStyle name="Total 5 2 2 2 2 7" xfId="22525" xr:uid="{00000000-0005-0000-0000-000016700000}"/>
    <cellStyle name="Total 5 2 2 2 3" xfId="14571" xr:uid="{00000000-0005-0000-0000-000017700000}"/>
    <cellStyle name="Total 5 2 2 2 3 2" xfId="26179" xr:uid="{00000000-0005-0000-0000-000018700000}"/>
    <cellStyle name="Total 5 2 2 2 3 2 2" xfId="30030" xr:uid="{00000000-0005-0000-0000-000019700000}"/>
    <cellStyle name="Total 5 2 2 2 3 2 2 2" xfId="30032" xr:uid="{00000000-0005-0000-0000-00001A700000}"/>
    <cellStyle name="Total 5 2 2 2 3 2 2 3" xfId="12146" xr:uid="{00000000-0005-0000-0000-00001B700000}"/>
    <cellStyle name="Total 5 2 2 2 3 2 2 4" xfId="12150" xr:uid="{00000000-0005-0000-0000-00001C700000}"/>
    <cellStyle name="Total 5 2 2 2 3 2 3" xfId="30033" xr:uid="{00000000-0005-0000-0000-00001D700000}"/>
    <cellStyle name="Total 5 2 2 2 3 2 4" xfId="27254" xr:uid="{00000000-0005-0000-0000-00001E700000}"/>
    <cellStyle name="Total 5 2 2 2 3 2 5" xfId="27559" xr:uid="{00000000-0005-0000-0000-00001F700000}"/>
    <cellStyle name="Total 5 2 2 2 3 3" xfId="30034" xr:uid="{00000000-0005-0000-0000-000020700000}"/>
    <cellStyle name="Total 5 2 2 2 3 3 2" xfId="12582" xr:uid="{00000000-0005-0000-0000-000021700000}"/>
    <cellStyle name="Total 5 2 2 2 3 3 3" xfId="14501" xr:uid="{00000000-0005-0000-0000-000022700000}"/>
    <cellStyle name="Total 5 2 2 2 3 3 4" xfId="4523" xr:uid="{00000000-0005-0000-0000-000023700000}"/>
    <cellStyle name="Total 5 2 2 2 3 4" xfId="30035" xr:uid="{00000000-0005-0000-0000-000024700000}"/>
    <cellStyle name="Total 5 2 2 2 3 5" xfId="30036" xr:uid="{00000000-0005-0000-0000-000025700000}"/>
    <cellStyle name="Total 5 2 2 2 3 6" xfId="30038" xr:uid="{00000000-0005-0000-0000-000026700000}"/>
    <cellStyle name="Total 5 2 2 2 4" xfId="14573" xr:uid="{00000000-0005-0000-0000-000027700000}"/>
    <cellStyle name="Total 5 2 2 2 4 2" xfId="30040" xr:uid="{00000000-0005-0000-0000-000028700000}"/>
    <cellStyle name="Total 5 2 2 2 4 2 2" xfId="30042" xr:uid="{00000000-0005-0000-0000-000029700000}"/>
    <cellStyle name="Total 5 2 2 2 4 2 3" xfId="30044" xr:uid="{00000000-0005-0000-0000-00002A700000}"/>
    <cellStyle name="Total 5 2 2 2 4 2 4" xfId="30046" xr:uid="{00000000-0005-0000-0000-00002B700000}"/>
    <cellStyle name="Total 5 2 2 2 4 3" xfId="30048" xr:uid="{00000000-0005-0000-0000-00002C700000}"/>
    <cellStyle name="Total 5 2 2 2 4 4" xfId="30050" xr:uid="{00000000-0005-0000-0000-00002D700000}"/>
    <cellStyle name="Total 5 2 2 2 4 5" xfId="30052" xr:uid="{00000000-0005-0000-0000-00002E700000}"/>
    <cellStyle name="Total 5 2 2 2 5" xfId="14575" xr:uid="{00000000-0005-0000-0000-00002F700000}"/>
    <cellStyle name="Total 5 2 2 2 5 2" xfId="30054" xr:uid="{00000000-0005-0000-0000-000030700000}"/>
    <cellStyle name="Total 5 2 2 2 5 3" xfId="30056" xr:uid="{00000000-0005-0000-0000-000031700000}"/>
    <cellStyle name="Total 5 2 2 2 5 4" xfId="30058" xr:uid="{00000000-0005-0000-0000-000032700000}"/>
    <cellStyle name="Total 5 2 2 2 6" xfId="29694" xr:uid="{00000000-0005-0000-0000-000033700000}"/>
    <cellStyle name="Total 5 2 2 2 7" xfId="10226" xr:uid="{00000000-0005-0000-0000-000034700000}"/>
    <cellStyle name="Total 5 2 2 2 8" xfId="8238" xr:uid="{00000000-0005-0000-0000-000035700000}"/>
    <cellStyle name="Total 5 2 2 3" xfId="7042" xr:uid="{00000000-0005-0000-0000-000036700000}"/>
    <cellStyle name="Total 5 2 2 3 2" xfId="4621" xr:uid="{00000000-0005-0000-0000-000037700000}"/>
    <cellStyle name="Total 5 2 2 3 2 2" xfId="26186" xr:uid="{00000000-0005-0000-0000-000038700000}"/>
    <cellStyle name="Total 5 2 2 3 2 2 2" xfId="30059" xr:uid="{00000000-0005-0000-0000-000039700000}"/>
    <cellStyle name="Total 5 2 2 3 2 2 2 2" xfId="23136" xr:uid="{00000000-0005-0000-0000-00003A700000}"/>
    <cellStyle name="Total 5 2 2 3 2 2 2 3" xfId="26267" xr:uid="{00000000-0005-0000-0000-00003B700000}"/>
    <cellStyle name="Total 5 2 2 3 2 2 2 4" xfId="25337" xr:uid="{00000000-0005-0000-0000-00003C700000}"/>
    <cellStyle name="Total 5 2 2 3 2 2 3" xfId="30060" xr:uid="{00000000-0005-0000-0000-00003D700000}"/>
    <cellStyle name="Total 5 2 2 3 2 2 4" xfId="18785" xr:uid="{00000000-0005-0000-0000-00003E700000}"/>
    <cellStyle name="Total 5 2 2 3 2 2 5" xfId="18787" xr:uid="{00000000-0005-0000-0000-00003F700000}"/>
    <cellStyle name="Total 5 2 2 3 2 3" xfId="30061" xr:uid="{00000000-0005-0000-0000-000040700000}"/>
    <cellStyle name="Total 5 2 2 3 2 3 2" xfId="17511" xr:uid="{00000000-0005-0000-0000-000041700000}"/>
    <cellStyle name="Total 5 2 2 3 2 3 3" xfId="30062" xr:uid="{00000000-0005-0000-0000-000042700000}"/>
    <cellStyle name="Total 5 2 2 3 2 3 4" xfId="19289" xr:uid="{00000000-0005-0000-0000-000043700000}"/>
    <cellStyle name="Total 5 2 2 3 2 4" xfId="30063" xr:uid="{00000000-0005-0000-0000-000044700000}"/>
    <cellStyle name="Total 5 2 2 3 2 5" xfId="30064" xr:uid="{00000000-0005-0000-0000-000045700000}"/>
    <cellStyle name="Total 5 2 2 3 2 6" xfId="25877" xr:uid="{00000000-0005-0000-0000-000046700000}"/>
    <cellStyle name="Total 5 2 2 3 3" xfId="4631" xr:uid="{00000000-0005-0000-0000-000047700000}"/>
    <cellStyle name="Total 5 2 2 3 3 2" xfId="30065" xr:uid="{00000000-0005-0000-0000-000048700000}"/>
    <cellStyle name="Total 5 2 2 3 3 2 2" xfId="30066" xr:uid="{00000000-0005-0000-0000-000049700000}"/>
    <cellStyle name="Total 5 2 2 3 3 2 3" xfId="30067" xr:uid="{00000000-0005-0000-0000-00004A700000}"/>
    <cellStyle name="Total 5 2 2 3 3 2 4" xfId="30068" xr:uid="{00000000-0005-0000-0000-00004B700000}"/>
    <cellStyle name="Total 5 2 2 3 3 3" xfId="30069" xr:uid="{00000000-0005-0000-0000-00004C700000}"/>
    <cellStyle name="Total 5 2 2 3 3 4" xfId="30070" xr:uid="{00000000-0005-0000-0000-00004D700000}"/>
    <cellStyle name="Total 5 2 2 3 3 5" xfId="30071" xr:uid="{00000000-0005-0000-0000-00004E700000}"/>
    <cellStyle name="Total 5 2 2 3 4" xfId="4640" xr:uid="{00000000-0005-0000-0000-00004F700000}"/>
    <cellStyle name="Total 5 2 2 3 4 2" xfId="30073" xr:uid="{00000000-0005-0000-0000-000050700000}"/>
    <cellStyle name="Total 5 2 2 3 4 3" xfId="30075" xr:uid="{00000000-0005-0000-0000-000051700000}"/>
    <cellStyle name="Total 5 2 2 3 4 4" xfId="30077" xr:uid="{00000000-0005-0000-0000-000052700000}"/>
    <cellStyle name="Total 5 2 2 3 5" xfId="30078" xr:uid="{00000000-0005-0000-0000-000053700000}"/>
    <cellStyle name="Total 5 2 2 3 6" xfId="30079" xr:uid="{00000000-0005-0000-0000-000054700000}"/>
    <cellStyle name="Total 5 2 2 3 7" xfId="30080" xr:uid="{00000000-0005-0000-0000-000055700000}"/>
    <cellStyle name="Total 5 2 2 4" xfId="7049" xr:uid="{00000000-0005-0000-0000-000056700000}"/>
    <cellStyle name="Total 5 2 2 4 2" xfId="14698" xr:uid="{00000000-0005-0000-0000-000057700000}"/>
    <cellStyle name="Total 5 2 2 4 2 2" xfId="17932" xr:uid="{00000000-0005-0000-0000-000058700000}"/>
    <cellStyle name="Total 5 2 2 4 2 2 2" xfId="17935" xr:uid="{00000000-0005-0000-0000-000059700000}"/>
    <cellStyle name="Total 5 2 2 4 2 2 3" xfId="17945" xr:uid="{00000000-0005-0000-0000-00005A700000}"/>
    <cellStyle name="Total 5 2 2 4 2 2 4" xfId="17952" xr:uid="{00000000-0005-0000-0000-00005B700000}"/>
    <cellStyle name="Total 5 2 2 4 2 3" xfId="17956" xr:uid="{00000000-0005-0000-0000-00005C700000}"/>
    <cellStyle name="Total 5 2 2 4 2 4" xfId="17979" xr:uid="{00000000-0005-0000-0000-00005D700000}"/>
    <cellStyle name="Total 5 2 2 4 2 5" xfId="17989" xr:uid="{00000000-0005-0000-0000-00005E700000}"/>
    <cellStyle name="Total 5 2 2 4 3" xfId="14702" xr:uid="{00000000-0005-0000-0000-00005F700000}"/>
    <cellStyle name="Total 5 2 2 4 3 2" xfId="18007" xr:uid="{00000000-0005-0000-0000-000060700000}"/>
    <cellStyle name="Total 5 2 2 4 3 3" xfId="18018" xr:uid="{00000000-0005-0000-0000-000061700000}"/>
    <cellStyle name="Total 5 2 2 4 3 4" xfId="18023" xr:uid="{00000000-0005-0000-0000-000062700000}"/>
    <cellStyle name="Total 5 2 2 4 4" xfId="20345" xr:uid="{00000000-0005-0000-0000-000063700000}"/>
    <cellStyle name="Total 5 2 2 4 5" xfId="30081" xr:uid="{00000000-0005-0000-0000-000064700000}"/>
    <cellStyle name="Total 5 2 2 4 6" xfId="30082" xr:uid="{00000000-0005-0000-0000-000065700000}"/>
    <cellStyle name="Total 5 2 2 5" xfId="7057" xr:uid="{00000000-0005-0000-0000-000066700000}"/>
    <cellStyle name="Total 5 2 2 5 2" xfId="14727" xr:uid="{00000000-0005-0000-0000-000067700000}"/>
    <cellStyle name="Total 5 2 2 5 2 2" xfId="18090" xr:uid="{00000000-0005-0000-0000-000068700000}"/>
    <cellStyle name="Total 5 2 2 5 2 3" xfId="18093" xr:uid="{00000000-0005-0000-0000-000069700000}"/>
    <cellStyle name="Total 5 2 2 5 2 4" xfId="18098" xr:uid="{00000000-0005-0000-0000-00006A700000}"/>
    <cellStyle name="Total 5 2 2 5 3" xfId="1989" xr:uid="{00000000-0005-0000-0000-00006B700000}"/>
    <cellStyle name="Total 5 2 2 5 4" xfId="2027" xr:uid="{00000000-0005-0000-0000-00006C700000}"/>
    <cellStyle name="Total 5 2 2 5 5" xfId="2046" xr:uid="{00000000-0005-0000-0000-00006D700000}"/>
    <cellStyle name="Total 5 2 2 6" xfId="7062" xr:uid="{00000000-0005-0000-0000-00006E700000}"/>
    <cellStyle name="Total 5 2 2 6 2" xfId="20352" xr:uid="{00000000-0005-0000-0000-00006F700000}"/>
    <cellStyle name="Total 5 2 2 6 3" xfId="30083" xr:uid="{00000000-0005-0000-0000-000070700000}"/>
    <cellStyle name="Total 5 2 2 6 4" xfId="30084" xr:uid="{00000000-0005-0000-0000-000071700000}"/>
    <cellStyle name="Total 5 2 2 7" xfId="14526" xr:uid="{00000000-0005-0000-0000-000072700000}"/>
    <cellStyle name="Total 5 2 2 8" xfId="14531" xr:uid="{00000000-0005-0000-0000-000073700000}"/>
    <cellStyle name="Total 5 2 2 9" xfId="30085" xr:uid="{00000000-0005-0000-0000-000074700000}"/>
    <cellStyle name="Total 5 2 3" xfId="11689" xr:uid="{00000000-0005-0000-0000-000075700000}"/>
    <cellStyle name="Total 5 2 3 2" xfId="30086" xr:uid="{00000000-0005-0000-0000-000076700000}"/>
    <cellStyle name="Total 5 2 3 2 2" xfId="1969" xr:uid="{00000000-0005-0000-0000-000077700000}"/>
    <cellStyle name="Total 5 2 3 2 2 2" xfId="9057" xr:uid="{00000000-0005-0000-0000-000078700000}"/>
    <cellStyle name="Total 5 2 3 2 2 2 2" xfId="30087" xr:uid="{00000000-0005-0000-0000-000079700000}"/>
    <cellStyle name="Total 5 2 3 2 2 2 2 2" xfId="10051" xr:uid="{00000000-0005-0000-0000-00007A700000}"/>
    <cellStyle name="Total 5 2 3 2 2 2 2 2 2" xfId="7415" xr:uid="{00000000-0005-0000-0000-00007B700000}"/>
    <cellStyle name="Total 5 2 3 2 2 2 2 2 3" xfId="7420" xr:uid="{00000000-0005-0000-0000-00007C700000}"/>
    <cellStyle name="Total 5 2 3 2 2 2 2 2 4" xfId="7423" xr:uid="{00000000-0005-0000-0000-00007D700000}"/>
    <cellStyle name="Total 5 2 3 2 2 2 2 3" xfId="17400" xr:uid="{00000000-0005-0000-0000-00007E700000}"/>
    <cellStyle name="Total 5 2 3 2 2 2 2 4" xfId="30088" xr:uid="{00000000-0005-0000-0000-00007F700000}"/>
    <cellStyle name="Total 5 2 3 2 2 2 2 5" xfId="30089" xr:uid="{00000000-0005-0000-0000-000080700000}"/>
    <cellStyle name="Total 5 2 3 2 2 2 3" xfId="30090" xr:uid="{00000000-0005-0000-0000-000081700000}"/>
    <cellStyle name="Total 5 2 3 2 2 2 3 2" xfId="30091" xr:uid="{00000000-0005-0000-0000-000082700000}"/>
    <cellStyle name="Total 5 2 3 2 2 2 3 3" xfId="17402" xr:uid="{00000000-0005-0000-0000-000083700000}"/>
    <cellStyle name="Total 5 2 3 2 2 2 3 4" xfId="322" xr:uid="{00000000-0005-0000-0000-000084700000}"/>
    <cellStyle name="Total 5 2 3 2 2 2 4" xfId="10730" xr:uid="{00000000-0005-0000-0000-000085700000}"/>
    <cellStyle name="Total 5 2 3 2 2 2 5" xfId="10732" xr:uid="{00000000-0005-0000-0000-000086700000}"/>
    <cellStyle name="Total 5 2 3 2 2 2 6" xfId="10734" xr:uid="{00000000-0005-0000-0000-000087700000}"/>
    <cellStyle name="Total 5 2 3 2 2 3" xfId="9062" xr:uid="{00000000-0005-0000-0000-000088700000}"/>
    <cellStyle name="Total 5 2 3 2 2 3 2" xfId="30092" xr:uid="{00000000-0005-0000-0000-000089700000}"/>
    <cellStyle name="Total 5 2 3 2 2 3 2 2" xfId="30093" xr:uid="{00000000-0005-0000-0000-00008A700000}"/>
    <cellStyle name="Total 5 2 3 2 2 3 2 3" xfId="30094" xr:uid="{00000000-0005-0000-0000-00008B700000}"/>
    <cellStyle name="Total 5 2 3 2 2 3 2 4" xfId="30095" xr:uid="{00000000-0005-0000-0000-00008C700000}"/>
    <cellStyle name="Total 5 2 3 2 2 3 3" xfId="30096" xr:uid="{00000000-0005-0000-0000-00008D700000}"/>
    <cellStyle name="Total 5 2 3 2 2 3 4" xfId="20164" xr:uid="{00000000-0005-0000-0000-00008E700000}"/>
    <cellStyle name="Total 5 2 3 2 2 3 5" xfId="20167" xr:uid="{00000000-0005-0000-0000-00008F700000}"/>
    <cellStyle name="Total 5 2 3 2 2 4" xfId="3623" xr:uid="{00000000-0005-0000-0000-000090700000}"/>
    <cellStyle name="Total 5 2 3 2 2 4 2" xfId="3629" xr:uid="{00000000-0005-0000-0000-000091700000}"/>
    <cellStyle name="Total 5 2 3 2 2 4 3" xfId="3645" xr:uid="{00000000-0005-0000-0000-000092700000}"/>
    <cellStyle name="Total 5 2 3 2 2 4 4" xfId="3655" xr:uid="{00000000-0005-0000-0000-000093700000}"/>
    <cellStyle name="Total 5 2 3 2 2 5" xfId="3670" xr:uid="{00000000-0005-0000-0000-000094700000}"/>
    <cellStyle name="Total 5 2 3 2 2 6" xfId="3727" xr:uid="{00000000-0005-0000-0000-000095700000}"/>
    <cellStyle name="Total 5 2 3 2 2 7" xfId="1436" xr:uid="{00000000-0005-0000-0000-000096700000}"/>
    <cellStyle name="Total 5 2 3 2 3" xfId="15295" xr:uid="{00000000-0005-0000-0000-000097700000}"/>
    <cellStyle name="Total 5 2 3 2 3 2" xfId="30097" xr:uid="{00000000-0005-0000-0000-000098700000}"/>
    <cellStyle name="Total 5 2 3 2 3 2 2" xfId="30098" xr:uid="{00000000-0005-0000-0000-000099700000}"/>
    <cellStyle name="Total 5 2 3 2 3 2 2 2" xfId="30100" xr:uid="{00000000-0005-0000-0000-00009A700000}"/>
    <cellStyle name="Total 5 2 3 2 3 2 2 3" xfId="16297" xr:uid="{00000000-0005-0000-0000-00009B700000}"/>
    <cellStyle name="Total 5 2 3 2 3 2 2 4" xfId="920" xr:uid="{00000000-0005-0000-0000-00009C700000}"/>
    <cellStyle name="Total 5 2 3 2 3 2 3" xfId="30101" xr:uid="{00000000-0005-0000-0000-00009D700000}"/>
    <cellStyle name="Total 5 2 3 2 3 2 4" xfId="30102" xr:uid="{00000000-0005-0000-0000-00009E700000}"/>
    <cellStyle name="Total 5 2 3 2 3 2 5" xfId="30103" xr:uid="{00000000-0005-0000-0000-00009F700000}"/>
    <cellStyle name="Total 5 2 3 2 3 3" xfId="30104" xr:uid="{00000000-0005-0000-0000-0000A0700000}"/>
    <cellStyle name="Total 5 2 3 2 3 3 2" xfId="28723" xr:uid="{00000000-0005-0000-0000-0000A1700000}"/>
    <cellStyle name="Total 5 2 3 2 3 3 3" xfId="30105" xr:uid="{00000000-0005-0000-0000-0000A2700000}"/>
    <cellStyle name="Total 5 2 3 2 3 3 4" xfId="4807" xr:uid="{00000000-0005-0000-0000-0000A3700000}"/>
    <cellStyle name="Total 5 2 3 2 3 4" xfId="1259" xr:uid="{00000000-0005-0000-0000-0000A4700000}"/>
    <cellStyle name="Total 5 2 3 2 3 5" xfId="1279" xr:uid="{00000000-0005-0000-0000-0000A5700000}"/>
    <cellStyle name="Total 5 2 3 2 3 6" xfId="1288" xr:uid="{00000000-0005-0000-0000-0000A6700000}"/>
    <cellStyle name="Total 5 2 3 2 4" xfId="13658" xr:uid="{00000000-0005-0000-0000-0000A7700000}"/>
    <cellStyle name="Total 5 2 3 2 4 2" xfId="30107" xr:uid="{00000000-0005-0000-0000-0000A8700000}"/>
    <cellStyle name="Total 5 2 3 2 4 2 2" xfId="30108" xr:uid="{00000000-0005-0000-0000-0000A9700000}"/>
    <cellStyle name="Total 5 2 3 2 4 2 3" xfId="30109" xr:uid="{00000000-0005-0000-0000-0000AA700000}"/>
    <cellStyle name="Total 5 2 3 2 4 2 4" xfId="30110" xr:uid="{00000000-0005-0000-0000-0000AB700000}"/>
    <cellStyle name="Total 5 2 3 2 4 3" xfId="30112" xr:uid="{00000000-0005-0000-0000-0000AC700000}"/>
    <cellStyle name="Total 5 2 3 2 4 4" xfId="444" xr:uid="{00000000-0005-0000-0000-0000AD700000}"/>
    <cellStyle name="Total 5 2 3 2 4 5" xfId="3824" xr:uid="{00000000-0005-0000-0000-0000AE700000}"/>
    <cellStyle name="Total 5 2 3 2 5" xfId="13662" xr:uid="{00000000-0005-0000-0000-0000AF700000}"/>
    <cellStyle name="Total 5 2 3 2 5 2" xfId="30114" xr:uid="{00000000-0005-0000-0000-0000B0700000}"/>
    <cellStyle name="Total 5 2 3 2 5 3" xfId="30116" xr:uid="{00000000-0005-0000-0000-0000B1700000}"/>
    <cellStyle name="Total 5 2 3 2 5 4" xfId="3830" xr:uid="{00000000-0005-0000-0000-0000B2700000}"/>
    <cellStyle name="Total 5 2 3 2 6" xfId="30117" xr:uid="{00000000-0005-0000-0000-0000B3700000}"/>
    <cellStyle name="Total 5 2 3 2 7" xfId="30118" xr:uid="{00000000-0005-0000-0000-0000B4700000}"/>
    <cellStyle name="Total 5 2 3 2 8" xfId="30119" xr:uid="{00000000-0005-0000-0000-0000B5700000}"/>
    <cellStyle name="Total 5 2 3 3" xfId="30120" xr:uid="{00000000-0005-0000-0000-0000B6700000}"/>
    <cellStyle name="Total 5 2 3 3 2" xfId="15329" xr:uid="{00000000-0005-0000-0000-0000B7700000}"/>
    <cellStyle name="Total 5 2 3 3 2 2" xfId="30121" xr:uid="{00000000-0005-0000-0000-0000B8700000}"/>
    <cellStyle name="Total 5 2 3 3 2 2 2" xfId="30122" xr:uid="{00000000-0005-0000-0000-0000B9700000}"/>
    <cellStyle name="Total 5 2 3 3 2 2 2 2" xfId="11194" xr:uid="{00000000-0005-0000-0000-0000BA700000}"/>
    <cellStyle name="Total 5 2 3 3 2 2 2 3" xfId="29626" xr:uid="{00000000-0005-0000-0000-0000BB700000}"/>
    <cellStyle name="Total 5 2 3 3 2 2 2 4" xfId="29628" xr:uid="{00000000-0005-0000-0000-0000BC700000}"/>
    <cellStyle name="Total 5 2 3 3 2 2 3" xfId="30123" xr:uid="{00000000-0005-0000-0000-0000BD700000}"/>
    <cellStyle name="Total 5 2 3 3 2 2 4" xfId="30124" xr:uid="{00000000-0005-0000-0000-0000BE700000}"/>
    <cellStyle name="Total 5 2 3 3 2 2 5" xfId="30125" xr:uid="{00000000-0005-0000-0000-0000BF700000}"/>
    <cellStyle name="Total 5 2 3 3 2 3" xfId="30126" xr:uid="{00000000-0005-0000-0000-0000C0700000}"/>
    <cellStyle name="Total 5 2 3 3 2 3 2" xfId="30127" xr:uid="{00000000-0005-0000-0000-0000C1700000}"/>
    <cellStyle name="Total 5 2 3 3 2 3 3" xfId="30128" xr:uid="{00000000-0005-0000-0000-0000C2700000}"/>
    <cellStyle name="Total 5 2 3 3 2 3 4" xfId="30130" xr:uid="{00000000-0005-0000-0000-0000C3700000}"/>
    <cellStyle name="Total 5 2 3 3 2 4" xfId="4087" xr:uid="{00000000-0005-0000-0000-0000C4700000}"/>
    <cellStyle name="Total 5 2 3 3 2 5" xfId="4148" xr:uid="{00000000-0005-0000-0000-0000C5700000}"/>
    <cellStyle name="Total 5 2 3 3 2 6" xfId="4167" xr:uid="{00000000-0005-0000-0000-0000C6700000}"/>
    <cellStyle name="Total 5 2 3 3 3" xfId="15331" xr:uid="{00000000-0005-0000-0000-0000C7700000}"/>
    <cellStyle name="Total 5 2 3 3 3 2" xfId="30131" xr:uid="{00000000-0005-0000-0000-0000C8700000}"/>
    <cellStyle name="Total 5 2 3 3 3 2 2" xfId="30132" xr:uid="{00000000-0005-0000-0000-0000C9700000}"/>
    <cellStyle name="Total 5 2 3 3 3 2 3" xfId="30133" xr:uid="{00000000-0005-0000-0000-0000CA700000}"/>
    <cellStyle name="Total 5 2 3 3 3 2 4" xfId="30134" xr:uid="{00000000-0005-0000-0000-0000CB700000}"/>
    <cellStyle name="Total 5 2 3 3 3 3" xfId="30135" xr:uid="{00000000-0005-0000-0000-0000CC700000}"/>
    <cellStyle name="Total 5 2 3 3 3 4" xfId="1449" xr:uid="{00000000-0005-0000-0000-0000CD700000}"/>
    <cellStyle name="Total 5 2 3 3 3 5" xfId="689" xr:uid="{00000000-0005-0000-0000-0000CE700000}"/>
    <cellStyle name="Total 5 2 3 3 4" xfId="13669" xr:uid="{00000000-0005-0000-0000-0000CF700000}"/>
    <cellStyle name="Total 5 2 3 3 4 2" xfId="30137" xr:uid="{00000000-0005-0000-0000-0000D0700000}"/>
    <cellStyle name="Total 5 2 3 3 4 3" xfId="30139" xr:uid="{00000000-0005-0000-0000-0000D1700000}"/>
    <cellStyle name="Total 5 2 3 3 4 4" xfId="30141" xr:uid="{00000000-0005-0000-0000-0000D2700000}"/>
    <cellStyle name="Total 5 2 3 3 5" xfId="30142" xr:uid="{00000000-0005-0000-0000-0000D3700000}"/>
    <cellStyle name="Total 5 2 3 3 6" xfId="30143" xr:uid="{00000000-0005-0000-0000-0000D4700000}"/>
    <cellStyle name="Total 5 2 3 3 7" xfId="30144" xr:uid="{00000000-0005-0000-0000-0000D5700000}"/>
    <cellStyle name="Total 5 2 3 4" xfId="30145" xr:uid="{00000000-0005-0000-0000-0000D6700000}"/>
    <cellStyle name="Total 5 2 3 4 2" xfId="11981" xr:uid="{00000000-0005-0000-0000-0000D7700000}"/>
    <cellStyle name="Total 5 2 3 4 2 2" xfId="9150" xr:uid="{00000000-0005-0000-0000-0000D8700000}"/>
    <cellStyle name="Total 5 2 3 4 2 2 2" xfId="18199" xr:uid="{00000000-0005-0000-0000-0000D9700000}"/>
    <cellStyle name="Total 5 2 3 4 2 2 3" xfId="18203" xr:uid="{00000000-0005-0000-0000-0000DA700000}"/>
    <cellStyle name="Total 5 2 3 4 2 2 4" xfId="18207" xr:uid="{00000000-0005-0000-0000-0000DB700000}"/>
    <cellStyle name="Total 5 2 3 4 2 3" xfId="11985" xr:uid="{00000000-0005-0000-0000-0000DC700000}"/>
    <cellStyle name="Total 5 2 3 4 2 4" xfId="4358" xr:uid="{00000000-0005-0000-0000-0000DD700000}"/>
    <cellStyle name="Total 5 2 3 4 2 5" xfId="4386" xr:uid="{00000000-0005-0000-0000-0000DE700000}"/>
    <cellStyle name="Total 5 2 3 4 3" xfId="11993" xr:uid="{00000000-0005-0000-0000-0000DF700000}"/>
    <cellStyle name="Total 5 2 3 4 3 2" xfId="18248" xr:uid="{00000000-0005-0000-0000-0000E0700000}"/>
    <cellStyle name="Total 5 2 3 4 3 3" xfId="18262" xr:uid="{00000000-0005-0000-0000-0000E1700000}"/>
    <cellStyle name="Total 5 2 3 4 3 4" xfId="54" xr:uid="{00000000-0005-0000-0000-0000E2700000}"/>
    <cellStyle name="Total 5 2 3 4 4" xfId="30146" xr:uid="{00000000-0005-0000-0000-0000E3700000}"/>
    <cellStyle name="Total 5 2 3 4 5" xfId="30147" xr:uid="{00000000-0005-0000-0000-0000E4700000}"/>
    <cellStyle name="Total 5 2 3 4 6" xfId="30148" xr:uid="{00000000-0005-0000-0000-0000E5700000}"/>
    <cellStyle name="Total 5 2 3 5" xfId="30149" xr:uid="{00000000-0005-0000-0000-0000E6700000}"/>
    <cellStyle name="Total 5 2 3 5 2" xfId="12037" xr:uid="{00000000-0005-0000-0000-0000E7700000}"/>
    <cellStyle name="Total 5 2 3 5 2 2" xfId="18358" xr:uid="{00000000-0005-0000-0000-0000E8700000}"/>
    <cellStyle name="Total 5 2 3 5 2 3" xfId="18368" xr:uid="{00000000-0005-0000-0000-0000E9700000}"/>
    <cellStyle name="Total 5 2 3 5 2 4" xfId="4019" xr:uid="{00000000-0005-0000-0000-0000EA700000}"/>
    <cellStyle name="Total 5 2 3 5 3" xfId="2131" xr:uid="{00000000-0005-0000-0000-0000EB700000}"/>
    <cellStyle name="Total 5 2 3 5 4" xfId="2158" xr:uid="{00000000-0005-0000-0000-0000EC700000}"/>
    <cellStyle name="Total 5 2 3 5 5" xfId="1142" xr:uid="{00000000-0005-0000-0000-0000ED700000}"/>
    <cellStyle name="Total 5 2 3 6" xfId="30150" xr:uid="{00000000-0005-0000-0000-0000EE700000}"/>
    <cellStyle name="Total 5 2 3 6 2" xfId="28577" xr:uid="{00000000-0005-0000-0000-0000EF700000}"/>
    <cellStyle name="Total 5 2 3 6 3" xfId="28579" xr:uid="{00000000-0005-0000-0000-0000F0700000}"/>
    <cellStyle name="Total 5 2 3 6 4" xfId="28581" xr:uid="{00000000-0005-0000-0000-0000F1700000}"/>
    <cellStyle name="Total 5 2 3 7" xfId="30151" xr:uid="{00000000-0005-0000-0000-0000F2700000}"/>
    <cellStyle name="Total 5 2 3 8" xfId="30152" xr:uid="{00000000-0005-0000-0000-0000F3700000}"/>
    <cellStyle name="Total 5 2 3 9" xfId="30153" xr:uid="{00000000-0005-0000-0000-0000F4700000}"/>
    <cellStyle name="Total 5 2 4" xfId="11692" xr:uid="{00000000-0005-0000-0000-0000F5700000}"/>
    <cellStyle name="Total 5 2 4 2" xfId="30154" xr:uid="{00000000-0005-0000-0000-0000F6700000}"/>
    <cellStyle name="Total 5 2 4 2 2" xfId="16093" xr:uid="{00000000-0005-0000-0000-0000F7700000}"/>
    <cellStyle name="Total 5 2 4 2 2 2" xfId="9090" xr:uid="{00000000-0005-0000-0000-0000F8700000}"/>
    <cellStyle name="Total 5 2 4 2 2 2 2" xfId="14838" xr:uid="{00000000-0005-0000-0000-0000F9700000}"/>
    <cellStyle name="Total 5 2 4 2 2 2 2 2" xfId="24565" xr:uid="{00000000-0005-0000-0000-0000FA700000}"/>
    <cellStyle name="Total 5 2 4 2 2 2 2 3" xfId="24567" xr:uid="{00000000-0005-0000-0000-0000FB700000}"/>
    <cellStyle name="Total 5 2 4 2 2 2 2 4" xfId="24569" xr:uid="{00000000-0005-0000-0000-0000FC700000}"/>
    <cellStyle name="Total 5 2 4 2 2 2 3" xfId="30155" xr:uid="{00000000-0005-0000-0000-0000FD700000}"/>
    <cellStyle name="Total 5 2 4 2 2 2 4" xfId="11042" xr:uid="{00000000-0005-0000-0000-0000FE700000}"/>
    <cellStyle name="Total 5 2 4 2 2 2 5" xfId="11047" xr:uid="{00000000-0005-0000-0000-0000FF700000}"/>
    <cellStyle name="Total 5 2 4 2 2 3" xfId="6782" xr:uid="{00000000-0005-0000-0000-000000710000}"/>
    <cellStyle name="Total 5 2 4 2 2 3 2" xfId="30156" xr:uid="{00000000-0005-0000-0000-000001710000}"/>
    <cellStyle name="Total 5 2 4 2 2 3 3" xfId="30157" xr:uid="{00000000-0005-0000-0000-000002710000}"/>
    <cellStyle name="Total 5 2 4 2 2 3 4" xfId="20210" xr:uid="{00000000-0005-0000-0000-000003710000}"/>
    <cellStyle name="Total 5 2 4 2 2 4" xfId="6380" xr:uid="{00000000-0005-0000-0000-000004710000}"/>
    <cellStyle name="Total 5 2 4 2 2 5" xfId="6430" xr:uid="{00000000-0005-0000-0000-000005710000}"/>
    <cellStyle name="Total 5 2 4 2 2 6" xfId="1818" xr:uid="{00000000-0005-0000-0000-000006710000}"/>
    <cellStyle name="Total 5 2 4 2 3" xfId="16095" xr:uid="{00000000-0005-0000-0000-000007710000}"/>
    <cellStyle name="Total 5 2 4 2 3 2" xfId="28534" xr:uid="{00000000-0005-0000-0000-000008710000}"/>
    <cellStyle name="Total 5 2 4 2 3 2 2" xfId="13413" xr:uid="{00000000-0005-0000-0000-000009710000}"/>
    <cellStyle name="Total 5 2 4 2 3 2 3" xfId="13417" xr:uid="{00000000-0005-0000-0000-00000A710000}"/>
    <cellStyle name="Total 5 2 4 2 3 2 4" xfId="13432" xr:uid="{00000000-0005-0000-0000-00000B710000}"/>
    <cellStyle name="Total 5 2 4 2 3 3" xfId="28538" xr:uid="{00000000-0005-0000-0000-00000C710000}"/>
    <cellStyle name="Total 5 2 4 2 3 4" xfId="6474" xr:uid="{00000000-0005-0000-0000-00000D710000}"/>
    <cellStyle name="Total 5 2 4 2 3 5" xfId="6501" xr:uid="{00000000-0005-0000-0000-00000E710000}"/>
    <cellStyle name="Total 5 2 4 2 4" xfId="16097" xr:uid="{00000000-0005-0000-0000-00000F710000}"/>
    <cellStyle name="Total 5 2 4 2 4 2" xfId="30160" xr:uid="{00000000-0005-0000-0000-000010710000}"/>
    <cellStyle name="Total 5 2 4 2 4 3" xfId="30163" xr:uid="{00000000-0005-0000-0000-000011710000}"/>
    <cellStyle name="Total 5 2 4 2 4 4" xfId="1028" xr:uid="{00000000-0005-0000-0000-000012710000}"/>
    <cellStyle name="Total 5 2 4 2 5" xfId="16099" xr:uid="{00000000-0005-0000-0000-000013710000}"/>
    <cellStyle name="Total 5 2 4 2 6" xfId="30164" xr:uid="{00000000-0005-0000-0000-000014710000}"/>
    <cellStyle name="Total 5 2 4 2 7" xfId="30165" xr:uid="{00000000-0005-0000-0000-000015710000}"/>
    <cellStyle name="Total 5 2 4 3" xfId="30166" xr:uid="{00000000-0005-0000-0000-000016710000}"/>
    <cellStyle name="Total 5 2 4 3 2" xfId="16202" xr:uid="{00000000-0005-0000-0000-000017710000}"/>
    <cellStyle name="Total 5 2 4 3 2 2" xfId="26450" xr:uid="{00000000-0005-0000-0000-000018710000}"/>
    <cellStyle name="Total 5 2 4 3 2 2 2" xfId="15001" xr:uid="{00000000-0005-0000-0000-000019710000}"/>
    <cellStyle name="Total 5 2 4 3 2 2 3" xfId="26453" xr:uid="{00000000-0005-0000-0000-00001A710000}"/>
    <cellStyle name="Total 5 2 4 3 2 2 4" xfId="26455" xr:uid="{00000000-0005-0000-0000-00001B710000}"/>
    <cellStyle name="Total 5 2 4 3 2 3" xfId="26458" xr:uid="{00000000-0005-0000-0000-00001C710000}"/>
    <cellStyle name="Total 5 2 4 3 2 4" xfId="6680" xr:uid="{00000000-0005-0000-0000-00001D710000}"/>
    <cellStyle name="Total 5 2 4 3 2 5" xfId="5705" xr:uid="{00000000-0005-0000-0000-00001E710000}"/>
    <cellStyle name="Total 5 2 4 3 3" xfId="16205" xr:uid="{00000000-0005-0000-0000-00001F710000}"/>
    <cellStyle name="Total 5 2 4 3 3 2" xfId="26464" xr:uid="{00000000-0005-0000-0000-000020710000}"/>
    <cellStyle name="Total 5 2 4 3 3 3" xfId="26466" xr:uid="{00000000-0005-0000-0000-000021710000}"/>
    <cellStyle name="Total 5 2 4 3 3 4" xfId="6697" xr:uid="{00000000-0005-0000-0000-000022710000}"/>
    <cellStyle name="Total 5 2 4 3 4" xfId="16208" xr:uid="{00000000-0005-0000-0000-000023710000}"/>
    <cellStyle name="Total 5 2 4 3 5" xfId="26472" xr:uid="{00000000-0005-0000-0000-000024710000}"/>
    <cellStyle name="Total 5 2 4 3 6" xfId="26474" xr:uid="{00000000-0005-0000-0000-000025710000}"/>
    <cellStyle name="Total 5 2 4 4" xfId="30167" xr:uid="{00000000-0005-0000-0000-000026710000}"/>
    <cellStyle name="Total 5 2 4 4 2" xfId="12263" xr:uid="{00000000-0005-0000-0000-000027710000}"/>
    <cellStyle name="Total 5 2 4 4 2 2" xfId="9401" xr:uid="{00000000-0005-0000-0000-000028710000}"/>
    <cellStyle name="Total 5 2 4 4 2 3" xfId="12269" xr:uid="{00000000-0005-0000-0000-000029710000}"/>
    <cellStyle name="Total 5 2 4 4 2 4" xfId="6525" xr:uid="{00000000-0005-0000-0000-00002A710000}"/>
    <cellStyle name="Total 5 2 4 4 3" xfId="12282" xr:uid="{00000000-0005-0000-0000-00002B710000}"/>
    <cellStyle name="Total 5 2 4 4 4" xfId="26477" xr:uid="{00000000-0005-0000-0000-00002C710000}"/>
    <cellStyle name="Total 5 2 4 4 5" xfId="26479" xr:uid="{00000000-0005-0000-0000-00002D710000}"/>
    <cellStyle name="Total 5 2 4 5" xfId="30168" xr:uid="{00000000-0005-0000-0000-00002E710000}"/>
    <cellStyle name="Total 5 2 4 5 2" xfId="12352" xr:uid="{00000000-0005-0000-0000-00002F710000}"/>
    <cellStyle name="Total 5 2 4 5 3" xfId="26499" xr:uid="{00000000-0005-0000-0000-000030710000}"/>
    <cellStyle name="Total 5 2 4 5 4" xfId="26502" xr:uid="{00000000-0005-0000-0000-000031710000}"/>
    <cellStyle name="Total 5 2 4 6" xfId="30169" xr:uid="{00000000-0005-0000-0000-000032710000}"/>
    <cellStyle name="Total 5 2 4 7" xfId="30170" xr:uid="{00000000-0005-0000-0000-000033710000}"/>
    <cellStyle name="Total 5 2 4 8" xfId="30171" xr:uid="{00000000-0005-0000-0000-000034710000}"/>
    <cellStyle name="Total 5 2 5" xfId="11696" xr:uid="{00000000-0005-0000-0000-000035710000}"/>
    <cellStyle name="Total 5 2 5 2" xfId="30172" xr:uid="{00000000-0005-0000-0000-000036710000}"/>
    <cellStyle name="Total 5 2 5 2 2" xfId="16533" xr:uid="{00000000-0005-0000-0000-000037710000}"/>
    <cellStyle name="Total 5 2 5 2 2 2" xfId="15871" xr:uid="{00000000-0005-0000-0000-000038710000}"/>
    <cellStyle name="Total 5 2 5 2 2 2 2" xfId="441" xr:uid="{00000000-0005-0000-0000-000039710000}"/>
    <cellStyle name="Total 5 2 5 2 2 2 3" xfId="30173" xr:uid="{00000000-0005-0000-0000-00003A710000}"/>
    <cellStyle name="Total 5 2 5 2 2 2 4" xfId="30174" xr:uid="{00000000-0005-0000-0000-00003B710000}"/>
    <cellStyle name="Total 5 2 5 2 2 3" xfId="15876" xr:uid="{00000000-0005-0000-0000-00003C710000}"/>
    <cellStyle name="Total 5 2 5 2 2 4" xfId="5819" xr:uid="{00000000-0005-0000-0000-00003D710000}"/>
    <cellStyle name="Total 5 2 5 2 2 5" xfId="7545" xr:uid="{00000000-0005-0000-0000-00003E710000}"/>
    <cellStyle name="Total 5 2 5 2 3" xfId="16535" xr:uid="{00000000-0005-0000-0000-00003F710000}"/>
    <cellStyle name="Total 5 2 5 2 3 2" xfId="29460" xr:uid="{00000000-0005-0000-0000-000040710000}"/>
    <cellStyle name="Total 5 2 5 2 3 3" xfId="30175" xr:uid="{00000000-0005-0000-0000-000041710000}"/>
    <cellStyle name="Total 5 2 5 2 3 4" xfId="7568" xr:uid="{00000000-0005-0000-0000-000042710000}"/>
    <cellStyle name="Total 5 2 5 2 4" xfId="16537" xr:uid="{00000000-0005-0000-0000-000043710000}"/>
    <cellStyle name="Total 5 2 5 2 5" xfId="16539" xr:uid="{00000000-0005-0000-0000-000044710000}"/>
    <cellStyle name="Total 5 2 5 2 6" xfId="30176" xr:uid="{00000000-0005-0000-0000-000045710000}"/>
    <cellStyle name="Total 5 2 5 3" xfId="30177" xr:uid="{00000000-0005-0000-0000-000046710000}"/>
    <cellStyle name="Total 5 2 5 3 2" xfId="16600" xr:uid="{00000000-0005-0000-0000-000047710000}"/>
    <cellStyle name="Total 5 2 5 3 2 2" xfId="26543" xr:uid="{00000000-0005-0000-0000-000048710000}"/>
    <cellStyle name="Total 5 2 5 3 2 3" xfId="26549" xr:uid="{00000000-0005-0000-0000-000049710000}"/>
    <cellStyle name="Total 5 2 5 3 2 4" xfId="7433" xr:uid="{00000000-0005-0000-0000-00004A710000}"/>
    <cellStyle name="Total 5 2 5 3 3" xfId="16603" xr:uid="{00000000-0005-0000-0000-00004B710000}"/>
    <cellStyle name="Total 5 2 5 3 4" xfId="16606" xr:uid="{00000000-0005-0000-0000-00004C710000}"/>
    <cellStyle name="Total 5 2 5 3 5" xfId="26551" xr:uid="{00000000-0005-0000-0000-00004D710000}"/>
    <cellStyle name="Total 5 2 5 4" xfId="30178" xr:uid="{00000000-0005-0000-0000-00004E710000}"/>
    <cellStyle name="Total 5 2 5 4 2" xfId="7440" xr:uid="{00000000-0005-0000-0000-00004F710000}"/>
    <cellStyle name="Total 5 2 5 4 3" xfId="7446" xr:uid="{00000000-0005-0000-0000-000050710000}"/>
    <cellStyle name="Total 5 2 5 4 4" xfId="26554" xr:uid="{00000000-0005-0000-0000-000051710000}"/>
    <cellStyle name="Total 5 2 5 5" xfId="30179" xr:uid="{00000000-0005-0000-0000-000052710000}"/>
    <cellStyle name="Total 5 2 5 6" xfId="30180" xr:uid="{00000000-0005-0000-0000-000053710000}"/>
    <cellStyle name="Total 5 2 5 7" xfId="30181" xr:uid="{00000000-0005-0000-0000-000054710000}"/>
    <cellStyle name="Total 5 2 6" xfId="28149" xr:uid="{00000000-0005-0000-0000-000055710000}"/>
    <cellStyle name="Total 5 2 6 2" xfId="30182" xr:uid="{00000000-0005-0000-0000-000056710000}"/>
    <cellStyle name="Total 5 2 6 2 2" xfId="16870" xr:uid="{00000000-0005-0000-0000-000057710000}"/>
    <cellStyle name="Total 5 2 6 2 2 2" xfId="16055" xr:uid="{00000000-0005-0000-0000-000058710000}"/>
    <cellStyle name="Total 5 2 6 2 2 3" xfId="16061" xr:uid="{00000000-0005-0000-0000-000059710000}"/>
    <cellStyle name="Total 5 2 6 2 2 4" xfId="8889" xr:uid="{00000000-0005-0000-0000-00005A710000}"/>
    <cellStyle name="Total 5 2 6 2 3" xfId="16872" xr:uid="{00000000-0005-0000-0000-00005B710000}"/>
    <cellStyle name="Total 5 2 6 2 4" xfId="16874" xr:uid="{00000000-0005-0000-0000-00005C710000}"/>
    <cellStyle name="Total 5 2 6 2 5" xfId="16876" xr:uid="{00000000-0005-0000-0000-00005D710000}"/>
    <cellStyle name="Total 5 2 6 3" xfId="30183" xr:uid="{00000000-0005-0000-0000-00005E710000}"/>
    <cellStyle name="Total 5 2 6 3 2" xfId="16942" xr:uid="{00000000-0005-0000-0000-00005F710000}"/>
    <cellStyle name="Total 5 2 6 3 3" xfId="16947" xr:uid="{00000000-0005-0000-0000-000060710000}"/>
    <cellStyle name="Total 5 2 6 3 4" xfId="16952" xr:uid="{00000000-0005-0000-0000-000061710000}"/>
    <cellStyle name="Total 5 2 6 4" xfId="5903" xr:uid="{00000000-0005-0000-0000-000062710000}"/>
    <cellStyle name="Total 5 2 6 5" xfId="5908" xr:uid="{00000000-0005-0000-0000-000063710000}"/>
    <cellStyle name="Total 5 2 6 6" xfId="5014" xr:uid="{00000000-0005-0000-0000-000064710000}"/>
    <cellStyle name="Total 5 2 7" xfId="30184" xr:uid="{00000000-0005-0000-0000-000065710000}"/>
    <cellStyle name="Total 5 2 7 2" xfId="30185" xr:uid="{00000000-0005-0000-0000-000066710000}"/>
    <cellStyle name="Total 5 2 7 2 2" xfId="12758" xr:uid="{00000000-0005-0000-0000-000067710000}"/>
    <cellStyle name="Total 5 2 7 2 3" xfId="12764" xr:uid="{00000000-0005-0000-0000-000068710000}"/>
    <cellStyle name="Total 5 2 7 2 4" xfId="12771" xr:uid="{00000000-0005-0000-0000-000069710000}"/>
    <cellStyle name="Total 5 2 7 3" xfId="30186" xr:uid="{00000000-0005-0000-0000-00006A710000}"/>
    <cellStyle name="Total 5 2 7 4" xfId="5944" xr:uid="{00000000-0005-0000-0000-00006B710000}"/>
    <cellStyle name="Total 5 2 7 5" xfId="7467" xr:uid="{00000000-0005-0000-0000-00006C710000}"/>
    <cellStyle name="Total 5 2 8" xfId="30187" xr:uid="{00000000-0005-0000-0000-00006D710000}"/>
    <cellStyle name="Total 5 2 8 2" xfId="1077" xr:uid="{00000000-0005-0000-0000-00006E710000}"/>
    <cellStyle name="Total 5 2 8 3" xfId="1085" xr:uid="{00000000-0005-0000-0000-00006F710000}"/>
    <cellStyle name="Total 5 2 8 4" xfId="1151" xr:uid="{00000000-0005-0000-0000-000070710000}"/>
    <cellStyle name="Total 5 2 9" xfId="20881" xr:uid="{00000000-0005-0000-0000-000071710000}"/>
    <cellStyle name="Total 5 3" xfId="15346" xr:uid="{00000000-0005-0000-0000-000072710000}"/>
    <cellStyle name="Total 5 3 2" xfId="6449" xr:uid="{00000000-0005-0000-0000-000073710000}"/>
    <cellStyle name="Total 5 3 2 2" xfId="30188" xr:uid="{00000000-0005-0000-0000-000074710000}"/>
    <cellStyle name="Total 5 3 2 2 2" xfId="30189" xr:uid="{00000000-0005-0000-0000-000075710000}"/>
    <cellStyle name="Total 5 3 2 2 2 2" xfId="26240" xr:uid="{00000000-0005-0000-0000-000076710000}"/>
    <cellStyle name="Total 5 3 2 2 2 2 2" xfId="30190" xr:uid="{00000000-0005-0000-0000-000077710000}"/>
    <cellStyle name="Total 5 3 2 2 2 2 2 2" xfId="8898" xr:uid="{00000000-0005-0000-0000-000078710000}"/>
    <cellStyle name="Total 5 3 2 2 2 2 2 3" xfId="30191" xr:uid="{00000000-0005-0000-0000-000079710000}"/>
    <cellStyle name="Total 5 3 2 2 2 2 2 4" xfId="30192" xr:uid="{00000000-0005-0000-0000-00007A710000}"/>
    <cellStyle name="Total 5 3 2 2 2 2 3" xfId="30193" xr:uid="{00000000-0005-0000-0000-00007B710000}"/>
    <cellStyle name="Total 5 3 2 2 2 2 4" xfId="30194" xr:uid="{00000000-0005-0000-0000-00007C710000}"/>
    <cellStyle name="Total 5 3 2 2 2 2 5" xfId="30195" xr:uid="{00000000-0005-0000-0000-00007D710000}"/>
    <cellStyle name="Total 5 3 2 2 2 3" xfId="30196" xr:uid="{00000000-0005-0000-0000-00007E710000}"/>
    <cellStyle name="Total 5 3 2 2 2 3 2" xfId="30197" xr:uid="{00000000-0005-0000-0000-00007F710000}"/>
    <cellStyle name="Total 5 3 2 2 2 3 3" xfId="30031" xr:uid="{00000000-0005-0000-0000-000080710000}"/>
    <cellStyle name="Total 5 3 2 2 2 3 4" xfId="12145" xr:uid="{00000000-0005-0000-0000-000081710000}"/>
    <cellStyle name="Total 5 3 2 2 2 4" xfId="30198" xr:uid="{00000000-0005-0000-0000-000082710000}"/>
    <cellStyle name="Total 5 3 2 2 2 5" xfId="30199" xr:uid="{00000000-0005-0000-0000-000083710000}"/>
    <cellStyle name="Total 5 3 2 2 2 6" xfId="30201" xr:uid="{00000000-0005-0000-0000-000084710000}"/>
    <cellStyle name="Total 5 3 2 2 3" xfId="30202" xr:uid="{00000000-0005-0000-0000-000085710000}"/>
    <cellStyle name="Total 5 3 2 2 3 2" xfId="27476" xr:uid="{00000000-0005-0000-0000-000086710000}"/>
    <cellStyle name="Total 5 3 2 2 3 2 2" xfId="30203" xr:uid="{00000000-0005-0000-0000-000087710000}"/>
    <cellStyle name="Total 5 3 2 2 3 2 3" xfId="30204" xr:uid="{00000000-0005-0000-0000-000088710000}"/>
    <cellStyle name="Total 5 3 2 2 3 2 4" xfId="30205" xr:uid="{00000000-0005-0000-0000-000089710000}"/>
    <cellStyle name="Total 5 3 2 2 3 3" xfId="27478" xr:uid="{00000000-0005-0000-0000-00008A710000}"/>
    <cellStyle name="Total 5 3 2 2 3 4" xfId="30206" xr:uid="{00000000-0005-0000-0000-00008B710000}"/>
    <cellStyle name="Total 5 3 2 2 3 5" xfId="30207" xr:uid="{00000000-0005-0000-0000-00008C710000}"/>
    <cellStyle name="Total 5 3 2 2 4" xfId="30208" xr:uid="{00000000-0005-0000-0000-00008D710000}"/>
    <cellStyle name="Total 5 3 2 2 4 2" xfId="27482" xr:uid="{00000000-0005-0000-0000-00008E710000}"/>
    <cellStyle name="Total 5 3 2 2 4 3" xfId="30209" xr:uid="{00000000-0005-0000-0000-00008F710000}"/>
    <cellStyle name="Total 5 3 2 2 4 4" xfId="30210" xr:uid="{00000000-0005-0000-0000-000090710000}"/>
    <cellStyle name="Total 5 3 2 2 5" xfId="30211" xr:uid="{00000000-0005-0000-0000-000091710000}"/>
    <cellStyle name="Total 5 3 2 2 6" xfId="30212" xr:uid="{00000000-0005-0000-0000-000092710000}"/>
    <cellStyle name="Total 5 3 2 2 7" xfId="30213" xr:uid="{00000000-0005-0000-0000-000093710000}"/>
    <cellStyle name="Total 5 3 2 3" xfId="30214" xr:uid="{00000000-0005-0000-0000-000094710000}"/>
    <cellStyle name="Total 5 3 2 3 2" xfId="30215" xr:uid="{00000000-0005-0000-0000-000095710000}"/>
    <cellStyle name="Total 5 3 2 3 2 2" xfId="30216" xr:uid="{00000000-0005-0000-0000-000096710000}"/>
    <cellStyle name="Total 5 3 2 3 2 2 2" xfId="30217" xr:uid="{00000000-0005-0000-0000-000097710000}"/>
    <cellStyle name="Total 5 3 2 3 2 2 3" xfId="30218" xr:uid="{00000000-0005-0000-0000-000098710000}"/>
    <cellStyle name="Total 5 3 2 3 2 2 4" xfId="18851" xr:uid="{00000000-0005-0000-0000-000099710000}"/>
    <cellStyle name="Total 5 3 2 3 2 3" xfId="1697" xr:uid="{00000000-0005-0000-0000-00009A710000}"/>
    <cellStyle name="Total 5 3 2 3 2 4" xfId="9992" xr:uid="{00000000-0005-0000-0000-00009B710000}"/>
    <cellStyle name="Total 5 3 2 3 2 5" xfId="9999" xr:uid="{00000000-0005-0000-0000-00009C710000}"/>
    <cellStyle name="Total 5 3 2 3 3" xfId="30219" xr:uid="{00000000-0005-0000-0000-00009D710000}"/>
    <cellStyle name="Total 5 3 2 3 3 2" xfId="27494" xr:uid="{00000000-0005-0000-0000-00009E710000}"/>
    <cellStyle name="Total 5 3 2 3 3 3" xfId="4519" xr:uid="{00000000-0005-0000-0000-00009F710000}"/>
    <cellStyle name="Total 5 3 2 3 3 4" xfId="4587" xr:uid="{00000000-0005-0000-0000-0000A0710000}"/>
    <cellStyle name="Total 5 3 2 3 4" xfId="30220" xr:uid="{00000000-0005-0000-0000-0000A1710000}"/>
    <cellStyle name="Total 5 3 2 3 5" xfId="30221" xr:uid="{00000000-0005-0000-0000-0000A2710000}"/>
    <cellStyle name="Total 5 3 2 3 6" xfId="30222" xr:uid="{00000000-0005-0000-0000-0000A3710000}"/>
    <cellStyle name="Total 5 3 2 4" xfId="30223" xr:uid="{00000000-0005-0000-0000-0000A4710000}"/>
    <cellStyle name="Total 5 3 2 4 2" xfId="12093" xr:uid="{00000000-0005-0000-0000-0000A5710000}"/>
    <cellStyle name="Total 5 3 2 4 2 2" xfId="22211" xr:uid="{00000000-0005-0000-0000-0000A6710000}"/>
    <cellStyle name="Total 5 3 2 4 2 3" xfId="10085" xr:uid="{00000000-0005-0000-0000-0000A7710000}"/>
    <cellStyle name="Total 5 3 2 4 2 4" xfId="10095" xr:uid="{00000000-0005-0000-0000-0000A8710000}"/>
    <cellStyle name="Total 5 3 2 4 3" xfId="20405" xr:uid="{00000000-0005-0000-0000-0000A9710000}"/>
    <cellStyle name="Total 5 3 2 4 4" xfId="30224" xr:uid="{00000000-0005-0000-0000-0000AA710000}"/>
    <cellStyle name="Total 5 3 2 4 5" xfId="30225" xr:uid="{00000000-0005-0000-0000-0000AB710000}"/>
    <cellStyle name="Total 5 3 2 5" xfId="30226" xr:uid="{00000000-0005-0000-0000-0000AC710000}"/>
    <cellStyle name="Total 5 3 2 5 2" xfId="20409" xr:uid="{00000000-0005-0000-0000-0000AD710000}"/>
    <cellStyle name="Total 5 3 2 5 3" xfId="30227" xr:uid="{00000000-0005-0000-0000-0000AE710000}"/>
    <cellStyle name="Total 5 3 2 5 4" xfId="30228" xr:uid="{00000000-0005-0000-0000-0000AF710000}"/>
    <cellStyle name="Total 5 3 2 6" xfId="30229" xr:uid="{00000000-0005-0000-0000-0000B0710000}"/>
    <cellStyle name="Total 5 3 2 7" xfId="30230" xr:uid="{00000000-0005-0000-0000-0000B1710000}"/>
    <cellStyle name="Total 5 3 2 8" xfId="30231" xr:uid="{00000000-0005-0000-0000-0000B2710000}"/>
    <cellStyle name="Total 5 3 3" xfId="10234" xr:uid="{00000000-0005-0000-0000-0000B3710000}"/>
    <cellStyle name="Total 5 3 3 2" xfId="30232" xr:uid="{00000000-0005-0000-0000-0000B4710000}"/>
    <cellStyle name="Total 5 3 3 2 2" xfId="30233" xr:uid="{00000000-0005-0000-0000-0000B5710000}"/>
    <cellStyle name="Total 5 3 3 2 2 2" xfId="26366" xr:uid="{00000000-0005-0000-0000-0000B6710000}"/>
    <cellStyle name="Total 5 3 3 2 2 2 2" xfId="23894" xr:uid="{00000000-0005-0000-0000-0000B7710000}"/>
    <cellStyle name="Total 5 3 3 2 2 2 3" xfId="23897" xr:uid="{00000000-0005-0000-0000-0000B8710000}"/>
    <cellStyle name="Total 5 3 3 2 2 2 4" xfId="23900" xr:uid="{00000000-0005-0000-0000-0000B9710000}"/>
    <cellStyle name="Total 5 3 3 2 2 3" xfId="26368" xr:uid="{00000000-0005-0000-0000-0000BA710000}"/>
    <cellStyle name="Total 5 3 3 2 2 4" xfId="26370" xr:uid="{00000000-0005-0000-0000-0000BB710000}"/>
    <cellStyle name="Total 5 3 3 2 2 5" xfId="26372" xr:uid="{00000000-0005-0000-0000-0000BC710000}"/>
    <cellStyle name="Total 5 3 3 2 3" xfId="30234" xr:uid="{00000000-0005-0000-0000-0000BD710000}"/>
    <cellStyle name="Total 5 3 3 2 3 2" xfId="26377" xr:uid="{00000000-0005-0000-0000-0000BE710000}"/>
    <cellStyle name="Total 5 3 3 2 3 3" xfId="26380" xr:uid="{00000000-0005-0000-0000-0000BF710000}"/>
    <cellStyle name="Total 5 3 3 2 3 4" xfId="26382" xr:uid="{00000000-0005-0000-0000-0000C0710000}"/>
    <cellStyle name="Total 5 3 3 2 4" xfId="30235" xr:uid="{00000000-0005-0000-0000-0000C1710000}"/>
    <cellStyle name="Total 5 3 3 2 5" xfId="30236" xr:uid="{00000000-0005-0000-0000-0000C2710000}"/>
    <cellStyle name="Total 5 3 3 2 6" xfId="30237" xr:uid="{00000000-0005-0000-0000-0000C3710000}"/>
    <cellStyle name="Total 5 3 3 3" xfId="30238" xr:uid="{00000000-0005-0000-0000-0000C4710000}"/>
    <cellStyle name="Total 5 3 3 3 2" xfId="30239" xr:uid="{00000000-0005-0000-0000-0000C5710000}"/>
    <cellStyle name="Total 5 3 3 3 2 2" xfId="26416" xr:uid="{00000000-0005-0000-0000-0000C6710000}"/>
    <cellStyle name="Total 5 3 3 3 2 3" xfId="10266" xr:uid="{00000000-0005-0000-0000-0000C7710000}"/>
    <cellStyle name="Total 5 3 3 3 2 4" xfId="10743" xr:uid="{00000000-0005-0000-0000-0000C8710000}"/>
    <cellStyle name="Total 5 3 3 3 3" xfId="30240" xr:uid="{00000000-0005-0000-0000-0000C9710000}"/>
    <cellStyle name="Total 5 3 3 3 4" xfId="30241" xr:uid="{00000000-0005-0000-0000-0000CA710000}"/>
    <cellStyle name="Total 5 3 3 3 5" xfId="30242" xr:uid="{00000000-0005-0000-0000-0000CB710000}"/>
    <cellStyle name="Total 5 3 3 4" xfId="30243" xr:uid="{00000000-0005-0000-0000-0000CC710000}"/>
    <cellStyle name="Total 5 3 3 4 2" xfId="12673" xr:uid="{00000000-0005-0000-0000-0000CD710000}"/>
    <cellStyle name="Total 5 3 3 4 3" xfId="30244" xr:uid="{00000000-0005-0000-0000-0000CE710000}"/>
    <cellStyle name="Total 5 3 3 4 4" xfId="30245" xr:uid="{00000000-0005-0000-0000-0000CF710000}"/>
    <cellStyle name="Total 5 3 3 5" xfId="30246" xr:uid="{00000000-0005-0000-0000-0000D0710000}"/>
    <cellStyle name="Total 5 3 3 6" xfId="30247" xr:uid="{00000000-0005-0000-0000-0000D1710000}"/>
    <cellStyle name="Total 5 3 3 7" xfId="30248" xr:uid="{00000000-0005-0000-0000-0000D2710000}"/>
    <cellStyle name="Total 5 3 4" xfId="11714" xr:uid="{00000000-0005-0000-0000-0000D3710000}"/>
    <cellStyle name="Total 5 3 4 2" xfId="30249" xr:uid="{00000000-0005-0000-0000-0000D4710000}"/>
    <cellStyle name="Total 5 3 4 2 2" xfId="30250" xr:uid="{00000000-0005-0000-0000-0000D5710000}"/>
    <cellStyle name="Total 5 3 4 2 2 2" xfId="9305" xr:uid="{00000000-0005-0000-0000-0000D6710000}"/>
    <cellStyle name="Total 5 3 4 2 2 3" xfId="45" xr:uid="{00000000-0005-0000-0000-0000D7710000}"/>
    <cellStyle name="Total 5 3 4 2 2 4" xfId="26557" xr:uid="{00000000-0005-0000-0000-0000D8710000}"/>
    <cellStyle name="Total 5 3 4 2 3" xfId="30251" xr:uid="{00000000-0005-0000-0000-0000D9710000}"/>
    <cellStyle name="Total 5 3 4 2 4" xfId="30252" xr:uid="{00000000-0005-0000-0000-0000DA710000}"/>
    <cellStyle name="Total 5 3 4 2 5" xfId="30253" xr:uid="{00000000-0005-0000-0000-0000DB710000}"/>
    <cellStyle name="Total 5 3 4 3" xfId="30254" xr:uid="{00000000-0005-0000-0000-0000DC710000}"/>
    <cellStyle name="Total 5 3 4 3 2" xfId="26737" xr:uid="{00000000-0005-0000-0000-0000DD710000}"/>
    <cellStyle name="Total 5 3 4 3 3" xfId="26741" xr:uid="{00000000-0005-0000-0000-0000DE710000}"/>
    <cellStyle name="Total 5 3 4 3 4" xfId="26744" xr:uid="{00000000-0005-0000-0000-0000DF710000}"/>
    <cellStyle name="Total 5 3 4 4" xfId="30255" xr:uid="{00000000-0005-0000-0000-0000E0710000}"/>
    <cellStyle name="Total 5 3 4 5" xfId="30256" xr:uid="{00000000-0005-0000-0000-0000E1710000}"/>
    <cellStyle name="Total 5 3 4 6" xfId="30257" xr:uid="{00000000-0005-0000-0000-0000E2710000}"/>
    <cellStyle name="Total 5 3 5" xfId="30259" xr:uid="{00000000-0005-0000-0000-0000E3710000}"/>
    <cellStyle name="Total 5 3 5 2" xfId="30260" xr:uid="{00000000-0005-0000-0000-0000E4710000}"/>
    <cellStyle name="Total 5 3 5 2 2" xfId="30261" xr:uid="{00000000-0005-0000-0000-0000E5710000}"/>
    <cellStyle name="Total 5 3 5 2 3" xfId="30262" xr:uid="{00000000-0005-0000-0000-0000E6710000}"/>
    <cellStyle name="Total 5 3 5 2 4" xfId="30263" xr:uid="{00000000-0005-0000-0000-0000E7710000}"/>
    <cellStyle name="Total 5 3 5 3" xfId="30264" xr:uid="{00000000-0005-0000-0000-0000E8710000}"/>
    <cellStyle name="Total 5 3 5 4" xfId="30265" xr:uid="{00000000-0005-0000-0000-0000E9710000}"/>
    <cellStyle name="Total 5 3 5 5" xfId="30266" xr:uid="{00000000-0005-0000-0000-0000EA710000}"/>
    <cellStyle name="Total 5 3 6" xfId="30267" xr:uid="{00000000-0005-0000-0000-0000EB710000}"/>
    <cellStyle name="Total 5 3 6 2" xfId="30268" xr:uid="{00000000-0005-0000-0000-0000EC710000}"/>
    <cellStyle name="Total 5 3 6 3" xfId="30269" xr:uid="{00000000-0005-0000-0000-0000ED710000}"/>
    <cellStyle name="Total 5 3 6 4" xfId="6070" xr:uid="{00000000-0005-0000-0000-0000EE710000}"/>
    <cellStyle name="Total 5 3 7" xfId="30270" xr:uid="{00000000-0005-0000-0000-0000EF710000}"/>
    <cellStyle name="Total 5 3 8" xfId="30271" xr:uid="{00000000-0005-0000-0000-0000F0710000}"/>
    <cellStyle name="Total 5 3 9" xfId="30272" xr:uid="{00000000-0005-0000-0000-0000F1710000}"/>
    <cellStyle name="Total 5 4" xfId="15348" xr:uid="{00000000-0005-0000-0000-0000F2710000}"/>
    <cellStyle name="Total 5 4 2" xfId="10245" xr:uid="{00000000-0005-0000-0000-0000F3710000}"/>
    <cellStyle name="Total 5 4 2 2" xfId="30273" xr:uid="{00000000-0005-0000-0000-0000F4710000}"/>
    <cellStyle name="Total 5 4 2 2 2" xfId="30274" xr:uid="{00000000-0005-0000-0000-0000F5710000}"/>
    <cellStyle name="Total 5 4 2 2 2 2" xfId="30275" xr:uid="{00000000-0005-0000-0000-0000F6710000}"/>
    <cellStyle name="Total 5 4 2 2 2 2 2" xfId="1878" xr:uid="{00000000-0005-0000-0000-0000F7710000}"/>
    <cellStyle name="Total 5 4 2 2 2 2 2 2" xfId="30276" xr:uid="{00000000-0005-0000-0000-0000F8710000}"/>
    <cellStyle name="Total 5 4 2 2 2 2 2 3" xfId="30277" xr:uid="{00000000-0005-0000-0000-0000F9710000}"/>
    <cellStyle name="Total 5 4 2 2 2 2 2 4" xfId="30278" xr:uid="{00000000-0005-0000-0000-0000FA710000}"/>
    <cellStyle name="Total 5 4 2 2 2 2 3" xfId="30279" xr:uid="{00000000-0005-0000-0000-0000FB710000}"/>
    <cellStyle name="Total 5 4 2 2 2 2 4" xfId="30280" xr:uid="{00000000-0005-0000-0000-0000FC710000}"/>
    <cellStyle name="Total 5 4 2 2 2 2 5" xfId="30281" xr:uid="{00000000-0005-0000-0000-0000FD710000}"/>
    <cellStyle name="Total 5 4 2 2 2 3" xfId="30282" xr:uid="{00000000-0005-0000-0000-0000FE710000}"/>
    <cellStyle name="Total 5 4 2 2 2 3 2" xfId="30283" xr:uid="{00000000-0005-0000-0000-0000FF710000}"/>
    <cellStyle name="Total 5 4 2 2 2 3 3" xfId="30099" xr:uid="{00000000-0005-0000-0000-000000720000}"/>
    <cellStyle name="Total 5 4 2 2 2 3 4" xfId="16296" xr:uid="{00000000-0005-0000-0000-000001720000}"/>
    <cellStyle name="Total 5 4 2 2 2 4" xfId="30284" xr:uid="{00000000-0005-0000-0000-000002720000}"/>
    <cellStyle name="Total 5 4 2 2 2 5" xfId="30285" xr:uid="{00000000-0005-0000-0000-000003720000}"/>
    <cellStyle name="Total 5 4 2 2 2 6" xfId="30287" xr:uid="{00000000-0005-0000-0000-000004720000}"/>
    <cellStyle name="Total 5 4 2 2 3" xfId="7646" xr:uid="{00000000-0005-0000-0000-000005720000}"/>
    <cellStyle name="Total 5 4 2 2 3 2" xfId="30288" xr:uid="{00000000-0005-0000-0000-000006720000}"/>
    <cellStyle name="Total 5 4 2 2 3 2 2" xfId="28015" xr:uid="{00000000-0005-0000-0000-000007720000}"/>
    <cellStyle name="Total 5 4 2 2 3 2 3" xfId="30289" xr:uid="{00000000-0005-0000-0000-000008720000}"/>
    <cellStyle name="Total 5 4 2 2 3 2 4" xfId="30290" xr:uid="{00000000-0005-0000-0000-000009720000}"/>
    <cellStyle name="Total 5 4 2 2 3 3" xfId="30291" xr:uid="{00000000-0005-0000-0000-00000A720000}"/>
    <cellStyle name="Total 5 4 2 2 3 4" xfId="30292" xr:uid="{00000000-0005-0000-0000-00000B720000}"/>
    <cellStyle name="Total 5 4 2 2 3 5" xfId="30293" xr:uid="{00000000-0005-0000-0000-00000C720000}"/>
    <cellStyle name="Total 5 4 2 2 4" xfId="7648" xr:uid="{00000000-0005-0000-0000-00000D720000}"/>
    <cellStyle name="Total 5 4 2 2 4 2" xfId="30294" xr:uid="{00000000-0005-0000-0000-00000E720000}"/>
    <cellStyle name="Total 5 4 2 2 4 3" xfId="30295" xr:uid="{00000000-0005-0000-0000-00000F720000}"/>
    <cellStyle name="Total 5 4 2 2 4 4" xfId="30296" xr:uid="{00000000-0005-0000-0000-000010720000}"/>
    <cellStyle name="Total 5 4 2 2 5" xfId="7650" xr:uid="{00000000-0005-0000-0000-000011720000}"/>
    <cellStyle name="Total 5 4 2 2 6" xfId="30297" xr:uid="{00000000-0005-0000-0000-000012720000}"/>
    <cellStyle name="Total 5 4 2 2 7" xfId="30298" xr:uid="{00000000-0005-0000-0000-000013720000}"/>
    <cellStyle name="Total 5 4 2 3" xfId="30299" xr:uid="{00000000-0005-0000-0000-000014720000}"/>
    <cellStyle name="Total 5 4 2 3 2" xfId="30300" xr:uid="{00000000-0005-0000-0000-000015720000}"/>
    <cellStyle name="Total 5 4 2 3 2 2" xfId="29595" xr:uid="{00000000-0005-0000-0000-000016720000}"/>
    <cellStyle name="Total 5 4 2 3 2 2 2" xfId="9749" xr:uid="{00000000-0005-0000-0000-000017720000}"/>
    <cellStyle name="Total 5 4 2 3 2 2 3" xfId="30301" xr:uid="{00000000-0005-0000-0000-000018720000}"/>
    <cellStyle name="Total 5 4 2 3 2 2 4" xfId="30302" xr:uid="{00000000-0005-0000-0000-000019720000}"/>
    <cellStyle name="Total 5 4 2 3 2 3" xfId="11071" xr:uid="{00000000-0005-0000-0000-00001A720000}"/>
    <cellStyle name="Total 5 4 2 3 2 4" xfId="11083" xr:uid="{00000000-0005-0000-0000-00001B720000}"/>
    <cellStyle name="Total 5 4 2 3 2 5" xfId="11092" xr:uid="{00000000-0005-0000-0000-00001C720000}"/>
    <cellStyle name="Total 5 4 2 3 3" xfId="30303" xr:uid="{00000000-0005-0000-0000-00001D720000}"/>
    <cellStyle name="Total 5 4 2 3 3 2" xfId="30304" xr:uid="{00000000-0005-0000-0000-00001E720000}"/>
    <cellStyle name="Total 5 4 2 3 3 3" xfId="6711" xr:uid="{00000000-0005-0000-0000-00001F720000}"/>
    <cellStyle name="Total 5 4 2 3 3 4" xfId="6772" xr:uid="{00000000-0005-0000-0000-000020720000}"/>
    <cellStyle name="Total 5 4 2 3 4" xfId="30305" xr:uid="{00000000-0005-0000-0000-000021720000}"/>
    <cellStyle name="Total 5 4 2 3 5" xfId="30306" xr:uid="{00000000-0005-0000-0000-000022720000}"/>
    <cellStyle name="Total 5 4 2 3 6" xfId="30307" xr:uid="{00000000-0005-0000-0000-000023720000}"/>
    <cellStyle name="Total 5 4 2 4" xfId="30308" xr:uid="{00000000-0005-0000-0000-000024720000}"/>
    <cellStyle name="Total 5 4 2 4 2" xfId="6918" xr:uid="{00000000-0005-0000-0000-000025720000}"/>
    <cellStyle name="Total 5 4 2 4 2 2" xfId="22925" xr:uid="{00000000-0005-0000-0000-000026720000}"/>
    <cellStyle name="Total 5 4 2 4 2 3" xfId="2055" xr:uid="{00000000-0005-0000-0000-000027720000}"/>
    <cellStyle name="Total 5 4 2 4 2 4" xfId="11258" xr:uid="{00000000-0005-0000-0000-000028720000}"/>
    <cellStyle name="Total 5 4 2 4 3" xfId="30309" xr:uid="{00000000-0005-0000-0000-000029720000}"/>
    <cellStyle name="Total 5 4 2 4 4" xfId="30310" xr:uid="{00000000-0005-0000-0000-00002A720000}"/>
    <cellStyle name="Total 5 4 2 4 5" xfId="30311" xr:uid="{00000000-0005-0000-0000-00002B720000}"/>
    <cellStyle name="Total 5 4 2 5" xfId="30312" xr:uid="{00000000-0005-0000-0000-00002C720000}"/>
    <cellStyle name="Total 5 4 2 5 2" xfId="30313" xr:uid="{00000000-0005-0000-0000-00002D720000}"/>
    <cellStyle name="Total 5 4 2 5 3" xfId="30314" xr:uid="{00000000-0005-0000-0000-00002E720000}"/>
    <cellStyle name="Total 5 4 2 5 4" xfId="30315" xr:uid="{00000000-0005-0000-0000-00002F720000}"/>
    <cellStyle name="Total 5 4 2 6" xfId="3569" xr:uid="{00000000-0005-0000-0000-000030720000}"/>
    <cellStyle name="Total 5 4 2 7" xfId="6923" xr:uid="{00000000-0005-0000-0000-000031720000}"/>
    <cellStyle name="Total 5 4 2 8" xfId="8195" xr:uid="{00000000-0005-0000-0000-000032720000}"/>
    <cellStyle name="Total 5 4 3" xfId="11728" xr:uid="{00000000-0005-0000-0000-000033720000}"/>
    <cellStyle name="Total 5 4 3 2" xfId="30316" xr:uid="{00000000-0005-0000-0000-000034720000}"/>
    <cellStyle name="Total 5 4 3 2 2" xfId="30317" xr:uid="{00000000-0005-0000-0000-000035720000}"/>
    <cellStyle name="Total 5 4 3 2 2 2" xfId="30318" xr:uid="{00000000-0005-0000-0000-000036720000}"/>
    <cellStyle name="Total 5 4 3 2 2 2 2" xfId="11553" xr:uid="{00000000-0005-0000-0000-000037720000}"/>
    <cellStyle name="Total 5 4 3 2 2 2 3" xfId="18937" xr:uid="{00000000-0005-0000-0000-000038720000}"/>
    <cellStyle name="Total 5 4 3 2 2 2 4" xfId="30319" xr:uid="{00000000-0005-0000-0000-000039720000}"/>
    <cellStyle name="Total 5 4 3 2 2 3" xfId="30320" xr:uid="{00000000-0005-0000-0000-00003A720000}"/>
    <cellStyle name="Total 5 4 3 2 2 4" xfId="30321" xr:uid="{00000000-0005-0000-0000-00003B720000}"/>
    <cellStyle name="Total 5 4 3 2 2 5" xfId="30322" xr:uid="{00000000-0005-0000-0000-00003C720000}"/>
    <cellStyle name="Total 5 4 3 2 3" xfId="30323" xr:uid="{00000000-0005-0000-0000-00003D720000}"/>
    <cellStyle name="Total 5 4 3 2 3 2" xfId="30324" xr:uid="{00000000-0005-0000-0000-00003E720000}"/>
    <cellStyle name="Total 5 4 3 2 3 3" xfId="30325" xr:uid="{00000000-0005-0000-0000-00003F720000}"/>
    <cellStyle name="Total 5 4 3 2 3 4" xfId="30326" xr:uid="{00000000-0005-0000-0000-000040720000}"/>
    <cellStyle name="Total 5 4 3 2 4" xfId="30327" xr:uid="{00000000-0005-0000-0000-000041720000}"/>
    <cellStyle name="Total 5 4 3 2 5" xfId="30328" xr:uid="{00000000-0005-0000-0000-000042720000}"/>
    <cellStyle name="Total 5 4 3 2 6" xfId="30329" xr:uid="{00000000-0005-0000-0000-000043720000}"/>
    <cellStyle name="Total 5 4 3 3" xfId="30330" xr:uid="{00000000-0005-0000-0000-000044720000}"/>
    <cellStyle name="Total 5 4 3 3 2" xfId="30331" xr:uid="{00000000-0005-0000-0000-000045720000}"/>
    <cellStyle name="Total 5 4 3 3 2 2" xfId="30332" xr:uid="{00000000-0005-0000-0000-000046720000}"/>
    <cellStyle name="Total 5 4 3 3 2 3" xfId="11415" xr:uid="{00000000-0005-0000-0000-000047720000}"/>
    <cellStyle name="Total 5 4 3 3 2 4" xfId="11423" xr:uid="{00000000-0005-0000-0000-000048720000}"/>
    <cellStyle name="Total 5 4 3 3 3" xfId="30333" xr:uid="{00000000-0005-0000-0000-000049720000}"/>
    <cellStyle name="Total 5 4 3 3 4" xfId="30334" xr:uid="{00000000-0005-0000-0000-00004A720000}"/>
    <cellStyle name="Total 5 4 3 3 5" xfId="30335" xr:uid="{00000000-0005-0000-0000-00004B720000}"/>
    <cellStyle name="Total 5 4 3 4" xfId="30336" xr:uid="{00000000-0005-0000-0000-00004C720000}"/>
    <cellStyle name="Total 5 4 3 4 2" xfId="30337" xr:uid="{00000000-0005-0000-0000-00004D720000}"/>
    <cellStyle name="Total 5 4 3 4 3" xfId="30338" xr:uid="{00000000-0005-0000-0000-00004E720000}"/>
    <cellStyle name="Total 5 4 3 4 4" xfId="30339" xr:uid="{00000000-0005-0000-0000-00004F720000}"/>
    <cellStyle name="Total 5 4 3 5" xfId="30340" xr:uid="{00000000-0005-0000-0000-000050720000}"/>
    <cellStyle name="Total 5 4 3 6" xfId="30341" xr:uid="{00000000-0005-0000-0000-000051720000}"/>
    <cellStyle name="Total 5 4 3 7" xfId="30342" xr:uid="{00000000-0005-0000-0000-000052720000}"/>
    <cellStyle name="Total 5 4 4" xfId="30343" xr:uid="{00000000-0005-0000-0000-000053720000}"/>
    <cellStyle name="Total 5 4 4 2" xfId="24425" xr:uid="{00000000-0005-0000-0000-000054720000}"/>
    <cellStyle name="Total 5 4 4 2 2" xfId="30344" xr:uid="{00000000-0005-0000-0000-000055720000}"/>
    <cellStyle name="Total 5 4 4 2 2 2" xfId="29681" xr:uid="{00000000-0005-0000-0000-000056720000}"/>
    <cellStyle name="Total 5 4 4 2 2 3" xfId="30345" xr:uid="{00000000-0005-0000-0000-000057720000}"/>
    <cellStyle name="Total 5 4 4 2 2 4" xfId="30346" xr:uid="{00000000-0005-0000-0000-000058720000}"/>
    <cellStyle name="Total 5 4 4 2 3" xfId="30347" xr:uid="{00000000-0005-0000-0000-000059720000}"/>
    <cellStyle name="Total 5 4 4 2 4" xfId="30348" xr:uid="{00000000-0005-0000-0000-00005A720000}"/>
    <cellStyle name="Total 5 4 4 2 5" xfId="30349" xr:uid="{00000000-0005-0000-0000-00005B720000}"/>
    <cellStyle name="Total 5 4 4 3" xfId="30350" xr:uid="{00000000-0005-0000-0000-00005C720000}"/>
    <cellStyle name="Total 5 4 4 3 2" xfId="27330" xr:uid="{00000000-0005-0000-0000-00005D720000}"/>
    <cellStyle name="Total 5 4 4 3 3" xfId="27345" xr:uid="{00000000-0005-0000-0000-00005E720000}"/>
    <cellStyle name="Total 5 4 4 3 4" xfId="27359" xr:uid="{00000000-0005-0000-0000-00005F720000}"/>
    <cellStyle name="Total 5 4 4 4" xfId="30351" xr:uid="{00000000-0005-0000-0000-000060720000}"/>
    <cellStyle name="Total 5 4 4 5" xfId="30353" xr:uid="{00000000-0005-0000-0000-000061720000}"/>
    <cellStyle name="Total 5 4 4 6" xfId="30355" xr:uid="{00000000-0005-0000-0000-000062720000}"/>
    <cellStyle name="Total 5 4 5" xfId="24067" xr:uid="{00000000-0005-0000-0000-000063720000}"/>
    <cellStyle name="Total 5 4 5 2" xfId="30356" xr:uid="{00000000-0005-0000-0000-000064720000}"/>
    <cellStyle name="Total 5 4 5 2 2" xfId="30357" xr:uid="{00000000-0005-0000-0000-000065720000}"/>
    <cellStyle name="Total 5 4 5 2 3" xfId="30358" xr:uid="{00000000-0005-0000-0000-000066720000}"/>
    <cellStyle name="Total 5 4 5 2 4" xfId="30359" xr:uid="{00000000-0005-0000-0000-000067720000}"/>
    <cellStyle name="Total 5 4 5 3" xfId="30360" xr:uid="{00000000-0005-0000-0000-000068720000}"/>
    <cellStyle name="Total 5 4 5 4" xfId="30361" xr:uid="{00000000-0005-0000-0000-000069720000}"/>
    <cellStyle name="Total 5 4 5 5" xfId="30363" xr:uid="{00000000-0005-0000-0000-00006A720000}"/>
    <cellStyle name="Total 5 4 6" xfId="24069" xr:uid="{00000000-0005-0000-0000-00006B720000}"/>
    <cellStyle name="Total 5 4 6 2" xfId="30364" xr:uid="{00000000-0005-0000-0000-00006C720000}"/>
    <cellStyle name="Total 5 4 6 3" xfId="30365" xr:uid="{00000000-0005-0000-0000-00006D720000}"/>
    <cellStyle name="Total 5 4 6 4" xfId="30366" xr:uid="{00000000-0005-0000-0000-00006E720000}"/>
    <cellStyle name="Total 5 4 7" xfId="20896" xr:uid="{00000000-0005-0000-0000-00006F720000}"/>
    <cellStyle name="Total 5 4 8" xfId="13450" xr:uid="{00000000-0005-0000-0000-000070720000}"/>
    <cellStyle name="Total 5 4 9" xfId="13454" xr:uid="{00000000-0005-0000-0000-000071720000}"/>
    <cellStyle name="Total 5 5" xfId="15351" xr:uid="{00000000-0005-0000-0000-000072720000}"/>
    <cellStyle name="Total 5 5 2" xfId="11733" xr:uid="{00000000-0005-0000-0000-000073720000}"/>
    <cellStyle name="Total 5 5 2 2" xfId="30367" xr:uid="{00000000-0005-0000-0000-000074720000}"/>
    <cellStyle name="Total 5 5 2 2 2" xfId="30368" xr:uid="{00000000-0005-0000-0000-000075720000}"/>
    <cellStyle name="Total 5 5 2 2 2 2" xfId="30369" xr:uid="{00000000-0005-0000-0000-000076720000}"/>
    <cellStyle name="Total 5 5 2 2 2 2 2" xfId="30370" xr:uid="{00000000-0005-0000-0000-000077720000}"/>
    <cellStyle name="Total 5 5 2 2 2 2 3" xfId="4674" xr:uid="{00000000-0005-0000-0000-000078720000}"/>
    <cellStyle name="Total 5 5 2 2 2 2 4" xfId="4692" xr:uid="{00000000-0005-0000-0000-000079720000}"/>
    <cellStyle name="Total 5 5 2 2 2 3" xfId="30371" xr:uid="{00000000-0005-0000-0000-00007A720000}"/>
    <cellStyle name="Total 5 5 2 2 2 4" xfId="28398" xr:uid="{00000000-0005-0000-0000-00007B720000}"/>
    <cellStyle name="Total 5 5 2 2 2 5" xfId="28421" xr:uid="{00000000-0005-0000-0000-00007C720000}"/>
    <cellStyle name="Total 5 5 2 2 3" xfId="30372" xr:uid="{00000000-0005-0000-0000-00007D720000}"/>
    <cellStyle name="Total 5 5 2 2 3 2" xfId="30373" xr:uid="{00000000-0005-0000-0000-00007E720000}"/>
    <cellStyle name="Total 5 5 2 2 3 3" xfId="4777" xr:uid="{00000000-0005-0000-0000-00007F720000}"/>
    <cellStyle name="Total 5 5 2 2 3 4" xfId="297" xr:uid="{00000000-0005-0000-0000-000080720000}"/>
    <cellStyle name="Total 5 5 2 2 4" xfId="30374" xr:uid="{00000000-0005-0000-0000-000081720000}"/>
    <cellStyle name="Total 5 5 2 2 5" xfId="30375" xr:uid="{00000000-0005-0000-0000-000082720000}"/>
    <cellStyle name="Total 5 5 2 2 6" xfId="24136" xr:uid="{00000000-0005-0000-0000-000083720000}"/>
    <cellStyle name="Total 5 5 2 3" xfId="30376" xr:uid="{00000000-0005-0000-0000-000084720000}"/>
    <cellStyle name="Total 5 5 2 3 2" xfId="30377" xr:uid="{00000000-0005-0000-0000-000085720000}"/>
    <cellStyle name="Total 5 5 2 3 2 2" xfId="30378" xr:uid="{00000000-0005-0000-0000-000086720000}"/>
    <cellStyle name="Total 5 5 2 3 2 3" xfId="4902" xr:uid="{00000000-0005-0000-0000-000087720000}"/>
    <cellStyle name="Total 5 5 2 3 2 4" xfId="4921" xr:uid="{00000000-0005-0000-0000-000088720000}"/>
    <cellStyle name="Total 5 5 2 3 3" xfId="30379" xr:uid="{00000000-0005-0000-0000-000089720000}"/>
    <cellStyle name="Total 5 5 2 3 4" xfId="30380" xr:uid="{00000000-0005-0000-0000-00008A720000}"/>
    <cellStyle name="Total 5 5 2 3 5" xfId="30381" xr:uid="{00000000-0005-0000-0000-00008B720000}"/>
    <cellStyle name="Total 5 5 2 4" xfId="30382" xr:uid="{00000000-0005-0000-0000-00008C720000}"/>
    <cellStyle name="Total 5 5 2 4 2" xfId="6229" xr:uid="{00000000-0005-0000-0000-00008D720000}"/>
    <cellStyle name="Total 5 5 2 4 3" xfId="6239" xr:uid="{00000000-0005-0000-0000-00008E720000}"/>
    <cellStyle name="Total 5 5 2 4 4" xfId="10177" xr:uid="{00000000-0005-0000-0000-00008F720000}"/>
    <cellStyle name="Total 5 5 2 5" xfId="30383" xr:uid="{00000000-0005-0000-0000-000090720000}"/>
    <cellStyle name="Total 5 5 2 6" xfId="1847" xr:uid="{00000000-0005-0000-0000-000091720000}"/>
    <cellStyle name="Total 5 5 2 7" xfId="30384" xr:uid="{00000000-0005-0000-0000-000092720000}"/>
    <cellStyle name="Total 5 5 3" xfId="30385" xr:uid="{00000000-0005-0000-0000-000093720000}"/>
    <cellStyle name="Total 5 5 3 2" xfId="30386" xr:uid="{00000000-0005-0000-0000-000094720000}"/>
    <cellStyle name="Total 5 5 3 2 2" xfId="30387" xr:uid="{00000000-0005-0000-0000-000095720000}"/>
    <cellStyle name="Total 5 5 3 2 2 2" xfId="30388" xr:uid="{00000000-0005-0000-0000-000096720000}"/>
    <cellStyle name="Total 5 5 3 2 2 3" xfId="30389" xr:uid="{00000000-0005-0000-0000-000097720000}"/>
    <cellStyle name="Total 5 5 3 2 2 4" xfId="28755" xr:uid="{00000000-0005-0000-0000-000098720000}"/>
    <cellStyle name="Total 5 5 3 2 3" xfId="30390" xr:uid="{00000000-0005-0000-0000-000099720000}"/>
    <cellStyle name="Total 5 5 3 2 4" xfId="30391" xr:uid="{00000000-0005-0000-0000-00009A720000}"/>
    <cellStyle name="Total 5 5 3 2 5" xfId="30392" xr:uid="{00000000-0005-0000-0000-00009B720000}"/>
    <cellStyle name="Total 5 5 3 3" xfId="30393" xr:uid="{00000000-0005-0000-0000-00009C720000}"/>
    <cellStyle name="Total 5 5 3 3 2" xfId="30394" xr:uid="{00000000-0005-0000-0000-00009D720000}"/>
    <cellStyle name="Total 5 5 3 3 3" xfId="30395" xr:uid="{00000000-0005-0000-0000-00009E720000}"/>
    <cellStyle name="Total 5 5 3 3 4" xfId="30396" xr:uid="{00000000-0005-0000-0000-00009F720000}"/>
    <cellStyle name="Total 5 5 3 4" xfId="30397" xr:uid="{00000000-0005-0000-0000-0000A0720000}"/>
    <cellStyle name="Total 5 5 3 5" xfId="30398" xr:uid="{00000000-0005-0000-0000-0000A1720000}"/>
    <cellStyle name="Total 5 5 3 6" xfId="1886" xr:uid="{00000000-0005-0000-0000-0000A2720000}"/>
    <cellStyle name="Total 5 5 4" xfId="30399" xr:uid="{00000000-0005-0000-0000-0000A3720000}"/>
    <cellStyle name="Total 5 5 4 2" xfId="30400" xr:uid="{00000000-0005-0000-0000-0000A4720000}"/>
    <cellStyle name="Total 5 5 4 2 2" xfId="24995" xr:uid="{00000000-0005-0000-0000-0000A5720000}"/>
    <cellStyle name="Total 5 5 4 2 3" xfId="30401" xr:uid="{00000000-0005-0000-0000-0000A6720000}"/>
    <cellStyle name="Total 5 5 4 2 4" xfId="30402" xr:uid="{00000000-0005-0000-0000-0000A7720000}"/>
    <cellStyle name="Total 5 5 4 3" xfId="30403" xr:uid="{00000000-0005-0000-0000-0000A8720000}"/>
    <cellStyle name="Total 5 5 4 4" xfId="30404" xr:uid="{00000000-0005-0000-0000-0000A9720000}"/>
    <cellStyle name="Total 5 5 4 5" xfId="30406" xr:uid="{00000000-0005-0000-0000-0000AA720000}"/>
    <cellStyle name="Total 5 5 5" xfId="30407" xr:uid="{00000000-0005-0000-0000-0000AB720000}"/>
    <cellStyle name="Total 5 5 5 2" xfId="30408" xr:uid="{00000000-0005-0000-0000-0000AC720000}"/>
    <cellStyle name="Total 5 5 5 3" xfId="30409" xr:uid="{00000000-0005-0000-0000-0000AD720000}"/>
    <cellStyle name="Total 5 5 5 4" xfId="30410" xr:uid="{00000000-0005-0000-0000-0000AE720000}"/>
    <cellStyle name="Total 5 5 6" xfId="30411" xr:uid="{00000000-0005-0000-0000-0000AF720000}"/>
    <cellStyle name="Total 5 5 7" xfId="21418" xr:uid="{00000000-0005-0000-0000-0000B0720000}"/>
    <cellStyle name="Total 5 5 8" xfId="21423" xr:uid="{00000000-0005-0000-0000-0000B1720000}"/>
    <cellStyle name="Total 5 6" xfId="28872" xr:uid="{00000000-0005-0000-0000-0000B2720000}"/>
    <cellStyle name="Total 5 6 2" xfId="30412" xr:uid="{00000000-0005-0000-0000-0000B3720000}"/>
    <cellStyle name="Total 5 6 2 2" xfId="30413" xr:uid="{00000000-0005-0000-0000-0000B4720000}"/>
    <cellStyle name="Total 5 6 2 2 2" xfId="26777" xr:uid="{00000000-0005-0000-0000-0000B5720000}"/>
    <cellStyle name="Total 5 6 2 2 2 2" xfId="30414" xr:uid="{00000000-0005-0000-0000-0000B6720000}"/>
    <cellStyle name="Total 5 6 2 2 2 3" xfId="30415" xr:uid="{00000000-0005-0000-0000-0000B7720000}"/>
    <cellStyle name="Total 5 6 2 2 2 4" xfId="30416" xr:uid="{00000000-0005-0000-0000-0000B8720000}"/>
    <cellStyle name="Total 5 6 2 2 3" xfId="26779" xr:uid="{00000000-0005-0000-0000-0000B9720000}"/>
    <cellStyle name="Total 5 6 2 2 4" xfId="22857" xr:uid="{00000000-0005-0000-0000-0000BA720000}"/>
    <cellStyle name="Total 5 6 2 2 5" xfId="22862" xr:uid="{00000000-0005-0000-0000-0000BB720000}"/>
    <cellStyle name="Total 5 6 2 3" xfId="754" xr:uid="{00000000-0005-0000-0000-0000BC720000}"/>
    <cellStyle name="Total 5 6 2 3 2" xfId="30417" xr:uid="{00000000-0005-0000-0000-0000BD720000}"/>
    <cellStyle name="Total 5 6 2 3 3" xfId="30418" xr:uid="{00000000-0005-0000-0000-0000BE720000}"/>
    <cellStyle name="Total 5 6 2 3 4" xfId="22868" xr:uid="{00000000-0005-0000-0000-0000BF720000}"/>
    <cellStyle name="Total 5 6 2 4" xfId="2544" xr:uid="{00000000-0005-0000-0000-0000C0720000}"/>
    <cellStyle name="Total 5 6 2 5" xfId="2556" xr:uid="{00000000-0005-0000-0000-0000C1720000}"/>
    <cellStyle name="Total 5 6 2 6" xfId="30419" xr:uid="{00000000-0005-0000-0000-0000C2720000}"/>
    <cellStyle name="Total 5 6 3" xfId="30420" xr:uid="{00000000-0005-0000-0000-0000C3720000}"/>
    <cellStyle name="Total 5 6 3 2" xfId="30421" xr:uid="{00000000-0005-0000-0000-0000C4720000}"/>
    <cellStyle name="Total 5 6 3 2 2" xfId="30422" xr:uid="{00000000-0005-0000-0000-0000C5720000}"/>
    <cellStyle name="Total 5 6 3 2 3" xfId="30423" xr:uid="{00000000-0005-0000-0000-0000C6720000}"/>
    <cellStyle name="Total 5 6 3 2 4" xfId="22877" xr:uid="{00000000-0005-0000-0000-0000C7720000}"/>
    <cellStyle name="Total 5 6 3 3" xfId="30424" xr:uid="{00000000-0005-0000-0000-0000C8720000}"/>
    <cellStyle name="Total 5 6 3 4" xfId="30425" xr:uid="{00000000-0005-0000-0000-0000C9720000}"/>
    <cellStyle name="Total 5 6 3 5" xfId="30426" xr:uid="{00000000-0005-0000-0000-0000CA720000}"/>
    <cellStyle name="Total 5 6 4" xfId="30427" xr:uid="{00000000-0005-0000-0000-0000CB720000}"/>
    <cellStyle name="Total 5 6 4 2" xfId="30428" xr:uid="{00000000-0005-0000-0000-0000CC720000}"/>
    <cellStyle name="Total 5 6 4 3" xfId="30429" xr:uid="{00000000-0005-0000-0000-0000CD720000}"/>
    <cellStyle name="Total 5 6 4 4" xfId="30430" xr:uid="{00000000-0005-0000-0000-0000CE720000}"/>
    <cellStyle name="Total 5 6 5" xfId="30431" xr:uid="{00000000-0005-0000-0000-0000CF720000}"/>
    <cellStyle name="Total 5 6 6" xfId="30432" xr:uid="{00000000-0005-0000-0000-0000D0720000}"/>
    <cellStyle name="Total 5 6 7" xfId="17255" xr:uid="{00000000-0005-0000-0000-0000D1720000}"/>
    <cellStyle name="Total 5 7" xfId="30433" xr:uid="{00000000-0005-0000-0000-0000D2720000}"/>
    <cellStyle name="Total 5 7 2" xfId="30434" xr:uid="{00000000-0005-0000-0000-0000D3720000}"/>
    <cellStyle name="Total 5 7 2 2" xfId="30436" xr:uid="{00000000-0005-0000-0000-0000D4720000}"/>
    <cellStyle name="Total 5 7 2 2 2" xfId="30437" xr:uid="{00000000-0005-0000-0000-0000D5720000}"/>
    <cellStyle name="Total 5 7 2 2 3" xfId="30438" xr:uid="{00000000-0005-0000-0000-0000D6720000}"/>
    <cellStyle name="Total 5 7 2 2 4" xfId="22897" xr:uid="{00000000-0005-0000-0000-0000D7720000}"/>
    <cellStyle name="Total 5 7 2 3" xfId="30440" xr:uid="{00000000-0005-0000-0000-0000D8720000}"/>
    <cellStyle name="Total 5 7 2 4" xfId="23365" xr:uid="{00000000-0005-0000-0000-0000D9720000}"/>
    <cellStyle name="Total 5 7 2 5" xfId="23386" xr:uid="{00000000-0005-0000-0000-0000DA720000}"/>
    <cellStyle name="Total 5 7 3" xfId="30441" xr:uid="{00000000-0005-0000-0000-0000DB720000}"/>
    <cellStyle name="Total 5 7 3 2" xfId="30442" xr:uid="{00000000-0005-0000-0000-0000DC720000}"/>
    <cellStyle name="Total 5 7 3 3" xfId="30443" xr:uid="{00000000-0005-0000-0000-0000DD720000}"/>
    <cellStyle name="Total 5 7 3 4" xfId="23407" xr:uid="{00000000-0005-0000-0000-0000DE720000}"/>
    <cellStyle name="Total 5 7 4" xfId="30444" xr:uid="{00000000-0005-0000-0000-0000DF720000}"/>
    <cellStyle name="Total 5 7 5" xfId="30445" xr:uid="{00000000-0005-0000-0000-0000E0720000}"/>
    <cellStyle name="Total 5 7 6" xfId="30446" xr:uid="{00000000-0005-0000-0000-0000E1720000}"/>
    <cellStyle name="Total 5 8" xfId="30447" xr:uid="{00000000-0005-0000-0000-0000E2720000}"/>
    <cellStyle name="Total 5 8 2" xfId="30448" xr:uid="{00000000-0005-0000-0000-0000E3720000}"/>
    <cellStyle name="Total 5 8 2 2" xfId="30449" xr:uid="{00000000-0005-0000-0000-0000E4720000}"/>
    <cellStyle name="Total 5 8 2 3" xfId="30450" xr:uid="{00000000-0005-0000-0000-0000E5720000}"/>
    <cellStyle name="Total 5 8 2 4" xfId="23438" xr:uid="{00000000-0005-0000-0000-0000E6720000}"/>
    <cellStyle name="Total 5 8 3" xfId="30451" xr:uid="{00000000-0005-0000-0000-0000E7720000}"/>
    <cellStyle name="Total 5 8 4" xfId="30452" xr:uid="{00000000-0005-0000-0000-0000E8720000}"/>
    <cellStyle name="Total 5 8 5" xfId="30453" xr:uid="{00000000-0005-0000-0000-0000E9720000}"/>
    <cellStyle name="Total 5 9" xfId="30454" xr:uid="{00000000-0005-0000-0000-0000EA720000}"/>
    <cellStyle name="Total 5 9 2" xfId="30455" xr:uid="{00000000-0005-0000-0000-0000EB720000}"/>
    <cellStyle name="Total 5 9 3" xfId="30456" xr:uid="{00000000-0005-0000-0000-0000EC720000}"/>
    <cellStyle name="Total 5 9 4" xfId="16188" xr:uid="{00000000-0005-0000-0000-0000ED720000}"/>
    <cellStyle name="Total 6" xfId="12004" xr:uid="{00000000-0005-0000-0000-0000EE720000}"/>
    <cellStyle name="Total 6 10" xfId="14072" xr:uid="{00000000-0005-0000-0000-0000EF720000}"/>
    <cellStyle name="Total 6 11" xfId="30457" xr:uid="{00000000-0005-0000-0000-0000F0720000}"/>
    <cellStyle name="Total 6 12" xfId="30458" xr:uid="{00000000-0005-0000-0000-0000F1720000}"/>
    <cellStyle name="Total 6 13" xfId="19372" xr:uid="{00000000-0005-0000-0000-0000F2720000}"/>
    <cellStyle name="Total 6 2" xfId="12008" xr:uid="{00000000-0005-0000-0000-0000F3720000}"/>
    <cellStyle name="Total 6 2 10" xfId="1032" xr:uid="{00000000-0005-0000-0000-0000F4720000}"/>
    <cellStyle name="Total 6 2 11" xfId="30459" xr:uid="{00000000-0005-0000-0000-0000F5720000}"/>
    <cellStyle name="Total 6 2 12" xfId="30460" xr:uid="{00000000-0005-0000-0000-0000F6720000}"/>
    <cellStyle name="Total 6 2 2" xfId="10661" xr:uid="{00000000-0005-0000-0000-0000F7720000}"/>
    <cellStyle name="Total 6 2 2 2" xfId="10668" xr:uid="{00000000-0005-0000-0000-0000F8720000}"/>
    <cellStyle name="Total 6 2 2 2 2" xfId="19797" xr:uid="{00000000-0005-0000-0000-0000F9720000}"/>
    <cellStyle name="Total 6 2 2 2 2 2" xfId="13813" xr:uid="{00000000-0005-0000-0000-0000FA720000}"/>
    <cellStyle name="Total 6 2 2 2 2 2 2" xfId="30461" xr:uid="{00000000-0005-0000-0000-0000FB720000}"/>
    <cellStyle name="Total 6 2 2 2 2 2 2 2" xfId="30462" xr:uid="{00000000-0005-0000-0000-0000FC720000}"/>
    <cellStyle name="Total 6 2 2 2 2 2 2 2 2" xfId="4034" xr:uid="{00000000-0005-0000-0000-0000FD720000}"/>
    <cellStyle name="Total 6 2 2 2 2 2 2 2 3" xfId="4051" xr:uid="{00000000-0005-0000-0000-0000FE720000}"/>
    <cellStyle name="Total 6 2 2 2 2 2 2 2 4" xfId="4070" xr:uid="{00000000-0005-0000-0000-0000FF720000}"/>
    <cellStyle name="Total 6 2 2 2 2 2 2 3" xfId="30463" xr:uid="{00000000-0005-0000-0000-000000730000}"/>
    <cellStyle name="Total 6 2 2 2 2 2 2 4" xfId="30464" xr:uid="{00000000-0005-0000-0000-000001730000}"/>
    <cellStyle name="Total 6 2 2 2 2 2 2 5" xfId="2615" xr:uid="{00000000-0005-0000-0000-000002730000}"/>
    <cellStyle name="Total 6 2 2 2 2 2 3" xfId="30465" xr:uid="{00000000-0005-0000-0000-000003730000}"/>
    <cellStyle name="Total 6 2 2 2 2 2 3 2" xfId="30466" xr:uid="{00000000-0005-0000-0000-000004730000}"/>
    <cellStyle name="Total 6 2 2 2 2 2 3 3" xfId="30467" xr:uid="{00000000-0005-0000-0000-000005730000}"/>
    <cellStyle name="Total 6 2 2 2 2 2 3 4" xfId="30468" xr:uid="{00000000-0005-0000-0000-000006730000}"/>
    <cellStyle name="Total 6 2 2 2 2 2 4" xfId="25018" xr:uid="{00000000-0005-0000-0000-000007730000}"/>
    <cellStyle name="Total 6 2 2 2 2 2 5" xfId="25024" xr:uid="{00000000-0005-0000-0000-000008730000}"/>
    <cellStyle name="Total 6 2 2 2 2 2 6" xfId="25030" xr:uid="{00000000-0005-0000-0000-000009730000}"/>
    <cellStyle name="Total 6 2 2 2 2 3" xfId="14610" xr:uid="{00000000-0005-0000-0000-00000A730000}"/>
    <cellStyle name="Total 6 2 2 2 2 3 2" xfId="30469" xr:uid="{00000000-0005-0000-0000-00000B730000}"/>
    <cellStyle name="Total 6 2 2 2 2 3 2 2" xfId="30470" xr:uid="{00000000-0005-0000-0000-00000C730000}"/>
    <cellStyle name="Total 6 2 2 2 2 3 2 3" xfId="30471" xr:uid="{00000000-0005-0000-0000-00000D730000}"/>
    <cellStyle name="Total 6 2 2 2 2 3 2 4" xfId="24259" xr:uid="{00000000-0005-0000-0000-00000E730000}"/>
    <cellStyle name="Total 6 2 2 2 2 3 3" xfId="30472" xr:uid="{00000000-0005-0000-0000-00000F730000}"/>
    <cellStyle name="Total 6 2 2 2 2 3 4" xfId="25038" xr:uid="{00000000-0005-0000-0000-000010730000}"/>
    <cellStyle name="Total 6 2 2 2 2 3 5" xfId="25044" xr:uid="{00000000-0005-0000-0000-000011730000}"/>
    <cellStyle name="Total 6 2 2 2 2 4" xfId="14613" xr:uid="{00000000-0005-0000-0000-000012730000}"/>
    <cellStyle name="Total 6 2 2 2 2 4 2" xfId="30473" xr:uid="{00000000-0005-0000-0000-000013730000}"/>
    <cellStyle name="Total 6 2 2 2 2 4 3" xfId="30474" xr:uid="{00000000-0005-0000-0000-000014730000}"/>
    <cellStyle name="Total 6 2 2 2 2 4 4" xfId="25046" xr:uid="{00000000-0005-0000-0000-000015730000}"/>
    <cellStyle name="Total 6 2 2 2 2 5" xfId="30475" xr:uid="{00000000-0005-0000-0000-000016730000}"/>
    <cellStyle name="Total 6 2 2 2 2 6" xfId="30477" xr:uid="{00000000-0005-0000-0000-000017730000}"/>
    <cellStyle name="Total 6 2 2 2 2 7" xfId="30479" xr:uid="{00000000-0005-0000-0000-000018730000}"/>
    <cellStyle name="Total 6 2 2 2 3" xfId="19802" xr:uid="{00000000-0005-0000-0000-000019730000}"/>
    <cellStyle name="Total 6 2 2 2 3 2" xfId="14618" xr:uid="{00000000-0005-0000-0000-00001A730000}"/>
    <cellStyle name="Total 6 2 2 2 3 2 2" xfId="30480" xr:uid="{00000000-0005-0000-0000-00001B730000}"/>
    <cellStyle name="Total 6 2 2 2 3 2 2 2" xfId="30481" xr:uid="{00000000-0005-0000-0000-00001C730000}"/>
    <cellStyle name="Total 6 2 2 2 3 2 2 3" xfId="25600" xr:uid="{00000000-0005-0000-0000-00001D730000}"/>
    <cellStyle name="Total 6 2 2 2 3 2 2 4" xfId="25606" xr:uid="{00000000-0005-0000-0000-00001E730000}"/>
    <cellStyle name="Total 6 2 2 2 3 2 3" xfId="30482" xr:uid="{00000000-0005-0000-0000-00001F730000}"/>
    <cellStyle name="Total 6 2 2 2 3 2 4" xfId="25064" xr:uid="{00000000-0005-0000-0000-000020730000}"/>
    <cellStyle name="Total 6 2 2 2 3 2 5" xfId="25068" xr:uid="{00000000-0005-0000-0000-000021730000}"/>
    <cellStyle name="Total 6 2 2 2 3 3" xfId="14620" xr:uid="{00000000-0005-0000-0000-000022730000}"/>
    <cellStyle name="Total 6 2 2 2 3 3 2" xfId="15137" xr:uid="{00000000-0005-0000-0000-000023730000}"/>
    <cellStyle name="Total 6 2 2 2 3 3 3" xfId="15247" xr:uid="{00000000-0005-0000-0000-000024730000}"/>
    <cellStyle name="Total 6 2 2 2 3 3 4" xfId="1308" xr:uid="{00000000-0005-0000-0000-000025730000}"/>
    <cellStyle name="Total 6 2 2 2 3 4" xfId="30483" xr:uid="{00000000-0005-0000-0000-000026730000}"/>
    <cellStyle name="Total 6 2 2 2 3 5" xfId="30484" xr:uid="{00000000-0005-0000-0000-000027730000}"/>
    <cellStyle name="Total 6 2 2 2 3 6" xfId="30485" xr:uid="{00000000-0005-0000-0000-000028730000}"/>
    <cellStyle name="Total 6 2 2 2 4" xfId="19807" xr:uid="{00000000-0005-0000-0000-000029730000}"/>
    <cellStyle name="Total 6 2 2 2 4 2" xfId="30486" xr:uid="{00000000-0005-0000-0000-00002A730000}"/>
    <cellStyle name="Total 6 2 2 2 4 2 2" xfId="30487" xr:uid="{00000000-0005-0000-0000-00002B730000}"/>
    <cellStyle name="Total 6 2 2 2 4 2 3" xfId="30488" xr:uid="{00000000-0005-0000-0000-00002C730000}"/>
    <cellStyle name="Total 6 2 2 2 4 2 4" xfId="25075" xr:uid="{00000000-0005-0000-0000-00002D730000}"/>
    <cellStyle name="Total 6 2 2 2 4 3" xfId="30489" xr:uid="{00000000-0005-0000-0000-00002E730000}"/>
    <cellStyle name="Total 6 2 2 2 4 4" xfId="30490" xr:uid="{00000000-0005-0000-0000-00002F730000}"/>
    <cellStyle name="Total 6 2 2 2 4 5" xfId="30491" xr:uid="{00000000-0005-0000-0000-000030730000}"/>
    <cellStyle name="Total 6 2 2 2 5" xfId="25394" xr:uid="{00000000-0005-0000-0000-000031730000}"/>
    <cellStyle name="Total 6 2 2 2 5 2" xfId="28908" xr:uid="{00000000-0005-0000-0000-000032730000}"/>
    <cellStyle name="Total 6 2 2 2 5 3" xfId="30492" xr:uid="{00000000-0005-0000-0000-000033730000}"/>
    <cellStyle name="Total 6 2 2 2 5 4" xfId="22595" xr:uid="{00000000-0005-0000-0000-000034730000}"/>
    <cellStyle name="Total 6 2 2 2 6" xfId="30493" xr:uid="{00000000-0005-0000-0000-000035730000}"/>
    <cellStyle name="Total 6 2 2 2 7" xfId="10345" xr:uid="{00000000-0005-0000-0000-000036730000}"/>
    <cellStyle name="Total 6 2 2 2 8" xfId="10353" xr:uid="{00000000-0005-0000-0000-000037730000}"/>
    <cellStyle name="Total 6 2 2 3" xfId="10675" xr:uid="{00000000-0005-0000-0000-000038730000}"/>
    <cellStyle name="Total 6 2 2 3 2" xfId="25410" xr:uid="{00000000-0005-0000-0000-000039730000}"/>
    <cellStyle name="Total 6 2 2 3 2 2" xfId="4547" xr:uid="{00000000-0005-0000-0000-00003A730000}"/>
    <cellStyle name="Total 6 2 2 3 2 2 2" xfId="25894" xr:uid="{00000000-0005-0000-0000-00003B730000}"/>
    <cellStyle name="Total 6 2 2 3 2 2 2 2" xfId="30494" xr:uid="{00000000-0005-0000-0000-00003C730000}"/>
    <cellStyle name="Total 6 2 2 3 2 2 2 3" xfId="30495" xr:uid="{00000000-0005-0000-0000-00003D730000}"/>
    <cellStyle name="Total 6 2 2 3 2 2 2 4" xfId="30496" xr:uid="{00000000-0005-0000-0000-00003E730000}"/>
    <cellStyle name="Total 6 2 2 3 2 2 3" xfId="30497" xr:uid="{00000000-0005-0000-0000-00003F730000}"/>
    <cellStyle name="Total 6 2 2 3 2 2 4" xfId="19523" xr:uid="{00000000-0005-0000-0000-000040730000}"/>
    <cellStyle name="Total 6 2 2 3 2 2 5" xfId="19526" xr:uid="{00000000-0005-0000-0000-000041730000}"/>
    <cellStyle name="Total 6 2 2 3 2 3" xfId="14633" xr:uid="{00000000-0005-0000-0000-000042730000}"/>
    <cellStyle name="Total 6 2 2 3 2 3 2" xfId="27905" xr:uid="{00000000-0005-0000-0000-000043730000}"/>
    <cellStyle name="Total 6 2 2 3 2 3 3" xfId="27907" xr:uid="{00000000-0005-0000-0000-000044730000}"/>
    <cellStyle name="Total 6 2 2 3 2 3 4" xfId="25962" xr:uid="{00000000-0005-0000-0000-000045730000}"/>
    <cellStyle name="Total 6 2 2 3 2 4" xfId="30498" xr:uid="{00000000-0005-0000-0000-000046730000}"/>
    <cellStyle name="Total 6 2 2 3 2 5" xfId="15697" xr:uid="{00000000-0005-0000-0000-000047730000}"/>
    <cellStyle name="Total 6 2 2 3 2 6" xfId="15699" xr:uid="{00000000-0005-0000-0000-000048730000}"/>
    <cellStyle name="Total 6 2 2 3 3" xfId="25412" xr:uid="{00000000-0005-0000-0000-000049730000}"/>
    <cellStyle name="Total 6 2 2 3 3 2" xfId="30499" xr:uid="{00000000-0005-0000-0000-00004A730000}"/>
    <cellStyle name="Total 6 2 2 3 3 2 2" xfId="30500" xr:uid="{00000000-0005-0000-0000-00004B730000}"/>
    <cellStyle name="Total 6 2 2 3 3 2 3" xfId="30501" xr:uid="{00000000-0005-0000-0000-00004C730000}"/>
    <cellStyle name="Total 6 2 2 3 3 2 4" xfId="30502" xr:uid="{00000000-0005-0000-0000-00004D730000}"/>
    <cellStyle name="Total 6 2 2 3 3 3" xfId="30503" xr:uid="{00000000-0005-0000-0000-00004E730000}"/>
    <cellStyle name="Total 6 2 2 3 3 4" xfId="30504" xr:uid="{00000000-0005-0000-0000-00004F730000}"/>
    <cellStyle name="Total 6 2 2 3 3 5" xfId="21832" xr:uid="{00000000-0005-0000-0000-000050730000}"/>
    <cellStyle name="Total 6 2 2 3 4" xfId="25414" xr:uid="{00000000-0005-0000-0000-000051730000}"/>
    <cellStyle name="Total 6 2 2 3 4 2" xfId="30505" xr:uid="{00000000-0005-0000-0000-000052730000}"/>
    <cellStyle name="Total 6 2 2 3 4 3" xfId="30506" xr:uid="{00000000-0005-0000-0000-000053730000}"/>
    <cellStyle name="Total 6 2 2 3 4 4" xfId="30507" xr:uid="{00000000-0005-0000-0000-000054730000}"/>
    <cellStyle name="Total 6 2 2 3 5" xfId="30508" xr:uid="{00000000-0005-0000-0000-000055730000}"/>
    <cellStyle name="Total 6 2 2 3 6" xfId="30509" xr:uid="{00000000-0005-0000-0000-000056730000}"/>
    <cellStyle name="Total 6 2 2 3 7" xfId="30510" xr:uid="{00000000-0005-0000-0000-000057730000}"/>
    <cellStyle name="Total 6 2 2 4" xfId="10688" xr:uid="{00000000-0005-0000-0000-000058730000}"/>
    <cellStyle name="Total 6 2 2 4 2" xfId="19833" xr:uid="{00000000-0005-0000-0000-000059730000}"/>
    <cellStyle name="Total 6 2 2 4 2 2" xfId="30511" xr:uid="{00000000-0005-0000-0000-00005A730000}"/>
    <cellStyle name="Total 6 2 2 4 2 2 2" xfId="19143" xr:uid="{00000000-0005-0000-0000-00005B730000}"/>
    <cellStyle name="Total 6 2 2 4 2 2 3" xfId="19156" xr:uid="{00000000-0005-0000-0000-00005C730000}"/>
    <cellStyle name="Total 6 2 2 4 2 2 4" xfId="19160" xr:uid="{00000000-0005-0000-0000-00005D730000}"/>
    <cellStyle name="Total 6 2 2 4 2 3" xfId="18704" xr:uid="{00000000-0005-0000-0000-00005E730000}"/>
    <cellStyle name="Total 6 2 2 4 2 4" xfId="18709" xr:uid="{00000000-0005-0000-0000-00005F730000}"/>
    <cellStyle name="Total 6 2 2 4 2 5" xfId="19191" xr:uid="{00000000-0005-0000-0000-000060730000}"/>
    <cellStyle name="Total 6 2 2 4 3" xfId="20436" xr:uid="{00000000-0005-0000-0000-000061730000}"/>
    <cellStyle name="Total 6 2 2 4 3 2" xfId="30512" xr:uid="{00000000-0005-0000-0000-000062730000}"/>
    <cellStyle name="Total 6 2 2 4 3 3" xfId="18736" xr:uid="{00000000-0005-0000-0000-000063730000}"/>
    <cellStyle name="Total 6 2 2 4 3 4" xfId="19213" xr:uid="{00000000-0005-0000-0000-000064730000}"/>
    <cellStyle name="Total 6 2 2 4 4" xfId="20439" xr:uid="{00000000-0005-0000-0000-000065730000}"/>
    <cellStyle name="Total 6 2 2 4 5" xfId="30513" xr:uid="{00000000-0005-0000-0000-000066730000}"/>
    <cellStyle name="Total 6 2 2 4 6" xfId="30514" xr:uid="{00000000-0005-0000-0000-000067730000}"/>
    <cellStyle name="Total 6 2 2 5" xfId="20158" xr:uid="{00000000-0005-0000-0000-000068730000}"/>
    <cellStyle name="Total 6 2 2 5 2" xfId="20445" xr:uid="{00000000-0005-0000-0000-000069730000}"/>
    <cellStyle name="Total 6 2 2 5 2 2" xfId="30515" xr:uid="{00000000-0005-0000-0000-00006A730000}"/>
    <cellStyle name="Total 6 2 2 5 2 3" xfId="11944" xr:uid="{00000000-0005-0000-0000-00006B730000}"/>
    <cellStyle name="Total 6 2 2 5 2 4" xfId="7219" xr:uid="{00000000-0005-0000-0000-00006C730000}"/>
    <cellStyle name="Total 6 2 2 5 3" xfId="20448" xr:uid="{00000000-0005-0000-0000-00006D730000}"/>
    <cellStyle name="Total 6 2 2 5 4" xfId="30516" xr:uid="{00000000-0005-0000-0000-00006E730000}"/>
    <cellStyle name="Total 6 2 2 5 5" xfId="30517" xr:uid="{00000000-0005-0000-0000-00006F730000}"/>
    <cellStyle name="Total 6 2 2 6" xfId="26163" xr:uid="{00000000-0005-0000-0000-000070730000}"/>
    <cellStyle name="Total 6 2 2 6 2" xfId="20458" xr:uid="{00000000-0005-0000-0000-000071730000}"/>
    <cellStyle name="Total 6 2 2 6 3" xfId="30518" xr:uid="{00000000-0005-0000-0000-000072730000}"/>
    <cellStyle name="Total 6 2 2 6 4" xfId="30519" xr:uid="{00000000-0005-0000-0000-000073730000}"/>
    <cellStyle name="Total 6 2 2 7" xfId="30520" xr:uid="{00000000-0005-0000-0000-000074730000}"/>
    <cellStyle name="Total 6 2 2 8" xfId="30521" xr:uid="{00000000-0005-0000-0000-000075730000}"/>
    <cellStyle name="Total 6 2 2 9" xfId="30522" xr:uid="{00000000-0005-0000-0000-000076730000}"/>
    <cellStyle name="Total 6 2 3" xfId="10692" xr:uid="{00000000-0005-0000-0000-000077730000}"/>
    <cellStyle name="Total 6 2 3 2" xfId="3464" xr:uid="{00000000-0005-0000-0000-000078730000}"/>
    <cellStyle name="Total 6 2 3 2 2" xfId="2100" xr:uid="{00000000-0005-0000-0000-000079730000}"/>
    <cellStyle name="Total 6 2 3 2 2 2" xfId="8561" xr:uid="{00000000-0005-0000-0000-00007A730000}"/>
    <cellStyle name="Total 6 2 3 2 2 2 2" xfId="30523" xr:uid="{00000000-0005-0000-0000-00007B730000}"/>
    <cellStyle name="Total 6 2 3 2 2 2 2 2" xfId="30524" xr:uid="{00000000-0005-0000-0000-00007C730000}"/>
    <cellStyle name="Total 6 2 3 2 2 2 2 2 2" xfId="30525" xr:uid="{00000000-0005-0000-0000-00007D730000}"/>
    <cellStyle name="Total 6 2 3 2 2 2 2 2 3" xfId="1064" xr:uid="{00000000-0005-0000-0000-00007E730000}"/>
    <cellStyle name="Total 6 2 3 2 2 2 2 2 4" xfId="1074" xr:uid="{00000000-0005-0000-0000-00007F730000}"/>
    <cellStyle name="Total 6 2 3 2 2 2 2 3" xfId="30526" xr:uid="{00000000-0005-0000-0000-000080730000}"/>
    <cellStyle name="Total 6 2 3 2 2 2 2 4" xfId="3750" xr:uid="{00000000-0005-0000-0000-000081730000}"/>
    <cellStyle name="Total 6 2 3 2 2 2 2 5" xfId="3760" xr:uid="{00000000-0005-0000-0000-000082730000}"/>
    <cellStyle name="Total 6 2 3 2 2 2 3" xfId="30527" xr:uid="{00000000-0005-0000-0000-000083730000}"/>
    <cellStyle name="Total 6 2 3 2 2 2 3 2" xfId="30528" xr:uid="{00000000-0005-0000-0000-000084730000}"/>
    <cellStyle name="Total 6 2 3 2 2 2 3 3" xfId="30529" xr:uid="{00000000-0005-0000-0000-000085730000}"/>
    <cellStyle name="Total 6 2 3 2 2 2 3 4" xfId="30530" xr:uid="{00000000-0005-0000-0000-000086730000}"/>
    <cellStyle name="Total 6 2 3 2 2 2 4" xfId="25549" xr:uid="{00000000-0005-0000-0000-000087730000}"/>
    <cellStyle name="Total 6 2 3 2 2 2 5" xfId="25559" xr:uid="{00000000-0005-0000-0000-000088730000}"/>
    <cellStyle name="Total 6 2 3 2 2 2 6" xfId="19935" xr:uid="{00000000-0005-0000-0000-000089730000}"/>
    <cellStyle name="Total 6 2 3 2 2 3" xfId="8564" xr:uid="{00000000-0005-0000-0000-00008A730000}"/>
    <cellStyle name="Total 6 2 3 2 2 3 2" xfId="30531" xr:uid="{00000000-0005-0000-0000-00008B730000}"/>
    <cellStyle name="Total 6 2 3 2 2 3 2 2" xfId="30532" xr:uid="{00000000-0005-0000-0000-00008C730000}"/>
    <cellStyle name="Total 6 2 3 2 2 3 2 3" xfId="30533" xr:uid="{00000000-0005-0000-0000-00008D730000}"/>
    <cellStyle name="Total 6 2 3 2 2 3 2 4" xfId="30534" xr:uid="{00000000-0005-0000-0000-00008E730000}"/>
    <cellStyle name="Total 6 2 3 2 2 3 3" xfId="30535" xr:uid="{00000000-0005-0000-0000-00008F730000}"/>
    <cellStyle name="Total 6 2 3 2 2 3 4" xfId="25565" xr:uid="{00000000-0005-0000-0000-000090730000}"/>
    <cellStyle name="Total 6 2 3 2 2 3 5" xfId="25571" xr:uid="{00000000-0005-0000-0000-000091730000}"/>
    <cellStyle name="Total 6 2 3 2 2 4" xfId="30536" xr:uid="{00000000-0005-0000-0000-000092730000}"/>
    <cellStyle name="Total 6 2 3 2 2 4 2" xfId="30537" xr:uid="{00000000-0005-0000-0000-000093730000}"/>
    <cellStyle name="Total 6 2 3 2 2 4 3" xfId="30538" xr:uid="{00000000-0005-0000-0000-000094730000}"/>
    <cellStyle name="Total 6 2 3 2 2 4 4" xfId="25575" xr:uid="{00000000-0005-0000-0000-000095730000}"/>
    <cellStyle name="Total 6 2 3 2 2 5" xfId="30539" xr:uid="{00000000-0005-0000-0000-000096730000}"/>
    <cellStyle name="Total 6 2 3 2 2 6" xfId="30540" xr:uid="{00000000-0005-0000-0000-000097730000}"/>
    <cellStyle name="Total 6 2 3 2 2 7" xfId="30541" xr:uid="{00000000-0005-0000-0000-000098730000}"/>
    <cellStyle name="Total 6 2 3 2 3" xfId="3470" xr:uid="{00000000-0005-0000-0000-000099730000}"/>
    <cellStyle name="Total 6 2 3 2 3 2" xfId="30542" xr:uid="{00000000-0005-0000-0000-00009A730000}"/>
    <cellStyle name="Total 6 2 3 2 3 2 2" xfId="30543" xr:uid="{00000000-0005-0000-0000-00009B730000}"/>
    <cellStyle name="Total 6 2 3 2 3 2 2 2" xfId="30544" xr:uid="{00000000-0005-0000-0000-00009C730000}"/>
    <cellStyle name="Total 6 2 3 2 3 2 2 3" xfId="30545" xr:uid="{00000000-0005-0000-0000-00009D730000}"/>
    <cellStyle name="Total 6 2 3 2 3 2 2 4" xfId="30546" xr:uid="{00000000-0005-0000-0000-00009E730000}"/>
    <cellStyle name="Total 6 2 3 2 3 2 3" xfId="30547" xr:uid="{00000000-0005-0000-0000-00009F730000}"/>
    <cellStyle name="Total 6 2 3 2 3 2 4" xfId="25592" xr:uid="{00000000-0005-0000-0000-0000A0730000}"/>
    <cellStyle name="Total 6 2 3 2 3 2 5" xfId="25597" xr:uid="{00000000-0005-0000-0000-0000A1730000}"/>
    <cellStyle name="Total 6 2 3 2 3 3" xfId="30548" xr:uid="{00000000-0005-0000-0000-0000A2730000}"/>
    <cellStyle name="Total 6 2 3 2 3 3 2" xfId="23398" xr:uid="{00000000-0005-0000-0000-0000A3730000}"/>
    <cellStyle name="Total 6 2 3 2 3 3 3" xfId="23400" xr:uid="{00000000-0005-0000-0000-0000A4730000}"/>
    <cellStyle name="Total 6 2 3 2 3 3 4" xfId="23403" xr:uid="{00000000-0005-0000-0000-0000A5730000}"/>
    <cellStyle name="Total 6 2 3 2 3 4" xfId="30549" xr:uid="{00000000-0005-0000-0000-0000A6730000}"/>
    <cellStyle name="Total 6 2 3 2 3 5" xfId="30550" xr:uid="{00000000-0005-0000-0000-0000A7730000}"/>
    <cellStyle name="Total 6 2 3 2 3 6" xfId="15536" xr:uid="{00000000-0005-0000-0000-0000A8730000}"/>
    <cellStyle name="Total 6 2 3 2 4" xfId="3475" xr:uid="{00000000-0005-0000-0000-0000A9730000}"/>
    <cellStyle name="Total 6 2 3 2 4 2" xfId="30551" xr:uid="{00000000-0005-0000-0000-0000AA730000}"/>
    <cellStyle name="Total 6 2 3 2 4 2 2" xfId="30552" xr:uid="{00000000-0005-0000-0000-0000AB730000}"/>
    <cellStyle name="Total 6 2 3 2 4 2 3" xfId="30553" xr:uid="{00000000-0005-0000-0000-0000AC730000}"/>
    <cellStyle name="Total 6 2 3 2 4 2 4" xfId="25609" xr:uid="{00000000-0005-0000-0000-0000AD730000}"/>
    <cellStyle name="Total 6 2 3 2 4 3" xfId="30554" xr:uid="{00000000-0005-0000-0000-0000AE730000}"/>
    <cellStyle name="Total 6 2 3 2 4 4" xfId="30555" xr:uid="{00000000-0005-0000-0000-0000AF730000}"/>
    <cellStyle name="Total 6 2 3 2 4 5" xfId="30556" xr:uid="{00000000-0005-0000-0000-0000B0730000}"/>
    <cellStyle name="Total 6 2 3 2 5" xfId="30557" xr:uid="{00000000-0005-0000-0000-0000B1730000}"/>
    <cellStyle name="Total 6 2 3 2 5 2" xfId="30558" xr:uid="{00000000-0005-0000-0000-0000B2730000}"/>
    <cellStyle name="Total 6 2 3 2 5 3" xfId="30559" xr:uid="{00000000-0005-0000-0000-0000B3730000}"/>
    <cellStyle name="Total 6 2 3 2 5 4" xfId="30560" xr:uid="{00000000-0005-0000-0000-0000B4730000}"/>
    <cellStyle name="Total 6 2 3 2 6" xfId="30561" xr:uid="{00000000-0005-0000-0000-0000B5730000}"/>
    <cellStyle name="Total 6 2 3 2 7" xfId="30562" xr:uid="{00000000-0005-0000-0000-0000B6730000}"/>
    <cellStyle name="Total 6 2 3 2 8" xfId="30563" xr:uid="{00000000-0005-0000-0000-0000B7730000}"/>
    <cellStyle name="Total 6 2 3 3" xfId="3479" xr:uid="{00000000-0005-0000-0000-0000B8730000}"/>
    <cellStyle name="Total 6 2 3 3 2" xfId="25429" xr:uid="{00000000-0005-0000-0000-0000B9730000}"/>
    <cellStyle name="Total 6 2 3 3 2 2" xfId="19298" xr:uid="{00000000-0005-0000-0000-0000BA730000}"/>
    <cellStyle name="Total 6 2 3 3 2 2 2" xfId="18944" xr:uid="{00000000-0005-0000-0000-0000BB730000}"/>
    <cellStyle name="Total 6 2 3 3 2 2 2 2" xfId="29955" xr:uid="{00000000-0005-0000-0000-0000BC730000}"/>
    <cellStyle name="Total 6 2 3 3 2 2 2 3" xfId="29959" xr:uid="{00000000-0005-0000-0000-0000BD730000}"/>
    <cellStyle name="Total 6 2 3 3 2 2 2 4" xfId="29961" xr:uid="{00000000-0005-0000-0000-0000BE730000}"/>
    <cellStyle name="Total 6 2 3 3 2 2 3" xfId="19300" xr:uid="{00000000-0005-0000-0000-0000BF730000}"/>
    <cellStyle name="Total 6 2 3 3 2 2 4" xfId="19303" xr:uid="{00000000-0005-0000-0000-0000C0730000}"/>
    <cellStyle name="Total 6 2 3 3 2 2 5" xfId="25709" xr:uid="{00000000-0005-0000-0000-0000C1730000}"/>
    <cellStyle name="Total 6 2 3 3 2 3" xfId="19306" xr:uid="{00000000-0005-0000-0000-0000C2730000}"/>
    <cellStyle name="Total 6 2 3 3 2 3 2" xfId="30564" xr:uid="{00000000-0005-0000-0000-0000C3730000}"/>
    <cellStyle name="Total 6 2 3 3 2 3 3" xfId="30565" xr:uid="{00000000-0005-0000-0000-0000C4730000}"/>
    <cellStyle name="Total 6 2 3 3 2 3 4" xfId="26036" xr:uid="{00000000-0005-0000-0000-0000C5730000}"/>
    <cellStyle name="Total 6 2 3 3 2 4" xfId="19308" xr:uid="{00000000-0005-0000-0000-0000C6730000}"/>
    <cellStyle name="Total 6 2 3 3 2 5" xfId="19310" xr:uid="{00000000-0005-0000-0000-0000C7730000}"/>
    <cellStyle name="Total 6 2 3 3 2 6" xfId="30566" xr:uid="{00000000-0005-0000-0000-0000C8730000}"/>
    <cellStyle name="Total 6 2 3 3 3" xfId="25431" xr:uid="{00000000-0005-0000-0000-0000C9730000}"/>
    <cellStyle name="Total 6 2 3 3 3 2" xfId="19314" xr:uid="{00000000-0005-0000-0000-0000CA730000}"/>
    <cellStyle name="Total 6 2 3 3 3 2 2" xfId="30567" xr:uid="{00000000-0005-0000-0000-0000CB730000}"/>
    <cellStyle name="Total 6 2 3 3 3 2 3" xfId="30568" xr:uid="{00000000-0005-0000-0000-0000CC730000}"/>
    <cellStyle name="Total 6 2 3 3 3 2 4" xfId="30569" xr:uid="{00000000-0005-0000-0000-0000CD730000}"/>
    <cellStyle name="Total 6 2 3 3 3 3" xfId="19316" xr:uid="{00000000-0005-0000-0000-0000CE730000}"/>
    <cellStyle name="Total 6 2 3 3 3 4" xfId="19318" xr:uid="{00000000-0005-0000-0000-0000CF730000}"/>
    <cellStyle name="Total 6 2 3 3 3 5" xfId="21849" xr:uid="{00000000-0005-0000-0000-0000D0730000}"/>
    <cellStyle name="Total 6 2 3 3 4" xfId="30570" xr:uid="{00000000-0005-0000-0000-0000D1730000}"/>
    <cellStyle name="Total 6 2 3 3 4 2" xfId="19321" xr:uid="{00000000-0005-0000-0000-0000D2730000}"/>
    <cellStyle name="Total 6 2 3 3 4 3" xfId="19323" xr:uid="{00000000-0005-0000-0000-0000D3730000}"/>
    <cellStyle name="Total 6 2 3 3 4 4" xfId="30571" xr:uid="{00000000-0005-0000-0000-0000D4730000}"/>
    <cellStyle name="Total 6 2 3 3 5" xfId="30572" xr:uid="{00000000-0005-0000-0000-0000D5730000}"/>
    <cellStyle name="Total 6 2 3 3 6" xfId="30573" xr:uid="{00000000-0005-0000-0000-0000D6730000}"/>
    <cellStyle name="Total 6 2 3 3 7" xfId="30574" xr:uid="{00000000-0005-0000-0000-0000D7730000}"/>
    <cellStyle name="Total 6 2 3 4" xfId="3483" xr:uid="{00000000-0005-0000-0000-0000D8730000}"/>
    <cellStyle name="Total 6 2 3 4 2" xfId="20469" xr:uid="{00000000-0005-0000-0000-0000D9730000}"/>
    <cellStyle name="Total 6 2 3 4 2 2" xfId="17982" xr:uid="{00000000-0005-0000-0000-0000DA730000}"/>
    <cellStyle name="Total 6 2 3 4 2 2 2" xfId="18129" xr:uid="{00000000-0005-0000-0000-0000DB730000}"/>
    <cellStyle name="Total 6 2 3 4 2 2 3" xfId="19350" xr:uid="{00000000-0005-0000-0000-0000DC730000}"/>
    <cellStyle name="Total 6 2 3 4 2 2 4" xfId="19353" xr:uid="{00000000-0005-0000-0000-0000DD730000}"/>
    <cellStyle name="Total 6 2 3 4 2 3" xfId="17985" xr:uid="{00000000-0005-0000-0000-0000DE730000}"/>
    <cellStyle name="Total 6 2 3 4 2 4" xfId="17993" xr:uid="{00000000-0005-0000-0000-0000DF730000}"/>
    <cellStyle name="Total 6 2 3 4 2 5" xfId="18512" xr:uid="{00000000-0005-0000-0000-0000E0730000}"/>
    <cellStyle name="Total 6 2 3 4 3" xfId="20472" xr:uid="{00000000-0005-0000-0000-0000E1730000}"/>
    <cellStyle name="Total 6 2 3 4 3 2" xfId="18026" xr:uid="{00000000-0005-0000-0000-0000E2730000}"/>
    <cellStyle name="Total 6 2 3 4 3 3" xfId="18029" xr:uid="{00000000-0005-0000-0000-0000E3730000}"/>
    <cellStyle name="Total 6 2 3 4 3 4" xfId="19376" xr:uid="{00000000-0005-0000-0000-0000E4730000}"/>
    <cellStyle name="Total 6 2 3 4 4" xfId="30575" xr:uid="{00000000-0005-0000-0000-0000E5730000}"/>
    <cellStyle name="Total 6 2 3 4 5" xfId="23308" xr:uid="{00000000-0005-0000-0000-0000E6730000}"/>
    <cellStyle name="Total 6 2 3 4 6" xfId="23313" xr:uid="{00000000-0005-0000-0000-0000E7730000}"/>
    <cellStyle name="Total 6 2 3 5" xfId="3486" xr:uid="{00000000-0005-0000-0000-0000E8730000}"/>
    <cellStyle name="Total 6 2 3 5 2" xfId="20477" xr:uid="{00000000-0005-0000-0000-0000E9730000}"/>
    <cellStyle name="Total 6 2 3 5 2 2" xfId="18101" xr:uid="{00000000-0005-0000-0000-0000EA730000}"/>
    <cellStyle name="Total 6 2 3 5 2 3" xfId="18104" xr:uid="{00000000-0005-0000-0000-0000EB730000}"/>
    <cellStyle name="Total 6 2 3 5 2 4" xfId="19426" xr:uid="{00000000-0005-0000-0000-0000EC730000}"/>
    <cellStyle name="Total 6 2 3 5 3" xfId="30576" xr:uid="{00000000-0005-0000-0000-0000ED730000}"/>
    <cellStyle name="Total 6 2 3 5 4" xfId="30577" xr:uid="{00000000-0005-0000-0000-0000EE730000}"/>
    <cellStyle name="Total 6 2 3 5 5" xfId="23317" xr:uid="{00000000-0005-0000-0000-0000EF730000}"/>
    <cellStyle name="Total 6 2 3 6" xfId="30578" xr:uid="{00000000-0005-0000-0000-0000F0730000}"/>
    <cellStyle name="Total 6 2 3 6 2" xfId="28618" xr:uid="{00000000-0005-0000-0000-0000F1730000}"/>
    <cellStyle name="Total 6 2 3 6 3" xfId="28620" xr:uid="{00000000-0005-0000-0000-0000F2730000}"/>
    <cellStyle name="Total 6 2 3 6 4" xfId="30579" xr:uid="{00000000-0005-0000-0000-0000F3730000}"/>
    <cellStyle name="Total 6 2 3 7" xfId="30580" xr:uid="{00000000-0005-0000-0000-0000F4730000}"/>
    <cellStyle name="Total 6 2 3 8" xfId="30581" xr:uid="{00000000-0005-0000-0000-0000F5730000}"/>
    <cellStyle name="Total 6 2 3 9" xfId="30582" xr:uid="{00000000-0005-0000-0000-0000F6730000}"/>
    <cellStyle name="Total 6 2 4" xfId="10699" xr:uid="{00000000-0005-0000-0000-0000F7730000}"/>
    <cellStyle name="Total 6 2 4 2" xfId="3584" xr:uid="{00000000-0005-0000-0000-0000F8730000}"/>
    <cellStyle name="Total 6 2 4 2 2" xfId="25435" xr:uid="{00000000-0005-0000-0000-0000F9730000}"/>
    <cellStyle name="Total 6 2 4 2 2 2" xfId="24687" xr:uid="{00000000-0005-0000-0000-0000FA730000}"/>
    <cellStyle name="Total 6 2 4 2 2 2 2" xfId="24690" xr:uid="{00000000-0005-0000-0000-0000FB730000}"/>
    <cellStyle name="Total 6 2 4 2 2 2 2 2" xfId="30583" xr:uid="{00000000-0005-0000-0000-0000FC730000}"/>
    <cellStyle name="Total 6 2 4 2 2 2 2 3" xfId="30584" xr:uid="{00000000-0005-0000-0000-0000FD730000}"/>
    <cellStyle name="Total 6 2 4 2 2 2 2 4" xfId="3636" xr:uid="{00000000-0005-0000-0000-0000FE730000}"/>
    <cellStyle name="Total 6 2 4 2 2 2 3" xfId="24692" xr:uid="{00000000-0005-0000-0000-0000FF730000}"/>
    <cellStyle name="Total 6 2 4 2 2 2 4" xfId="24694" xr:uid="{00000000-0005-0000-0000-000000740000}"/>
    <cellStyle name="Total 6 2 4 2 2 2 5" xfId="25944" xr:uid="{00000000-0005-0000-0000-000001740000}"/>
    <cellStyle name="Total 6 2 4 2 2 3" xfId="24697" xr:uid="{00000000-0005-0000-0000-000002740000}"/>
    <cellStyle name="Total 6 2 4 2 2 3 2" xfId="30585" xr:uid="{00000000-0005-0000-0000-000003740000}"/>
    <cellStyle name="Total 6 2 4 2 2 3 3" xfId="30586" xr:uid="{00000000-0005-0000-0000-000004740000}"/>
    <cellStyle name="Total 6 2 4 2 2 3 4" xfId="30587" xr:uid="{00000000-0005-0000-0000-000005740000}"/>
    <cellStyle name="Total 6 2 4 2 2 4" xfId="24700" xr:uid="{00000000-0005-0000-0000-000006740000}"/>
    <cellStyle name="Total 6 2 4 2 2 5" xfId="24702" xr:uid="{00000000-0005-0000-0000-000007740000}"/>
    <cellStyle name="Total 6 2 4 2 2 6" xfId="30588" xr:uid="{00000000-0005-0000-0000-000008740000}"/>
    <cellStyle name="Total 6 2 4 2 3" xfId="25437" xr:uid="{00000000-0005-0000-0000-000009740000}"/>
    <cellStyle name="Total 6 2 4 2 3 2" xfId="24732" xr:uid="{00000000-0005-0000-0000-00000A740000}"/>
    <cellStyle name="Total 6 2 4 2 3 2 2" xfId="30589" xr:uid="{00000000-0005-0000-0000-00000B740000}"/>
    <cellStyle name="Total 6 2 4 2 3 2 3" xfId="30590" xr:uid="{00000000-0005-0000-0000-00000C740000}"/>
    <cellStyle name="Total 6 2 4 2 3 2 4" xfId="30591" xr:uid="{00000000-0005-0000-0000-00000D740000}"/>
    <cellStyle name="Total 6 2 4 2 3 3" xfId="24736" xr:uid="{00000000-0005-0000-0000-00000E740000}"/>
    <cellStyle name="Total 6 2 4 2 3 4" xfId="24739" xr:uid="{00000000-0005-0000-0000-00000F740000}"/>
    <cellStyle name="Total 6 2 4 2 3 5" xfId="30592" xr:uid="{00000000-0005-0000-0000-000010740000}"/>
    <cellStyle name="Total 6 2 4 2 4" xfId="30593" xr:uid="{00000000-0005-0000-0000-000011740000}"/>
    <cellStyle name="Total 6 2 4 2 4 2" xfId="24756" xr:uid="{00000000-0005-0000-0000-000012740000}"/>
    <cellStyle name="Total 6 2 4 2 4 3" xfId="24758" xr:uid="{00000000-0005-0000-0000-000013740000}"/>
    <cellStyle name="Total 6 2 4 2 4 4" xfId="30594" xr:uid="{00000000-0005-0000-0000-000014740000}"/>
    <cellStyle name="Total 6 2 4 2 5" xfId="30595" xr:uid="{00000000-0005-0000-0000-000015740000}"/>
    <cellStyle name="Total 6 2 4 2 6" xfId="30596" xr:uid="{00000000-0005-0000-0000-000016740000}"/>
    <cellStyle name="Total 6 2 4 2 7" xfId="30597" xr:uid="{00000000-0005-0000-0000-000017740000}"/>
    <cellStyle name="Total 6 2 4 3" xfId="3592" xr:uid="{00000000-0005-0000-0000-000018740000}"/>
    <cellStyle name="Total 6 2 4 3 2" xfId="25441" xr:uid="{00000000-0005-0000-0000-000019740000}"/>
    <cellStyle name="Total 6 2 4 3 2 2" xfId="4083" xr:uid="{00000000-0005-0000-0000-00001A740000}"/>
    <cellStyle name="Total 6 2 4 3 2 2 2" xfId="25309" xr:uid="{00000000-0005-0000-0000-00001B740000}"/>
    <cellStyle name="Total 6 2 4 3 2 2 3" xfId="25311" xr:uid="{00000000-0005-0000-0000-00001C740000}"/>
    <cellStyle name="Total 6 2 4 3 2 2 4" xfId="25313" xr:uid="{00000000-0005-0000-0000-00001D740000}"/>
    <cellStyle name="Total 6 2 4 3 2 3" xfId="4145" xr:uid="{00000000-0005-0000-0000-00001E740000}"/>
    <cellStyle name="Total 6 2 4 3 2 4" xfId="4163" xr:uid="{00000000-0005-0000-0000-00001F740000}"/>
    <cellStyle name="Total 6 2 4 3 2 5" xfId="25316" xr:uid="{00000000-0005-0000-0000-000020740000}"/>
    <cellStyle name="Total 6 2 4 3 3" xfId="30598" xr:uid="{00000000-0005-0000-0000-000021740000}"/>
    <cellStyle name="Total 6 2 4 3 3 2" xfId="1446" xr:uid="{00000000-0005-0000-0000-000022740000}"/>
    <cellStyle name="Total 6 2 4 3 3 3" xfId="686" xr:uid="{00000000-0005-0000-0000-000023740000}"/>
    <cellStyle name="Total 6 2 4 3 3 4" xfId="25349" xr:uid="{00000000-0005-0000-0000-000024740000}"/>
    <cellStyle name="Total 6 2 4 3 4" xfId="30599" xr:uid="{00000000-0005-0000-0000-000025740000}"/>
    <cellStyle name="Total 6 2 4 3 5" xfId="30600" xr:uid="{00000000-0005-0000-0000-000026740000}"/>
    <cellStyle name="Total 6 2 4 3 6" xfId="30601" xr:uid="{00000000-0005-0000-0000-000027740000}"/>
    <cellStyle name="Total 6 2 4 4" xfId="3598" xr:uid="{00000000-0005-0000-0000-000028740000}"/>
    <cellStyle name="Total 6 2 4 4 2" xfId="2368" xr:uid="{00000000-0005-0000-0000-000029740000}"/>
    <cellStyle name="Total 6 2 4 4 2 2" xfId="4363" xr:uid="{00000000-0005-0000-0000-00002A740000}"/>
    <cellStyle name="Total 6 2 4 4 2 3" xfId="4393" xr:uid="{00000000-0005-0000-0000-00002B740000}"/>
    <cellStyle name="Total 6 2 4 4 2 4" xfId="4417" xr:uid="{00000000-0005-0000-0000-00002C740000}"/>
    <cellStyle name="Total 6 2 4 4 3" xfId="30602" xr:uid="{00000000-0005-0000-0000-00002D740000}"/>
    <cellStyle name="Total 6 2 4 4 4" xfId="30603" xr:uid="{00000000-0005-0000-0000-00002E740000}"/>
    <cellStyle name="Total 6 2 4 4 5" xfId="23325" xr:uid="{00000000-0005-0000-0000-00002F740000}"/>
    <cellStyle name="Total 6 2 4 5" xfId="26843" xr:uid="{00000000-0005-0000-0000-000030740000}"/>
    <cellStyle name="Total 6 2 4 5 2" xfId="30604" xr:uid="{00000000-0005-0000-0000-000031740000}"/>
    <cellStyle name="Total 6 2 4 5 3" xfId="30605" xr:uid="{00000000-0005-0000-0000-000032740000}"/>
    <cellStyle name="Total 6 2 4 5 4" xfId="30606" xr:uid="{00000000-0005-0000-0000-000033740000}"/>
    <cellStyle name="Total 6 2 4 6" xfId="26845" xr:uid="{00000000-0005-0000-0000-000034740000}"/>
    <cellStyle name="Total 6 2 4 7" xfId="14228" xr:uid="{00000000-0005-0000-0000-000035740000}"/>
    <cellStyle name="Total 6 2 4 8" xfId="14231" xr:uid="{00000000-0005-0000-0000-000036740000}"/>
    <cellStyle name="Total 6 2 5" xfId="10706" xr:uid="{00000000-0005-0000-0000-000037740000}"/>
    <cellStyle name="Total 6 2 5 2" xfId="2938" xr:uid="{00000000-0005-0000-0000-000038740000}"/>
    <cellStyle name="Total 6 2 5 2 2" xfId="25446" xr:uid="{00000000-0005-0000-0000-000039740000}"/>
    <cellStyle name="Total 6 2 5 2 2 2" xfId="6383" xr:uid="{00000000-0005-0000-0000-00003A740000}"/>
    <cellStyle name="Total 6 2 5 2 2 2 2" xfId="30607" xr:uid="{00000000-0005-0000-0000-00003B740000}"/>
    <cellStyle name="Total 6 2 5 2 2 2 3" xfId="6416" xr:uid="{00000000-0005-0000-0000-00003C740000}"/>
    <cellStyle name="Total 6 2 5 2 2 2 4" xfId="6427" xr:uid="{00000000-0005-0000-0000-00003D740000}"/>
    <cellStyle name="Total 6 2 5 2 2 3" xfId="6432" xr:uid="{00000000-0005-0000-0000-00003E740000}"/>
    <cellStyle name="Total 6 2 5 2 2 4" xfId="30608" xr:uid="{00000000-0005-0000-0000-00003F740000}"/>
    <cellStyle name="Total 6 2 5 2 2 5" xfId="30609" xr:uid="{00000000-0005-0000-0000-000040740000}"/>
    <cellStyle name="Total 6 2 5 2 3" xfId="30610" xr:uid="{00000000-0005-0000-0000-000041740000}"/>
    <cellStyle name="Total 6 2 5 2 3 2" xfId="6476" xr:uid="{00000000-0005-0000-0000-000042740000}"/>
    <cellStyle name="Total 6 2 5 2 3 3" xfId="30611" xr:uid="{00000000-0005-0000-0000-000043740000}"/>
    <cellStyle name="Total 6 2 5 2 3 4" xfId="30612" xr:uid="{00000000-0005-0000-0000-000044740000}"/>
    <cellStyle name="Total 6 2 5 2 4" xfId="30613" xr:uid="{00000000-0005-0000-0000-000045740000}"/>
    <cellStyle name="Total 6 2 5 2 5" xfId="30614" xr:uid="{00000000-0005-0000-0000-000046740000}"/>
    <cellStyle name="Total 6 2 5 2 6" xfId="30615" xr:uid="{00000000-0005-0000-0000-000047740000}"/>
    <cellStyle name="Total 6 2 5 3" xfId="2950" xr:uid="{00000000-0005-0000-0000-000048740000}"/>
    <cellStyle name="Total 6 2 5 3 2" xfId="30616" xr:uid="{00000000-0005-0000-0000-000049740000}"/>
    <cellStyle name="Total 6 2 5 3 2 2" xfId="6676" xr:uid="{00000000-0005-0000-0000-00004A740000}"/>
    <cellStyle name="Total 6 2 5 3 2 3" xfId="5703" xr:uid="{00000000-0005-0000-0000-00004B740000}"/>
    <cellStyle name="Total 6 2 5 3 2 4" xfId="5728" xr:uid="{00000000-0005-0000-0000-00004C740000}"/>
    <cellStyle name="Total 6 2 5 3 3" xfId="30617" xr:uid="{00000000-0005-0000-0000-00004D740000}"/>
    <cellStyle name="Total 6 2 5 3 4" xfId="30618" xr:uid="{00000000-0005-0000-0000-00004E740000}"/>
    <cellStyle name="Total 6 2 5 3 5" xfId="30619" xr:uid="{00000000-0005-0000-0000-00004F740000}"/>
    <cellStyle name="Total 6 2 5 4" xfId="30620" xr:uid="{00000000-0005-0000-0000-000050740000}"/>
    <cellStyle name="Total 6 2 5 4 2" xfId="30621" xr:uid="{00000000-0005-0000-0000-000051740000}"/>
    <cellStyle name="Total 6 2 5 4 3" xfId="30622" xr:uid="{00000000-0005-0000-0000-000052740000}"/>
    <cellStyle name="Total 6 2 5 4 4" xfId="30623" xr:uid="{00000000-0005-0000-0000-000053740000}"/>
    <cellStyle name="Total 6 2 5 5" xfId="30624" xr:uid="{00000000-0005-0000-0000-000054740000}"/>
    <cellStyle name="Total 6 2 5 6" xfId="30625" xr:uid="{00000000-0005-0000-0000-000055740000}"/>
    <cellStyle name="Total 6 2 5 7" xfId="30626" xr:uid="{00000000-0005-0000-0000-000056740000}"/>
    <cellStyle name="Total 6 2 6" xfId="20161" xr:uid="{00000000-0005-0000-0000-000057740000}"/>
    <cellStyle name="Total 6 2 6 2" xfId="3110" xr:uid="{00000000-0005-0000-0000-000058740000}"/>
    <cellStyle name="Total 6 2 6 2 2" xfId="30627" xr:uid="{00000000-0005-0000-0000-000059740000}"/>
    <cellStyle name="Total 6 2 6 2 2 2" xfId="29847" xr:uid="{00000000-0005-0000-0000-00005A740000}"/>
    <cellStyle name="Total 6 2 6 2 2 3" xfId="30629" xr:uid="{00000000-0005-0000-0000-00005B740000}"/>
    <cellStyle name="Total 6 2 6 2 2 4" xfId="30631" xr:uid="{00000000-0005-0000-0000-00005C740000}"/>
    <cellStyle name="Total 6 2 6 2 3" xfId="30632" xr:uid="{00000000-0005-0000-0000-00005D740000}"/>
    <cellStyle name="Total 6 2 6 2 4" xfId="30633" xr:uid="{00000000-0005-0000-0000-00005E740000}"/>
    <cellStyle name="Total 6 2 6 2 5" xfId="30634" xr:uid="{00000000-0005-0000-0000-00005F740000}"/>
    <cellStyle name="Total 6 2 6 3" xfId="30635" xr:uid="{00000000-0005-0000-0000-000060740000}"/>
    <cellStyle name="Total 6 2 6 3 2" xfId="27285" xr:uid="{00000000-0005-0000-0000-000061740000}"/>
    <cellStyle name="Total 6 2 6 3 3" xfId="27296" xr:uid="{00000000-0005-0000-0000-000062740000}"/>
    <cellStyle name="Total 6 2 6 3 4" xfId="27300" xr:uid="{00000000-0005-0000-0000-000063740000}"/>
    <cellStyle name="Total 6 2 6 4" xfId="6303" xr:uid="{00000000-0005-0000-0000-000064740000}"/>
    <cellStyle name="Total 6 2 6 5" xfId="7521" xr:uid="{00000000-0005-0000-0000-000065740000}"/>
    <cellStyle name="Total 6 2 6 6" xfId="6958" xr:uid="{00000000-0005-0000-0000-000066740000}"/>
    <cellStyle name="Total 6 2 7" xfId="28499" xr:uid="{00000000-0005-0000-0000-000067740000}"/>
    <cellStyle name="Total 6 2 7 2" xfId="28501" xr:uid="{00000000-0005-0000-0000-000068740000}"/>
    <cellStyle name="Total 6 2 7 2 2" xfId="23087" xr:uid="{00000000-0005-0000-0000-000069740000}"/>
    <cellStyle name="Total 6 2 7 2 3" xfId="8926" xr:uid="{00000000-0005-0000-0000-00006A740000}"/>
    <cellStyle name="Total 6 2 7 2 4" xfId="8941" xr:uid="{00000000-0005-0000-0000-00006B740000}"/>
    <cellStyle name="Total 6 2 7 3" xfId="28503" xr:uid="{00000000-0005-0000-0000-00006C740000}"/>
    <cellStyle name="Total 6 2 7 4" xfId="12381" xr:uid="{00000000-0005-0000-0000-00006D740000}"/>
    <cellStyle name="Total 6 2 7 5" xfId="12389" xr:uid="{00000000-0005-0000-0000-00006E740000}"/>
    <cellStyle name="Total 6 2 8" xfId="15738" xr:uid="{00000000-0005-0000-0000-00006F740000}"/>
    <cellStyle name="Total 6 2 8 2" xfId="1213" xr:uid="{00000000-0005-0000-0000-000070740000}"/>
    <cellStyle name="Total 6 2 8 3" xfId="1220" xr:uid="{00000000-0005-0000-0000-000071740000}"/>
    <cellStyle name="Total 6 2 8 4" xfId="8349" xr:uid="{00000000-0005-0000-0000-000072740000}"/>
    <cellStyle name="Total 6 2 9" xfId="15743" xr:uid="{00000000-0005-0000-0000-000073740000}"/>
    <cellStyle name="Total 6 3" xfId="12013" xr:uid="{00000000-0005-0000-0000-000074740000}"/>
    <cellStyle name="Total 6 3 2" xfId="10261" xr:uid="{00000000-0005-0000-0000-000075740000}"/>
    <cellStyle name="Total 6 3 2 2" xfId="20163" xr:uid="{00000000-0005-0000-0000-000076740000}"/>
    <cellStyle name="Total 6 3 2 2 2" xfId="11864" xr:uid="{00000000-0005-0000-0000-000077740000}"/>
    <cellStyle name="Total 6 3 2 2 2 2" xfId="6010" xr:uid="{00000000-0005-0000-0000-000078740000}"/>
    <cellStyle name="Total 6 3 2 2 2 2 2" xfId="30636" xr:uid="{00000000-0005-0000-0000-000079740000}"/>
    <cellStyle name="Total 6 3 2 2 2 2 2 2" xfId="30637" xr:uid="{00000000-0005-0000-0000-00007A740000}"/>
    <cellStyle name="Total 6 3 2 2 2 2 2 3" xfId="30638" xr:uid="{00000000-0005-0000-0000-00007B740000}"/>
    <cellStyle name="Total 6 3 2 2 2 2 2 4" xfId="30639" xr:uid="{00000000-0005-0000-0000-00007C740000}"/>
    <cellStyle name="Total 6 3 2 2 2 2 3" xfId="30640" xr:uid="{00000000-0005-0000-0000-00007D740000}"/>
    <cellStyle name="Total 6 3 2 2 2 2 4" xfId="30641" xr:uid="{00000000-0005-0000-0000-00007E740000}"/>
    <cellStyle name="Total 6 3 2 2 2 2 5" xfId="30642" xr:uid="{00000000-0005-0000-0000-00007F740000}"/>
    <cellStyle name="Total 6 3 2 2 2 3" xfId="6018" xr:uid="{00000000-0005-0000-0000-000080740000}"/>
    <cellStyle name="Total 6 3 2 2 2 3 2" xfId="30643" xr:uid="{00000000-0005-0000-0000-000081740000}"/>
    <cellStyle name="Total 6 3 2 2 2 3 3" xfId="30644" xr:uid="{00000000-0005-0000-0000-000082740000}"/>
    <cellStyle name="Total 6 3 2 2 2 3 4" xfId="30645" xr:uid="{00000000-0005-0000-0000-000083740000}"/>
    <cellStyle name="Total 6 3 2 2 2 4" xfId="15319" xr:uid="{00000000-0005-0000-0000-000084740000}"/>
    <cellStyle name="Total 6 3 2 2 2 5" xfId="30646" xr:uid="{00000000-0005-0000-0000-000085740000}"/>
    <cellStyle name="Total 6 3 2 2 2 6" xfId="30649" xr:uid="{00000000-0005-0000-0000-000086740000}"/>
    <cellStyle name="Total 6 3 2 2 3" xfId="25465" xr:uid="{00000000-0005-0000-0000-000087740000}"/>
    <cellStyle name="Total 6 3 2 2 3 2" xfId="6064" xr:uid="{00000000-0005-0000-0000-000088740000}"/>
    <cellStyle name="Total 6 3 2 2 3 2 2" xfId="30650" xr:uid="{00000000-0005-0000-0000-000089740000}"/>
    <cellStyle name="Total 6 3 2 2 3 2 3" xfId="30651" xr:uid="{00000000-0005-0000-0000-00008A740000}"/>
    <cellStyle name="Total 6 3 2 2 3 2 4" xfId="30652" xr:uid="{00000000-0005-0000-0000-00008B740000}"/>
    <cellStyle name="Total 6 3 2 2 3 3" xfId="14828" xr:uid="{00000000-0005-0000-0000-00008C740000}"/>
    <cellStyle name="Total 6 3 2 2 3 4" xfId="30653" xr:uid="{00000000-0005-0000-0000-00008D740000}"/>
    <cellStyle name="Total 6 3 2 2 3 5" xfId="30654" xr:uid="{00000000-0005-0000-0000-00008E740000}"/>
    <cellStyle name="Total 6 3 2 2 4" xfId="25467" xr:uid="{00000000-0005-0000-0000-00008F740000}"/>
    <cellStyle name="Total 6 3 2 2 4 2" xfId="27986" xr:uid="{00000000-0005-0000-0000-000090740000}"/>
    <cellStyle name="Total 6 3 2 2 4 3" xfId="30655" xr:uid="{00000000-0005-0000-0000-000091740000}"/>
    <cellStyle name="Total 6 3 2 2 4 4" xfId="30656" xr:uid="{00000000-0005-0000-0000-000092740000}"/>
    <cellStyle name="Total 6 3 2 2 5" xfId="25469" xr:uid="{00000000-0005-0000-0000-000093740000}"/>
    <cellStyle name="Total 6 3 2 2 6" xfId="30657" xr:uid="{00000000-0005-0000-0000-000094740000}"/>
    <cellStyle name="Total 6 3 2 2 7" xfId="30658" xr:uid="{00000000-0005-0000-0000-000095740000}"/>
    <cellStyle name="Total 6 3 2 3" xfId="20166" xr:uid="{00000000-0005-0000-0000-000096740000}"/>
    <cellStyle name="Total 6 3 2 3 2" xfId="25478" xr:uid="{00000000-0005-0000-0000-000097740000}"/>
    <cellStyle name="Total 6 3 2 3 2 2" xfId="2362" xr:uid="{00000000-0005-0000-0000-000098740000}"/>
    <cellStyle name="Total 6 3 2 3 2 2 2" xfId="30659" xr:uid="{00000000-0005-0000-0000-000099740000}"/>
    <cellStyle name="Total 6 3 2 3 2 2 3" xfId="30660" xr:uid="{00000000-0005-0000-0000-00009A740000}"/>
    <cellStyle name="Total 6 3 2 3 2 2 4" xfId="19613" xr:uid="{00000000-0005-0000-0000-00009B740000}"/>
    <cellStyle name="Total 6 3 2 3 2 3" xfId="12624" xr:uid="{00000000-0005-0000-0000-00009C740000}"/>
    <cellStyle name="Total 6 3 2 3 2 4" xfId="12627" xr:uid="{00000000-0005-0000-0000-00009D740000}"/>
    <cellStyle name="Total 6 3 2 3 2 5" xfId="12629" xr:uid="{00000000-0005-0000-0000-00009E740000}"/>
    <cellStyle name="Total 6 3 2 3 3" xfId="25480" xr:uid="{00000000-0005-0000-0000-00009F740000}"/>
    <cellStyle name="Total 6 3 2 3 3 2" xfId="2403" xr:uid="{00000000-0005-0000-0000-0000A0740000}"/>
    <cellStyle name="Total 6 3 2 3 3 3" xfId="2425" xr:uid="{00000000-0005-0000-0000-0000A1740000}"/>
    <cellStyle name="Total 6 3 2 3 3 4" xfId="2440" xr:uid="{00000000-0005-0000-0000-0000A2740000}"/>
    <cellStyle name="Total 6 3 2 3 4" xfId="25482" xr:uid="{00000000-0005-0000-0000-0000A3740000}"/>
    <cellStyle name="Total 6 3 2 3 5" xfId="30661" xr:uid="{00000000-0005-0000-0000-0000A4740000}"/>
    <cellStyle name="Total 6 3 2 3 6" xfId="30662" xr:uid="{00000000-0005-0000-0000-0000A5740000}"/>
    <cellStyle name="Total 6 3 2 4" xfId="20169" xr:uid="{00000000-0005-0000-0000-0000A6740000}"/>
    <cellStyle name="Total 6 3 2 4 2" xfId="20517" xr:uid="{00000000-0005-0000-0000-0000A7740000}"/>
    <cellStyle name="Total 6 3 2 4 2 2" xfId="30663" xr:uid="{00000000-0005-0000-0000-0000A8740000}"/>
    <cellStyle name="Total 6 3 2 4 2 3" xfId="19532" xr:uid="{00000000-0005-0000-0000-0000A9740000}"/>
    <cellStyle name="Total 6 3 2 4 2 4" xfId="19538" xr:uid="{00000000-0005-0000-0000-0000AA740000}"/>
    <cellStyle name="Total 6 3 2 4 3" xfId="20521" xr:uid="{00000000-0005-0000-0000-0000AB740000}"/>
    <cellStyle name="Total 6 3 2 4 4" xfId="30664" xr:uid="{00000000-0005-0000-0000-0000AC740000}"/>
    <cellStyle name="Total 6 3 2 4 5" xfId="30665" xr:uid="{00000000-0005-0000-0000-0000AD740000}"/>
    <cellStyle name="Total 6 3 2 5" xfId="30666" xr:uid="{00000000-0005-0000-0000-0000AE740000}"/>
    <cellStyle name="Total 6 3 2 5 2" xfId="20531" xr:uid="{00000000-0005-0000-0000-0000AF740000}"/>
    <cellStyle name="Total 6 3 2 5 3" xfId="30667" xr:uid="{00000000-0005-0000-0000-0000B0740000}"/>
    <cellStyle name="Total 6 3 2 5 4" xfId="30668" xr:uid="{00000000-0005-0000-0000-0000B1740000}"/>
    <cellStyle name="Total 6 3 2 6" xfId="30669" xr:uid="{00000000-0005-0000-0000-0000B2740000}"/>
    <cellStyle name="Total 6 3 2 7" xfId="30670" xr:uid="{00000000-0005-0000-0000-0000B3740000}"/>
    <cellStyle name="Total 6 3 2 8" xfId="30671" xr:uid="{00000000-0005-0000-0000-0000B4740000}"/>
    <cellStyle name="Total 6 3 3" xfId="10739" xr:uid="{00000000-0005-0000-0000-0000B5740000}"/>
    <cellStyle name="Total 6 3 3 2" xfId="3654" xr:uid="{00000000-0005-0000-0000-0000B6740000}"/>
    <cellStyle name="Total 6 3 3 2 2" xfId="25493" xr:uid="{00000000-0005-0000-0000-0000B7740000}"/>
    <cellStyle name="Total 6 3 3 2 2 2" xfId="6351" xr:uid="{00000000-0005-0000-0000-0000B8740000}"/>
    <cellStyle name="Total 6 3 3 2 2 2 2" xfId="30672" xr:uid="{00000000-0005-0000-0000-0000B9740000}"/>
    <cellStyle name="Total 6 3 3 2 2 2 3" xfId="30673" xr:uid="{00000000-0005-0000-0000-0000BA740000}"/>
    <cellStyle name="Total 6 3 3 2 2 2 4" xfId="30674" xr:uid="{00000000-0005-0000-0000-0000BB740000}"/>
    <cellStyle name="Total 6 3 3 2 2 3" xfId="7550" xr:uid="{00000000-0005-0000-0000-0000BC740000}"/>
    <cellStyle name="Total 6 3 3 2 2 4" xfId="30675" xr:uid="{00000000-0005-0000-0000-0000BD740000}"/>
    <cellStyle name="Total 6 3 3 2 2 5" xfId="30676" xr:uid="{00000000-0005-0000-0000-0000BE740000}"/>
    <cellStyle name="Total 6 3 3 2 3" xfId="25495" xr:uid="{00000000-0005-0000-0000-0000BF740000}"/>
    <cellStyle name="Total 6 3 3 2 3 2" xfId="9848" xr:uid="{00000000-0005-0000-0000-0000C0740000}"/>
    <cellStyle name="Total 6 3 3 2 3 3" xfId="30677" xr:uid="{00000000-0005-0000-0000-0000C1740000}"/>
    <cellStyle name="Total 6 3 3 2 3 4" xfId="30678" xr:uid="{00000000-0005-0000-0000-0000C2740000}"/>
    <cellStyle name="Total 6 3 3 2 4" xfId="25497" xr:uid="{00000000-0005-0000-0000-0000C3740000}"/>
    <cellStyle name="Total 6 3 3 2 5" xfId="30679" xr:uid="{00000000-0005-0000-0000-0000C4740000}"/>
    <cellStyle name="Total 6 3 3 2 6" xfId="30680" xr:uid="{00000000-0005-0000-0000-0000C5740000}"/>
    <cellStyle name="Total 6 3 3 3" xfId="3659" xr:uid="{00000000-0005-0000-0000-0000C6740000}"/>
    <cellStyle name="Total 6 3 3 3 2" xfId="25501" xr:uid="{00000000-0005-0000-0000-0000C7740000}"/>
    <cellStyle name="Total 6 3 3 3 2 2" xfId="9989" xr:uid="{00000000-0005-0000-0000-0000C8740000}"/>
    <cellStyle name="Total 6 3 3 3 2 3" xfId="9997" xr:uid="{00000000-0005-0000-0000-0000C9740000}"/>
    <cellStyle name="Total 6 3 3 3 2 4" xfId="11932" xr:uid="{00000000-0005-0000-0000-0000CA740000}"/>
    <cellStyle name="Total 6 3 3 3 3" xfId="25503" xr:uid="{00000000-0005-0000-0000-0000CB740000}"/>
    <cellStyle name="Total 6 3 3 3 4" xfId="30681" xr:uid="{00000000-0005-0000-0000-0000CC740000}"/>
    <cellStyle name="Total 6 3 3 3 5" xfId="30682" xr:uid="{00000000-0005-0000-0000-0000CD740000}"/>
    <cellStyle name="Total 6 3 3 4" xfId="3665" xr:uid="{00000000-0005-0000-0000-0000CE740000}"/>
    <cellStyle name="Total 6 3 3 4 2" xfId="20550" xr:uid="{00000000-0005-0000-0000-0000CF740000}"/>
    <cellStyle name="Total 6 3 3 4 3" xfId="30683" xr:uid="{00000000-0005-0000-0000-0000D0740000}"/>
    <cellStyle name="Total 6 3 3 4 4" xfId="30684" xr:uid="{00000000-0005-0000-0000-0000D1740000}"/>
    <cellStyle name="Total 6 3 3 5" xfId="30685" xr:uid="{00000000-0005-0000-0000-0000D2740000}"/>
    <cellStyle name="Total 6 3 3 6" xfId="30686" xr:uid="{00000000-0005-0000-0000-0000D3740000}"/>
    <cellStyle name="Total 6 3 3 7" xfId="30687" xr:uid="{00000000-0005-0000-0000-0000D4740000}"/>
    <cellStyle name="Total 6 3 4" xfId="10749" xr:uid="{00000000-0005-0000-0000-0000D5740000}"/>
    <cellStyle name="Total 6 3 4 2" xfId="3720" xr:uid="{00000000-0005-0000-0000-0000D6740000}"/>
    <cellStyle name="Total 6 3 4 2 2" xfId="25511" xr:uid="{00000000-0005-0000-0000-0000D7740000}"/>
    <cellStyle name="Total 6 3 4 2 2 2" xfId="10233" xr:uid="{00000000-0005-0000-0000-0000D8740000}"/>
    <cellStyle name="Total 6 3 4 2 2 3" xfId="11713" xr:uid="{00000000-0005-0000-0000-0000D9740000}"/>
    <cellStyle name="Total 6 3 4 2 2 4" xfId="30258" xr:uid="{00000000-0005-0000-0000-0000DA740000}"/>
    <cellStyle name="Total 6 3 4 2 3" xfId="25513" xr:uid="{00000000-0005-0000-0000-0000DB740000}"/>
    <cellStyle name="Total 6 3 4 2 4" xfId="30688" xr:uid="{00000000-0005-0000-0000-0000DC740000}"/>
    <cellStyle name="Total 6 3 4 2 5" xfId="30689" xr:uid="{00000000-0005-0000-0000-0000DD740000}"/>
    <cellStyle name="Total 6 3 4 3" xfId="268" xr:uid="{00000000-0005-0000-0000-0000DE740000}"/>
    <cellStyle name="Total 6 3 4 3 2" xfId="25518" xr:uid="{00000000-0005-0000-0000-0000DF740000}"/>
    <cellStyle name="Total 6 3 4 3 3" xfId="30690" xr:uid="{00000000-0005-0000-0000-0000E0740000}"/>
    <cellStyle name="Total 6 3 4 3 4" xfId="30691" xr:uid="{00000000-0005-0000-0000-0000E1740000}"/>
    <cellStyle name="Total 6 3 4 4" xfId="29038" xr:uid="{00000000-0005-0000-0000-0000E2740000}"/>
    <cellStyle name="Total 6 3 4 5" xfId="29040" xr:uid="{00000000-0005-0000-0000-0000E3740000}"/>
    <cellStyle name="Total 6 3 4 6" xfId="29042" xr:uid="{00000000-0005-0000-0000-0000E4740000}"/>
    <cellStyle name="Total 6 3 5" xfId="20171" xr:uid="{00000000-0005-0000-0000-0000E5740000}"/>
    <cellStyle name="Total 6 3 5 2" xfId="747" xr:uid="{00000000-0005-0000-0000-0000E6740000}"/>
    <cellStyle name="Total 6 3 5 2 2" xfId="25523" xr:uid="{00000000-0005-0000-0000-0000E7740000}"/>
    <cellStyle name="Total 6 3 5 2 3" xfId="30692" xr:uid="{00000000-0005-0000-0000-0000E8740000}"/>
    <cellStyle name="Total 6 3 5 2 4" xfId="30693" xr:uid="{00000000-0005-0000-0000-0000E9740000}"/>
    <cellStyle name="Total 6 3 5 3" xfId="30694" xr:uid="{00000000-0005-0000-0000-0000EA740000}"/>
    <cellStyle name="Total 6 3 5 4" xfId="30695" xr:uid="{00000000-0005-0000-0000-0000EB740000}"/>
    <cellStyle name="Total 6 3 5 5" xfId="30696" xr:uid="{00000000-0005-0000-0000-0000EC740000}"/>
    <cellStyle name="Total 6 3 6" xfId="30697" xr:uid="{00000000-0005-0000-0000-0000ED740000}"/>
    <cellStyle name="Total 6 3 6 2" xfId="17641" xr:uid="{00000000-0005-0000-0000-0000EE740000}"/>
    <cellStyle name="Total 6 3 6 3" xfId="17648" xr:uid="{00000000-0005-0000-0000-0000EF740000}"/>
    <cellStyle name="Total 6 3 6 4" xfId="12416" xr:uid="{00000000-0005-0000-0000-0000F0740000}"/>
    <cellStyle name="Total 6 3 7" xfId="28506" xr:uid="{00000000-0005-0000-0000-0000F1740000}"/>
    <cellStyle name="Total 6 3 8" xfId="13935" xr:uid="{00000000-0005-0000-0000-0000F2740000}"/>
    <cellStyle name="Total 6 3 9" xfId="13963" xr:uid="{00000000-0005-0000-0000-0000F3740000}"/>
    <cellStyle name="Total 6 4" xfId="4793" xr:uid="{00000000-0005-0000-0000-0000F4740000}"/>
    <cellStyle name="Total 6 4 2" xfId="4800" xr:uid="{00000000-0005-0000-0000-0000F5740000}"/>
    <cellStyle name="Total 6 4 2 2" xfId="4806" xr:uid="{00000000-0005-0000-0000-0000F6740000}"/>
    <cellStyle name="Total 6 4 2 2 2" xfId="3999" xr:uid="{00000000-0005-0000-0000-0000F7740000}"/>
    <cellStyle name="Total 6 4 2 2 2 2" xfId="16142" xr:uid="{00000000-0005-0000-0000-0000F8740000}"/>
    <cellStyle name="Total 6 4 2 2 2 2 2" xfId="30698" xr:uid="{00000000-0005-0000-0000-0000F9740000}"/>
    <cellStyle name="Total 6 4 2 2 2 2 2 2" xfId="29291" xr:uid="{00000000-0005-0000-0000-0000FA740000}"/>
    <cellStyle name="Total 6 4 2 2 2 2 2 3" xfId="29293" xr:uid="{00000000-0005-0000-0000-0000FB740000}"/>
    <cellStyle name="Total 6 4 2 2 2 2 2 4" xfId="30699" xr:uid="{00000000-0005-0000-0000-0000FC740000}"/>
    <cellStyle name="Total 6 4 2 2 2 2 3" xfId="30700" xr:uid="{00000000-0005-0000-0000-0000FD740000}"/>
    <cellStyle name="Total 6 4 2 2 2 2 4" xfId="28111" xr:uid="{00000000-0005-0000-0000-0000FE740000}"/>
    <cellStyle name="Total 6 4 2 2 2 2 5" xfId="28114" xr:uid="{00000000-0005-0000-0000-0000FF740000}"/>
    <cellStyle name="Total 6 4 2 2 2 3" xfId="16144" xr:uid="{00000000-0005-0000-0000-000000750000}"/>
    <cellStyle name="Total 6 4 2 2 2 3 2" xfId="17410" xr:uid="{00000000-0005-0000-0000-000001750000}"/>
    <cellStyle name="Total 6 4 2 2 2 3 3" xfId="17412" xr:uid="{00000000-0005-0000-0000-000002750000}"/>
    <cellStyle name="Total 6 4 2 2 2 3 4" xfId="28122" xr:uid="{00000000-0005-0000-0000-000003750000}"/>
    <cellStyle name="Total 6 4 2 2 2 4" xfId="16149" xr:uid="{00000000-0005-0000-0000-000004750000}"/>
    <cellStyle name="Total 6 4 2 2 2 5" xfId="17198" xr:uid="{00000000-0005-0000-0000-000005750000}"/>
    <cellStyle name="Total 6 4 2 2 2 6" xfId="17433" xr:uid="{00000000-0005-0000-0000-000006750000}"/>
    <cellStyle name="Total 6 4 2 2 3" xfId="4814" xr:uid="{00000000-0005-0000-0000-000007750000}"/>
    <cellStyle name="Total 6 4 2 2 3 2" xfId="16157" xr:uid="{00000000-0005-0000-0000-000008750000}"/>
    <cellStyle name="Total 6 4 2 2 3 2 2" xfId="28456" xr:uid="{00000000-0005-0000-0000-000009750000}"/>
    <cellStyle name="Total 6 4 2 2 3 2 3" xfId="30701" xr:uid="{00000000-0005-0000-0000-00000A750000}"/>
    <cellStyle name="Total 6 4 2 2 3 2 4" xfId="28133" xr:uid="{00000000-0005-0000-0000-00000B750000}"/>
    <cellStyle name="Total 6 4 2 2 3 3" xfId="16159" xr:uid="{00000000-0005-0000-0000-00000C750000}"/>
    <cellStyle name="Total 6 4 2 2 3 4" xfId="30702" xr:uid="{00000000-0005-0000-0000-00000D750000}"/>
    <cellStyle name="Total 6 4 2 2 3 5" xfId="30703" xr:uid="{00000000-0005-0000-0000-00000E750000}"/>
    <cellStyle name="Total 6 4 2 2 4" xfId="4823" xr:uid="{00000000-0005-0000-0000-00000F750000}"/>
    <cellStyle name="Total 6 4 2 2 4 2" xfId="30704" xr:uid="{00000000-0005-0000-0000-000010750000}"/>
    <cellStyle name="Total 6 4 2 2 4 3" xfId="30705" xr:uid="{00000000-0005-0000-0000-000011750000}"/>
    <cellStyle name="Total 6 4 2 2 4 4" xfId="30706" xr:uid="{00000000-0005-0000-0000-000012750000}"/>
    <cellStyle name="Total 6 4 2 2 5" xfId="7860" xr:uid="{00000000-0005-0000-0000-000013750000}"/>
    <cellStyle name="Total 6 4 2 2 6" xfId="30707" xr:uid="{00000000-0005-0000-0000-000014750000}"/>
    <cellStyle name="Total 6 4 2 2 7" xfId="30708" xr:uid="{00000000-0005-0000-0000-000015750000}"/>
    <cellStyle name="Total 6 4 2 3" xfId="4827" xr:uid="{00000000-0005-0000-0000-000016750000}"/>
    <cellStyle name="Total 6 4 2 3 2" xfId="25545" xr:uid="{00000000-0005-0000-0000-000017750000}"/>
    <cellStyle name="Total 6 4 2 3 2 2" xfId="16177" xr:uid="{00000000-0005-0000-0000-000018750000}"/>
    <cellStyle name="Total 6 4 2 3 2 2 2" xfId="30709" xr:uid="{00000000-0005-0000-0000-000019750000}"/>
    <cellStyle name="Total 6 4 2 3 2 2 3" xfId="30710" xr:uid="{00000000-0005-0000-0000-00001A750000}"/>
    <cellStyle name="Total 6 4 2 3 2 2 4" xfId="28189" xr:uid="{00000000-0005-0000-0000-00001B750000}"/>
    <cellStyle name="Total 6 4 2 3 2 3" xfId="16180" xr:uid="{00000000-0005-0000-0000-00001C750000}"/>
    <cellStyle name="Total 6 4 2 3 2 4" xfId="16419" xr:uid="{00000000-0005-0000-0000-00001D750000}"/>
    <cellStyle name="Total 6 4 2 3 2 5" xfId="3342" xr:uid="{00000000-0005-0000-0000-00001E750000}"/>
    <cellStyle name="Total 6 4 2 3 3" xfId="25547" xr:uid="{00000000-0005-0000-0000-00001F750000}"/>
    <cellStyle name="Total 6 4 2 3 3 2" xfId="6591" xr:uid="{00000000-0005-0000-0000-000020750000}"/>
    <cellStyle name="Total 6 4 2 3 3 3" xfId="6604" xr:uid="{00000000-0005-0000-0000-000021750000}"/>
    <cellStyle name="Total 6 4 2 3 3 4" xfId="6610" xr:uid="{00000000-0005-0000-0000-000022750000}"/>
    <cellStyle name="Total 6 4 2 3 4" xfId="30711" xr:uid="{00000000-0005-0000-0000-000023750000}"/>
    <cellStyle name="Total 6 4 2 3 5" xfId="30712" xr:uid="{00000000-0005-0000-0000-000024750000}"/>
    <cellStyle name="Total 6 4 2 3 6" xfId="30713" xr:uid="{00000000-0005-0000-0000-000025750000}"/>
    <cellStyle name="Total 6 4 2 4" xfId="4830" xr:uid="{00000000-0005-0000-0000-000026750000}"/>
    <cellStyle name="Total 6 4 2 4 2" xfId="20577" xr:uid="{00000000-0005-0000-0000-000027750000}"/>
    <cellStyle name="Total 6 4 2 4 2 2" xfId="26442" xr:uid="{00000000-0005-0000-0000-000028750000}"/>
    <cellStyle name="Total 6 4 2 4 2 3" xfId="19617" xr:uid="{00000000-0005-0000-0000-000029750000}"/>
    <cellStyle name="Total 6 4 2 4 2 4" xfId="19623" xr:uid="{00000000-0005-0000-0000-00002A750000}"/>
    <cellStyle name="Total 6 4 2 4 3" xfId="8701" xr:uid="{00000000-0005-0000-0000-00002B750000}"/>
    <cellStyle name="Total 6 4 2 4 4" xfId="8703" xr:uid="{00000000-0005-0000-0000-00002C750000}"/>
    <cellStyle name="Total 6 4 2 4 5" xfId="8705" xr:uid="{00000000-0005-0000-0000-00002D750000}"/>
    <cellStyle name="Total 6 4 2 5" xfId="4835" xr:uid="{00000000-0005-0000-0000-00002E750000}"/>
    <cellStyle name="Total 6 4 2 5 2" xfId="18743" xr:uid="{00000000-0005-0000-0000-00002F750000}"/>
    <cellStyle name="Total 6 4 2 5 3" xfId="8710" xr:uid="{00000000-0005-0000-0000-000030750000}"/>
    <cellStyle name="Total 6 4 2 5 4" xfId="8715" xr:uid="{00000000-0005-0000-0000-000031750000}"/>
    <cellStyle name="Total 6 4 2 6" xfId="6943" xr:uid="{00000000-0005-0000-0000-000032750000}"/>
    <cellStyle name="Total 6 4 2 7" xfId="18745" xr:uid="{00000000-0005-0000-0000-000033750000}"/>
    <cellStyle name="Total 6 4 2 8" xfId="18748" xr:uid="{00000000-0005-0000-0000-000034750000}"/>
    <cellStyle name="Total 6 4 3" xfId="4841" xr:uid="{00000000-0005-0000-0000-000035750000}"/>
    <cellStyle name="Total 6 4 3 2" xfId="3770" xr:uid="{00000000-0005-0000-0000-000036750000}"/>
    <cellStyle name="Total 6 4 3 2 2" xfId="25555" xr:uid="{00000000-0005-0000-0000-000037750000}"/>
    <cellStyle name="Total 6 4 3 2 2 2" xfId="16227" xr:uid="{00000000-0005-0000-0000-000038750000}"/>
    <cellStyle name="Total 6 4 3 2 2 2 2" xfId="30018" xr:uid="{00000000-0005-0000-0000-000039750000}"/>
    <cellStyle name="Total 6 4 3 2 2 2 3" xfId="30020" xr:uid="{00000000-0005-0000-0000-00003A750000}"/>
    <cellStyle name="Total 6 4 3 2 2 2 4" xfId="28562" xr:uid="{00000000-0005-0000-0000-00003B750000}"/>
    <cellStyle name="Total 6 4 3 2 2 3" xfId="16229" xr:uid="{00000000-0005-0000-0000-00003C750000}"/>
    <cellStyle name="Total 6 4 3 2 2 4" xfId="30714" xr:uid="{00000000-0005-0000-0000-00003D750000}"/>
    <cellStyle name="Total 6 4 3 2 2 5" xfId="30715" xr:uid="{00000000-0005-0000-0000-00003E750000}"/>
    <cellStyle name="Total 6 4 3 2 3" xfId="25557" xr:uid="{00000000-0005-0000-0000-00003F750000}"/>
    <cellStyle name="Total 6 4 3 2 3 2" xfId="30716" xr:uid="{00000000-0005-0000-0000-000040750000}"/>
    <cellStyle name="Total 6 4 3 2 3 3" xfId="30717" xr:uid="{00000000-0005-0000-0000-000041750000}"/>
    <cellStyle name="Total 6 4 3 2 3 4" xfId="30718" xr:uid="{00000000-0005-0000-0000-000042750000}"/>
    <cellStyle name="Total 6 4 3 2 4" xfId="30719" xr:uid="{00000000-0005-0000-0000-000043750000}"/>
    <cellStyle name="Total 6 4 3 2 5" xfId="30720" xr:uid="{00000000-0005-0000-0000-000044750000}"/>
    <cellStyle name="Total 6 4 3 2 6" xfId="30721" xr:uid="{00000000-0005-0000-0000-000045750000}"/>
    <cellStyle name="Total 6 4 3 3" xfId="3775" xr:uid="{00000000-0005-0000-0000-000046750000}"/>
    <cellStyle name="Total 6 4 3 3 2" xfId="25563" xr:uid="{00000000-0005-0000-0000-000047750000}"/>
    <cellStyle name="Total 6 4 3 3 2 2" xfId="11081" xr:uid="{00000000-0005-0000-0000-000048750000}"/>
    <cellStyle name="Total 6 4 3 3 2 3" xfId="11090" xr:uid="{00000000-0005-0000-0000-000049750000}"/>
    <cellStyle name="Total 6 4 3 3 2 4" xfId="12160" xr:uid="{00000000-0005-0000-0000-00004A750000}"/>
    <cellStyle name="Total 6 4 3 3 3" xfId="30722" xr:uid="{00000000-0005-0000-0000-00004B750000}"/>
    <cellStyle name="Total 6 4 3 3 4" xfId="30723" xr:uid="{00000000-0005-0000-0000-00004C750000}"/>
    <cellStyle name="Total 6 4 3 3 5" xfId="30724" xr:uid="{00000000-0005-0000-0000-00004D750000}"/>
    <cellStyle name="Total 6 4 3 4" xfId="4848" xr:uid="{00000000-0005-0000-0000-00004E750000}"/>
    <cellStyle name="Total 6 4 3 4 2" xfId="30725" xr:uid="{00000000-0005-0000-0000-00004F750000}"/>
    <cellStyle name="Total 6 4 3 4 3" xfId="8720" xr:uid="{00000000-0005-0000-0000-000050750000}"/>
    <cellStyle name="Total 6 4 3 4 4" xfId="8723" xr:uid="{00000000-0005-0000-0000-000051750000}"/>
    <cellStyle name="Total 6 4 3 5" xfId="18752" xr:uid="{00000000-0005-0000-0000-000052750000}"/>
    <cellStyle name="Total 6 4 3 6" xfId="18754" xr:uid="{00000000-0005-0000-0000-000053750000}"/>
    <cellStyle name="Total 6 4 3 7" xfId="18756" xr:uid="{00000000-0005-0000-0000-000054750000}"/>
    <cellStyle name="Total 6 4 4" xfId="4852" xr:uid="{00000000-0005-0000-0000-000055750000}"/>
    <cellStyle name="Total 6 4 4 2" xfId="3805" xr:uid="{00000000-0005-0000-0000-000056750000}"/>
    <cellStyle name="Total 6 4 4 2 2" xfId="25569" xr:uid="{00000000-0005-0000-0000-000057750000}"/>
    <cellStyle name="Total 6 4 4 2 2 2" xfId="29920" xr:uid="{00000000-0005-0000-0000-000058750000}"/>
    <cellStyle name="Total 6 4 4 2 2 3" xfId="30726" xr:uid="{00000000-0005-0000-0000-000059750000}"/>
    <cellStyle name="Total 6 4 4 2 2 4" xfId="14373" xr:uid="{00000000-0005-0000-0000-00005A750000}"/>
    <cellStyle name="Total 6 4 4 2 3" xfId="30727" xr:uid="{00000000-0005-0000-0000-00005B750000}"/>
    <cellStyle name="Total 6 4 4 2 4" xfId="30728" xr:uid="{00000000-0005-0000-0000-00005C750000}"/>
    <cellStyle name="Total 6 4 4 2 5" xfId="30729" xr:uid="{00000000-0005-0000-0000-00005D750000}"/>
    <cellStyle name="Total 6 4 4 3" xfId="4273" xr:uid="{00000000-0005-0000-0000-00005E750000}"/>
    <cellStyle name="Total 6 4 4 3 2" xfId="30730" xr:uid="{00000000-0005-0000-0000-00005F750000}"/>
    <cellStyle name="Total 6 4 4 3 3" xfId="30731" xr:uid="{00000000-0005-0000-0000-000060750000}"/>
    <cellStyle name="Total 6 4 4 3 4" xfId="30732" xr:uid="{00000000-0005-0000-0000-000061750000}"/>
    <cellStyle name="Total 6 4 4 4" xfId="30733" xr:uid="{00000000-0005-0000-0000-000062750000}"/>
    <cellStyle name="Total 6 4 4 5" xfId="30735" xr:uid="{00000000-0005-0000-0000-000063750000}"/>
    <cellStyle name="Total 6 4 4 6" xfId="30737" xr:uid="{00000000-0005-0000-0000-000064750000}"/>
    <cellStyle name="Total 6 4 5" xfId="4860" xr:uid="{00000000-0005-0000-0000-000065750000}"/>
    <cellStyle name="Total 6 4 5 2" xfId="30738" xr:uid="{00000000-0005-0000-0000-000066750000}"/>
    <cellStyle name="Total 6 4 5 2 2" xfId="30739" xr:uid="{00000000-0005-0000-0000-000067750000}"/>
    <cellStyle name="Total 6 4 5 2 3" xfId="30740" xr:uid="{00000000-0005-0000-0000-000068750000}"/>
    <cellStyle name="Total 6 4 5 2 4" xfId="30741" xr:uid="{00000000-0005-0000-0000-000069750000}"/>
    <cellStyle name="Total 6 4 5 3" xfId="30742" xr:uid="{00000000-0005-0000-0000-00006A750000}"/>
    <cellStyle name="Total 6 4 5 4" xfId="30743" xr:uid="{00000000-0005-0000-0000-00006B750000}"/>
    <cellStyle name="Total 6 4 5 5" xfId="30745" xr:uid="{00000000-0005-0000-0000-00006C750000}"/>
    <cellStyle name="Total 6 4 6" xfId="4867" xr:uid="{00000000-0005-0000-0000-00006D750000}"/>
    <cellStyle name="Total 6 4 6 2" xfId="17694" xr:uid="{00000000-0005-0000-0000-00006E750000}"/>
    <cellStyle name="Total 6 4 6 3" xfId="17697" xr:uid="{00000000-0005-0000-0000-00006F750000}"/>
    <cellStyle name="Total 6 4 6 4" xfId="17700" xr:uid="{00000000-0005-0000-0000-000070750000}"/>
    <cellStyle name="Total 6 4 7" xfId="21427" xr:uid="{00000000-0005-0000-0000-000071750000}"/>
    <cellStyle name="Total 6 4 8" xfId="21431" xr:uid="{00000000-0005-0000-0000-000072750000}"/>
    <cellStyle name="Total 6 4 9" xfId="21435" xr:uid="{00000000-0005-0000-0000-000073750000}"/>
    <cellStyle name="Total 6 5" xfId="4869" xr:uid="{00000000-0005-0000-0000-000074750000}"/>
    <cellStyle name="Total 6 5 2" xfId="4875" xr:uid="{00000000-0005-0000-0000-000075750000}"/>
    <cellStyle name="Total 6 5 2 2" xfId="1315" xr:uid="{00000000-0005-0000-0000-000076750000}"/>
    <cellStyle name="Total 6 5 2 2 2" xfId="25584" xr:uid="{00000000-0005-0000-0000-000077750000}"/>
    <cellStyle name="Total 6 5 2 2 2 2" xfId="16570" xr:uid="{00000000-0005-0000-0000-000078750000}"/>
    <cellStyle name="Total 6 5 2 2 2 2 2" xfId="30746" xr:uid="{00000000-0005-0000-0000-000079750000}"/>
    <cellStyle name="Total 6 5 2 2 2 2 3" xfId="21242" xr:uid="{00000000-0005-0000-0000-00007A750000}"/>
    <cellStyle name="Total 6 5 2 2 2 2 4" xfId="21247" xr:uid="{00000000-0005-0000-0000-00007B750000}"/>
    <cellStyle name="Total 6 5 2 2 2 3" xfId="16572" xr:uid="{00000000-0005-0000-0000-00007C750000}"/>
    <cellStyle name="Total 6 5 2 2 2 4" xfId="16574" xr:uid="{00000000-0005-0000-0000-00007D750000}"/>
    <cellStyle name="Total 6 5 2 2 2 5" xfId="30747" xr:uid="{00000000-0005-0000-0000-00007E750000}"/>
    <cellStyle name="Total 6 5 2 2 3" xfId="25586" xr:uid="{00000000-0005-0000-0000-00007F750000}"/>
    <cellStyle name="Total 6 5 2 2 3 2" xfId="10557" xr:uid="{00000000-0005-0000-0000-000080750000}"/>
    <cellStyle name="Total 6 5 2 2 3 3" xfId="10561" xr:uid="{00000000-0005-0000-0000-000081750000}"/>
    <cellStyle name="Total 6 5 2 2 3 4" xfId="30748" xr:uid="{00000000-0005-0000-0000-000082750000}"/>
    <cellStyle name="Total 6 5 2 2 4" xfId="30749" xr:uid="{00000000-0005-0000-0000-000083750000}"/>
    <cellStyle name="Total 6 5 2 2 5" xfId="30750" xr:uid="{00000000-0005-0000-0000-000084750000}"/>
    <cellStyle name="Total 6 5 2 2 6" xfId="24877" xr:uid="{00000000-0005-0000-0000-000085750000}"/>
    <cellStyle name="Total 6 5 2 3" xfId="4880" xr:uid="{00000000-0005-0000-0000-000086750000}"/>
    <cellStyle name="Total 6 5 2 3 2" xfId="25590" xr:uid="{00000000-0005-0000-0000-000087750000}"/>
    <cellStyle name="Total 6 5 2 3 2 2" xfId="16587" xr:uid="{00000000-0005-0000-0000-000088750000}"/>
    <cellStyle name="Total 6 5 2 3 2 3" xfId="16589" xr:uid="{00000000-0005-0000-0000-000089750000}"/>
    <cellStyle name="Total 6 5 2 3 2 4" xfId="30751" xr:uid="{00000000-0005-0000-0000-00008A750000}"/>
    <cellStyle name="Total 6 5 2 3 3" xfId="30752" xr:uid="{00000000-0005-0000-0000-00008B750000}"/>
    <cellStyle name="Total 6 5 2 3 4" xfId="30753" xr:uid="{00000000-0005-0000-0000-00008C750000}"/>
    <cellStyle name="Total 6 5 2 3 5" xfId="30754" xr:uid="{00000000-0005-0000-0000-00008D750000}"/>
    <cellStyle name="Total 6 5 2 4" xfId="4889" xr:uid="{00000000-0005-0000-0000-00008E750000}"/>
    <cellStyle name="Total 6 5 2 4 2" xfId="6854" xr:uid="{00000000-0005-0000-0000-00008F750000}"/>
    <cellStyle name="Total 6 5 2 4 3" xfId="8385" xr:uid="{00000000-0005-0000-0000-000090750000}"/>
    <cellStyle name="Total 6 5 2 4 4" xfId="8390" xr:uid="{00000000-0005-0000-0000-000091750000}"/>
    <cellStyle name="Total 6 5 2 5" xfId="30755" xr:uid="{00000000-0005-0000-0000-000092750000}"/>
    <cellStyle name="Total 6 5 2 6" xfId="417" xr:uid="{00000000-0005-0000-0000-000093750000}"/>
    <cellStyle name="Total 6 5 2 7" xfId="19273" xr:uid="{00000000-0005-0000-0000-000094750000}"/>
    <cellStyle name="Total 6 5 3" xfId="4893" xr:uid="{00000000-0005-0000-0000-000095750000}"/>
    <cellStyle name="Total 6 5 3 2" xfId="1472" xr:uid="{00000000-0005-0000-0000-000096750000}"/>
    <cellStyle name="Total 6 5 3 2 2" xfId="25595" xr:uid="{00000000-0005-0000-0000-000097750000}"/>
    <cellStyle name="Total 6 5 3 2 2 2" xfId="16623" xr:uid="{00000000-0005-0000-0000-000098750000}"/>
    <cellStyle name="Total 6 5 3 2 2 3" xfId="16626" xr:uid="{00000000-0005-0000-0000-000099750000}"/>
    <cellStyle name="Total 6 5 3 2 2 4" xfId="30756" xr:uid="{00000000-0005-0000-0000-00009A750000}"/>
    <cellStyle name="Total 6 5 3 2 3" xfId="29528" xr:uid="{00000000-0005-0000-0000-00009B750000}"/>
    <cellStyle name="Total 6 5 3 2 4" xfId="29530" xr:uid="{00000000-0005-0000-0000-00009C750000}"/>
    <cellStyle name="Total 6 5 3 2 5" xfId="29532" xr:uid="{00000000-0005-0000-0000-00009D750000}"/>
    <cellStyle name="Total 6 5 3 3" xfId="30757" xr:uid="{00000000-0005-0000-0000-00009E750000}"/>
    <cellStyle name="Total 6 5 3 3 2" xfId="30758" xr:uid="{00000000-0005-0000-0000-00009F750000}"/>
    <cellStyle name="Total 6 5 3 3 3" xfId="30759" xr:uid="{00000000-0005-0000-0000-0000A0750000}"/>
    <cellStyle name="Total 6 5 3 3 4" xfId="30760" xr:uid="{00000000-0005-0000-0000-0000A1750000}"/>
    <cellStyle name="Total 6 5 3 4" xfId="30761" xr:uid="{00000000-0005-0000-0000-0000A2750000}"/>
    <cellStyle name="Total 6 5 3 5" xfId="30762" xr:uid="{00000000-0005-0000-0000-0000A3750000}"/>
    <cellStyle name="Total 6 5 3 6" xfId="1960" xr:uid="{00000000-0005-0000-0000-0000A4750000}"/>
    <cellStyle name="Total 6 5 4" xfId="4898" xr:uid="{00000000-0005-0000-0000-0000A5750000}"/>
    <cellStyle name="Total 6 5 4 2" xfId="30763" xr:uid="{00000000-0005-0000-0000-0000A6750000}"/>
    <cellStyle name="Total 6 5 4 2 2" xfId="30764" xr:uid="{00000000-0005-0000-0000-0000A7750000}"/>
    <cellStyle name="Total 6 5 4 2 3" xfId="30765" xr:uid="{00000000-0005-0000-0000-0000A8750000}"/>
    <cellStyle name="Total 6 5 4 2 4" xfId="30766" xr:uid="{00000000-0005-0000-0000-0000A9750000}"/>
    <cellStyle name="Total 6 5 4 3" xfId="30767" xr:uid="{00000000-0005-0000-0000-0000AA750000}"/>
    <cellStyle name="Total 6 5 4 4" xfId="30768" xr:uid="{00000000-0005-0000-0000-0000AB750000}"/>
    <cellStyle name="Total 6 5 4 5" xfId="30770" xr:uid="{00000000-0005-0000-0000-0000AC750000}"/>
    <cellStyle name="Total 6 5 5" xfId="3454" xr:uid="{00000000-0005-0000-0000-0000AD750000}"/>
    <cellStyle name="Total 6 5 5 2" xfId="30771" xr:uid="{00000000-0005-0000-0000-0000AE750000}"/>
    <cellStyle name="Total 6 5 5 3" xfId="30772" xr:uid="{00000000-0005-0000-0000-0000AF750000}"/>
    <cellStyle name="Total 6 5 5 4" xfId="30773" xr:uid="{00000000-0005-0000-0000-0000B0750000}"/>
    <cellStyle name="Total 6 5 6" xfId="30774" xr:uid="{00000000-0005-0000-0000-0000B1750000}"/>
    <cellStyle name="Total 6 5 7" xfId="21439" xr:uid="{00000000-0005-0000-0000-0000B2750000}"/>
    <cellStyle name="Total 6 5 8" xfId="21441" xr:uid="{00000000-0005-0000-0000-0000B3750000}"/>
    <cellStyle name="Total 6 6" xfId="4905" xr:uid="{00000000-0005-0000-0000-0000B4750000}"/>
    <cellStyle name="Total 6 6 2" xfId="4743" xr:uid="{00000000-0005-0000-0000-0000B5750000}"/>
    <cellStyle name="Total 6 6 2 2" xfId="30775" xr:uid="{00000000-0005-0000-0000-0000B6750000}"/>
    <cellStyle name="Total 6 6 2 2 2" xfId="25602" xr:uid="{00000000-0005-0000-0000-0000B7750000}"/>
    <cellStyle name="Total 6 6 2 2 2 2" xfId="449" xr:uid="{00000000-0005-0000-0000-0000B8750000}"/>
    <cellStyle name="Total 6 6 2 2 2 3" xfId="274" xr:uid="{00000000-0005-0000-0000-0000B9750000}"/>
    <cellStyle name="Total 6 6 2 2 2 4" xfId="88" xr:uid="{00000000-0005-0000-0000-0000BA750000}"/>
    <cellStyle name="Total 6 6 2 2 3" xfId="28920" xr:uid="{00000000-0005-0000-0000-0000BB750000}"/>
    <cellStyle name="Total 6 6 2 2 4" xfId="22933" xr:uid="{00000000-0005-0000-0000-0000BC750000}"/>
    <cellStyle name="Total 6 6 2 2 5" xfId="22936" xr:uid="{00000000-0005-0000-0000-0000BD750000}"/>
    <cellStyle name="Total 6 6 2 3" xfId="30776" xr:uid="{00000000-0005-0000-0000-0000BE750000}"/>
    <cellStyle name="Total 6 6 2 3 2" xfId="28994" xr:uid="{00000000-0005-0000-0000-0000BF750000}"/>
    <cellStyle name="Total 6 6 2 3 3" xfId="28998" xr:uid="{00000000-0005-0000-0000-0000C0750000}"/>
    <cellStyle name="Total 6 6 2 3 4" xfId="29000" xr:uid="{00000000-0005-0000-0000-0000C1750000}"/>
    <cellStyle name="Total 6 6 2 4" xfId="30777" xr:uid="{00000000-0005-0000-0000-0000C2750000}"/>
    <cellStyle name="Total 6 6 2 5" xfId="30778" xr:uid="{00000000-0005-0000-0000-0000C3750000}"/>
    <cellStyle name="Total 6 6 2 6" xfId="30779" xr:uid="{00000000-0005-0000-0000-0000C4750000}"/>
    <cellStyle name="Total 6 6 3" xfId="925" xr:uid="{00000000-0005-0000-0000-0000C5750000}"/>
    <cellStyle name="Total 6 6 3 2" xfId="30780" xr:uid="{00000000-0005-0000-0000-0000C6750000}"/>
    <cellStyle name="Total 6 6 3 2 2" xfId="30781" xr:uid="{00000000-0005-0000-0000-0000C7750000}"/>
    <cellStyle name="Total 6 6 3 2 3" xfId="30782" xr:uid="{00000000-0005-0000-0000-0000C8750000}"/>
    <cellStyle name="Total 6 6 3 2 4" xfId="30783" xr:uid="{00000000-0005-0000-0000-0000C9750000}"/>
    <cellStyle name="Total 6 6 3 3" xfId="30784" xr:uid="{00000000-0005-0000-0000-0000CA750000}"/>
    <cellStyle name="Total 6 6 3 4" xfId="30785" xr:uid="{00000000-0005-0000-0000-0000CB750000}"/>
    <cellStyle name="Total 6 6 3 5" xfId="30786" xr:uid="{00000000-0005-0000-0000-0000CC750000}"/>
    <cellStyle name="Total 6 6 4" xfId="938" xr:uid="{00000000-0005-0000-0000-0000CD750000}"/>
    <cellStyle name="Total 6 6 4 2" xfId="25898" xr:uid="{00000000-0005-0000-0000-0000CE750000}"/>
    <cellStyle name="Total 6 6 4 3" xfId="30787" xr:uid="{00000000-0005-0000-0000-0000CF750000}"/>
    <cellStyle name="Total 6 6 4 4" xfId="30788" xr:uid="{00000000-0005-0000-0000-0000D0750000}"/>
    <cellStyle name="Total 6 6 5" xfId="30789" xr:uid="{00000000-0005-0000-0000-0000D1750000}"/>
    <cellStyle name="Total 6 6 6" xfId="30790" xr:uid="{00000000-0005-0000-0000-0000D2750000}"/>
    <cellStyle name="Total 6 6 7" xfId="30791" xr:uid="{00000000-0005-0000-0000-0000D3750000}"/>
    <cellStyle name="Total 6 7" xfId="4912" xr:uid="{00000000-0005-0000-0000-0000D4750000}"/>
    <cellStyle name="Total 6 7 2" xfId="13994" xr:uid="{00000000-0005-0000-0000-0000D5750000}"/>
    <cellStyle name="Total 6 7 2 2" xfId="11369" xr:uid="{00000000-0005-0000-0000-0000D6750000}"/>
    <cellStyle name="Total 6 7 2 2 2" xfId="11377" xr:uid="{00000000-0005-0000-0000-0000D7750000}"/>
    <cellStyle name="Total 6 7 2 2 3" xfId="11522" xr:uid="{00000000-0005-0000-0000-0000D8750000}"/>
    <cellStyle name="Total 6 7 2 2 4" xfId="11562" xr:uid="{00000000-0005-0000-0000-0000D9750000}"/>
    <cellStyle name="Total 6 7 2 3" xfId="11627" xr:uid="{00000000-0005-0000-0000-0000DA750000}"/>
    <cellStyle name="Total 6 7 2 4" xfId="11735" xr:uid="{00000000-0005-0000-0000-0000DB750000}"/>
    <cellStyle name="Total 6 7 2 5" xfId="11789" xr:uid="{00000000-0005-0000-0000-0000DC750000}"/>
    <cellStyle name="Total 6 7 3" xfId="13998" xr:uid="{00000000-0005-0000-0000-0000DD750000}"/>
    <cellStyle name="Total 6 7 3 2" xfId="12063" xr:uid="{00000000-0005-0000-0000-0000DE750000}"/>
    <cellStyle name="Total 6 7 3 3" xfId="12435" xr:uid="{00000000-0005-0000-0000-0000DF750000}"/>
    <cellStyle name="Total 6 7 3 4" xfId="12538" xr:uid="{00000000-0005-0000-0000-0000E0750000}"/>
    <cellStyle name="Total 6 7 4" xfId="14003" xr:uid="{00000000-0005-0000-0000-0000E1750000}"/>
    <cellStyle name="Total 6 7 5" xfId="14010" xr:uid="{00000000-0005-0000-0000-0000E2750000}"/>
    <cellStyle name="Total 6 7 6" xfId="9763" xr:uid="{00000000-0005-0000-0000-0000E3750000}"/>
    <cellStyle name="Total 6 8" xfId="4928" xr:uid="{00000000-0005-0000-0000-0000E4750000}"/>
    <cellStyle name="Total 6 8 2" xfId="14027" xr:uid="{00000000-0005-0000-0000-0000E5750000}"/>
    <cellStyle name="Total 6 8 2 2" xfId="5220" xr:uid="{00000000-0005-0000-0000-0000E6750000}"/>
    <cellStyle name="Total 6 8 2 3" xfId="5230" xr:uid="{00000000-0005-0000-0000-0000E7750000}"/>
    <cellStyle name="Total 6 8 2 4" xfId="14913" xr:uid="{00000000-0005-0000-0000-0000E8750000}"/>
    <cellStyle name="Total 6 8 3" xfId="14031" xr:uid="{00000000-0005-0000-0000-0000E9750000}"/>
    <cellStyle name="Total 6 8 4" xfId="14036" xr:uid="{00000000-0005-0000-0000-0000EA750000}"/>
    <cellStyle name="Total 6 8 5" xfId="14930" xr:uid="{00000000-0005-0000-0000-0000EB750000}"/>
    <cellStyle name="Total 6 9" xfId="4936" xr:uid="{00000000-0005-0000-0000-0000EC750000}"/>
    <cellStyle name="Total 6 9 2" xfId="14052" xr:uid="{00000000-0005-0000-0000-0000ED750000}"/>
    <cellStyle name="Total 6 9 3" xfId="14056" xr:uid="{00000000-0005-0000-0000-0000EE750000}"/>
    <cellStyle name="Total 6 9 4" xfId="14932" xr:uid="{00000000-0005-0000-0000-0000EF750000}"/>
    <cellStyle name="Total 7" xfId="12018" xr:uid="{00000000-0005-0000-0000-0000F0750000}"/>
    <cellStyle name="Total 7 10" xfId="21713" xr:uid="{00000000-0005-0000-0000-0000F1750000}"/>
    <cellStyle name="Total 7 11" xfId="21706" xr:uid="{00000000-0005-0000-0000-0000F2750000}"/>
    <cellStyle name="Total 7 12" xfId="7485" xr:uid="{00000000-0005-0000-0000-0000F3750000}"/>
    <cellStyle name="Total 7 13" xfId="7489" xr:uid="{00000000-0005-0000-0000-0000F4750000}"/>
    <cellStyle name="Total 7 2" xfId="12023" xr:uid="{00000000-0005-0000-0000-0000F5750000}"/>
    <cellStyle name="Total 7 2 10" xfId="22457" xr:uid="{00000000-0005-0000-0000-0000F6750000}"/>
    <cellStyle name="Total 7 2 11" xfId="22460" xr:uid="{00000000-0005-0000-0000-0000F7750000}"/>
    <cellStyle name="Total 7 2 12" xfId="26703" xr:uid="{00000000-0005-0000-0000-0000F8750000}"/>
    <cellStyle name="Total 7 2 2" xfId="10799" xr:uid="{00000000-0005-0000-0000-0000F9750000}"/>
    <cellStyle name="Total 7 2 2 2" xfId="19556" xr:uid="{00000000-0005-0000-0000-0000FA750000}"/>
    <cellStyle name="Total 7 2 2 2 2" xfId="19183" xr:uid="{00000000-0005-0000-0000-0000FB750000}"/>
    <cellStyle name="Total 7 2 2 2 2 2" xfId="30792" xr:uid="{00000000-0005-0000-0000-0000FC750000}"/>
    <cellStyle name="Total 7 2 2 2 2 2 2" xfId="30793" xr:uid="{00000000-0005-0000-0000-0000FD750000}"/>
    <cellStyle name="Total 7 2 2 2 2 2 2 2" xfId="17057" xr:uid="{00000000-0005-0000-0000-0000FE750000}"/>
    <cellStyle name="Total 7 2 2 2 2 2 2 2 2" xfId="30794" xr:uid="{00000000-0005-0000-0000-0000FF750000}"/>
    <cellStyle name="Total 7 2 2 2 2 2 2 2 3" xfId="22409" xr:uid="{00000000-0005-0000-0000-000000760000}"/>
    <cellStyle name="Total 7 2 2 2 2 2 2 2 4" xfId="22414" xr:uid="{00000000-0005-0000-0000-000001760000}"/>
    <cellStyle name="Total 7 2 2 2 2 2 2 3" xfId="30795" xr:uid="{00000000-0005-0000-0000-000002760000}"/>
    <cellStyle name="Total 7 2 2 2 2 2 2 4" xfId="30796" xr:uid="{00000000-0005-0000-0000-000003760000}"/>
    <cellStyle name="Total 7 2 2 2 2 2 2 5" xfId="30797" xr:uid="{00000000-0005-0000-0000-000004760000}"/>
    <cellStyle name="Total 7 2 2 2 2 2 3" xfId="30798" xr:uid="{00000000-0005-0000-0000-000005760000}"/>
    <cellStyle name="Total 7 2 2 2 2 2 3 2" xfId="30799" xr:uid="{00000000-0005-0000-0000-000006760000}"/>
    <cellStyle name="Total 7 2 2 2 2 2 3 3" xfId="30800" xr:uid="{00000000-0005-0000-0000-000007760000}"/>
    <cellStyle name="Total 7 2 2 2 2 2 3 4" xfId="30801" xr:uid="{00000000-0005-0000-0000-000008760000}"/>
    <cellStyle name="Total 7 2 2 2 2 2 4" xfId="30802" xr:uid="{00000000-0005-0000-0000-000009760000}"/>
    <cellStyle name="Total 7 2 2 2 2 2 5" xfId="967" xr:uid="{00000000-0005-0000-0000-00000A760000}"/>
    <cellStyle name="Total 7 2 2 2 2 2 6" xfId="1002" xr:uid="{00000000-0005-0000-0000-00000B760000}"/>
    <cellStyle name="Total 7 2 2 2 2 3" xfId="30803" xr:uid="{00000000-0005-0000-0000-00000C760000}"/>
    <cellStyle name="Total 7 2 2 2 2 3 2" xfId="30804" xr:uid="{00000000-0005-0000-0000-00000D760000}"/>
    <cellStyle name="Total 7 2 2 2 2 3 2 2" xfId="30805" xr:uid="{00000000-0005-0000-0000-00000E760000}"/>
    <cellStyle name="Total 7 2 2 2 2 3 2 3" xfId="30806" xr:uid="{00000000-0005-0000-0000-00000F760000}"/>
    <cellStyle name="Total 7 2 2 2 2 3 2 4" xfId="30807" xr:uid="{00000000-0005-0000-0000-000010760000}"/>
    <cellStyle name="Total 7 2 2 2 2 3 3" xfId="30808" xr:uid="{00000000-0005-0000-0000-000011760000}"/>
    <cellStyle name="Total 7 2 2 2 2 3 4" xfId="30809" xr:uid="{00000000-0005-0000-0000-000012760000}"/>
    <cellStyle name="Total 7 2 2 2 2 3 5" xfId="30810" xr:uid="{00000000-0005-0000-0000-000013760000}"/>
    <cellStyle name="Total 7 2 2 2 2 4" xfId="30811" xr:uid="{00000000-0005-0000-0000-000014760000}"/>
    <cellStyle name="Total 7 2 2 2 2 4 2" xfId="10569" xr:uid="{00000000-0005-0000-0000-000015760000}"/>
    <cellStyle name="Total 7 2 2 2 2 4 3" xfId="10571" xr:uid="{00000000-0005-0000-0000-000016760000}"/>
    <cellStyle name="Total 7 2 2 2 2 4 4" xfId="10573" xr:uid="{00000000-0005-0000-0000-000017760000}"/>
    <cellStyle name="Total 7 2 2 2 2 5" xfId="30812" xr:uid="{00000000-0005-0000-0000-000018760000}"/>
    <cellStyle name="Total 7 2 2 2 2 6" xfId="30813" xr:uid="{00000000-0005-0000-0000-000019760000}"/>
    <cellStyle name="Total 7 2 2 2 2 7" xfId="30814" xr:uid="{00000000-0005-0000-0000-00001A760000}"/>
    <cellStyle name="Total 7 2 2 2 3" xfId="25635" xr:uid="{00000000-0005-0000-0000-00001B760000}"/>
    <cellStyle name="Total 7 2 2 2 3 2" xfId="30815" xr:uid="{00000000-0005-0000-0000-00001C760000}"/>
    <cellStyle name="Total 7 2 2 2 3 2 2" xfId="30816" xr:uid="{00000000-0005-0000-0000-00001D760000}"/>
    <cellStyle name="Total 7 2 2 2 3 2 2 2" xfId="17156" xr:uid="{00000000-0005-0000-0000-00001E760000}"/>
    <cellStyle name="Total 7 2 2 2 3 2 2 3" xfId="30817" xr:uid="{00000000-0005-0000-0000-00001F760000}"/>
    <cellStyle name="Total 7 2 2 2 3 2 2 4" xfId="30818" xr:uid="{00000000-0005-0000-0000-000020760000}"/>
    <cellStyle name="Total 7 2 2 2 3 2 3" xfId="30819" xr:uid="{00000000-0005-0000-0000-000021760000}"/>
    <cellStyle name="Total 7 2 2 2 3 2 4" xfId="1049" xr:uid="{00000000-0005-0000-0000-000022760000}"/>
    <cellStyle name="Total 7 2 2 2 3 2 5" xfId="1098" xr:uid="{00000000-0005-0000-0000-000023760000}"/>
    <cellStyle name="Total 7 2 2 2 3 3" xfId="30820" xr:uid="{00000000-0005-0000-0000-000024760000}"/>
    <cellStyle name="Total 7 2 2 2 3 3 2" xfId="15764" xr:uid="{00000000-0005-0000-0000-000025760000}"/>
    <cellStyle name="Total 7 2 2 2 3 3 3" xfId="15991" xr:uid="{00000000-0005-0000-0000-000026760000}"/>
    <cellStyle name="Total 7 2 2 2 3 3 4" xfId="16791" xr:uid="{00000000-0005-0000-0000-000027760000}"/>
    <cellStyle name="Total 7 2 2 2 3 4" xfId="14743" xr:uid="{00000000-0005-0000-0000-000028760000}"/>
    <cellStyle name="Total 7 2 2 2 3 5" xfId="14745" xr:uid="{00000000-0005-0000-0000-000029760000}"/>
    <cellStyle name="Total 7 2 2 2 3 6" xfId="14747" xr:uid="{00000000-0005-0000-0000-00002A760000}"/>
    <cellStyle name="Total 7 2 2 2 4" xfId="25638" xr:uid="{00000000-0005-0000-0000-00002B760000}"/>
    <cellStyle name="Total 7 2 2 2 4 2" xfId="30821" xr:uid="{00000000-0005-0000-0000-00002C760000}"/>
    <cellStyle name="Total 7 2 2 2 4 2 2" xfId="30822" xr:uid="{00000000-0005-0000-0000-00002D760000}"/>
    <cellStyle name="Total 7 2 2 2 4 2 3" xfId="30823" xr:uid="{00000000-0005-0000-0000-00002E760000}"/>
    <cellStyle name="Total 7 2 2 2 4 2 4" xfId="30824" xr:uid="{00000000-0005-0000-0000-00002F760000}"/>
    <cellStyle name="Total 7 2 2 2 4 3" xfId="30825" xr:uid="{00000000-0005-0000-0000-000030760000}"/>
    <cellStyle name="Total 7 2 2 2 4 4" xfId="30826" xr:uid="{00000000-0005-0000-0000-000031760000}"/>
    <cellStyle name="Total 7 2 2 2 4 5" xfId="30827" xr:uid="{00000000-0005-0000-0000-000032760000}"/>
    <cellStyle name="Total 7 2 2 2 5" xfId="30828" xr:uid="{00000000-0005-0000-0000-000033760000}"/>
    <cellStyle name="Total 7 2 2 2 5 2" xfId="30829" xr:uid="{00000000-0005-0000-0000-000034760000}"/>
    <cellStyle name="Total 7 2 2 2 5 3" xfId="30830" xr:uid="{00000000-0005-0000-0000-000035760000}"/>
    <cellStyle name="Total 7 2 2 2 5 4" xfId="22721" xr:uid="{00000000-0005-0000-0000-000036760000}"/>
    <cellStyle name="Total 7 2 2 2 6" xfId="30831" xr:uid="{00000000-0005-0000-0000-000037760000}"/>
    <cellStyle name="Total 7 2 2 2 7" xfId="30832" xr:uid="{00000000-0005-0000-0000-000038760000}"/>
    <cellStyle name="Total 7 2 2 2 8" xfId="30833" xr:uid="{00000000-0005-0000-0000-000039760000}"/>
    <cellStyle name="Total 7 2 2 3" xfId="19561" xr:uid="{00000000-0005-0000-0000-00003A760000}"/>
    <cellStyle name="Total 7 2 2 3 2" xfId="25650" xr:uid="{00000000-0005-0000-0000-00003B760000}"/>
    <cellStyle name="Total 7 2 2 3 2 2" xfId="30834" xr:uid="{00000000-0005-0000-0000-00003C760000}"/>
    <cellStyle name="Total 7 2 2 3 2 2 2" xfId="25966" xr:uid="{00000000-0005-0000-0000-00003D760000}"/>
    <cellStyle name="Total 7 2 2 3 2 2 2 2" xfId="30835" xr:uid="{00000000-0005-0000-0000-00003E760000}"/>
    <cellStyle name="Total 7 2 2 3 2 2 2 3" xfId="30836" xr:uid="{00000000-0005-0000-0000-00003F760000}"/>
    <cellStyle name="Total 7 2 2 3 2 2 2 4" xfId="30837" xr:uid="{00000000-0005-0000-0000-000040760000}"/>
    <cellStyle name="Total 7 2 2 3 2 2 3" xfId="30838" xr:uid="{00000000-0005-0000-0000-000041760000}"/>
    <cellStyle name="Total 7 2 2 3 2 2 4" xfId="20129" xr:uid="{00000000-0005-0000-0000-000042760000}"/>
    <cellStyle name="Total 7 2 2 3 2 2 5" xfId="20131" xr:uid="{00000000-0005-0000-0000-000043760000}"/>
    <cellStyle name="Total 7 2 2 3 2 3" xfId="30839" xr:uid="{00000000-0005-0000-0000-000044760000}"/>
    <cellStyle name="Total 7 2 2 3 2 3 2" xfId="30840" xr:uid="{00000000-0005-0000-0000-000045760000}"/>
    <cellStyle name="Total 7 2 2 3 2 3 3" xfId="30841" xr:uid="{00000000-0005-0000-0000-000046760000}"/>
    <cellStyle name="Total 7 2 2 3 2 3 4" xfId="30842" xr:uid="{00000000-0005-0000-0000-000047760000}"/>
    <cellStyle name="Total 7 2 2 3 2 4" xfId="30843" xr:uid="{00000000-0005-0000-0000-000048760000}"/>
    <cellStyle name="Total 7 2 2 3 2 5" xfId="30844" xr:uid="{00000000-0005-0000-0000-000049760000}"/>
    <cellStyle name="Total 7 2 2 3 2 6" xfId="30845" xr:uid="{00000000-0005-0000-0000-00004A760000}"/>
    <cellStyle name="Total 7 2 2 3 3" xfId="25653" xr:uid="{00000000-0005-0000-0000-00004B760000}"/>
    <cellStyle name="Total 7 2 2 3 3 2" xfId="30846" xr:uid="{00000000-0005-0000-0000-00004C760000}"/>
    <cellStyle name="Total 7 2 2 3 3 2 2" xfId="30847" xr:uid="{00000000-0005-0000-0000-00004D760000}"/>
    <cellStyle name="Total 7 2 2 3 3 2 3" xfId="30848" xr:uid="{00000000-0005-0000-0000-00004E760000}"/>
    <cellStyle name="Total 7 2 2 3 3 2 4" xfId="2993" xr:uid="{00000000-0005-0000-0000-00004F760000}"/>
    <cellStyle name="Total 7 2 2 3 3 3" xfId="30849" xr:uid="{00000000-0005-0000-0000-000050760000}"/>
    <cellStyle name="Total 7 2 2 3 3 4" xfId="30850" xr:uid="{00000000-0005-0000-0000-000051760000}"/>
    <cellStyle name="Total 7 2 2 3 3 5" xfId="30851" xr:uid="{00000000-0005-0000-0000-000052760000}"/>
    <cellStyle name="Total 7 2 2 3 4" xfId="30852" xr:uid="{00000000-0005-0000-0000-000053760000}"/>
    <cellStyle name="Total 7 2 2 3 4 2" xfId="30853" xr:uid="{00000000-0005-0000-0000-000054760000}"/>
    <cellStyle name="Total 7 2 2 3 4 3" xfId="30854" xr:uid="{00000000-0005-0000-0000-000055760000}"/>
    <cellStyle name="Total 7 2 2 3 4 4" xfId="30855" xr:uid="{00000000-0005-0000-0000-000056760000}"/>
    <cellStyle name="Total 7 2 2 3 5" xfId="30856" xr:uid="{00000000-0005-0000-0000-000057760000}"/>
    <cellStyle name="Total 7 2 2 3 6" xfId="30857" xr:uid="{00000000-0005-0000-0000-000058760000}"/>
    <cellStyle name="Total 7 2 2 3 7" xfId="30858" xr:uid="{00000000-0005-0000-0000-000059760000}"/>
    <cellStyle name="Total 7 2 2 4" xfId="20182" xr:uid="{00000000-0005-0000-0000-00005A760000}"/>
    <cellStyle name="Total 7 2 2 4 2" xfId="19981" xr:uid="{00000000-0005-0000-0000-00005B760000}"/>
    <cellStyle name="Total 7 2 2 4 2 2" xfId="25396" xr:uid="{00000000-0005-0000-0000-00005C760000}"/>
    <cellStyle name="Total 7 2 2 4 2 2 2" xfId="25398" xr:uid="{00000000-0005-0000-0000-00005D760000}"/>
    <cellStyle name="Total 7 2 2 4 2 2 3" xfId="25407" xr:uid="{00000000-0005-0000-0000-00005E760000}"/>
    <cellStyle name="Total 7 2 2 4 2 2 4" xfId="25409" xr:uid="{00000000-0005-0000-0000-00005F760000}"/>
    <cellStyle name="Total 7 2 2 4 2 3" xfId="19821" xr:uid="{00000000-0005-0000-0000-000060760000}"/>
    <cellStyle name="Total 7 2 2 4 2 4" xfId="19838" xr:uid="{00000000-0005-0000-0000-000061760000}"/>
    <cellStyle name="Total 7 2 2 4 2 5" xfId="19846" xr:uid="{00000000-0005-0000-0000-000062760000}"/>
    <cellStyle name="Total 7 2 2 4 3" xfId="20596" xr:uid="{00000000-0005-0000-0000-000063760000}"/>
    <cellStyle name="Total 7 2 2 4 3 2" xfId="25425" xr:uid="{00000000-0005-0000-0000-000064760000}"/>
    <cellStyle name="Total 7 2 2 4 3 3" xfId="17461" xr:uid="{00000000-0005-0000-0000-000065760000}"/>
    <cellStyle name="Total 7 2 2 4 3 4" xfId="19861" xr:uid="{00000000-0005-0000-0000-000066760000}"/>
    <cellStyle name="Total 7 2 2 4 4" xfId="30859" xr:uid="{00000000-0005-0000-0000-000067760000}"/>
    <cellStyle name="Total 7 2 2 4 5" xfId="30860" xr:uid="{00000000-0005-0000-0000-000068760000}"/>
    <cellStyle name="Total 7 2 2 4 6" xfId="30861" xr:uid="{00000000-0005-0000-0000-000069760000}"/>
    <cellStyle name="Total 7 2 2 5" xfId="30862" xr:uid="{00000000-0005-0000-0000-00006A760000}"/>
    <cellStyle name="Total 7 2 2 5 2" xfId="20600" xr:uid="{00000000-0005-0000-0000-00006B760000}"/>
    <cellStyle name="Total 7 2 2 5 2 2" xfId="11868" xr:uid="{00000000-0005-0000-0000-00006C760000}"/>
    <cellStyle name="Total 7 2 2 5 2 3" xfId="11871" xr:uid="{00000000-0005-0000-0000-00006D760000}"/>
    <cellStyle name="Total 7 2 2 5 2 4" xfId="11881" xr:uid="{00000000-0005-0000-0000-00006E760000}"/>
    <cellStyle name="Total 7 2 2 5 3" xfId="30863" xr:uid="{00000000-0005-0000-0000-00006F760000}"/>
    <cellStyle name="Total 7 2 2 5 4" xfId="30864" xr:uid="{00000000-0005-0000-0000-000070760000}"/>
    <cellStyle name="Total 7 2 2 5 5" xfId="30865" xr:uid="{00000000-0005-0000-0000-000071760000}"/>
    <cellStyle name="Total 7 2 2 6" xfId="30039" xr:uid="{00000000-0005-0000-0000-000072760000}"/>
    <cellStyle name="Total 7 2 2 6 2" xfId="30041" xr:uid="{00000000-0005-0000-0000-000073760000}"/>
    <cellStyle name="Total 7 2 2 6 3" xfId="30043" xr:uid="{00000000-0005-0000-0000-000074760000}"/>
    <cellStyle name="Total 7 2 2 6 4" xfId="30045" xr:uid="{00000000-0005-0000-0000-000075760000}"/>
    <cellStyle name="Total 7 2 2 7" xfId="30047" xr:uid="{00000000-0005-0000-0000-000076760000}"/>
    <cellStyle name="Total 7 2 2 8" xfId="30049" xr:uid="{00000000-0005-0000-0000-000077760000}"/>
    <cellStyle name="Total 7 2 2 9" xfId="30051" xr:uid="{00000000-0005-0000-0000-000078760000}"/>
    <cellStyle name="Total 7 2 3" xfId="10808" xr:uid="{00000000-0005-0000-0000-000079760000}"/>
    <cellStyle name="Total 7 2 3 2" xfId="3975" xr:uid="{00000000-0005-0000-0000-00007A760000}"/>
    <cellStyle name="Total 7 2 3 2 2" xfId="25660" xr:uid="{00000000-0005-0000-0000-00007B760000}"/>
    <cellStyle name="Total 7 2 3 2 2 2" xfId="25926" xr:uid="{00000000-0005-0000-0000-00007C760000}"/>
    <cellStyle name="Total 7 2 3 2 2 2 2" xfId="30866" xr:uid="{00000000-0005-0000-0000-00007D760000}"/>
    <cellStyle name="Total 7 2 3 2 2 2 2 2" xfId="30867" xr:uid="{00000000-0005-0000-0000-00007E760000}"/>
    <cellStyle name="Total 7 2 3 2 2 2 2 2 2" xfId="21625" xr:uid="{00000000-0005-0000-0000-00007F760000}"/>
    <cellStyle name="Total 7 2 3 2 2 2 2 2 3" xfId="30868" xr:uid="{00000000-0005-0000-0000-000080760000}"/>
    <cellStyle name="Total 7 2 3 2 2 2 2 2 4" xfId="30869" xr:uid="{00000000-0005-0000-0000-000081760000}"/>
    <cellStyle name="Total 7 2 3 2 2 2 2 3" xfId="30870" xr:uid="{00000000-0005-0000-0000-000082760000}"/>
    <cellStyle name="Total 7 2 3 2 2 2 2 4" xfId="30871" xr:uid="{00000000-0005-0000-0000-000083760000}"/>
    <cellStyle name="Total 7 2 3 2 2 2 2 5" xfId="30872" xr:uid="{00000000-0005-0000-0000-000084760000}"/>
    <cellStyle name="Total 7 2 3 2 2 2 3" xfId="30873" xr:uid="{00000000-0005-0000-0000-000085760000}"/>
    <cellStyle name="Total 7 2 3 2 2 2 3 2" xfId="30874" xr:uid="{00000000-0005-0000-0000-000086760000}"/>
    <cellStyle name="Total 7 2 3 2 2 2 3 3" xfId="30875" xr:uid="{00000000-0005-0000-0000-000087760000}"/>
    <cellStyle name="Total 7 2 3 2 2 2 3 4" xfId="30876" xr:uid="{00000000-0005-0000-0000-000088760000}"/>
    <cellStyle name="Total 7 2 3 2 2 2 4" xfId="30877" xr:uid="{00000000-0005-0000-0000-000089760000}"/>
    <cellStyle name="Total 7 2 3 2 2 2 5" xfId="30878" xr:uid="{00000000-0005-0000-0000-00008A760000}"/>
    <cellStyle name="Total 7 2 3 2 2 2 6" xfId="26775" xr:uid="{00000000-0005-0000-0000-00008B760000}"/>
    <cellStyle name="Total 7 2 3 2 2 3" xfId="30879" xr:uid="{00000000-0005-0000-0000-00008C760000}"/>
    <cellStyle name="Total 7 2 3 2 2 3 2" xfId="28771" xr:uid="{00000000-0005-0000-0000-00008D760000}"/>
    <cellStyle name="Total 7 2 3 2 2 3 2 2" xfId="28773" xr:uid="{00000000-0005-0000-0000-00008E760000}"/>
    <cellStyle name="Total 7 2 3 2 2 3 2 3" xfId="28775" xr:uid="{00000000-0005-0000-0000-00008F760000}"/>
    <cellStyle name="Total 7 2 3 2 2 3 2 4" xfId="28777" xr:uid="{00000000-0005-0000-0000-000090760000}"/>
    <cellStyle name="Total 7 2 3 2 2 3 3" xfId="28779" xr:uid="{00000000-0005-0000-0000-000091760000}"/>
    <cellStyle name="Total 7 2 3 2 2 3 4" xfId="28781" xr:uid="{00000000-0005-0000-0000-000092760000}"/>
    <cellStyle name="Total 7 2 3 2 2 3 5" xfId="28783" xr:uid="{00000000-0005-0000-0000-000093760000}"/>
    <cellStyle name="Total 7 2 3 2 2 4" xfId="30880" xr:uid="{00000000-0005-0000-0000-000094760000}"/>
    <cellStyle name="Total 7 2 3 2 2 4 2" xfId="28846" xr:uid="{00000000-0005-0000-0000-000095760000}"/>
    <cellStyle name="Total 7 2 3 2 2 4 3" xfId="28851" xr:uid="{00000000-0005-0000-0000-000096760000}"/>
    <cellStyle name="Total 7 2 3 2 2 4 4" xfId="28853" xr:uid="{00000000-0005-0000-0000-000097760000}"/>
    <cellStyle name="Total 7 2 3 2 2 5" xfId="30881" xr:uid="{00000000-0005-0000-0000-000098760000}"/>
    <cellStyle name="Total 7 2 3 2 2 6" xfId="30882" xr:uid="{00000000-0005-0000-0000-000099760000}"/>
    <cellStyle name="Total 7 2 3 2 2 7" xfId="30883" xr:uid="{00000000-0005-0000-0000-00009A760000}"/>
    <cellStyle name="Total 7 2 3 2 3" xfId="25663" xr:uid="{00000000-0005-0000-0000-00009B760000}"/>
    <cellStyle name="Total 7 2 3 2 3 2" xfId="30884" xr:uid="{00000000-0005-0000-0000-00009C760000}"/>
    <cellStyle name="Total 7 2 3 2 3 2 2" xfId="30885" xr:uid="{00000000-0005-0000-0000-00009D760000}"/>
    <cellStyle name="Total 7 2 3 2 3 2 2 2" xfId="30886" xr:uid="{00000000-0005-0000-0000-00009E760000}"/>
    <cellStyle name="Total 7 2 3 2 3 2 2 3" xfId="5364" xr:uid="{00000000-0005-0000-0000-00009F760000}"/>
    <cellStyle name="Total 7 2 3 2 3 2 2 4" xfId="14759" xr:uid="{00000000-0005-0000-0000-0000A0760000}"/>
    <cellStyle name="Total 7 2 3 2 3 2 3" xfId="30887" xr:uid="{00000000-0005-0000-0000-0000A1760000}"/>
    <cellStyle name="Total 7 2 3 2 3 2 4" xfId="30888" xr:uid="{00000000-0005-0000-0000-0000A2760000}"/>
    <cellStyle name="Total 7 2 3 2 3 2 5" xfId="30889" xr:uid="{00000000-0005-0000-0000-0000A3760000}"/>
    <cellStyle name="Total 7 2 3 2 3 3" xfId="30890" xr:uid="{00000000-0005-0000-0000-0000A4760000}"/>
    <cellStyle name="Total 7 2 3 2 3 3 2" xfId="28979" xr:uid="{00000000-0005-0000-0000-0000A5760000}"/>
    <cellStyle name="Total 7 2 3 2 3 3 3" xfId="28981" xr:uid="{00000000-0005-0000-0000-0000A6760000}"/>
    <cellStyle name="Total 7 2 3 2 3 3 4" xfId="28983" xr:uid="{00000000-0005-0000-0000-0000A7760000}"/>
    <cellStyle name="Total 7 2 3 2 3 4" xfId="30891" xr:uid="{00000000-0005-0000-0000-0000A8760000}"/>
    <cellStyle name="Total 7 2 3 2 3 5" xfId="30892" xr:uid="{00000000-0005-0000-0000-0000A9760000}"/>
    <cellStyle name="Total 7 2 3 2 3 6" xfId="30893" xr:uid="{00000000-0005-0000-0000-0000AA760000}"/>
    <cellStyle name="Total 7 2 3 2 4" xfId="30894" xr:uid="{00000000-0005-0000-0000-0000AB760000}"/>
    <cellStyle name="Total 7 2 3 2 4 2" xfId="30895" xr:uid="{00000000-0005-0000-0000-0000AC760000}"/>
    <cellStyle name="Total 7 2 3 2 4 2 2" xfId="30896" xr:uid="{00000000-0005-0000-0000-0000AD760000}"/>
    <cellStyle name="Total 7 2 3 2 4 2 3" xfId="30897" xr:uid="{00000000-0005-0000-0000-0000AE760000}"/>
    <cellStyle name="Total 7 2 3 2 4 2 4" xfId="30898" xr:uid="{00000000-0005-0000-0000-0000AF760000}"/>
    <cellStyle name="Total 7 2 3 2 4 3" xfId="30899" xr:uid="{00000000-0005-0000-0000-0000B0760000}"/>
    <cellStyle name="Total 7 2 3 2 4 4" xfId="30900" xr:uid="{00000000-0005-0000-0000-0000B1760000}"/>
    <cellStyle name="Total 7 2 3 2 4 5" xfId="30901" xr:uid="{00000000-0005-0000-0000-0000B2760000}"/>
    <cellStyle name="Total 7 2 3 2 5" xfId="30902" xr:uid="{00000000-0005-0000-0000-0000B3760000}"/>
    <cellStyle name="Total 7 2 3 2 5 2" xfId="30903" xr:uid="{00000000-0005-0000-0000-0000B4760000}"/>
    <cellStyle name="Total 7 2 3 2 5 3" xfId="30904" xr:uid="{00000000-0005-0000-0000-0000B5760000}"/>
    <cellStyle name="Total 7 2 3 2 5 4" xfId="30905" xr:uid="{00000000-0005-0000-0000-0000B6760000}"/>
    <cellStyle name="Total 7 2 3 2 6" xfId="30906" xr:uid="{00000000-0005-0000-0000-0000B7760000}"/>
    <cellStyle name="Total 7 2 3 2 7" xfId="26104" xr:uid="{00000000-0005-0000-0000-0000B8760000}"/>
    <cellStyle name="Total 7 2 3 2 8" xfId="26106" xr:uid="{00000000-0005-0000-0000-0000B9760000}"/>
    <cellStyle name="Total 7 2 3 3" xfId="3989" xr:uid="{00000000-0005-0000-0000-0000BA760000}"/>
    <cellStyle name="Total 7 2 3 3 2" xfId="25669" xr:uid="{00000000-0005-0000-0000-0000BB760000}"/>
    <cellStyle name="Total 7 2 3 3 2 2" xfId="22192" xr:uid="{00000000-0005-0000-0000-0000BC760000}"/>
    <cellStyle name="Total 7 2 3 3 2 2 2" xfId="30907" xr:uid="{00000000-0005-0000-0000-0000BD760000}"/>
    <cellStyle name="Total 7 2 3 3 2 2 2 2" xfId="30908" xr:uid="{00000000-0005-0000-0000-0000BE760000}"/>
    <cellStyle name="Total 7 2 3 3 2 2 2 3" xfId="30435" xr:uid="{00000000-0005-0000-0000-0000BF760000}"/>
    <cellStyle name="Total 7 2 3 3 2 2 2 4" xfId="30439" xr:uid="{00000000-0005-0000-0000-0000C0760000}"/>
    <cellStyle name="Total 7 2 3 3 2 2 3" xfId="30909" xr:uid="{00000000-0005-0000-0000-0000C1760000}"/>
    <cellStyle name="Total 7 2 3 3 2 2 4" xfId="30910" xr:uid="{00000000-0005-0000-0000-0000C2760000}"/>
    <cellStyle name="Total 7 2 3 3 2 2 5" xfId="24252" xr:uid="{00000000-0005-0000-0000-0000C3760000}"/>
    <cellStyle name="Total 7 2 3 3 2 3" xfId="22194" xr:uid="{00000000-0005-0000-0000-0000C4760000}"/>
    <cellStyle name="Total 7 2 3 3 2 3 2" xfId="30911" xr:uid="{00000000-0005-0000-0000-0000C5760000}"/>
    <cellStyle name="Total 7 2 3 3 2 3 3" xfId="30912" xr:uid="{00000000-0005-0000-0000-0000C6760000}"/>
    <cellStyle name="Total 7 2 3 3 2 3 4" xfId="30913" xr:uid="{00000000-0005-0000-0000-0000C7760000}"/>
    <cellStyle name="Total 7 2 3 3 2 4" xfId="30914" xr:uid="{00000000-0005-0000-0000-0000C8760000}"/>
    <cellStyle name="Total 7 2 3 3 2 5" xfId="30915" xr:uid="{00000000-0005-0000-0000-0000C9760000}"/>
    <cellStyle name="Total 7 2 3 3 2 6" xfId="17472" xr:uid="{00000000-0005-0000-0000-0000CA760000}"/>
    <cellStyle name="Total 7 2 3 3 3" xfId="30916" xr:uid="{00000000-0005-0000-0000-0000CB760000}"/>
    <cellStyle name="Total 7 2 3 3 3 2" xfId="30917" xr:uid="{00000000-0005-0000-0000-0000CC760000}"/>
    <cellStyle name="Total 7 2 3 3 3 2 2" xfId="30918" xr:uid="{00000000-0005-0000-0000-0000CD760000}"/>
    <cellStyle name="Total 7 2 3 3 3 2 3" xfId="30919" xr:uid="{00000000-0005-0000-0000-0000CE760000}"/>
    <cellStyle name="Total 7 2 3 3 3 2 4" xfId="30920" xr:uid="{00000000-0005-0000-0000-0000CF760000}"/>
    <cellStyle name="Total 7 2 3 3 3 3" xfId="30921" xr:uid="{00000000-0005-0000-0000-0000D0760000}"/>
    <cellStyle name="Total 7 2 3 3 3 4" xfId="30922" xr:uid="{00000000-0005-0000-0000-0000D1760000}"/>
    <cellStyle name="Total 7 2 3 3 3 5" xfId="30923" xr:uid="{00000000-0005-0000-0000-0000D2760000}"/>
    <cellStyle name="Total 7 2 3 3 4" xfId="30924" xr:uid="{00000000-0005-0000-0000-0000D3760000}"/>
    <cellStyle name="Total 7 2 3 3 4 2" xfId="30925" xr:uid="{00000000-0005-0000-0000-0000D4760000}"/>
    <cellStyle name="Total 7 2 3 3 4 3" xfId="30926" xr:uid="{00000000-0005-0000-0000-0000D5760000}"/>
    <cellStyle name="Total 7 2 3 3 4 4" xfId="30927" xr:uid="{00000000-0005-0000-0000-0000D6760000}"/>
    <cellStyle name="Total 7 2 3 3 5" xfId="30928" xr:uid="{00000000-0005-0000-0000-0000D7760000}"/>
    <cellStyle name="Total 7 2 3 3 6" xfId="30929" xr:uid="{00000000-0005-0000-0000-0000D8760000}"/>
    <cellStyle name="Total 7 2 3 3 7" xfId="26111" xr:uid="{00000000-0005-0000-0000-0000D9760000}"/>
    <cellStyle name="Total 7 2 3 4" xfId="30930" xr:uid="{00000000-0005-0000-0000-0000DA760000}"/>
    <cellStyle name="Total 7 2 3 4 2" xfId="5338" xr:uid="{00000000-0005-0000-0000-0000DB760000}"/>
    <cellStyle name="Total 7 2 3 4 2 2" xfId="18711" xr:uid="{00000000-0005-0000-0000-0000DC760000}"/>
    <cellStyle name="Total 7 2 3 4 2 2 2" xfId="25640" xr:uid="{00000000-0005-0000-0000-0000DD760000}"/>
    <cellStyle name="Total 7 2 3 4 2 2 3" xfId="25646" xr:uid="{00000000-0005-0000-0000-0000DE760000}"/>
    <cellStyle name="Total 7 2 3 4 2 2 4" xfId="25649" xr:uid="{00000000-0005-0000-0000-0000DF760000}"/>
    <cellStyle name="Total 7 2 3 4 2 3" xfId="19187" xr:uid="{00000000-0005-0000-0000-0000E0760000}"/>
    <cellStyle name="Total 7 2 3 4 2 4" xfId="19193" xr:uid="{00000000-0005-0000-0000-0000E1760000}"/>
    <cellStyle name="Total 7 2 3 4 2 5" xfId="19988" xr:uid="{00000000-0005-0000-0000-0000E2760000}"/>
    <cellStyle name="Total 7 2 3 4 3" xfId="15126" xr:uid="{00000000-0005-0000-0000-0000E3760000}"/>
    <cellStyle name="Total 7 2 3 4 3 2" xfId="19215" xr:uid="{00000000-0005-0000-0000-0000E4760000}"/>
    <cellStyle name="Total 7 2 3 4 3 3" xfId="19220" xr:uid="{00000000-0005-0000-0000-0000E5760000}"/>
    <cellStyle name="Total 7 2 3 4 3 4" xfId="20019" xr:uid="{00000000-0005-0000-0000-0000E6760000}"/>
    <cellStyle name="Total 7 2 3 4 4" xfId="15128" xr:uid="{00000000-0005-0000-0000-0000E7760000}"/>
    <cellStyle name="Total 7 2 3 4 5" xfId="15130" xr:uid="{00000000-0005-0000-0000-0000E8760000}"/>
    <cellStyle name="Total 7 2 3 4 6" xfId="23445" xr:uid="{00000000-0005-0000-0000-0000E9760000}"/>
    <cellStyle name="Total 7 2 3 5" xfId="30931" xr:uid="{00000000-0005-0000-0000-0000EA760000}"/>
    <cellStyle name="Total 7 2 3 5 2" xfId="30932" xr:uid="{00000000-0005-0000-0000-0000EB760000}"/>
    <cellStyle name="Total 7 2 3 5 2 2" xfId="7221" xr:uid="{00000000-0005-0000-0000-0000EC760000}"/>
    <cellStyle name="Total 7 2 3 5 2 3" xfId="7226" xr:uid="{00000000-0005-0000-0000-0000ED760000}"/>
    <cellStyle name="Total 7 2 3 5 2 4" xfId="19028" xr:uid="{00000000-0005-0000-0000-0000EE760000}"/>
    <cellStyle name="Total 7 2 3 5 3" xfId="30933" xr:uid="{00000000-0005-0000-0000-0000EF760000}"/>
    <cellStyle name="Total 7 2 3 5 4" xfId="30934" xr:uid="{00000000-0005-0000-0000-0000F0760000}"/>
    <cellStyle name="Total 7 2 3 5 5" xfId="23450" xr:uid="{00000000-0005-0000-0000-0000F1760000}"/>
    <cellStyle name="Total 7 2 3 6" xfId="30053" xr:uid="{00000000-0005-0000-0000-0000F2760000}"/>
    <cellStyle name="Total 7 2 3 6 2" xfId="28660" xr:uid="{00000000-0005-0000-0000-0000F3760000}"/>
    <cellStyle name="Total 7 2 3 6 3" xfId="30935" xr:uid="{00000000-0005-0000-0000-0000F4760000}"/>
    <cellStyle name="Total 7 2 3 6 4" xfId="30936" xr:uid="{00000000-0005-0000-0000-0000F5760000}"/>
    <cellStyle name="Total 7 2 3 7" xfId="30055" xr:uid="{00000000-0005-0000-0000-0000F6760000}"/>
    <cellStyle name="Total 7 2 3 8" xfId="30057" xr:uid="{00000000-0005-0000-0000-0000F7760000}"/>
    <cellStyle name="Total 7 2 3 9" xfId="30937" xr:uid="{00000000-0005-0000-0000-0000F8760000}"/>
    <cellStyle name="Total 7 2 4" xfId="10818" xr:uid="{00000000-0005-0000-0000-0000F9760000}"/>
    <cellStyle name="Total 7 2 4 2" xfId="4068" xr:uid="{00000000-0005-0000-0000-0000FA760000}"/>
    <cellStyle name="Total 7 2 4 2 2" xfId="25675" xr:uid="{00000000-0005-0000-0000-0000FB760000}"/>
    <cellStyle name="Total 7 2 4 2 2 2" xfId="22521" xr:uid="{00000000-0005-0000-0000-0000FC760000}"/>
    <cellStyle name="Total 7 2 4 2 2 2 2" xfId="30938" xr:uid="{00000000-0005-0000-0000-0000FD760000}"/>
    <cellStyle name="Total 7 2 4 2 2 2 2 2" xfId="30939" xr:uid="{00000000-0005-0000-0000-0000FE760000}"/>
    <cellStyle name="Total 7 2 4 2 2 2 2 3" xfId="30940" xr:uid="{00000000-0005-0000-0000-0000FF760000}"/>
    <cellStyle name="Total 7 2 4 2 2 2 2 4" xfId="30941" xr:uid="{00000000-0005-0000-0000-000000770000}"/>
    <cellStyle name="Total 7 2 4 2 2 2 3" xfId="30942" xr:uid="{00000000-0005-0000-0000-000001770000}"/>
    <cellStyle name="Total 7 2 4 2 2 2 4" xfId="30943" xr:uid="{00000000-0005-0000-0000-000002770000}"/>
    <cellStyle name="Total 7 2 4 2 2 2 5" xfId="30944" xr:uid="{00000000-0005-0000-0000-000003770000}"/>
    <cellStyle name="Total 7 2 4 2 2 3" xfId="22524" xr:uid="{00000000-0005-0000-0000-000004770000}"/>
    <cellStyle name="Total 7 2 4 2 2 3 2" xfId="30945" xr:uid="{00000000-0005-0000-0000-000005770000}"/>
    <cellStyle name="Total 7 2 4 2 2 3 3" xfId="30946" xr:uid="{00000000-0005-0000-0000-000006770000}"/>
    <cellStyle name="Total 7 2 4 2 2 3 4" xfId="30947" xr:uid="{00000000-0005-0000-0000-000007770000}"/>
    <cellStyle name="Total 7 2 4 2 2 4" xfId="22527" xr:uid="{00000000-0005-0000-0000-000008770000}"/>
    <cellStyle name="Total 7 2 4 2 2 5" xfId="22529" xr:uid="{00000000-0005-0000-0000-000009770000}"/>
    <cellStyle name="Total 7 2 4 2 2 6" xfId="30948" xr:uid="{00000000-0005-0000-0000-00000A770000}"/>
    <cellStyle name="Total 7 2 4 2 3" xfId="30949" xr:uid="{00000000-0005-0000-0000-00000B770000}"/>
    <cellStyle name="Total 7 2 4 2 3 2" xfId="30037" xr:uid="{00000000-0005-0000-0000-00000C770000}"/>
    <cellStyle name="Total 7 2 4 2 3 2 2" xfId="24264" xr:uid="{00000000-0005-0000-0000-00000D770000}"/>
    <cellStyle name="Total 7 2 4 2 3 2 3" xfId="3945" xr:uid="{00000000-0005-0000-0000-00000E770000}"/>
    <cellStyle name="Total 7 2 4 2 3 2 4" xfId="3950" xr:uid="{00000000-0005-0000-0000-00000F770000}"/>
    <cellStyle name="Total 7 2 4 2 3 3" xfId="30950" xr:uid="{00000000-0005-0000-0000-000010770000}"/>
    <cellStyle name="Total 7 2 4 2 3 4" xfId="30951" xr:uid="{00000000-0005-0000-0000-000011770000}"/>
    <cellStyle name="Total 7 2 4 2 3 5" xfId="30952" xr:uid="{00000000-0005-0000-0000-000012770000}"/>
    <cellStyle name="Total 7 2 4 2 4" xfId="30953" xr:uid="{00000000-0005-0000-0000-000013770000}"/>
    <cellStyle name="Total 7 2 4 2 4 2" xfId="30954" xr:uid="{00000000-0005-0000-0000-000014770000}"/>
    <cellStyle name="Total 7 2 4 2 4 3" xfId="30955" xr:uid="{00000000-0005-0000-0000-000015770000}"/>
    <cellStyle name="Total 7 2 4 2 4 4" xfId="30956" xr:uid="{00000000-0005-0000-0000-000016770000}"/>
    <cellStyle name="Total 7 2 4 2 5" xfId="30957" xr:uid="{00000000-0005-0000-0000-000017770000}"/>
    <cellStyle name="Total 7 2 4 2 6" xfId="30958" xr:uid="{00000000-0005-0000-0000-000018770000}"/>
    <cellStyle name="Total 7 2 4 2 7" xfId="26116" xr:uid="{00000000-0005-0000-0000-000019770000}"/>
    <cellStyle name="Total 7 2 4 3" xfId="30959" xr:uid="{00000000-0005-0000-0000-00001A770000}"/>
    <cellStyle name="Total 7 2 4 3 2" xfId="24988" xr:uid="{00000000-0005-0000-0000-00001B770000}"/>
    <cellStyle name="Total 7 2 4 3 2 2" xfId="25876" xr:uid="{00000000-0005-0000-0000-00001C770000}"/>
    <cellStyle name="Total 7 2 4 3 2 2 2" xfId="30960" xr:uid="{00000000-0005-0000-0000-00001D770000}"/>
    <cellStyle name="Total 7 2 4 3 2 2 3" xfId="30961" xr:uid="{00000000-0005-0000-0000-00001E770000}"/>
    <cellStyle name="Total 7 2 4 3 2 2 4" xfId="30962" xr:uid="{00000000-0005-0000-0000-00001F770000}"/>
    <cellStyle name="Total 7 2 4 3 2 3" xfId="25879" xr:uid="{00000000-0005-0000-0000-000020770000}"/>
    <cellStyle name="Total 7 2 4 3 2 4" xfId="25881" xr:uid="{00000000-0005-0000-0000-000021770000}"/>
    <cellStyle name="Total 7 2 4 3 2 5" xfId="30963" xr:uid="{00000000-0005-0000-0000-000022770000}"/>
    <cellStyle name="Total 7 2 4 3 3" xfId="24990" xr:uid="{00000000-0005-0000-0000-000023770000}"/>
    <cellStyle name="Total 7 2 4 3 3 2" xfId="30964" xr:uid="{00000000-0005-0000-0000-000024770000}"/>
    <cellStyle name="Total 7 2 4 3 3 3" xfId="30965" xr:uid="{00000000-0005-0000-0000-000025770000}"/>
    <cellStyle name="Total 7 2 4 3 3 4" xfId="30966" xr:uid="{00000000-0005-0000-0000-000026770000}"/>
    <cellStyle name="Total 7 2 4 3 4" xfId="30967" xr:uid="{00000000-0005-0000-0000-000027770000}"/>
    <cellStyle name="Total 7 2 4 3 5" xfId="30968" xr:uid="{00000000-0005-0000-0000-000028770000}"/>
    <cellStyle name="Total 7 2 4 3 6" xfId="30969" xr:uid="{00000000-0005-0000-0000-000029770000}"/>
    <cellStyle name="Total 7 2 4 4" xfId="30970" xr:uid="{00000000-0005-0000-0000-00002A770000}"/>
    <cellStyle name="Total 7 2 4 4 2" xfId="30971" xr:uid="{00000000-0005-0000-0000-00002B770000}"/>
    <cellStyle name="Total 7 2 4 4 2 2" xfId="17997" xr:uid="{00000000-0005-0000-0000-00002C770000}"/>
    <cellStyle name="Total 7 2 4 4 2 3" xfId="18508" xr:uid="{00000000-0005-0000-0000-00002D770000}"/>
    <cellStyle name="Total 7 2 4 4 2 4" xfId="18516" xr:uid="{00000000-0005-0000-0000-00002E770000}"/>
    <cellStyle name="Total 7 2 4 4 3" xfId="30972" xr:uid="{00000000-0005-0000-0000-00002F770000}"/>
    <cellStyle name="Total 7 2 4 4 4" xfId="30973" xr:uid="{00000000-0005-0000-0000-000030770000}"/>
    <cellStyle name="Total 7 2 4 4 5" xfId="23459" xr:uid="{00000000-0005-0000-0000-000031770000}"/>
    <cellStyle name="Total 7 2 4 5" xfId="30974" xr:uid="{00000000-0005-0000-0000-000032770000}"/>
    <cellStyle name="Total 7 2 4 5 2" xfId="30975" xr:uid="{00000000-0005-0000-0000-000033770000}"/>
    <cellStyle name="Total 7 2 4 5 3" xfId="30976" xr:uid="{00000000-0005-0000-0000-000034770000}"/>
    <cellStyle name="Total 7 2 4 5 4" xfId="30977" xr:uid="{00000000-0005-0000-0000-000035770000}"/>
    <cellStyle name="Total 7 2 4 6" xfId="30978" xr:uid="{00000000-0005-0000-0000-000036770000}"/>
    <cellStyle name="Total 7 2 4 7" xfId="30979" xr:uid="{00000000-0005-0000-0000-000037770000}"/>
    <cellStyle name="Total 7 2 4 8" xfId="30980" xr:uid="{00000000-0005-0000-0000-000038770000}"/>
    <cellStyle name="Total 7 2 5" xfId="16699" xr:uid="{00000000-0005-0000-0000-000039770000}"/>
    <cellStyle name="Total 7 2 5 2" xfId="30981" xr:uid="{00000000-0005-0000-0000-00003A770000}"/>
    <cellStyle name="Total 7 2 5 2 2" xfId="30982" xr:uid="{00000000-0005-0000-0000-00003B770000}"/>
    <cellStyle name="Total 7 2 5 2 2 2" xfId="3726" xr:uid="{00000000-0005-0000-0000-00003C770000}"/>
    <cellStyle name="Total 7 2 5 2 2 2 2" xfId="577" xr:uid="{00000000-0005-0000-0000-00003D770000}"/>
    <cellStyle name="Total 7 2 5 2 2 2 3" xfId="3192" xr:uid="{00000000-0005-0000-0000-00003E770000}"/>
    <cellStyle name="Total 7 2 5 2 2 2 4" xfId="746" xr:uid="{00000000-0005-0000-0000-00003F770000}"/>
    <cellStyle name="Total 7 2 5 2 2 3" xfId="1435" xr:uid="{00000000-0005-0000-0000-000040770000}"/>
    <cellStyle name="Total 7 2 5 2 2 4" xfId="3733" xr:uid="{00000000-0005-0000-0000-000041770000}"/>
    <cellStyle name="Total 7 2 5 2 2 5" xfId="3739" xr:uid="{00000000-0005-0000-0000-000042770000}"/>
    <cellStyle name="Total 7 2 5 2 3" xfId="30983" xr:uid="{00000000-0005-0000-0000-000043770000}"/>
    <cellStyle name="Total 7 2 5 2 3 2" xfId="1287" xr:uid="{00000000-0005-0000-0000-000044770000}"/>
    <cellStyle name="Total 7 2 5 2 3 3" xfId="1468" xr:uid="{00000000-0005-0000-0000-000045770000}"/>
    <cellStyle name="Total 7 2 5 2 3 4" xfId="3811" xr:uid="{00000000-0005-0000-0000-000046770000}"/>
    <cellStyle name="Total 7 2 5 2 4" xfId="30984" xr:uid="{00000000-0005-0000-0000-000047770000}"/>
    <cellStyle name="Total 7 2 5 2 5" xfId="24819" xr:uid="{00000000-0005-0000-0000-000048770000}"/>
    <cellStyle name="Total 7 2 5 2 6" xfId="24821" xr:uid="{00000000-0005-0000-0000-000049770000}"/>
    <cellStyle name="Total 7 2 5 3" xfId="30985" xr:uid="{00000000-0005-0000-0000-00004A770000}"/>
    <cellStyle name="Total 7 2 5 3 2" xfId="30986" xr:uid="{00000000-0005-0000-0000-00004B770000}"/>
    <cellStyle name="Total 7 2 5 3 2 2" xfId="4166" xr:uid="{00000000-0005-0000-0000-00004C770000}"/>
    <cellStyle name="Total 7 2 5 3 2 3" xfId="4173" xr:uid="{00000000-0005-0000-0000-00004D770000}"/>
    <cellStyle name="Total 7 2 5 3 2 4" xfId="17773" xr:uid="{00000000-0005-0000-0000-00004E770000}"/>
    <cellStyle name="Total 7 2 5 3 3" xfId="28942" xr:uid="{00000000-0005-0000-0000-00004F770000}"/>
    <cellStyle name="Total 7 2 5 3 4" xfId="28950" xr:uid="{00000000-0005-0000-0000-000050770000}"/>
    <cellStyle name="Total 7 2 5 3 5" xfId="24826" xr:uid="{00000000-0005-0000-0000-000051770000}"/>
    <cellStyle name="Total 7 2 5 4" xfId="30987" xr:uid="{00000000-0005-0000-0000-000052770000}"/>
    <cellStyle name="Total 7 2 5 4 2" xfId="30988" xr:uid="{00000000-0005-0000-0000-000053770000}"/>
    <cellStyle name="Total 7 2 5 4 3" xfId="28959" xr:uid="{00000000-0005-0000-0000-000054770000}"/>
    <cellStyle name="Total 7 2 5 4 4" xfId="28966" xr:uid="{00000000-0005-0000-0000-000055770000}"/>
    <cellStyle name="Total 7 2 5 5" xfId="30989" xr:uid="{00000000-0005-0000-0000-000056770000}"/>
    <cellStyle name="Total 7 2 5 6" xfId="30990" xr:uid="{00000000-0005-0000-0000-000057770000}"/>
    <cellStyle name="Total 7 2 5 7" xfId="30991" xr:uid="{00000000-0005-0000-0000-000058770000}"/>
    <cellStyle name="Total 7 2 6" xfId="30992" xr:uid="{00000000-0005-0000-0000-000059770000}"/>
    <cellStyle name="Total 7 2 6 2" xfId="30993" xr:uid="{00000000-0005-0000-0000-00005A770000}"/>
    <cellStyle name="Total 7 2 6 2 2" xfId="30994" xr:uid="{00000000-0005-0000-0000-00005B770000}"/>
    <cellStyle name="Total 7 2 6 2 2 2" xfId="1817" xr:uid="{00000000-0005-0000-0000-00005C770000}"/>
    <cellStyle name="Total 7 2 6 2 2 3" xfId="1910" xr:uid="{00000000-0005-0000-0000-00005D770000}"/>
    <cellStyle name="Total 7 2 6 2 2 4" xfId="1913" xr:uid="{00000000-0005-0000-0000-00005E770000}"/>
    <cellStyle name="Total 7 2 6 2 3" xfId="30995" xr:uid="{00000000-0005-0000-0000-00005F770000}"/>
    <cellStyle name="Total 7 2 6 2 4" xfId="30996" xr:uid="{00000000-0005-0000-0000-000060770000}"/>
    <cellStyle name="Total 7 2 6 2 5" xfId="24854" xr:uid="{00000000-0005-0000-0000-000061770000}"/>
    <cellStyle name="Total 7 2 6 3" xfId="30997" xr:uid="{00000000-0005-0000-0000-000062770000}"/>
    <cellStyle name="Total 7 2 6 3 2" xfId="27786" xr:uid="{00000000-0005-0000-0000-000063770000}"/>
    <cellStyle name="Total 7 2 6 3 3" xfId="27798" xr:uid="{00000000-0005-0000-0000-000064770000}"/>
    <cellStyle name="Total 7 2 6 3 4" xfId="27805" xr:uid="{00000000-0005-0000-0000-000065770000}"/>
    <cellStyle name="Total 7 2 6 4" xfId="10377" xr:uid="{00000000-0005-0000-0000-000066770000}"/>
    <cellStyle name="Total 7 2 6 5" xfId="10383" xr:uid="{00000000-0005-0000-0000-000067770000}"/>
    <cellStyle name="Total 7 2 6 6" xfId="8244" xr:uid="{00000000-0005-0000-0000-000068770000}"/>
    <cellStyle name="Total 7 2 7" xfId="28510" xr:uid="{00000000-0005-0000-0000-000069770000}"/>
    <cellStyle name="Total 7 2 7 2" xfId="28512" xr:uid="{00000000-0005-0000-0000-00006A770000}"/>
    <cellStyle name="Total 7 2 7 2 2" xfId="23862" xr:uid="{00000000-0005-0000-0000-00006B770000}"/>
    <cellStyle name="Total 7 2 7 2 3" xfId="16548" xr:uid="{00000000-0005-0000-0000-00006C770000}"/>
    <cellStyle name="Total 7 2 7 2 4" xfId="16552" xr:uid="{00000000-0005-0000-0000-00006D770000}"/>
    <cellStyle name="Total 7 2 7 3" xfId="28514" xr:uid="{00000000-0005-0000-0000-00006E770000}"/>
    <cellStyle name="Total 7 2 7 4" xfId="15490" xr:uid="{00000000-0005-0000-0000-00006F770000}"/>
    <cellStyle name="Total 7 2 7 5" xfId="16368" xr:uid="{00000000-0005-0000-0000-000070770000}"/>
    <cellStyle name="Total 7 2 8" xfId="28516" xr:uid="{00000000-0005-0000-0000-000071770000}"/>
    <cellStyle name="Total 7 2 8 2" xfId="30998" xr:uid="{00000000-0005-0000-0000-000072770000}"/>
    <cellStyle name="Total 7 2 8 3" xfId="29211" xr:uid="{00000000-0005-0000-0000-000073770000}"/>
    <cellStyle name="Total 7 2 8 4" xfId="29213" xr:uid="{00000000-0005-0000-0000-000074770000}"/>
    <cellStyle name="Total 7 2 9" xfId="28518" xr:uid="{00000000-0005-0000-0000-000075770000}"/>
    <cellStyle name="Total 7 3" xfId="12027" xr:uid="{00000000-0005-0000-0000-000076770000}"/>
    <cellStyle name="Total 7 3 2" xfId="10829" xr:uid="{00000000-0005-0000-0000-000077770000}"/>
    <cellStyle name="Total 7 3 2 2" xfId="30129" xr:uid="{00000000-0005-0000-0000-000078770000}"/>
    <cellStyle name="Total 7 3 2 2 2" xfId="25687" xr:uid="{00000000-0005-0000-0000-000079770000}"/>
    <cellStyle name="Total 7 3 2 2 2 2" xfId="30999" xr:uid="{00000000-0005-0000-0000-00007A770000}"/>
    <cellStyle name="Total 7 3 2 2 2 2 2" xfId="31000" xr:uid="{00000000-0005-0000-0000-00007B770000}"/>
    <cellStyle name="Total 7 3 2 2 2 2 2 2" xfId="31001" xr:uid="{00000000-0005-0000-0000-00007C770000}"/>
    <cellStyle name="Total 7 3 2 2 2 2 2 3" xfId="31002" xr:uid="{00000000-0005-0000-0000-00007D770000}"/>
    <cellStyle name="Total 7 3 2 2 2 2 2 4" xfId="31003" xr:uid="{00000000-0005-0000-0000-00007E770000}"/>
    <cellStyle name="Total 7 3 2 2 2 2 3" xfId="31004" xr:uid="{00000000-0005-0000-0000-00007F770000}"/>
    <cellStyle name="Total 7 3 2 2 2 2 4" xfId="31005" xr:uid="{00000000-0005-0000-0000-000080770000}"/>
    <cellStyle name="Total 7 3 2 2 2 2 5" xfId="31006" xr:uid="{00000000-0005-0000-0000-000081770000}"/>
    <cellStyle name="Total 7 3 2 2 2 3" xfId="31007" xr:uid="{00000000-0005-0000-0000-000082770000}"/>
    <cellStyle name="Total 7 3 2 2 2 3 2" xfId="31008" xr:uid="{00000000-0005-0000-0000-000083770000}"/>
    <cellStyle name="Total 7 3 2 2 2 3 3" xfId="31009" xr:uid="{00000000-0005-0000-0000-000084770000}"/>
    <cellStyle name="Total 7 3 2 2 2 3 4" xfId="31010" xr:uid="{00000000-0005-0000-0000-000085770000}"/>
    <cellStyle name="Total 7 3 2 2 2 4" xfId="31011" xr:uid="{00000000-0005-0000-0000-000086770000}"/>
    <cellStyle name="Total 7 3 2 2 2 5" xfId="31012" xr:uid="{00000000-0005-0000-0000-000087770000}"/>
    <cellStyle name="Total 7 3 2 2 2 6" xfId="31013" xr:uid="{00000000-0005-0000-0000-000088770000}"/>
    <cellStyle name="Total 7 3 2 2 3" xfId="25690" xr:uid="{00000000-0005-0000-0000-000089770000}"/>
    <cellStyle name="Total 7 3 2 2 3 2" xfId="28427" xr:uid="{00000000-0005-0000-0000-00008A770000}"/>
    <cellStyle name="Total 7 3 2 2 3 2 2" xfId="31014" xr:uid="{00000000-0005-0000-0000-00008B770000}"/>
    <cellStyle name="Total 7 3 2 2 3 2 3" xfId="31015" xr:uid="{00000000-0005-0000-0000-00008C770000}"/>
    <cellStyle name="Total 7 3 2 2 3 2 4" xfId="930" xr:uid="{00000000-0005-0000-0000-00008D770000}"/>
    <cellStyle name="Total 7 3 2 2 3 3" xfId="28429" xr:uid="{00000000-0005-0000-0000-00008E770000}"/>
    <cellStyle name="Total 7 3 2 2 3 4" xfId="31016" xr:uid="{00000000-0005-0000-0000-00008F770000}"/>
    <cellStyle name="Total 7 3 2 2 3 5" xfId="31017" xr:uid="{00000000-0005-0000-0000-000090770000}"/>
    <cellStyle name="Total 7 3 2 2 4" xfId="31018" xr:uid="{00000000-0005-0000-0000-000091770000}"/>
    <cellStyle name="Total 7 3 2 2 4 2" xfId="28434" xr:uid="{00000000-0005-0000-0000-000092770000}"/>
    <cellStyle name="Total 7 3 2 2 4 3" xfId="31019" xr:uid="{00000000-0005-0000-0000-000093770000}"/>
    <cellStyle name="Total 7 3 2 2 4 4" xfId="31020" xr:uid="{00000000-0005-0000-0000-000094770000}"/>
    <cellStyle name="Total 7 3 2 2 5" xfId="31021" xr:uid="{00000000-0005-0000-0000-000095770000}"/>
    <cellStyle name="Total 7 3 2 2 6" xfId="31022" xr:uid="{00000000-0005-0000-0000-000096770000}"/>
    <cellStyle name="Total 7 3 2 2 7" xfId="31023" xr:uid="{00000000-0005-0000-0000-000097770000}"/>
    <cellStyle name="Total 7 3 2 3" xfId="31024" xr:uid="{00000000-0005-0000-0000-000098770000}"/>
    <cellStyle name="Total 7 3 2 3 2" xfId="24010" xr:uid="{00000000-0005-0000-0000-000099770000}"/>
    <cellStyle name="Total 7 3 2 3 2 2" xfId="24292" xr:uid="{00000000-0005-0000-0000-00009A770000}"/>
    <cellStyle name="Total 7 3 2 3 2 2 2" xfId="24294" xr:uid="{00000000-0005-0000-0000-00009B770000}"/>
    <cellStyle name="Total 7 3 2 3 2 2 3" xfId="24296" xr:uid="{00000000-0005-0000-0000-00009C770000}"/>
    <cellStyle name="Total 7 3 2 3 2 2 4" xfId="999" xr:uid="{00000000-0005-0000-0000-00009D770000}"/>
    <cellStyle name="Total 7 3 2 3 2 3" xfId="24298" xr:uid="{00000000-0005-0000-0000-00009E770000}"/>
    <cellStyle name="Total 7 3 2 3 2 4" xfId="24300" xr:uid="{00000000-0005-0000-0000-00009F770000}"/>
    <cellStyle name="Total 7 3 2 3 2 5" xfId="24302" xr:uid="{00000000-0005-0000-0000-0000A0770000}"/>
    <cellStyle name="Total 7 3 2 3 3" xfId="31025" xr:uid="{00000000-0005-0000-0000-0000A1770000}"/>
    <cellStyle name="Total 7 3 2 3 3 2" xfId="24320" xr:uid="{00000000-0005-0000-0000-0000A2770000}"/>
    <cellStyle name="Total 7 3 2 3 3 3" xfId="24323" xr:uid="{00000000-0005-0000-0000-0000A3770000}"/>
    <cellStyle name="Total 7 3 2 3 3 4" xfId="24325" xr:uid="{00000000-0005-0000-0000-0000A4770000}"/>
    <cellStyle name="Total 7 3 2 3 4" xfId="31026" xr:uid="{00000000-0005-0000-0000-0000A5770000}"/>
    <cellStyle name="Total 7 3 2 3 5" xfId="31027" xr:uid="{00000000-0005-0000-0000-0000A6770000}"/>
    <cellStyle name="Total 7 3 2 3 6" xfId="20339" xr:uid="{00000000-0005-0000-0000-0000A7770000}"/>
    <cellStyle name="Total 7 3 2 4" xfId="31028" xr:uid="{00000000-0005-0000-0000-0000A8770000}"/>
    <cellStyle name="Total 7 3 2 4 2" xfId="19022" xr:uid="{00000000-0005-0000-0000-0000A9770000}"/>
    <cellStyle name="Total 7 3 2 4 2 2" xfId="24463" xr:uid="{00000000-0005-0000-0000-0000AA770000}"/>
    <cellStyle name="Total 7 3 2 4 2 3" xfId="20135" xr:uid="{00000000-0005-0000-0000-0000AB770000}"/>
    <cellStyle name="Total 7 3 2 4 2 4" xfId="20141" xr:uid="{00000000-0005-0000-0000-0000AC770000}"/>
    <cellStyle name="Total 7 3 2 4 3" xfId="31029" xr:uid="{00000000-0005-0000-0000-0000AD770000}"/>
    <cellStyle name="Total 7 3 2 4 4" xfId="31030" xr:uid="{00000000-0005-0000-0000-0000AE770000}"/>
    <cellStyle name="Total 7 3 2 4 5" xfId="31031" xr:uid="{00000000-0005-0000-0000-0000AF770000}"/>
    <cellStyle name="Total 7 3 2 5" xfId="31032" xr:uid="{00000000-0005-0000-0000-0000B0770000}"/>
    <cellStyle name="Total 7 3 2 5 2" xfId="31033" xr:uid="{00000000-0005-0000-0000-0000B1770000}"/>
    <cellStyle name="Total 7 3 2 5 3" xfId="31034" xr:uid="{00000000-0005-0000-0000-0000B2770000}"/>
    <cellStyle name="Total 7 3 2 5 4" xfId="31035" xr:uid="{00000000-0005-0000-0000-0000B3770000}"/>
    <cellStyle name="Total 7 3 2 6" xfId="30072" xr:uid="{00000000-0005-0000-0000-0000B4770000}"/>
    <cellStyle name="Total 7 3 2 7" xfId="30074" xr:uid="{00000000-0005-0000-0000-0000B5770000}"/>
    <cellStyle name="Total 7 3 2 8" xfId="30076" xr:uid="{00000000-0005-0000-0000-0000B6770000}"/>
    <cellStyle name="Total 7 3 3" xfId="10839" xr:uid="{00000000-0005-0000-0000-0000B7770000}"/>
    <cellStyle name="Total 7 3 3 2" xfId="4128" xr:uid="{00000000-0005-0000-0000-0000B8770000}"/>
    <cellStyle name="Total 7 3 3 2 2" xfId="25697" xr:uid="{00000000-0005-0000-0000-0000B9770000}"/>
    <cellStyle name="Total 7 3 3 2 2 2" xfId="31036" xr:uid="{00000000-0005-0000-0000-0000BA770000}"/>
    <cellStyle name="Total 7 3 3 2 2 2 2" xfId="31037" xr:uid="{00000000-0005-0000-0000-0000BB770000}"/>
    <cellStyle name="Total 7 3 3 2 2 2 3" xfId="31038" xr:uid="{00000000-0005-0000-0000-0000BC770000}"/>
    <cellStyle name="Total 7 3 3 2 2 2 4" xfId="31039" xr:uid="{00000000-0005-0000-0000-0000BD770000}"/>
    <cellStyle name="Total 7 3 3 2 2 3" xfId="31040" xr:uid="{00000000-0005-0000-0000-0000BE770000}"/>
    <cellStyle name="Total 7 3 3 2 2 4" xfId="31041" xr:uid="{00000000-0005-0000-0000-0000BF770000}"/>
    <cellStyle name="Total 7 3 3 2 2 5" xfId="31042" xr:uid="{00000000-0005-0000-0000-0000C0770000}"/>
    <cellStyle name="Total 7 3 3 2 3" xfId="1410" xr:uid="{00000000-0005-0000-0000-0000C1770000}"/>
    <cellStyle name="Total 7 3 3 2 3 2" xfId="28463" xr:uid="{00000000-0005-0000-0000-0000C2770000}"/>
    <cellStyle name="Total 7 3 3 2 3 3" xfId="31043" xr:uid="{00000000-0005-0000-0000-0000C3770000}"/>
    <cellStyle name="Total 7 3 3 2 3 4" xfId="31044" xr:uid="{00000000-0005-0000-0000-0000C4770000}"/>
    <cellStyle name="Total 7 3 3 2 4" xfId="31045" xr:uid="{00000000-0005-0000-0000-0000C5770000}"/>
    <cellStyle name="Total 7 3 3 2 5" xfId="31046" xr:uid="{00000000-0005-0000-0000-0000C6770000}"/>
    <cellStyle name="Total 7 3 3 2 6" xfId="31047" xr:uid="{00000000-0005-0000-0000-0000C7770000}"/>
    <cellStyle name="Total 7 3 3 3" xfId="31048" xr:uid="{00000000-0005-0000-0000-0000C8770000}"/>
    <cellStyle name="Total 7 3 3 3 2" xfId="31049" xr:uid="{00000000-0005-0000-0000-0000C9770000}"/>
    <cellStyle name="Total 7 3 3 3 2 2" xfId="22306" xr:uid="{00000000-0005-0000-0000-0000CA770000}"/>
    <cellStyle name="Total 7 3 3 3 2 3" xfId="22309" xr:uid="{00000000-0005-0000-0000-0000CB770000}"/>
    <cellStyle name="Total 7 3 3 3 2 4" xfId="25050" xr:uid="{00000000-0005-0000-0000-0000CC770000}"/>
    <cellStyle name="Total 7 3 3 3 3" xfId="1631" xr:uid="{00000000-0005-0000-0000-0000CD770000}"/>
    <cellStyle name="Total 7 3 3 3 4" xfId="31050" xr:uid="{00000000-0005-0000-0000-0000CE770000}"/>
    <cellStyle name="Total 7 3 3 3 5" xfId="31051" xr:uid="{00000000-0005-0000-0000-0000CF770000}"/>
    <cellStyle name="Total 7 3 3 4" xfId="31052" xr:uid="{00000000-0005-0000-0000-0000D0770000}"/>
    <cellStyle name="Total 7 3 3 4 2" xfId="31053" xr:uid="{00000000-0005-0000-0000-0000D1770000}"/>
    <cellStyle name="Total 7 3 3 4 3" xfId="31054" xr:uid="{00000000-0005-0000-0000-0000D2770000}"/>
    <cellStyle name="Total 7 3 3 4 4" xfId="31055" xr:uid="{00000000-0005-0000-0000-0000D3770000}"/>
    <cellStyle name="Total 7 3 3 5" xfId="31056" xr:uid="{00000000-0005-0000-0000-0000D4770000}"/>
    <cellStyle name="Total 7 3 3 6" xfId="31057" xr:uid="{00000000-0005-0000-0000-0000D5770000}"/>
    <cellStyle name="Total 7 3 3 7" xfId="16962" xr:uid="{00000000-0005-0000-0000-0000D6770000}"/>
    <cellStyle name="Total 7 3 4" xfId="18335" xr:uid="{00000000-0005-0000-0000-0000D7770000}"/>
    <cellStyle name="Total 7 3 4 2" xfId="31058" xr:uid="{00000000-0005-0000-0000-0000D8770000}"/>
    <cellStyle name="Total 7 3 4 2 2" xfId="31059" xr:uid="{00000000-0005-0000-0000-0000D9770000}"/>
    <cellStyle name="Total 7 3 4 2 2 2" xfId="30200" xr:uid="{00000000-0005-0000-0000-0000DA770000}"/>
    <cellStyle name="Total 7 3 4 2 2 3" xfId="31060" xr:uid="{00000000-0005-0000-0000-0000DB770000}"/>
    <cellStyle name="Total 7 3 4 2 2 4" xfId="22494" xr:uid="{00000000-0005-0000-0000-0000DC770000}"/>
    <cellStyle name="Total 7 3 4 2 3" xfId="31061" xr:uid="{00000000-0005-0000-0000-0000DD770000}"/>
    <cellStyle name="Total 7 3 4 2 4" xfId="31062" xr:uid="{00000000-0005-0000-0000-0000DE770000}"/>
    <cellStyle name="Total 7 3 4 2 5" xfId="31063" xr:uid="{00000000-0005-0000-0000-0000DF770000}"/>
    <cellStyle name="Total 7 3 4 3" xfId="31064" xr:uid="{00000000-0005-0000-0000-0000E0770000}"/>
    <cellStyle name="Total 7 3 4 3 2" xfId="31065" xr:uid="{00000000-0005-0000-0000-0000E1770000}"/>
    <cellStyle name="Total 7 3 4 3 3" xfId="31066" xr:uid="{00000000-0005-0000-0000-0000E2770000}"/>
    <cellStyle name="Total 7 3 4 3 4" xfId="31067" xr:uid="{00000000-0005-0000-0000-0000E3770000}"/>
    <cellStyle name="Total 7 3 4 4" xfId="31068" xr:uid="{00000000-0005-0000-0000-0000E4770000}"/>
    <cellStyle name="Total 7 3 4 5" xfId="31069" xr:uid="{00000000-0005-0000-0000-0000E5770000}"/>
    <cellStyle name="Total 7 3 4 6" xfId="31070" xr:uid="{00000000-0005-0000-0000-0000E6770000}"/>
    <cellStyle name="Total 7 3 5" xfId="31071" xr:uid="{00000000-0005-0000-0000-0000E7770000}"/>
    <cellStyle name="Total 7 3 5 2" xfId="31072" xr:uid="{00000000-0005-0000-0000-0000E8770000}"/>
    <cellStyle name="Total 7 3 5 2 2" xfId="31073" xr:uid="{00000000-0005-0000-0000-0000E9770000}"/>
    <cellStyle name="Total 7 3 5 2 3" xfId="31074" xr:uid="{00000000-0005-0000-0000-0000EA770000}"/>
    <cellStyle name="Total 7 3 5 2 4" xfId="31075" xr:uid="{00000000-0005-0000-0000-0000EB770000}"/>
    <cellStyle name="Total 7 3 5 3" xfId="31076" xr:uid="{00000000-0005-0000-0000-0000EC770000}"/>
    <cellStyle name="Total 7 3 5 4" xfId="31077" xr:uid="{00000000-0005-0000-0000-0000ED770000}"/>
    <cellStyle name="Total 7 3 5 5" xfId="31078" xr:uid="{00000000-0005-0000-0000-0000EE770000}"/>
    <cellStyle name="Total 7 3 6" xfId="31079" xr:uid="{00000000-0005-0000-0000-0000EF770000}"/>
    <cellStyle name="Total 7 3 6 2" xfId="15501" xr:uid="{00000000-0005-0000-0000-0000F0770000}"/>
    <cellStyle name="Total 7 3 6 3" xfId="15506" xr:uid="{00000000-0005-0000-0000-0000F1770000}"/>
    <cellStyle name="Total 7 3 6 4" xfId="15510" xr:uid="{00000000-0005-0000-0000-0000F2770000}"/>
    <cellStyle name="Total 7 3 7" xfId="28522" xr:uid="{00000000-0005-0000-0000-0000F3770000}"/>
    <cellStyle name="Total 7 3 8" xfId="28524" xr:uid="{00000000-0005-0000-0000-0000F4770000}"/>
    <cellStyle name="Total 7 3 9" xfId="28526" xr:uid="{00000000-0005-0000-0000-0000F5770000}"/>
    <cellStyle name="Total 7 4" xfId="4939" xr:uid="{00000000-0005-0000-0000-0000F6770000}"/>
    <cellStyle name="Total 7 4 2" xfId="4946" xr:uid="{00000000-0005-0000-0000-0000F7770000}"/>
    <cellStyle name="Total 7 4 2 2" xfId="3742" xr:uid="{00000000-0005-0000-0000-0000F8770000}"/>
    <cellStyle name="Total 7 4 2 2 2" xfId="25706" xr:uid="{00000000-0005-0000-0000-0000F9770000}"/>
    <cellStyle name="Total 7 4 2 2 2 2" xfId="16007" xr:uid="{00000000-0005-0000-0000-0000FA770000}"/>
    <cellStyle name="Total 7 4 2 2 2 2 2" xfId="31080" xr:uid="{00000000-0005-0000-0000-0000FB770000}"/>
    <cellStyle name="Total 7 4 2 2 2 2 2 2" xfId="31081" xr:uid="{00000000-0005-0000-0000-0000FC770000}"/>
    <cellStyle name="Total 7 4 2 2 2 2 2 3" xfId="31082" xr:uid="{00000000-0005-0000-0000-0000FD770000}"/>
    <cellStyle name="Total 7 4 2 2 2 2 2 4" xfId="31083" xr:uid="{00000000-0005-0000-0000-0000FE770000}"/>
    <cellStyle name="Total 7 4 2 2 2 2 3" xfId="31084" xr:uid="{00000000-0005-0000-0000-0000FF770000}"/>
    <cellStyle name="Total 7 4 2 2 2 2 4" xfId="31085" xr:uid="{00000000-0005-0000-0000-000000780000}"/>
    <cellStyle name="Total 7 4 2 2 2 2 5" xfId="31086" xr:uid="{00000000-0005-0000-0000-000001780000}"/>
    <cellStyle name="Total 7 4 2 2 2 3" xfId="16011" xr:uid="{00000000-0005-0000-0000-000002780000}"/>
    <cellStyle name="Total 7 4 2 2 2 3 2" xfId="31087" xr:uid="{00000000-0005-0000-0000-000003780000}"/>
    <cellStyle name="Total 7 4 2 2 2 3 3" xfId="31088" xr:uid="{00000000-0005-0000-0000-000004780000}"/>
    <cellStyle name="Total 7 4 2 2 2 3 4" xfId="31089" xr:uid="{00000000-0005-0000-0000-000005780000}"/>
    <cellStyle name="Total 7 4 2 2 2 4" xfId="31090" xr:uid="{00000000-0005-0000-0000-000006780000}"/>
    <cellStyle name="Total 7 4 2 2 2 5" xfId="31091" xr:uid="{00000000-0005-0000-0000-000007780000}"/>
    <cellStyle name="Total 7 4 2 2 2 6" xfId="31092" xr:uid="{00000000-0005-0000-0000-000008780000}"/>
    <cellStyle name="Total 7 4 2 2 3" xfId="29943" xr:uid="{00000000-0005-0000-0000-000009780000}"/>
    <cellStyle name="Total 7 4 2 2 3 2" xfId="31093" xr:uid="{00000000-0005-0000-0000-00000A780000}"/>
    <cellStyle name="Total 7 4 2 2 3 2 2" xfId="30013" xr:uid="{00000000-0005-0000-0000-00000B780000}"/>
    <cellStyle name="Total 7 4 2 2 3 2 3" xfId="29925" xr:uid="{00000000-0005-0000-0000-00000C780000}"/>
    <cellStyle name="Total 7 4 2 2 3 2 4" xfId="824" xr:uid="{00000000-0005-0000-0000-00000D780000}"/>
    <cellStyle name="Total 7 4 2 2 3 3" xfId="31094" xr:uid="{00000000-0005-0000-0000-00000E780000}"/>
    <cellStyle name="Total 7 4 2 2 3 4" xfId="31095" xr:uid="{00000000-0005-0000-0000-00000F780000}"/>
    <cellStyle name="Total 7 4 2 2 3 5" xfId="31096" xr:uid="{00000000-0005-0000-0000-000010780000}"/>
    <cellStyle name="Total 7 4 2 2 4" xfId="31097" xr:uid="{00000000-0005-0000-0000-000011780000}"/>
    <cellStyle name="Total 7 4 2 2 4 2" xfId="16674" xr:uid="{00000000-0005-0000-0000-000012780000}"/>
    <cellStyle name="Total 7 4 2 2 4 3" xfId="16677" xr:uid="{00000000-0005-0000-0000-000013780000}"/>
    <cellStyle name="Total 7 4 2 2 4 4" xfId="16679" xr:uid="{00000000-0005-0000-0000-000014780000}"/>
    <cellStyle name="Total 7 4 2 2 5" xfId="20332" xr:uid="{00000000-0005-0000-0000-000015780000}"/>
    <cellStyle name="Total 7 4 2 2 6" xfId="20334" xr:uid="{00000000-0005-0000-0000-000016780000}"/>
    <cellStyle name="Total 7 4 2 2 7" xfId="20336" xr:uid="{00000000-0005-0000-0000-000017780000}"/>
    <cellStyle name="Total 7 4 2 3" xfId="4951" xr:uid="{00000000-0005-0000-0000-000018780000}"/>
    <cellStyle name="Total 7 4 2 3 2" xfId="29945" xr:uid="{00000000-0005-0000-0000-000019780000}"/>
    <cellStyle name="Total 7 4 2 3 2 2" xfId="16060" xr:uid="{00000000-0005-0000-0000-00001A780000}"/>
    <cellStyle name="Total 7 4 2 3 2 2 2" xfId="31098" xr:uid="{00000000-0005-0000-0000-00001B780000}"/>
    <cellStyle name="Total 7 4 2 3 2 2 3" xfId="31099" xr:uid="{00000000-0005-0000-0000-00001C780000}"/>
    <cellStyle name="Total 7 4 2 3 2 2 4" xfId="31100" xr:uid="{00000000-0005-0000-0000-00001D780000}"/>
    <cellStyle name="Total 7 4 2 3 2 3" xfId="8888" xr:uid="{00000000-0005-0000-0000-00001E780000}"/>
    <cellStyle name="Total 7 4 2 3 2 4" xfId="8912" xr:uid="{00000000-0005-0000-0000-00001F780000}"/>
    <cellStyle name="Total 7 4 2 3 2 5" xfId="8917" xr:uid="{00000000-0005-0000-0000-000020780000}"/>
    <cellStyle name="Total 7 4 2 3 3" xfId="31101" xr:uid="{00000000-0005-0000-0000-000021780000}"/>
    <cellStyle name="Total 7 4 2 3 3 2" xfId="31102" xr:uid="{00000000-0005-0000-0000-000022780000}"/>
    <cellStyle name="Total 7 4 2 3 3 3" xfId="965" xr:uid="{00000000-0005-0000-0000-000023780000}"/>
    <cellStyle name="Total 7 4 2 3 3 4" xfId="994" xr:uid="{00000000-0005-0000-0000-000024780000}"/>
    <cellStyle name="Total 7 4 2 3 4" xfId="31103" xr:uid="{00000000-0005-0000-0000-000025780000}"/>
    <cellStyle name="Total 7 4 2 3 5" xfId="31104" xr:uid="{00000000-0005-0000-0000-000026780000}"/>
    <cellStyle name="Total 7 4 2 3 6" xfId="22426" xr:uid="{00000000-0005-0000-0000-000027780000}"/>
    <cellStyle name="Total 7 4 2 4" xfId="4954" xr:uid="{00000000-0005-0000-0000-000028780000}"/>
    <cellStyle name="Total 7 4 2 4 2" xfId="31105" xr:uid="{00000000-0005-0000-0000-000029780000}"/>
    <cellStyle name="Total 7 4 2 4 2 2" xfId="26612" xr:uid="{00000000-0005-0000-0000-00002A780000}"/>
    <cellStyle name="Total 7 4 2 4 2 3" xfId="2695" xr:uid="{00000000-0005-0000-0000-00002B780000}"/>
    <cellStyle name="Total 7 4 2 4 2 4" xfId="2708" xr:uid="{00000000-0005-0000-0000-00002C780000}"/>
    <cellStyle name="Total 7 4 2 4 3" xfId="1038" xr:uid="{00000000-0005-0000-0000-00002D780000}"/>
    <cellStyle name="Total 7 4 2 4 4" xfId="1165" xr:uid="{00000000-0005-0000-0000-00002E780000}"/>
    <cellStyle name="Total 7 4 2 4 5" xfId="1170" xr:uid="{00000000-0005-0000-0000-00002F780000}"/>
    <cellStyle name="Total 7 4 2 5" xfId="18039" xr:uid="{00000000-0005-0000-0000-000030780000}"/>
    <cellStyle name="Total 7 4 2 5 2" xfId="18043" xr:uid="{00000000-0005-0000-0000-000031780000}"/>
    <cellStyle name="Total 7 4 2 5 3" xfId="18049" xr:uid="{00000000-0005-0000-0000-000032780000}"/>
    <cellStyle name="Total 7 4 2 5 4" xfId="18055" xr:uid="{00000000-0005-0000-0000-000033780000}"/>
    <cellStyle name="Total 7 4 2 6" xfId="18059" xr:uid="{00000000-0005-0000-0000-000034780000}"/>
    <cellStyle name="Total 7 4 2 7" xfId="18063" xr:uid="{00000000-0005-0000-0000-000035780000}"/>
    <cellStyle name="Total 7 4 2 8" xfId="18069" xr:uid="{00000000-0005-0000-0000-000036780000}"/>
    <cellStyle name="Total 7 4 3" xfId="4958" xr:uid="{00000000-0005-0000-0000-000037780000}"/>
    <cellStyle name="Total 7 4 3 2" xfId="31106" xr:uid="{00000000-0005-0000-0000-000038780000}"/>
    <cellStyle name="Total 7 4 3 2 2" xfId="29971" xr:uid="{00000000-0005-0000-0000-000039780000}"/>
    <cellStyle name="Total 7 4 3 2 2 2" xfId="16152" xr:uid="{00000000-0005-0000-0000-00003A780000}"/>
    <cellStyle name="Total 7 4 3 2 2 2 2" xfId="31107" xr:uid="{00000000-0005-0000-0000-00003B780000}"/>
    <cellStyle name="Total 7 4 3 2 2 2 3" xfId="31108" xr:uid="{00000000-0005-0000-0000-00003C780000}"/>
    <cellStyle name="Total 7 4 3 2 2 2 4" xfId="31109" xr:uid="{00000000-0005-0000-0000-00003D780000}"/>
    <cellStyle name="Total 7 4 3 2 2 3" xfId="17200" xr:uid="{00000000-0005-0000-0000-00003E780000}"/>
    <cellStyle name="Total 7 4 3 2 2 4" xfId="31110" xr:uid="{00000000-0005-0000-0000-00003F780000}"/>
    <cellStyle name="Total 7 4 3 2 2 5" xfId="31111" xr:uid="{00000000-0005-0000-0000-000040780000}"/>
    <cellStyle name="Total 7 4 3 2 3" xfId="1789" xr:uid="{00000000-0005-0000-0000-000041780000}"/>
    <cellStyle name="Total 7 4 3 2 3 2" xfId="31112" xr:uid="{00000000-0005-0000-0000-000042780000}"/>
    <cellStyle name="Total 7 4 3 2 3 3" xfId="31113" xr:uid="{00000000-0005-0000-0000-000043780000}"/>
    <cellStyle name="Total 7 4 3 2 3 4" xfId="31114" xr:uid="{00000000-0005-0000-0000-000044780000}"/>
    <cellStyle name="Total 7 4 3 2 4" xfId="31115" xr:uid="{00000000-0005-0000-0000-000045780000}"/>
    <cellStyle name="Total 7 4 3 2 5" xfId="31116" xr:uid="{00000000-0005-0000-0000-000046780000}"/>
    <cellStyle name="Total 7 4 3 2 6" xfId="31117" xr:uid="{00000000-0005-0000-0000-000047780000}"/>
    <cellStyle name="Total 7 4 3 3" xfId="31118" xr:uid="{00000000-0005-0000-0000-000048780000}"/>
    <cellStyle name="Total 7 4 3 3 2" xfId="31119" xr:uid="{00000000-0005-0000-0000-000049780000}"/>
    <cellStyle name="Total 7 4 3 3 2 2" xfId="31120" xr:uid="{00000000-0005-0000-0000-00004A780000}"/>
    <cellStyle name="Total 7 4 3 3 2 3" xfId="3344" xr:uid="{00000000-0005-0000-0000-00004B780000}"/>
    <cellStyle name="Total 7 4 3 3 2 4" xfId="3347" xr:uid="{00000000-0005-0000-0000-00004C780000}"/>
    <cellStyle name="Total 7 4 3 3 3" xfId="1154" xr:uid="{00000000-0005-0000-0000-00004D780000}"/>
    <cellStyle name="Total 7 4 3 3 4" xfId="31121" xr:uid="{00000000-0005-0000-0000-00004E780000}"/>
    <cellStyle name="Total 7 4 3 3 5" xfId="31122" xr:uid="{00000000-0005-0000-0000-00004F780000}"/>
    <cellStyle name="Total 7 4 3 4" xfId="31123" xr:uid="{00000000-0005-0000-0000-000050780000}"/>
    <cellStyle name="Total 7 4 3 4 2" xfId="31124" xr:uid="{00000000-0005-0000-0000-000051780000}"/>
    <cellStyle name="Total 7 4 3 4 3" xfId="31125" xr:uid="{00000000-0005-0000-0000-000052780000}"/>
    <cellStyle name="Total 7 4 3 4 4" xfId="31126" xr:uid="{00000000-0005-0000-0000-000053780000}"/>
    <cellStyle name="Total 7 4 3 5" xfId="18078" xr:uid="{00000000-0005-0000-0000-000054780000}"/>
    <cellStyle name="Total 7 4 3 6" xfId="18082" xr:uid="{00000000-0005-0000-0000-000055780000}"/>
    <cellStyle name="Total 7 4 3 7" xfId="16989" xr:uid="{00000000-0005-0000-0000-000056780000}"/>
    <cellStyle name="Total 7 4 4" xfId="4962" xr:uid="{00000000-0005-0000-0000-000057780000}"/>
    <cellStyle name="Total 7 4 4 2" xfId="31127" xr:uid="{00000000-0005-0000-0000-000058780000}"/>
    <cellStyle name="Total 7 4 4 2 2" xfId="26042" xr:uid="{00000000-0005-0000-0000-000059780000}"/>
    <cellStyle name="Total 7 4 4 2 2 2" xfId="30286" xr:uid="{00000000-0005-0000-0000-00005A780000}"/>
    <cellStyle name="Total 7 4 4 2 2 3" xfId="31128" xr:uid="{00000000-0005-0000-0000-00005B780000}"/>
    <cellStyle name="Total 7 4 4 2 2 4" xfId="31129" xr:uid="{00000000-0005-0000-0000-00005C780000}"/>
    <cellStyle name="Total 7 4 4 2 3" xfId="31130" xr:uid="{00000000-0005-0000-0000-00005D780000}"/>
    <cellStyle name="Total 7 4 4 2 4" xfId="31131" xr:uid="{00000000-0005-0000-0000-00005E780000}"/>
    <cellStyle name="Total 7 4 4 2 5" xfId="31132" xr:uid="{00000000-0005-0000-0000-00005F780000}"/>
    <cellStyle name="Total 7 4 4 3" xfId="31133" xr:uid="{00000000-0005-0000-0000-000060780000}"/>
    <cellStyle name="Total 7 4 4 3 2" xfId="31134" xr:uid="{00000000-0005-0000-0000-000061780000}"/>
    <cellStyle name="Total 7 4 4 3 3" xfId="31135" xr:uid="{00000000-0005-0000-0000-000062780000}"/>
    <cellStyle name="Total 7 4 4 3 4" xfId="31136" xr:uid="{00000000-0005-0000-0000-000063780000}"/>
    <cellStyle name="Total 7 4 4 4" xfId="31137" xr:uid="{00000000-0005-0000-0000-000064780000}"/>
    <cellStyle name="Total 7 4 4 5" xfId="14944" xr:uid="{00000000-0005-0000-0000-000065780000}"/>
    <cellStyle name="Total 7 4 4 6" xfId="14948" xr:uid="{00000000-0005-0000-0000-000066780000}"/>
    <cellStyle name="Total 7 4 5" xfId="4966" xr:uid="{00000000-0005-0000-0000-000067780000}"/>
    <cellStyle name="Total 7 4 5 2" xfId="28946" xr:uid="{00000000-0005-0000-0000-000068780000}"/>
    <cellStyle name="Total 7 4 5 2 2" xfId="23294" xr:uid="{00000000-0005-0000-0000-000069780000}"/>
    <cellStyle name="Total 7 4 5 2 3" xfId="23296" xr:uid="{00000000-0005-0000-0000-00006A780000}"/>
    <cellStyle name="Total 7 4 5 2 4" xfId="23298" xr:uid="{00000000-0005-0000-0000-00006B780000}"/>
    <cellStyle name="Total 7 4 5 3" xfId="28948" xr:uid="{00000000-0005-0000-0000-00006C780000}"/>
    <cellStyle name="Total 7 4 5 4" xfId="31138" xr:uid="{00000000-0005-0000-0000-00006D780000}"/>
    <cellStyle name="Total 7 4 5 5" xfId="31139" xr:uid="{00000000-0005-0000-0000-00006E780000}"/>
    <cellStyle name="Total 7 4 6" xfId="31140" xr:uid="{00000000-0005-0000-0000-00006F780000}"/>
    <cellStyle name="Total 7 4 6 2" xfId="6257" xr:uid="{00000000-0005-0000-0000-000070780000}"/>
    <cellStyle name="Total 7 4 6 3" xfId="17821" xr:uid="{00000000-0005-0000-0000-000071780000}"/>
    <cellStyle name="Total 7 4 6 4" xfId="31141" xr:uid="{00000000-0005-0000-0000-000072780000}"/>
    <cellStyle name="Total 7 4 7" xfId="15523" xr:uid="{00000000-0005-0000-0000-000073780000}"/>
    <cellStyle name="Total 7 4 8" xfId="15526" xr:uid="{00000000-0005-0000-0000-000074780000}"/>
    <cellStyle name="Total 7 4 9" xfId="21447" xr:uid="{00000000-0005-0000-0000-000075780000}"/>
    <cellStyle name="Total 7 5" xfId="4968" xr:uid="{00000000-0005-0000-0000-000076780000}"/>
    <cellStyle name="Total 7 5 2" xfId="4977" xr:uid="{00000000-0005-0000-0000-000077780000}"/>
    <cellStyle name="Total 7 5 2 2" xfId="31142" xr:uid="{00000000-0005-0000-0000-000078780000}"/>
    <cellStyle name="Total 7 5 2 2 2" xfId="30352" xr:uid="{00000000-0005-0000-0000-000079780000}"/>
    <cellStyle name="Total 7 5 2 2 2 2" xfId="27490" xr:uid="{00000000-0005-0000-0000-00007A780000}"/>
    <cellStyle name="Total 7 5 2 2 2 2 2" xfId="26251" xr:uid="{00000000-0005-0000-0000-00007B780000}"/>
    <cellStyle name="Total 7 5 2 2 2 2 3" xfId="26254" xr:uid="{00000000-0005-0000-0000-00007C780000}"/>
    <cellStyle name="Total 7 5 2 2 2 2 4" xfId="27496" xr:uid="{00000000-0005-0000-0000-00007D780000}"/>
    <cellStyle name="Total 7 5 2 2 2 3" xfId="27501" xr:uid="{00000000-0005-0000-0000-00007E780000}"/>
    <cellStyle name="Total 7 5 2 2 2 4" xfId="27506" xr:uid="{00000000-0005-0000-0000-00007F780000}"/>
    <cellStyle name="Total 7 5 2 2 2 5" xfId="27508" xr:uid="{00000000-0005-0000-0000-000080780000}"/>
    <cellStyle name="Total 7 5 2 2 3" xfId="30354" xr:uid="{00000000-0005-0000-0000-000081780000}"/>
    <cellStyle name="Total 7 5 2 2 3 2" xfId="27521" xr:uid="{00000000-0005-0000-0000-000082780000}"/>
    <cellStyle name="Total 7 5 2 2 3 3" xfId="27526" xr:uid="{00000000-0005-0000-0000-000083780000}"/>
    <cellStyle name="Total 7 5 2 2 3 4" xfId="27528" xr:uid="{00000000-0005-0000-0000-000084780000}"/>
    <cellStyle name="Total 7 5 2 2 4" xfId="31143" xr:uid="{00000000-0005-0000-0000-000085780000}"/>
    <cellStyle name="Total 7 5 2 2 5" xfId="31144" xr:uid="{00000000-0005-0000-0000-000086780000}"/>
    <cellStyle name="Total 7 5 2 2 6" xfId="25449" xr:uid="{00000000-0005-0000-0000-000087780000}"/>
    <cellStyle name="Total 7 5 2 3" xfId="31145" xr:uid="{00000000-0005-0000-0000-000088780000}"/>
    <cellStyle name="Total 7 5 2 3 2" xfId="30362" xr:uid="{00000000-0005-0000-0000-000089780000}"/>
    <cellStyle name="Total 7 5 2 3 2 2" xfId="27621" xr:uid="{00000000-0005-0000-0000-00008A780000}"/>
    <cellStyle name="Total 7 5 2 3 2 3" xfId="27623" xr:uid="{00000000-0005-0000-0000-00008B780000}"/>
    <cellStyle name="Total 7 5 2 3 2 4" xfId="27625" xr:uid="{00000000-0005-0000-0000-00008C780000}"/>
    <cellStyle name="Total 7 5 2 3 3" xfId="31146" xr:uid="{00000000-0005-0000-0000-00008D780000}"/>
    <cellStyle name="Total 7 5 2 3 4" xfId="31147" xr:uid="{00000000-0005-0000-0000-00008E780000}"/>
    <cellStyle name="Total 7 5 2 3 5" xfId="31148" xr:uid="{00000000-0005-0000-0000-00008F780000}"/>
    <cellStyle name="Total 7 5 2 4" xfId="31149" xr:uid="{00000000-0005-0000-0000-000090780000}"/>
    <cellStyle name="Total 7 5 2 4 2" xfId="31150" xr:uid="{00000000-0005-0000-0000-000091780000}"/>
    <cellStyle name="Total 7 5 2 4 3" xfId="31151" xr:uid="{00000000-0005-0000-0000-000092780000}"/>
    <cellStyle name="Total 7 5 2 4 4" xfId="31152" xr:uid="{00000000-0005-0000-0000-000093780000}"/>
    <cellStyle name="Total 7 5 2 5" xfId="21950" xr:uid="{00000000-0005-0000-0000-000094780000}"/>
    <cellStyle name="Total 7 5 2 6" xfId="2036" xr:uid="{00000000-0005-0000-0000-000095780000}"/>
    <cellStyle name="Total 7 5 2 7" xfId="18116" xr:uid="{00000000-0005-0000-0000-000096780000}"/>
    <cellStyle name="Total 7 5 3" xfId="4979" xr:uid="{00000000-0005-0000-0000-000097780000}"/>
    <cellStyle name="Total 7 5 3 2" xfId="31153" xr:uid="{00000000-0005-0000-0000-000098780000}"/>
    <cellStyle name="Total 7 5 3 2 2" xfId="30405" xr:uid="{00000000-0005-0000-0000-000099780000}"/>
    <cellStyle name="Total 7 5 3 2 2 2" xfId="27995" xr:uid="{00000000-0005-0000-0000-00009A780000}"/>
    <cellStyle name="Total 7 5 3 2 2 3" xfId="28004" xr:uid="{00000000-0005-0000-0000-00009B780000}"/>
    <cellStyle name="Total 7 5 3 2 2 4" xfId="28009" xr:uid="{00000000-0005-0000-0000-00009C780000}"/>
    <cellStyle name="Total 7 5 3 2 3" xfId="1899" xr:uid="{00000000-0005-0000-0000-00009D780000}"/>
    <cellStyle name="Total 7 5 3 2 4" xfId="31154" xr:uid="{00000000-0005-0000-0000-00009E780000}"/>
    <cellStyle name="Total 7 5 3 2 5" xfId="31155" xr:uid="{00000000-0005-0000-0000-00009F780000}"/>
    <cellStyle name="Total 7 5 3 3" xfId="31156" xr:uid="{00000000-0005-0000-0000-0000A0780000}"/>
    <cellStyle name="Total 7 5 3 3 2" xfId="31157" xr:uid="{00000000-0005-0000-0000-0000A1780000}"/>
    <cellStyle name="Total 7 5 3 3 3" xfId="302" xr:uid="{00000000-0005-0000-0000-0000A2780000}"/>
    <cellStyle name="Total 7 5 3 3 4" xfId="31158" xr:uid="{00000000-0005-0000-0000-0000A3780000}"/>
    <cellStyle name="Total 7 5 3 4" xfId="31159" xr:uid="{00000000-0005-0000-0000-0000A4780000}"/>
    <cellStyle name="Total 7 5 3 5" xfId="21954" xr:uid="{00000000-0005-0000-0000-0000A5780000}"/>
    <cellStyle name="Total 7 5 3 6" xfId="2048" xr:uid="{00000000-0005-0000-0000-0000A6780000}"/>
    <cellStyle name="Total 7 5 4" xfId="4981" xr:uid="{00000000-0005-0000-0000-0000A7780000}"/>
    <cellStyle name="Total 7 5 4 2" xfId="29362" xr:uid="{00000000-0005-0000-0000-0000A8780000}"/>
    <cellStyle name="Total 7 5 4 2 2" xfId="31160" xr:uid="{00000000-0005-0000-0000-0000A9780000}"/>
    <cellStyle name="Total 7 5 4 2 3" xfId="31161" xr:uid="{00000000-0005-0000-0000-0000AA780000}"/>
    <cellStyle name="Total 7 5 4 2 4" xfId="31162" xr:uid="{00000000-0005-0000-0000-0000AB780000}"/>
    <cellStyle name="Total 7 5 4 3" xfId="29364" xr:uid="{00000000-0005-0000-0000-0000AC780000}"/>
    <cellStyle name="Total 7 5 4 4" xfId="29366" xr:uid="{00000000-0005-0000-0000-0000AD780000}"/>
    <cellStyle name="Total 7 5 4 5" xfId="31163" xr:uid="{00000000-0005-0000-0000-0000AE780000}"/>
    <cellStyle name="Total 7 5 5" xfId="29368" xr:uid="{00000000-0005-0000-0000-0000AF780000}"/>
    <cellStyle name="Total 7 5 5 2" xfId="28955" xr:uid="{00000000-0005-0000-0000-0000B0780000}"/>
    <cellStyle name="Total 7 5 5 3" xfId="31164" xr:uid="{00000000-0005-0000-0000-0000B1780000}"/>
    <cellStyle name="Total 7 5 5 4" xfId="31165" xr:uid="{00000000-0005-0000-0000-0000B2780000}"/>
    <cellStyle name="Total 7 5 6" xfId="29370" xr:uid="{00000000-0005-0000-0000-0000B3780000}"/>
    <cellStyle name="Total 7 5 7" xfId="29372" xr:uid="{00000000-0005-0000-0000-0000B4780000}"/>
    <cellStyle name="Total 7 5 8" xfId="31166" xr:uid="{00000000-0005-0000-0000-0000B5780000}"/>
    <cellStyle name="Total 7 6" xfId="4984" xr:uid="{00000000-0005-0000-0000-0000B6780000}"/>
    <cellStyle name="Total 7 6 2" xfId="31167" xr:uid="{00000000-0005-0000-0000-0000B7780000}"/>
    <cellStyle name="Total 7 6 2 2" xfId="18759" xr:uid="{00000000-0005-0000-0000-0000B8780000}"/>
    <cellStyle name="Total 7 6 2 2 2" xfId="30734" xr:uid="{00000000-0005-0000-0000-0000B9780000}"/>
    <cellStyle name="Total 7 6 2 2 2 2" xfId="31168" xr:uid="{00000000-0005-0000-0000-0000BA780000}"/>
    <cellStyle name="Total 7 6 2 2 2 3" xfId="31169" xr:uid="{00000000-0005-0000-0000-0000BB780000}"/>
    <cellStyle name="Total 7 6 2 2 2 4" xfId="31170" xr:uid="{00000000-0005-0000-0000-0000BC780000}"/>
    <cellStyle name="Total 7 6 2 2 3" xfId="30736" xr:uid="{00000000-0005-0000-0000-0000BD780000}"/>
    <cellStyle name="Total 7 6 2 2 4" xfId="31171" xr:uid="{00000000-0005-0000-0000-0000BE780000}"/>
    <cellStyle name="Total 7 6 2 2 5" xfId="31172" xr:uid="{00000000-0005-0000-0000-0000BF780000}"/>
    <cellStyle name="Total 7 6 2 3" xfId="31173" xr:uid="{00000000-0005-0000-0000-0000C0780000}"/>
    <cellStyle name="Total 7 6 2 3 2" xfId="30744" xr:uid="{00000000-0005-0000-0000-0000C1780000}"/>
    <cellStyle name="Total 7 6 2 3 3" xfId="31174" xr:uid="{00000000-0005-0000-0000-0000C2780000}"/>
    <cellStyle name="Total 7 6 2 3 4" xfId="31175" xr:uid="{00000000-0005-0000-0000-0000C3780000}"/>
    <cellStyle name="Total 7 6 2 4" xfId="31176" xr:uid="{00000000-0005-0000-0000-0000C4780000}"/>
    <cellStyle name="Total 7 6 2 5" xfId="21957" xr:uid="{00000000-0005-0000-0000-0000C5780000}"/>
    <cellStyle name="Total 7 6 2 6" xfId="21959" xr:uid="{00000000-0005-0000-0000-0000C6780000}"/>
    <cellStyle name="Total 7 6 3" xfId="31177" xr:uid="{00000000-0005-0000-0000-0000C7780000}"/>
    <cellStyle name="Total 7 6 3 2" xfId="18839" xr:uid="{00000000-0005-0000-0000-0000C8780000}"/>
    <cellStyle name="Total 7 6 3 2 2" xfId="30769" xr:uid="{00000000-0005-0000-0000-0000C9780000}"/>
    <cellStyle name="Total 7 6 3 2 3" xfId="1965" xr:uid="{00000000-0005-0000-0000-0000CA780000}"/>
    <cellStyle name="Total 7 6 3 2 4" xfId="31178" xr:uid="{00000000-0005-0000-0000-0000CB780000}"/>
    <cellStyle name="Total 7 6 3 3" xfId="31179" xr:uid="{00000000-0005-0000-0000-0000CC780000}"/>
    <cellStyle name="Total 7 6 3 4" xfId="31180" xr:uid="{00000000-0005-0000-0000-0000CD780000}"/>
    <cellStyle name="Total 7 6 3 5" xfId="31181" xr:uid="{00000000-0005-0000-0000-0000CE780000}"/>
    <cellStyle name="Total 7 6 4" xfId="29375" xr:uid="{00000000-0005-0000-0000-0000CF780000}"/>
    <cellStyle name="Total 7 6 4 2" xfId="18947" xr:uid="{00000000-0005-0000-0000-0000D0780000}"/>
    <cellStyle name="Total 7 6 4 3" xfId="31182" xr:uid="{00000000-0005-0000-0000-0000D1780000}"/>
    <cellStyle name="Total 7 6 4 4" xfId="31183" xr:uid="{00000000-0005-0000-0000-0000D2780000}"/>
    <cellStyle name="Total 7 6 5" xfId="29377" xr:uid="{00000000-0005-0000-0000-0000D3780000}"/>
    <cellStyle name="Total 7 6 6" xfId="29379" xr:uid="{00000000-0005-0000-0000-0000D4780000}"/>
    <cellStyle name="Total 7 6 7" xfId="31184" xr:uid="{00000000-0005-0000-0000-0000D5780000}"/>
    <cellStyle name="Total 7 7" xfId="4994" xr:uid="{00000000-0005-0000-0000-0000D6780000}"/>
    <cellStyle name="Total 7 7 2" xfId="7808" xr:uid="{00000000-0005-0000-0000-0000D7780000}"/>
    <cellStyle name="Total 7 7 2 2" xfId="7811" xr:uid="{00000000-0005-0000-0000-0000D8780000}"/>
    <cellStyle name="Total 7 7 2 2 2" xfId="14943" xr:uid="{00000000-0005-0000-0000-0000D9780000}"/>
    <cellStyle name="Total 7 7 2 2 3" xfId="14947" xr:uid="{00000000-0005-0000-0000-0000DA780000}"/>
    <cellStyle name="Total 7 7 2 2 4" xfId="14951" xr:uid="{00000000-0005-0000-0000-0000DB780000}"/>
    <cellStyle name="Total 7 7 2 3" xfId="7819" xr:uid="{00000000-0005-0000-0000-0000DC780000}"/>
    <cellStyle name="Total 7 7 2 4" xfId="7827" xr:uid="{00000000-0005-0000-0000-0000DD780000}"/>
    <cellStyle name="Total 7 7 2 5" xfId="14954" xr:uid="{00000000-0005-0000-0000-0000DE780000}"/>
    <cellStyle name="Total 7 7 3" xfId="7834" xr:uid="{00000000-0005-0000-0000-0000DF780000}"/>
    <cellStyle name="Total 7 7 3 2" xfId="14958" xr:uid="{00000000-0005-0000-0000-0000E0780000}"/>
    <cellStyle name="Total 7 7 3 3" xfId="14966" xr:uid="{00000000-0005-0000-0000-0000E1780000}"/>
    <cellStyle name="Total 7 7 3 4" xfId="14969" xr:uid="{00000000-0005-0000-0000-0000E2780000}"/>
    <cellStyle name="Total 7 7 4" xfId="7841" xr:uid="{00000000-0005-0000-0000-0000E3780000}"/>
    <cellStyle name="Total 7 7 5" xfId="7850" xr:uid="{00000000-0005-0000-0000-0000E4780000}"/>
    <cellStyle name="Total 7 7 6" xfId="9369" xr:uid="{00000000-0005-0000-0000-0000E5780000}"/>
    <cellStyle name="Total 7 8" xfId="5003" xr:uid="{00000000-0005-0000-0000-0000E6780000}"/>
    <cellStyle name="Total 7 8 2" xfId="4812" xr:uid="{00000000-0005-0000-0000-0000E7780000}"/>
    <cellStyle name="Total 7 8 2 2" xfId="14973" xr:uid="{00000000-0005-0000-0000-0000E8780000}"/>
    <cellStyle name="Total 7 8 2 3" xfId="14982" xr:uid="{00000000-0005-0000-0000-0000E9780000}"/>
    <cellStyle name="Total 7 8 2 4" xfId="14987" xr:uid="{00000000-0005-0000-0000-0000EA780000}"/>
    <cellStyle name="Total 7 8 3" xfId="4821" xr:uid="{00000000-0005-0000-0000-0000EB780000}"/>
    <cellStyle name="Total 7 8 4" xfId="7858" xr:uid="{00000000-0005-0000-0000-0000EC780000}"/>
    <cellStyle name="Total 7 8 5" xfId="14996" xr:uid="{00000000-0005-0000-0000-0000ED780000}"/>
    <cellStyle name="Total 7 9" xfId="7865" xr:uid="{00000000-0005-0000-0000-0000EE780000}"/>
    <cellStyle name="Total 7 9 2" xfId="14083" xr:uid="{00000000-0005-0000-0000-0000EF780000}"/>
    <cellStyle name="Total 7 9 3" xfId="14998" xr:uid="{00000000-0005-0000-0000-0000F0780000}"/>
    <cellStyle name="Total 7 9 4" xfId="15000" xr:uid="{00000000-0005-0000-0000-0000F1780000}"/>
    <cellStyle name="Total 8" xfId="12032" xr:uid="{00000000-0005-0000-0000-0000F2780000}"/>
    <cellStyle name="Total 8 10" xfId="11876" xr:uid="{00000000-0005-0000-0000-0000F3780000}"/>
    <cellStyle name="Total 8 11" xfId="11886" xr:uid="{00000000-0005-0000-0000-0000F4780000}"/>
    <cellStyle name="Total 8 12" xfId="12182" xr:uid="{00000000-0005-0000-0000-0000F5780000}"/>
    <cellStyle name="Total 8 2" xfId="144" xr:uid="{00000000-0005-0000-0000-0000F6780000}"/>
    <cellStyle name="Total 8 2 2" xfId="10866" xr:uid="{00000000-0005-0000-0000-0000F7780000}"/>
    <cellStyle name="Total 8 2 2 2" xfId="19594" xr:uid="{00000000-0005-0000-0000-0000F8780000}"/>
    <cellStyle name="Total 8 2 2 2 2" xfId="19367" xr:uid="{00000000-0005-0000-0000-0000F9780000}"/>
    <cellStyle name="Total 8 2 2 2 2 2" xfId="31185" xr:uid="{00000000-0005-0000-0000-0000FA780000}"/>
    <cellStyle name="Total 8 2 2 2 2 2 2" xfId="17191" xr:uid="{00000000-0005-0000-0000-0000FB780000}"/>
    <cellStyle name="Total 8 2 2 2 2 2 2 2" xfId="31186" xr:uid="{00000000-0005-0000-0000-0000FC780000}"/>
    <cellStyle name="Total 8 2 2 2 2 2 2 3" xfId="31187" xr:uid="{00000000-0005-0000-0000-0000FD780000}"/>
    <cellStyle name="Total 8 2 2 2 2 2 2 4" xfId="31188" xr:uid="{00000000-0005-0000-0000-0000FE780000}"/>
    <cellStyle name="Total 8 2 2 2 2 2 3" xfId="17193" xr:uid="{00000000-0005-0000-0000-0000FF780000}"/>
    <cellStyle name="Total 8 2 2 2 2 2 4" xfId="31189" xr:uid="{00000000-0005-0000-0000-000000790000}"/>
    <cellStyle name="Total 8 2 2 2 2 2 5" xfId="31190" xr:uid="{00000000-0005-0000-0000-000001790000}"/>
    <cellStyle name="Total 8 2 2 2 2 3" xfId="31191" xr:uid="{00000000-0005-0000-0000-000002790000}"/>
    <cellStyle name="Total 8 2 2 2 2 3 2" xfId="17196" xr:uid="{00000000-0005-0000-0000-000003790000}"/>
    <cellStyle name="Total 8 2 2 2 2 3 3" xfId="31192" xr:uid="{00000000-0005-0000-0000-000004790000}"/>
    <cellStyle name="Total 8 2 2 2 2 3 4" xfId="31193" xr:uid="{00000000-0005-0000-0000-000005790000}"/>
    <cellStyle name="Total 8 2 2 2 2 4" xfId="31194" xr:uid="{00000000-0005-0000-0000-000006790000}"/>
    <cellStyle name="Total 8 2 2 2 2 5" xfId="31195" xr:uid="{00000000-0005-0000-0000-000007790000}"/>
    <cellStyle name="Total 8 2 2 2 2 6" xfId="31196" xr:uid="{00000000-0005-0000-0000-000008790000}"/>
    <cellStyle name="Total 8 2 2 2 3" xfId="25727" xr:uid="{00000000-0005-0000-0000-000009790000}"/>
    <cellStyle name="Total 8 2 2 2 3 2" xfId="31197" xr:uid="{00000000-0005-0000-0000-00000A790000}"/>
    <cellStyle name="Total 8 2 2 2 3 2 2" xfId="304" xr:uid="{00000000-0005-0000-0000-00000B790000}"/>
    <cellStyle name="Total 8 2 2 2 3 2 3" xfId="3312" xr:uid="{00000000-0005-0000-0000-00000C790000}"/>
    <cellStyle name="Total 8 2 2 2 3 2 4" xfId="3315" xr:uid="{00000000-0005-0000-0000-00000D790000}"/>
    <cellStyle name="Total 8 2 2 2 3 3" xfId="31198" xr:uid="{00000000-0005-0000-0000-00000E790000}"/>
    <cellStyle name="Total 8 2 2 2 3 4" xfId="31199" xr:uid="{00000000-0005-0000-0000-00000F790000}"/>
    <cellStyle name="Total 8 2 2 2 3 5" xfId="31200" xr:uid="{00000000-0005-0000-0000-000010790000}"/>
    <cellStyle name="Total 8 2 2 2 4" xfId="25729" xr:uid="{00000000-0005-0000-0000-000011790000}"/>
    <cellStyle name="Total 8 2 2 2 4 2" xfId="17367" xr:uid="{00000000-0005-0000-0000-000012790000}"/>
    <cellStyle name="Total 8 2 2 2 4 3" xfId="17369" xr:uid="{00000000-0005-0000-0000-000013790000}"/>
    <cellStyle name="Total 8 2 2 2 4 4" xfId="31201" xr:uid="{00000000-0005-0000-0000-000014790000}"/>
    <cellStyle name="Total 8 2 2 2 5" xfId="31202" xr:uid="{00000000-0005-0000-0000-000015790000}"/>
    <cellStyle name="Total 8 2 2 2 6" xfId="31203" xr:uid="{00000000-0005-0000-0000-000016790000}"/>
    <cellStyle name="Total 8 2 2 2 7" xfId="18761" xr:uid="{00000000-0005-0000-0000-000017790000}"/>
    <cellStyle name="Total 8 2 2 3" xfId="20109" xr:uid="{00000000-0005-0000-0000-000018790000}"/>
    <cellStyle name="Total 8 2 2 3 2" xfId="25736" xr:uid="{00000000-0005-0000-0000-000019790000}"/>
    <cellStyle name="Total 8 2 2 3 2 2" xfId="31204" xr:uid="{00000000-0005-0000-0000-00001A790000}"/>
    <cellStyle name="Total 8 2 2 3 2 2 2" xfId="31205" xr:uid="{00000000-0005-0000-0000-00001B790000}"/>
    <cellStyle name="Total 8 2 2 3 2 2 3" xfId="31206" xr:uid="{00000000-0005-0000-0000-00001C790000}"/>
    <cellStyle name="Total 8 2 2 3 2 2 4" xfId="20646" xr:uid="{00000000-0005-0000-0000-00001D790000}"/>
    <cellStyle name="Total 8 2 2 3 2 3" xfId="8578" xr:uid="{00000000-0005-0000-0000-00001E790000}"/>
    <cellStyle name="Total 8 2 2 3 2 4" xfId="15405" xr:uid="{00000000-0005-0000-0000-00001F790000}"/>
    <cellStyle name="Total 8 2 2 3 2 5" xfId="660" xr:uid="{00000000-0005-0000-0000-000020790000}"/>
    <cellStyle name="Total 8 2 2 3 3" xfId="25738" xr:uid="{00000000-0005-0000-0000-000021790000}"/>
    <cellStyle name="Total 8 2 2 3 3 2" xfId="31207" xr:uid="{00000000-0005-0000-0000-000022790000}"/>
    <cellStyle name="Total 8 2 2 3 3 3" xfId="31208" xr:uid="{00000000-0005-0000-0000-000023790000}"/>
    <cellStyle name="Total 8 2 2 3 3 4" xfId="31209" xr:uid="{00000000-0005-0000-0000-000024790000}"/>
    <cellStyle name="Total 8 2 2 3 4" xfId="31210" xr:uid="{00000000-0005-0000-0000-000025790000}"/>
    <cellStyle name="Total 8 2 2 3 5" xfId="31211" xr:uid="{00000000-0005-0000-0000-000026790000}"/>
    <cellStyle name="Total 8 2 2 3 6" xfId="31212" xr:uid="{00000000-0005-0000-0000-000027790000}"/>
    <cellStyle name="Total 8 2 2 4" xfId="31213" xr:uid="{00000000-0005-0000-0000-000028790000}"/>
    <cellStyle name="Total 8 2 2 4 2" xfId="20613" xr:uid="{00000000-0005-0000-0000-000029790000}"/>
    <cellStyle name="Total 8 2 2 4 2 2" xfId="31214" xr:uid="{00000000-0005-0000-0000-00002A790000}"/>
    <cellStyle name="Total 8 2 2 4 2 3" xfId="20348" xr:uid="{00000000-0005-0000-0000-00002B790000}"/>
    <cellStyle name="Total 8 2 2 4 2 4" xfId="20354" xr:uid="{00000000-0005-0000-0000-00002C790000}"/>
    <cellStyle name="Total 8 2 2 4 3" xfId="31215" xr:uid="{00000000-0005-0000-0000-00002D790000}"/>
    <cellStyle name="Total 8 2 2 4 4" xfId="31216" xr:uid="{00000000-0005-0000-0000-00002E790000}"/>
    <cellStyle name="Total 8 2 2 4 5" xfId="31217" xr:uid="{00000000-0005-0000-0000-00002F790000}"/>
    <cellStyle name="Total 8 2 2 5" xfId="31218" xr:uid="{00000000-0005-0000-0000-000030790000}"/>
    <cellStyle name="Total 8 2 2 5 2" xfId="31219" xr:uid="{00000000-0005-0000-0000-000031790000}"/>
    <cellStyle name="Total 8 2 2 5 3" xfId="31220" xr:uid="{00000000-0005-0000-0000-000032790000}"/>
    <cellStyle name="Total 8 2 2 5 4" xfId="31221" xr:uid="{00000000-0005-0000-0000-000033790000}"/>
    <cellStyle name="Total 8 2 2 6" xfId="30106" xr:uid="{00000000-0005-0000-0000-000034790000}"/>
    <cellStyle name="Total 8 2 2 7" xfId="30111" xr:uid="{00000000-0005-0000-0000-000035790000}"/>
    <cellStyle name="Total 8 2 2 8" xfId="445" xr:uid="{00000000-0005-0000-0000-000036790000}"/>
    <cellStyle name="Total 8 2 3" xfId="10870" xr:uid="{00000000-0005-0000-0000-000037790000}"/>
    <cellStyle name="Total 8 2 3 2" xfId="1710" xr:uid="{00000000-0005-0000-0000-000038790000}"/>
    <cellStyle name="Total 8 2 3 2 2" xfId="25741" xr:uid="{00000000-0005-0000-0000-000039790000}"/>
    <cellStyle name="Total 8 2 3 2 2 2" xfId="26006" xr:uid="{00000000-0005-0000-0000-00003A790000}"/>
    <cellStyle name="Total 8 2 3 2 2 2 2" xfId="27849" xr:uid="{00000000-0005-0000-0000-00003B790000}"/>
    <cellStyle name="Total 8 2 3 2 2 2 3" xfId="27854" xr:uid="{00000000-0005-0000-0000-00003C790000}"/>
    <cellStyle name="Total 8 2 3 2 2 2 4" xfId="27856" xr:uid="{00000000-0005-0000-0000-00003D790000}"/>
    <cellStyle name="Total 8 2 3 2 2 3" xfId="31222" xr:uid="{00000000-0005-0000-0000-00003E790000}"/>
    <cellStyle name="Total 8 2 3 2 2 4" xfId="31223" xr:uid="{00000000-0005-0000-0000-00003F790000}"/>
    <cellStyle name="Total 8 2 3 2 2 5" xfId="31224" xr:uid="{00000000-0005-0000-0000-000040790000}"/>
    <cellStyle name="Total 8 2 3 2 3" xfId="25743" xr:uid="{00000000-0005-0000-0000-000041790000}"/>
    <cellStyle name="Total 8 2 3 2 3 2" xfId="31225" xr:uid="{00000000-0005-0000-0000-000042790000}"/>
    <cellStyle name="Total 8 2 3 2 3 3" xfId="31226" xr:uid="{00000000-0005-0000-0000-000043790000}"/>
    <cellStyle name="Total 8 2 3 2 3 4" xfId="31227" xr:uid="{00000000-0005-0000-0000-000044790000}"/>
    <cellStyle name="Total 8 2 3 2 4" xfId="31228" xr:uid="{00000000-0005-0000-0000-000045790000}"/>
    <cellStyle name="Total 8 2 3 2 5" xfId="14752" xr:uid="{00000000-0005-0000-0000-000046790000}"/>
    <cellStyle name="Total 8 2 3 2 6" xfId="14757" xr:uid="{00000000-0005-0000-0000-000047790000}"/>
    <cellStyle name="Total 8 2 3 3" xfId="1749" xr:uid="{00000000-0005-0000-0000-000048790000}"/>
    <cellStyle name="Total 8 2 3 3 2" xfId="25747" xr:uid="{00000000-0005-0000-0000-000049790000}"/>
    <cellStyle name="Total 8 2 3 3 2 2" xfId="22887" xr:uid="{00000000-0005-0000-0000-00004A790000}"/>
    <cellStyle name="Total 8 2 3 3 2 3" xfId="22889" xr:uid="{00000000-0005-0000-0000-00004B790000}"/>
    <cellStyle name="Total 8 2 3 3 2 4" xfId="31229" xr:uid="{00000000-0005-0000-0000-00004C790000}"/>
    <cellStyle name="Total 8 2 3 3 3" xfId="31230" xr:uid="{00000000-0005-0000-0000-00004D790000}"/>
    <cellStyle name="Total 8 2 3 3 4" xfId="31231" xr:uid="{00000000-0005-0000-0000-00004E790000}"/>
    <cellStyle name="Total 8 2 3 3 5" xfId="31232" xr:uid="{00000000-0005-0000-0000-00004F790000}"/>
    <cellStyle name="Total 8 2 3 4" xfId="31233" xr:uid="{00000000-0005-0000-0000-000050790000}"/>
    <cellStyle name="Total 8 2 3 4 2" xfId="5993" xr:uid="{00000000-0005-0000-0000-000051790000}"/>
    <cellStyle name="Total 8 2 3 4 3" xfId="31234" xr:uid="{00000000-0005-0000-0000-000052790000}"/>
    <cellStyle name="Total 8 2 3 4 4" xfId="31235" xr:uid="{00000000-0005-0000-0000-000053790000}"/>
    <cellStyle name="Total 8 2 3 5" xfId="31236" xr:uid="{00000000-0005-0000-0000-000054790000}"/>
    <cellStyle name="Total 8 2 3 6" xfId="30113" xr:uid="{00000000-0005-0000-0000-000055790000}"/>
    <cellStyle name="Total 8 2 3 7" xfId="30115" xr:uid="{00000000-0005-0000-0000-000056790000}"/>
    <cellStyle name="Total 8 2 4" xfId="20185" xr:uid="{00000000-0005-0000-0000-000057790000}"/>
    <cellStyle name="Total 8 2 4 2" xfId="4320" xr:uid="{00000000-0005-0000-0000-000058790000}"/>
    <cellStyle name="Total 8 2 4 2 2" xfId="25753" xr:uid="{00000000-0005-0000-0000-000059790000}"/>
    <cellStyle name="Total 8 2 4 2 2 2" xfId="30476" xr:uid="{00000000-0005-0000-0000-00005A790000}"/>
    <cellStyle name="Total 8 2 4 2 2 3" xfId="30478" xr:uid="{00000000-0005-0000-0000-00005B790000}"/>
    <cellStyle name="Total 8 2 4 2 2 4" xfId="31237" xr:uid="{00000000-0005-0000-0000-00005C790000}"/>
    <cellStyle name="Total 8 2 4 2 3" xfId="29309" xr:uid="{00000000-0005-0000-0000-00005D790000}"/>
    <cellStyle name="Total 8 2 4 2 4" xfId="29311" xr:uid="{00000000-0005-0000-0000-00005E790000}"/>
    <cellStyle name="Total 8 2 4 2 5" xfId="31238" xr:uid="{00000000-0005-0000-0000-00005F790000}"/>
    <cellStyle name="Total 8 2 4 3" xfId="29313" xr:uid="{00000000-0005-0000-0000-000060790000}"/>
    <cellStyle name="Total 8 2 4 3 2" xfId="31239" xr:uid="{00000000-0005-0000-0000-000061790000}"/>
    <cellStyle name="Total 8 2 4 3 3" xfId="31240" xr:uid="{00000000-0005-0000-0000-000062790000}"/>
    <cellStyle name="Total 8 2 4 3 4" xfId="31241" xr:uid="{00000000-0005-0000-0000-000063790000}"/>
    <cellStyle name="Total 8 2 4 4" xfId="29315" xr:uid="{00000000-0005-0000-0000-000064790000}"/>
    <cellStyle name="Total 8 2 4 5" xfId="29317" xr:uid="{00000000-0005-0000-0000-000065790000}"/>
    <cellStyle name="Total 8 2 4 6" xfId="31242" xr:uid="{00000000-0005-0000-0000-000066790000}"/>
    <cellStyle name="Total 8 2 5" xfId="29319" xr:uid="{00000000-0005-0000-0000-000067790000}"/>
    <cellStyle name="Total 8 2 5 2" xfId="29321" xr:uid="{00000000-0005-0000-0000-000068790000}"/>
    <cellStyle name="Total 8 2 5 2 2" xfId="31243" xr:uid="{00000000-0005-0000-0000-000069790000}"/>
    <cellStyle name="Total 8 2 5 2 3" xfId="8996" xr:uid="{00000000-0005-0000-0000-00006A790000}"/>
    <cellStyle name="Total 8 2 5 2 4" xfId="4242" xr:uid="{00000000-0005-0000-0000-00006B790000}"/>
    <cellStyle name="Total 8 2 5 3" xfId="29323" xr:uid="{00000000-0005-0000-0000-00006C790000}"/>
    <cellStyle name="Total 8 2 5 4" xfId="29325" xr:uid="{00000000-0005-0000-0000-00006D790000}"/>
    <cellStyle name="Total 8 2 5 5" xfId="31244" xr:uid="{00000000-0005-0000-0000-00006E790000}"/>
    <cellStyle name="Total 8 2 6" xfId="29327" xr:uid="{00000000-0005-0000-0000-00006F790000}"/>
    <cellStyle name="Total 8 2 6 2" xfId="9273" xr:uid="{00000000-0005-0000-0000-000070790000}"/>
    <cellStyle name="Total 8 2 6 3" xfId="9282" xr:uid="{00000000-0005-0000-0000-000071790000}"/>
    <cellStyle name="Total 8 2 6 4" xfId="9289" xr:uid="{00000000-0005-0000-0000-000072790000}"/>
    <cellStyle name="Total 8 2 7" xfId="28530" xr:uid="{00000000-0005-0000-0000-000073790000}"/>
    <cellStyle name="Total 8 2 8" xfId="28533" xr:uid="{00000000-0005-0000-0000-000074790000}"/>
    <cellStyle name="Total 8 2 9" xfId="28537" xr:uid="{00000000-0005-0000-0000-000075790000}"/>
    <cellStyle name="Total 8 3" xfId="234" xr:uid="{00000000-0005-0000-0000-000076790000}"/>
    <cellStyle name="Total 8 3 2" xfId="10878" xr:uid="{00000000-0005-0000-0000-000077790000}"/>
    <cellStyle name="Total 8 3 2 2" xfId="18223" xr:uid="{00000000-0005-0000-0000-000078790000}"/>
    <cellStyle name="Total 8 3 2 2 2" xfId="25770" xr:uid="{00000000-0005-0000-0000-000079790000}"/>
    <cellStyle name="Total 8 3 2 2 2 2" xfId="31245" xr:uid="{00000000-0005-0000-0000-00007A790000}"/>
    <cellStyle name="Total 8 3 2 2 2 2 2" xfId="31246" xr:uid="{00000000-0005-0000-0000-00007B790000}"/>
    <cellStyle name="Total 8 3 2 2 2 2 2 2" xfId="31247" xr:uid="{00000000-0005-0000-0000-00007C790000}"/>
    <cellStyle name="Total 8 3 2 2 2 2 2 3" xfId="3663" xr:uid="{00000000-0005-0000-0000-00007D790000}"/>
    <cellStyle name="Total 8 3 2 2 2 2 2 4" xfId="13485" xr:uid="{00000000-0005-0000-0000-00007E790000}"/>
    <cellStyle name="Total 8 3 2 2 2 2 3" xfId="31248" xr:uid="{00000000-0005-0000-0000-00007F790000}"/>
    <cellStyle name="Total 8 3 2 2 2 2 4" xfId="7548" xr:uid="{00000000-0005-0000-0000-000080790000}"/>
    <cellStyle name="Total 8 3 2 2 2 2 5" xfId="7557" xr:uid="{00000000-0005-0000-0000-000081790000}"/>
    <cellStyle name="Total 8 3 2 2 2 3" xfId="31249" xr:uid="{00000000-0005-0000-0000-000082790000}"/>
    <cellStyle name="Total 8 3 2 2 2 3 2" xfId="31250" xr:uid="{00000000-0005-0000-0000-000083790000}"/>
    <cellStyle name="Total 8 3 2 2 2 3 3" xfId="31251" xr:uid="{00000000-0005-0000-0000-000084790000}"/>
    <cellStyle name="Total 8 3 2 2 2 3 4" xfId="4756" xr:uid="{00000000-0005-0000-0000-000085790000}"/>
    <cellStyle name="Total 8 3 2 2 2 4" xfId="31252" xr:uid="{00000000-0005-0000-0000-000086790000}"/>
    <cellStyle name="Total 8 3 2 2 2 5" xfId="31253" xr:uid="{00000000-0005-0000-0000-000087790000}"/>
    <cellStyle name="Total 8 3 2 2 2 6" xfId="31254" xr:uid="{00000000-0005-0000-0000-000088790000}"/>
    <cellStyle name="Total 8 3 2 2 3" xfId="25772" xr:uid="{00000000-0005-0000-0000-000089790000}"/>
    <cellStyle name="Total 8 3 2 2 3 2" xfId="31255" xr:uid="{00000000-0005-0000-0000-00008A790000}"/>
    <cellStyle name="Total 8 3 2 2 3 2 2" xfId="23082" xr:uid="{00000000-0005-0000-0000-00008B790000}"/>
    <cellStyle name="Total 8 3 2 2 3 2 3" xfId="31256" xr:uid="{00000000-0005-0000-0000-00008C790000}"/>
    <cellStyle name="Total 8 3 2 2 3 2 4" xfId="7585" xr:uid="{00000000-0005-0000-0000-00008D790000}"/>
    <cellStyle name="Total 8 3 2 2 3 3" xfId="31257" xr:uid="{00000000-0005-0000-0000-00008E790000}"/>
    <cellStyle name="Total 8 3 2 2 3 4" xfId="31258" xr:uid="{00000000-0005-0000-0000-00008F790000}"/>
    <cellStyle name="Total 8 3 2 2 3 5" xfId="31259" xr:uid="{00000000-0005-0000-0000-000090790000}"/>
    <cellStyle name="Total 8 3 2 2 4" xfId="31260" xr:uid="{00000000-0005-0000-0000-000091790000}"/>
    <cellStyle name="Total 8 3 2 2 4 2" xfId="31261" xr:uid="{00000000-0005-0000-0000-000092790000}"/>
    <cellStyle name="Total 8 3 2 2 4 3" xfId="31262" xr:uid="{00000000-0005-0000-0000-000093790000}"/>
    <cellStyle name="Total 8 3 2 2 4 4" xfId="31263" xr:uid="{00000000-0005-0000-0000-000094790000}"/>
    <cellStyle name="Total 8 3 2 2 5" xfId="31264" xr:uid="{00000000-0005-0000-0000-000095790000}"/>
    <cellStyle name="Total 8 3 2 2 6" xfId="31265" xr:uid="{00000000-0005-0000-0000-000096790000}"/>
    <cellStyle name="Total 8 3 2 2 7" xfId="19501" xr:uid="{00000000-0005-0000-0000-000097790000}"/>
    <cellStyle name="Total 8 3 2 3" xfId="19464" xr:uid="{00000000-0005-0000-0000-000098790000}"/>
    <cellStyle name="Total 8 3 2 3 2" xfId="25774" xr:uid="{00000000-0005-0000-0000-000099790000}"/>
    <cellStyle name="Total 8 3 2 3 2 2" xfId="31266" xr:uid="{00000000-0005-0000-0000-00009A790000}"/>
    <cellStyle name="Total 8 3 2 3 2 2 2" xfId="31267" xr:uid="{00000000-0005-0000-0000-00009B790000}"/>
    <cellStyle name="Total 8 3 2 3 2 2 3" xfId="31268" xr:uid="{00000000-0005-0000-0000-00009C790000}"/>
    <cellStyle name="Total 8 3 2 3 2 2 4" xfId="20724" xr:uid="{00000000-0005-0000-0000-00009D790000}"/>
    <cellStyle name="Total 8 3 2 3 2 3" xfId="31269" xr:uid="{00000000-0005-0000-0000-00009E790000}"/>
    <cellStyle name="Total 8 3 2 3 2 4" xfId="31270" xr:uid="{00000000-0005-0000-0000-00009F790000}"/>
    <cellStyle name="Total 8 3 2 3 2 5" xfId="31271" xr:uid="{00000000-0005-0000-0000-0000A0790000}"/>
    <cellStyle name="Total 8 3 2 3 3" xfId="31272" xr:uid="{00000000-0005-0000-0000-0000A1790000}"/>
    <cellStyle name="Total 8 3 2 3 3 2" xfId="31273" xr:uid="{00000000-0005-0000-0000-0000A2790000}"/>
    <cellStyle name="Total 8 3 2 3 3 3" xfId="31274" xr:uid="{00000000-0005-0000-0000-0000A3790000}"/>
    <cellStyle name="Total 8 3 2 3 3 4" xfId="31275" xr:uid="{00000000-0005-0000-0000-0000A4790000}"/>
    <cellStyle name="Total 8 3 2 3 4" xfId="31276" xr:uid="{00000000-0005-0000-0000-0000A5790000}"/>
    <cellStyle name="Total 8 3 2 3 5" xfId="31277" xr:uid="{00000000-0005-0000-0000-0000A6790000}"/>
    <cellStyle name="Total 8 3 2 3 6" xfId="31278" xr:uid="{00000000-0005-0000-0000-0000A7790000}"/>
    <cellStyle name="Total 8 3 2 4" xfId="31279" xr:uid="{00000000-0005-0000-0000-0000A8790000}"/>
    <cellStyle name="Total 8 3 2 4 2" xfId="31280" xr:uid="{00000000-0005-0000-0000-0000A9790000}"/>
    <cellStyle name="Total 8 3 2 4 2 2" xfId="18977" xr:uid="{00000000-0005-0000-0000-0000AA790000}"/>
    <cellStyle name="Total 8 3 2 4 2 3" xfId="20653" xr:uid="{00000000-0005-0000-0000-0000AB790000}"/>
    <cellStyle name="Total 8 3 2 4 2 4" xfId="20657" xr:uid="{00000000-0005-0000-0000-0000AC790000}"/>
    <cellStyle name="Total 8 3 2 4 3" xfId="31281" xr:uid="{00000000-0005-0000-0000-0000AD790000}"/>
    <cellStyle name="Total 8 3 2 4 4" xfId="31282" xr:uid="{00000000-0005-0000-0000-0000AE790000}"/>
    <cellStyle name="Total 8 3 2 4 5" xfId="31283" xr:uid="{00000000-0005-0000-0000-0000AF790000}"/>
    <cellStyle name="Total 8 3 2 5" xfId="31284" xr:uid="{00000000-0005-0000-0000-0000B0790000}"/>
    <cellStyle name="Total 8 3 2 5 2" xfId="31285" xr:uid="{00000000-0005-0000-0000-0000B1790000}"/>
    <cellStyle name="Total 8 3 2 5 3" xfId="31286" xr:uid="{00000000-0005-0000-0000-0000B2790000}"/>
    <cellStyle name="Total 8 3 2 5 4" xfId="31287" xr:uid="{00000000-0005-0000-0000-0000B3790000}"/>
    <cellStyle name="Total 8 3 2 6" xfId="30136" xr:uid="{00000000-0005-0000-0000-0000B4790000}"/>
    <cellStyle name="Total 8 3 2 7" xfId="30138" xr:uid="{00000000-0005-0000-0000-0000B5790000}"/>
    <cellStyle name="Total 8 3 2 8" xfId="30140" xr:uid="{00000000-0005-0000-0000-0000B6790000}"/>
    <cellStyle name="Total 8 3 3" xfId="31288" xr:uid="{00000000-0005-0000-0000-0000B7790000}"/>
    <cellStyle name="Total 8 3 3 2" xfId="976" xr:uid="{00000000-0005-0000-0000-0000B8790000}"/>
    <cellStyle name="Total 8 3 3 2 2" xfId="25780" xr:uid="{00000000-0005-0000-0000-0000B9790000}"/>
    <cellStyle name="Total 8 3 3 2 2 2" xfId="31289" xr:uid="{00000000-0005-0000-0000-0000BA790000}"/>
    <cellStyle name="Total 8 3 3 2 2 2 2" xfId="2457" xr:uid="{00000000-0005-0000-0000-0000BB790000}"/>
    <cellStyle name="Total 8 3 3 2 2 2 3" xfId="31290" xr:uid="{00000000-0005-0000-0000-0000BC790000}"/>
    <cellStyle name="Total 8 3 3 2 2 2 4" xfId="7611" xr:uid="{00000000-0005-0000-0000-0000BD790000}"/>
    <cellStyle name="Total 8 3 3 2 2 3" xfId="31291" xr:uid="{00000000-0005-0000-0000-0000BE790000}"/>
    <cellStyle name="Total 8 3 3 2 2 4" xfId="31292" xr:uid="{00000000-0005-0000-0000-0000BF790000}"/>
    <cellStyle name="Total 8 3 3 2 2 5" xfId="31293" xr:uid="{00000000-0005-0000-0000-0000C0790000}"/>
    <cellStyle name="Total 8 3 3 2 3" xfId="31294" xr:uid="{00000000-0005-0000-0000-0000C1790000}"/>
    <cellStyle name="Total 8 3 3 2 3 2" xfId="31295" xr:uid="{00000000-0005-0000-0000-0000C2790000}"/>
    <cellStyle name="Total 8 3 3 2 3 3" xfId="31296" xr:uid="{00000000-0005-0000-0000-0000C3790000}"/>
    <cellStyle name="Total 8 3 3 2 3 4" xfId="31297" xr:uid="{00000000-0005-0000-0000-0000C4790000}"/>
    <cellStyle name="Total 8 3 3 2 4" xfId="31298" xr:uid="{00000000-0005-0000-0000-0000C5790000}"/>
    <cellStyle name="Total 8 3 3 2 5" xfId="31299" xr:uid="{00000000-0005-0000-0000-0000C6790000}"/>
    <cellStyle name="Total 8 3 3 2 6" xfId="31300" xr:uid="{00000000-0005-0000-0000-0000C7790000}"/>
    <cellStyle name="Total 8 3 3 3" xfId="31301" xr:uid="{00000000-0005-0000-0000-0000C8790000}"/>
    <cellStyle name="Total 8 3 3 3 2" xfId="31302" xr:uid="{00000000-0005-0000-0000-0000C9790000}"/>
    <cellStyle name="Total 8 3 3 3 2 2" xfId="22999" xr:uid="{00000000-0005-0000-0000-0000CA790000}"/>
    <cellStyle name="Total 8 3 3 3 2 3" xfId="13539" xr:uid="{00000000-0005-0000-0000-0000CB790000}"/>
    <cellStyle name="Total 8 3 3 3 2 4" xfId="13542" xr:uid="{00000000-0005-0000-0000-0000CC790000}"/>
    <cellStyle name="Total 8 3 3 3 3" xfId="31303" xr:uid="{00000000-0005-0000-0000-0000CD790000}"/>
    <cellStyle name="Total 8 3 3 3 4" xfId="31304" xr:uid="{00000000-0005-0000-0000-0000CE790000}"/>
    <cellStyle name="Total 8 3 3 3 5" xfId="31305" xr:uid="{00000000-0005-0000-0000-0000CF790000}"/>
    <cellStyle name="Total 8 3 3 4" xfId="31306" xr:uid="{00000000-0005-0000-0000-0000D0790000}"/>
    <cellStyle name="Total 8 3 3 4 2" xfId="31307" xr:uid="{00000000-0005-0000-0000-0000D1790000}"/>
    <cellStyle name="Total 8 3 3 4 3" xfId="31308" xr:uid="{00000000-0005-0000-0000-0000D2790000}"/>
    <cellStyle name="Total 8 3 3 4 4" xfId="31309" xr:uid="{00000000-0005-0000-0000-0000D3790000}"/>
    <cellStyle name="Total 8 3 3 5" xfId="31310" xr:uid="{00000000-0005-0000-0000-0000D4790000}"/>
    <cellStyle name="Total 8 3 3 6" xfId="31311" xr:uid="{00000000-0005-0000-0000-0000D5790000}"/>
    <cellStyle name="Total 8 3 3 7" xfId="17025" xr:uid="{00000000-0005-0000-0000-0000D6790000}"/>
    <cellStyle name="Total 8 3 4" xfId="29330" xr:uid="{00000000-0005-0000-0000-0000D7790000}"/>
    <cellStyle name="Total 8 3 4 2" xfId="18181" xr:uid="{00000000-0005-0000-0000-0000D8790000}"/>
    <cellStyle name="Total 8 3 4 2 2" xfId="31313" xr:uid="{00000000-0005-0000-0000-0000D9790000}"/>
    <cellStyle name="Total 8 3 4 2 2 2" xfId="30648" xr:uid="{00000000-0005-0000-0000-0000DA790000}"/>
    <cellStyle name="Total 8 3 4 2 2 3" xfId="31315" xr:uid="{00000000-0005-0000-0000-0000DB790000}"/>
    <cellStyle name="Total 8 3 4 2 2 4" xfId="31317" xr:uid="{00000000-0005-0000-0000-0000DC790000}"/>
    <cellStyle name="Total 8 3 4 2 3" xfId="31319" xr:uid="{00000000-0005-0000-0000-0000DD790000}"/>
    <cellStyle name="Total 8 3 4 2 4" xfId="31321" xr:uid="{00000000-0005-0000-0000-0000DE790000}"/>
    <cellStyle name="Total 8 3 4 2 5" xfId="31323" xr:uid="{00000000-0005-0000-0000-0000DF790000}"/>
    <cellStyle name="Total 8 3 4 3" xfId="25819" xr:uid="{00000000-0005-0000-0000-0000E0790000}"/>
    <cellStyle name="Total 8 3 4 3 2" xfId="31325" xr:uid="{00000000-0005-0000-0000-0000E1790000}"/>
    <cellStyle name="Total 8 3 4 3 3" xfId="31327" xr:uid="{00000000-0005-0000-0000-0000E2790000}"/>
    <cellStyle name="Total 8 3 4 3 4" xfId="31329" xr:uid="{00000000-0005-0000-0000-0000E3790000}"/>
    <cellStyle name="Total 8 3 4 4" xfId="29333" xr:uid="{00000000-0005-0000-0000-0000E4790000}"/>
    <cellStyle name="Total 8 3 4 5" xfId="31331" xr:uid="{00000000-0005-0000-0000-0000E5790000}"/>
    <cellStyle name="Total 8 3 4 6" xfId="31333" xr:uid="{00000000-0005-0000-0000-0000E6790000}"/>
    <cellStyle name="Total 8 3 5" xfId="29336" xr:uid="{00000000-0005-0000-0000-0000E7790000}"/>
    <cellStyle name="Total 8 3 5 2" xfId="25825" xr:uid="{00000000-0005-0000-0000-0000E8790000}"/>
    <cellStyle name="Total 8 3 5 2 2" xfId="31335" xr:uid="{00000000-0005-0000-0000-0000E9790000}"/>
    <cellStyle name="Total 8 3 5 2 3" xfId="15369" xr:uid="{00000000-0005-0000-0000-0000EA790000}"/>
    <cellStyle name="Total 8 3 5 2 4" xfId="15375" xr:uid="{00000000-0005-0000-0000-0000EB790000}"/>
    <cellStyle name="Total 8 3 5 3" xfId="31337" xr:uid="{00000000-0005-0000-0000-0000EC790000}"/>
    <cellStyle name="Total 8 3 5 4" xfId="31339" xr:uid="{00000000-0005-0000-0000-0000ED790000}"/>
    <cellStyle name="Total 8 3 5 5" xfId="31341" xr:uid="{00000000-0005-0000-0000-0000EE790000}"/>
    <cellStyle name="Total 8 3 6" xfId="29339" xr:uid="{00000000-0005-0000-0000-0000EF790000}"/>
    <cellStyle name="Total 8 3 6 2" xfId="14862" xr:uid="{00000000-0005-0000-0000-0000F0790000}"/>
    <cellStyle name="Total 8 3 6 3" xfId="15623" xr:uid="{00000000-0005-0000-0000-0000F1790000}"/>
    <cellStyle name="Total 8 3 6 4" xfId="31343" xr:uid="{00000000-0005-0000-0000-0000F2790000}"/>
    <cellStyle name="Total 8 3 7" xfId="29342" xr:uid="{00000000-0005-0000-0000-0000F3790000}"/>
    <cellStyle name="Total 8 3 8" xfId="30159" xr:uid="{00000000-0005-0000-0000-0000F4790000}"/>
    <cellStyle name="Total 8 3 9" xfId="30162" xr:uid="{00000000-0005-0000-0000-0000F5790000}"/>
    <cellStyle name="Total 8 4" xfId="3854" xr:uid="{00000000-0005-0000-0000-0000F6790000}"/>
    <cellStyle name="Total 8 4 2" xfId="3867" xr:uid="{00000000-0005-0000-0000-0000F7790000}"/>
    <cellStyle name="Total 8 4 2 2" xfId="19471" xr:uid="{00000000-0005-0000-0000-0000F8790000}"/>
    <cellStyle name="Total 8 4 2 2 2" xfId="25790" xr:uid="{00000000-0005-0000-0000-0000F9790000}"/>
    <cellStyle name="Total 8 4 2 2 2 2" xfId="31344" xr:uid="{00000000-0005-0000-0000-0000FA790000}"/>
    <cellStyle name="Total 8 4 2 2 2 2 2" xfId="31345" xr:uid="{00000000-0005-0000-0000-0000FB790000}"/>
    <cellStyle name="Total 8 4 2 2 2 2 3" xfId="31346" xr:uid="{00000000-0005-0000-0000-0000FC790000}"/>
    <cellStyle name="Total 8 4 2 2 2 2 4" xfId="31347" xr:uid="{00000000-0005-0000-0000-0000FD790000}"/>
    <cellStyle name="Total 8 4 2 2 2 3" xfId="31348" xr:uid="{00000000-0005-0000-0000-0000FE790000}"/>
    <cellStyle name="Total 8 4 2 2 2 4" xfId="31349" xr:uid="{00000000-0005-0000-0000-0000FF790000}"/>
    <cellStyle name="Total 8 4 2 2 2 5" xfId="4679" xr:uid="{00000000-0005-0000-0000-0000007A0000}"/>
    <cellStyle name="Total 8 4 2 2 3" xfId="31350" xr:uid="{00000000-0005-0000-0000-0000017A0000}"/>
    <cellStyle name="Total 8 4 2 2 3 2" xfId="31351" xr:uid="{00000000-0005-0000-0000-0000027A0000}"/>
    <cellStyle name="Total 8 4 2 2 3 3" xfId="31352" xr:uid="{00000000-0005-0000-0000-0000037A0000}"/>
    <cellStyle name="Total 8 4 2 2 3 4" xfId="31353" xr:uid="{00000000-0005-0000-0000-0000047A0000}"/>
    <cellStyle name="Total 8 4 2 2 4" xfId="31354" xr:uid="{00000000-0005-0000-0000-0000057A0000}"/>
    <cellStyle name="Total 8 4 2 2 5" xfId="31355" xr:uid="{00000000-0005-0000-0000-0000067A0000}"/>
    <cellStyle name="Total 8 4 2 2 6" xfId="31356" xr:uid="{00000000-0005-0000-0000-0000077A0000}"/>
    <cellStyle name="Total 8 4 2 3" xfId="31357" xr:uid="{00000000-0005-0000-0000-0000087A0000}"/>
    <cellStyle name="Total 8 4 2 3 2" xfId="31358" xr:uid="{00000000-0005-0000-0000-0000097A0000}"/>
    <cellStyle name="Total 8 4 2 3 2 2" xfId="30628" xr:uid="{00000000-0005-0000-0000-00000A7A0000}"/>
    <cellStyle name="Total 8 4 2 3 2 3" xfId="30630" xr:uid="{00000000-0005-0000-0000-00000B7A0000}"/>
    <cellStyle name="Total 8 4 2 3 2 4" xfId="31359" xr:uid="{00000000-0005-0000-0000-00000C7A0000}"/>
    <cellStyle name="Total 8 4 2 3 3" xfId="31360" xr:uid="{00000000-0005-0000-0000-00000D7A0000}"/>
    <cellStyle name="Total 8 4 2 3 4" xfId="31361" xr:uid="{00000000-0005-0000-0000-00000E7A0000}"/>
    <cellStyle name="Total 8 4 2 3 5" xfId="31362" xr:uid="{00000000-0005-0000-0000-00000F7A0000}"/>
    <cellStyle name="Total 8 4 2 4" xfId="31363" xr:uid="{00000000-0005-0000-0000-0000107A0000}"/>
    <cellStyle name="Total 8 4 2 4 2" xfId="31364" xr:uid="{00000000-0005-0000-0000-0000117A0000}"/>
    <cellStyle name="Total 8 4 2 4 3" xfId="31365" xr:uid="{00000000-0005-0000-0000-0000127A0000}"/>
    <cellStyle name="Total 8 4 2 4 4" xfId="31366" xr:uid="{00000000-0005-0000-0000-0000137A0000}"/>
    <cellStyle name="Total 8 4 2 5" xfId="18271" xr:uid="{00000000-0005-0000-0000-0000147A0000}"/>
    <cellStyle name="Total 8 4 2 6" xfId="18288" xr:uid="{00000000-0005-0000-0000-0000157A0000}"/>
    <cellStyle name="Total 8 4 2 7" xfId="18293" xr:uid="{00000000-0005-0000-0000-0000167A0000}"/>
    <cellStyle name="Total 8 4 3" xfId="3883" xr:uid="{00000000-0005-0000-0000-0000177A0000}"/>
    <cellStyle name="Total 8 4 3 2" xfId="31367" xr:uid="{00000000-0005-0000-0000-0000187A0000}"/>
    <cellStyle name="Total 8 4 3 2 2" xfId="31368" xr:uid="{00000000-0005-0000-0000-0000197A0000}"/>
    <cellStyle name="Total 8 4 3 2 2 2" xfId="31369" xr:uid="{00000000-0005-0000-0000-00001A7A0000}"/>
    <cellStyle name="Total 8 4 3 2 2 3" xfId="31370" xr:uid="{00000000-0005-0000-0000-00001B7A0000}"/>
    <cellStyle name="Total 8 4 3 2 2 4" xfId="31371" xr:uid="{00000000-0005-0000-0000-00001C7A0000}"/>
    <cellStyle name="Total 8 4 3 2 3" xfId="31372" xr:uid="{00000000-0005-0000-0000-00001D7A0000}"/>
    <cellStyle name="Total 8 4 3 2 4" xfId="31373" xr:uid="{00000000-0005-0000-0000-00001E7A0000}"/>
    <cellStyle name="Total 8 4 3 2 5" xfId="31374" xr:uid="{00000000-0005-0000-0000-00001F7A0000}"/>
    <cellStyle name="Total 8 4 3 3" xfId="31375" xr:uid="{00000000-0005-0000-0000-0000207A0000}"/>
    <cellStyle name="Total 8 4 3 3 2" xfId="31376" xr:uid="{00000000-0005-0000-0000-0000217A0000}"/>
    <cellStyle name="Total 8 4 3 3 3" xfId="31377" xr:uid="{00000000-0005-0000-0000-0000227A0000}"/>
    <cellStyle name="Total 8 4 3 3 4" xfId="31378" xr:uid="{00000000-0005-0000-0000-0000237A0000}"/>
    <cellStyle name="Total 8 4 3 4" xfId="31379" xr:uid="{00000000-0005-0000-0000-0000247A0000}"/>
    <cellStyle name="Total 8 4 3 5" xfId="18308" xr:uid="{00000000-0005-0000-0000-0000257A0000}"/>
    <cellStyle name="Total 8 4 3 6" xfId="18313" xr:uid="{00000000-0005-0000-0000-0000267A0000}"/>
    <cellStyle name="Total 8 4 4" xfId="3910" xr:uid="{00000000-0005-0000-0000-0000277A0000}"/>
    <cellStyle name="Total 8 4 4 2" xfId="25830" xr:uid="{00000000-0005-0000-0000-0000287A0000}"/>
    <cellStyle name="Total 8 4 4 2 2" xfId="31381" xr:uid="{00000000-0005-0000-0000-0000297A0000}"/>
    <cellStyle name="Total 8 4 4 2 3" xfId="31383" xr:uid="{00000000-0005-0000-0000-00002A7A0000}"/>
    <cellStyle name="Total 8 4 4 2 4" xfId="31385" xr:uid="{00000000-0005-0000-0000-00002B7A0000}"/>
    <cellStyle name="Total 8 4 4 3" xfId="31387" xr:uid="{00000000-0005-0000-0000-00002C7A0000}"/>
    <cellStyle name="Total 8 4 4 4" xfId="31389" xr:uid="{00000000-0005-0000-0000-00002D7A0000}"/>
    <cellStyle name="Total 8 4 4 5" xfId="31391" xr:uid="{00000000-0005-0000-0000-00002E7A0000}"/>
    <cellStyle name="Total 8 4 5" xfId="29347" xr:uid="{00000000-0005-0000-0000-00002F7A0000}"/>
    <cellStyle name="Total 8 4 5 2" xfId="28964" xr:uid="{00000000-0005-0000-0000-0000307A0000}"/>
    <cellStyle name="Total 8 4 5 3" xfId="31393" xr:uid="{00000000-0005-0000-0000-0000317A0000}"/>
    <cellStyle name="Total 8 4 5 4" xfId="31395" xr:uid="{00000000-0005-0000-0000-0000327A0000}"/>
    <cellStyle name="Total 8 4 6" xfId="29350" xr:uid="{00000000-0005-0000-0000-0000337A0000}"/>
    <cellStyle name="Total 8 4 7" xfId="31397" xr:uid="{00000000-0005-0000-0000-0000347A0000}"/>
    <cellStyle name="Total 8 4 8" xfId="31399" xr:uid="{00000000-0005-0000-0000-0000357A0000}"/>
    <cellStyle name="Total 8 5" xfId="3932" xr:uid="{00000000-0005-0000-0000-0000367A0000}"/>
    <cellStyle name="Total 8 5 2" xfId="31400" xr:uid="{00000000-0005-0000-0000-0000377A0000}"/>
    <cellStyle name="Total 8 5 2 2" xfId="31401" xr:uid="{00000000-0005-0000-0000-0000387A0000}"/>
    <cellStyle name="Total 8 5 2 2 2" xfId="31402" xr:uid="{00000000-0005-0000-0000-0000397A0000}"/>
    <cellStyle name="Total 8 5 2 2 2 2" xfId="17632" xr:uid="{00000000-0005-0000-0000-00003A7A0000}"/>
    <cellStyle name="Total 8 5 2 2 2 3" xfId="17634" xr:uid="{00000000-0005-0000-0000-00003B7A0000}"/>
    <cellStyle name="Total 8 5 2 2 2 4" xfId="31403" xr:uid="{00000000-0005-0000-0000-00003C7A0000}"/>
    <cellStyle name="Total 8 5 2 2 3" xfId="31404" xr:uid="{00000000-0005-0000-0000-00003D7A0000}"/>
    <cellStyle name="Total 8 5 2 2 4" xfId="31405" xr:uid="{00000000-0005-0000-0000-00003E7A0000}"/>
    <cellStyle name="Total 8 5 2 2 5" xfId="31406" xr:uid="{00000000-0005-0000-0000-00003F7A0000}"/>
    <cellStyle name="Total 8 5 2 3" xfId="31407" xr:uid="{00000000-0005-0000-0000-0000407A0000}"/>
    <cellStyle name="Total 8 5 2 3 2" xfId="31408" xr:uid="{00000000-0005-0000-0000-0000417A0000}"/>
    <cellStyle name="Total 8 5 2 3 3" xfId="31409" xr:uid="{00000000-0005-0000-0000-0000427A0000}"/>
    <cellStyle name="Total 8 5 2 3 4" xfId="31410" xr:uid="{00000000-0005-0000-0000-0000437A0000}"/>
    <cellStyle name="Total 8 5 2 4" xfId="31411" xr:uid="{00000000-0005-0000-0000-0000447A0000}"/>
    <cellStyle name="Total 8 5 2 5" xfId="21969" xr:uid="{00000000-0005-0000-0000-0000457A0000}"/>
    <cellStyle name="Total 8 5 2 6" xfId="2168" xr:uid="{00000000-0005-0000-0000-0000467A0000}"/>
    <cellStyle name="Total 8 5 3" xfId="31412" xr:uid="{00000000-0005-0000-0000-0000477A0000}"/>
    <cellStyle name="Total 8 5 3 2" xfId="31413" xr:uid="{00000000-0005-0000-0000-0000487A0000}"/>
    <cellStyle name="Total 8 5 3 2 2" xfId="31414" xr:uid="{00000000-0005-0000-0000-0000497A0000}"/>
    <cellStyle name="Total 8 5 3 2 3" xfId="31415" xr:uid="{00000000-0005-0000-0000-00004A7A0000}"/>
    <cellStyle name="Total 8 5 3 2 4" xfId="31416" xr:uid="{00000000-0005-0000-0000-00004B7A0000}"/>
    <cellStyle name="Total 8 5 3 3" xfId="31417" xr:uid="{00000000-0005-0000-0000-00004C7A0000}"/>
    <cellStyle name="Total 8 5 3 4" xfId="31418" xr:uid="{00000000-0005-0000-0000-00004D7A0000}"/>
    <cellStyle name="Total 8 5 3 5" xfId="31419" xr:uid="{00000000-0005-0000-0000-00004E7A0000}"/>
    <cellStyle name="Total 8 5 4" xfId="29385" xr:uid="{00000000-0005-0000-0000-00004F7A0000}"/>
    <cellStyle name="Total 8 5 4 2" xfId="31421" xr:uid="{00000000-0005-0000-0000-0000507A0000}"/>
    <cellStyle name="Total 8 5 4 3" xfId="31423" xr:uid="{00000000-0005-0000-0000-0000517A0000}"/>
    <cellStyle name="Total 8 5 4 4" xfId="31425" xr:uid="{00000000-0005-0000-0000-0000527A0000}"/>
    <cellStyle name="Total 8 5 5" xfId="29388" xr:uid="{00000000-0005-0000-0000-0000537A0000}"/>
    <cellStyle name="Total 8 5 6" xfId="29391" xr:uid="{00000000-0005-0000-0000-0000547A0000}"/>
    <cellStyle name="Total 8 5 7" xfId="31427" xr:uid="{00000000-0005-0000-0000-0000557A0000}"/>
    <cellStyle name="Total 8 6" xfId="3963" xr:uid="{00000000-0005-0000-0000-0000567A0000}"/>
    <cellStyle name="Total 8 6 2" xfId="31428" xr:uid="{00000000-0005-0000-0000-0000577A0000}"/>
    <cellStyle name="Total 8 6 2 2" xfId="21941" xr:uid="{00000000-0005-0000-0000-0000587A0000}"/>
    <cellStyle name="Total 8 6 2 2 2" xfId="31429" xr:uid="{00000000-0005-0000-0000-0000597A0000}"/>
    <cellStyle name="Total 8 6 2 2 3" xfId="31430" xr:uid="{00000000-0005-0000-0000-00005A7A0000}"/>
    <cellStyle name="Total 8 6 2 2 4" xfId="31431" xr:uid="{00000000-0005-0000-0000-00005B7A0000}"/>
    <cellStyle name="Total 8 6 2 3" xfId="31432" xr:uid="{00000000-0005-0000-0000-00005C7A0000}"/>
    <cellStyle name="Total 8 6 2 4" xfId="31433" xr:uid="{00000000-0005-0000-0000-00005D7A0000}"/>
    <cellStyle name="Total 8 6 2 5" xfId="25175" xr:uid="{00000000-0005-0000-0000-00005E7A0000}"/>
    <cellStyle name="Total 8 6 3" xfId="31434" xr:uid="{00000000-0005-0000-0000-00005F7A0000}"/>
    <cellStyle name="Total 8 6 3 2" xfId="22001" xr:uid="{00000000-0005-0000-0000-0000607A0000}"/>
    <cellStyle name="Total 8 6 3 3" xfId="31435" xr:uid="{00000000-0005-0000-0000-0000617A0000}"/>
    <cellStyle name="Total 8 6 3 4" xfId="31436" xr:uid="{00000000-0005-0000-0000-0000627A0000}"/>
    <cellStyle name="Total 8 6 4" xfId="31438" xr:uid="{00000000-0005-0000-0000-0000637A0000}"/>
    <cellStyle name="Total 8 6 5" xfId="31440" xr:uid="{00000000-0005-0000-0000-0000647A0000}"/>
    <cellStyle name="Total 8 6 6" xfId="31442" xr:uid="{00000000-0005-0000-0000-0000657A0000}"/>
    <cellStyle name="Total 8 7" xfId="3982" xr:uid="{00000000-0005-0000-0000-0000667A0000}"/>
    <cellStyle name="Total 8 7 2" xfId="7888" xr:uid="{00000000-0005-0000-0000-0000677A0000}"/>
    <cellStyle name="Total 8 7 2 2" xfId="7633" xr:uid="{00000000-0005-0000-0000-0000687A0000}"/>
    <cellStyle name="Total 8 7 2 3" xfId="15007" xr:uid="{00000000-0005-0000-0000-0000697A0000}"/>
    <cellStyle name="Total 8 7 2 4" xfId="15010" xr:uid="{00000000-0005-0000-0000-00006A7A0000}"/>
    <cellStyle name="Total 8 7 3" xfId="7893" xr:uid="{00000000-0005-0000-0000-00006B7A0000}"/>
    <cellStyle name="Total 8 7 4" xfId="7896" xr:uid="{00000000-0005-0000-0000-00006C7A0000}"/>
    <cellStyle name="Total 8 7 5" xfId="15018" xr:uid="{00000000-0005-0000-0000-00006D7A0000}"/>
    <cellStyle name="Total 8 8" xfId="7902" xr:uid="{00000000-0005-0000-0000-00006E7A0000}"/>
    <cellStyle name="Total 8 8 2" xfId="13251" xr:uid="{00000000-0005-0000-0000-00006F7A0000}"/>
    <cellStyle name="Total 8 8 3" xfId="13257" xr:uid="{00000000-0005-0000-0000-0000707A0000}"/>
    <cellStyle name="Total 8 8 4" xfId="14101" xr:uid="{00000000-0005-0000-0000-0000717A0000}"/>
    <cellStyle name="Total 8 9" xfId="7912" xr:uid="{00000000-0005-0000-0000-0000727A0000}"/>
    <cellStyle name="Total 9" xfId="12036" xr:uid="{00000000-0005-0000-0000-0000737A0000}"/>
    <cellStyle name="Total 9 2" xfId="18357" xr:uid="{00000000-0005-0000-0000-0000747A0000}"/>
    <cellStyle name="Total 9 2 2" xfId="10899" xr:uid="{00000000-0005-0000-0000-0000757A0000}"/>
    <cellStyle name="Total 9 2 2 2" xfId="29329" xr:uid="{00000000-0005-0000-0000-0000767A0000}"/>
    <cellStyle name="Total 9 2 2 2 2" xfId="18180" xr:uid="{00000000-0005-0000-0000-0000777A0000}"/>
    <cellStyle name="Total 9 2 2 2 2 2" xfId="31312" xr:uid="{00000000-0005-0000-0000-0000787A0000}"/>
    <cellStyle name="Total 9 2 2 2 2 2 2" xfId="30647" xr:uid="{00000000-0005-0000-0000-0000797A0000}"/>
    <cellStyle name="Total 9 2 2 2 2 2 3" xfId="31314" xr:uid="{00000000-0005-0000-0000-00007A7A0000}"/>
    <cellStyle name="Total 9 2 2 2 2 2 4" xfId="31316" xr:uid="{00000000-0005-0000-0000-00007B7A0000}"/>
    <cellStyle name="Total 9 2 2 2 2 3" xfId="31318" xr:uid="{00000000-0005-0000-0000-00007C7A0000}"/>
    <cellStyle name="Total 9 2 2 2 2 4" xfId="31320" xr:uid="{00000000-0005-0000-0000-00007D7A0000}"/>
    <cellStyle name="Total 9 2 2 2 2 5" xfId="31322" xr:uid="{00000000-0005-0000-0000-00007E7A0000}"/>
    <cellStyle name="Total 9 2 2 2 3" xfId="25818" xr:uid="{00000000-0005-0000-0000-00007F7A0000}"/>
    <cellStyle name="Total 9 2 2 2 3 2" xfId="31324" xr:uid="{00000000-0005-0000-0000-0000807A0000}"/>
    <cellStyle name="Total 9 2 2 2 3 3" xfId="31326" xr:uid="{00000000-0005-0000-0000-0000817A0000}"/>
    <cellStyle name="Total 9 2 2 2 3 4" xfId="31328" xr:uid="{00000000-0005-0000-0000-0000827A0000}"/>
    <cellStyle name="Total 9 2 2 2 4" xfId="29332" xr:uid="{00000000-0005-0000-0000-0000837A0000}"/>
    <cellStyle name="Total 9 2 2 2 5" xfId="31330" xr:uid="{00000000-0005-0000-0000-0000847A0000}"/>
    <cellStyle name="Total 9 2 2 2 6" xfId="31332" xr:uid="{00000000-0005-0000-0000-0000857A0000}"/>
    <cellStyle name="Total 9 2 2 3" xfId="29335" xr:uid="{00000000-0005-0000-0000-0000867A0000}"/>
    <cellStyle name="Total 9 2 2 3 2" xfId="25824" xr:uid="{00000000-0005-0000-0000-0000877A0000}"/>
    <cellStyle name="Total 9 2 2 3 2 2" xfId="31334" xr:uid="{00000000-0005-0000-0000-0000887A0000}"/>
    <cellStyle name="Total 9 2 2 3 2 3" xfId="15368" xr:uid="{00000000-0005-0000-0000-0000897A0000}"/>
    <cellStyle name="Total 9 2 2 3 2 4" xfId="15374" xr:uid="{00000000-0005-0000-0000-00008A7A0000}"/>
    <cellStyle name="Total 9 2 2 3 3" xfId="31336" xr:uid="{00000000-0005-0000-0000-00008B7A0000}"/>
    <cellStyle name="Total 9 2 2 3 4" xfId="31338" xr:uid="{00000000-0005-0000-0000-00008C7A0000}"/>
    <cellStyle name="Total 9 2 2 3 5" xfId="31340" xr:uid="{00000000-0005-0000-0000-00008D7A0000}"/>
    <cellStyle name="Total 9 2 2 4" xfId="29338" xr:uid="{00000000-0005-0000-0000-00008E7A0000}"/>
    <cellStyle name="Total 9 2 2 4 2" xfId="14861" xr:uid="{00000000-0005-0000-0000-00008F7A0000}"/>
    <cellStyle name="Total 9 2 2 4 3" xfId="15622" xr:uid="{00000000-0005-0000-0000-0000907A0000}"/>
    <cellStyle name="Total 9 2 2 4 4" xfId="31342" xr:uid="{00000000-0005-0000-0000-0000917A0000}"/>
    <cellStyle name="Total 9 2 2 5" xfId="29341" xr:uid="{00000000-0005-0000-0000-0000927A0000}"/>
    <cellStyle name="Total 9 2 2 6" xfId="30158" xr:uid="{00000000-0005-0000-0000-0000937A0000}"/>
    <cellStyle name="Total 9 2 2 7" xfId="30161" xr:uid="{00000000-0005-0000-0000-0000947A0000}"/>
    <cellStyle name="Total 9 2 3" xfId="29344" xr:uid="{00000000-0005-0000-0000-0000957A0000}"/>
    <cellStyle name="Total 9 2 3 2" xfId="3909" xr:uid="{00000000-0005-0000-0000-0000967A0000}"/>
    <cellStyle name="Total 9 2 3 2 2" xfId="25829" xr:uid="{00000000-0005-0000-0000-0000977A0000}"/>
    <cellStyle name="Total 9 2 3 2 2 2" xfId="31380" xr:uid="{00000000-0005-0000-0000-0000987A0000}"/>
    <cellStyle name="Total 9 2 3 2 2 3" xfId="31382" xr:uid="{00000000-0005-0000-0000-0000997A0000}"/>
    <cellStyle name="Total 9 2 3 2 2 4" xfId="31384" xr:uid="{00000000-0005-0000-0000-00009A7A0000}"/>
    <cellStyle name="Total 9 2 3 2 3" xfId="31386" xr:uid="{00000000-0005-0000-0000-00009B7A0000}"/>
    <cellStyle name="Total 9 2 3 2 4" xfId="31388" xr:uid="{00000000-0005-0000-0000-00009C7A0000}"/>
    <cellStyle name="Total 9 2 3 2 5" xfId="31390" xr:uid="{00000000-0005-0000-0000-00009D7A0000}"/>
    <cellStyle name="Total 9 2 3 3" xfId="29346" xr:uid="{00000000-0005-0000-0000-00009E7A0000}"/>
    <cellStyle name="Total 9 2 3 3 2" xfId="28963" xr:uid="{00000000-0005-0000-0000-00009F7A0000}"/>
    <cellStyle name="Total 9 2 3 3 3" xfId="31392" xr:uid="{00000000-0005-0000-0000-0000A07A0000}"/>
    <cellStyle name="Total 9 2 3 3 4" xfId="31394" xr:uid="{00000000-0005-0000-0000-0000A17A0000}"/>
    <cellStyle name="Total 9 2 3 4" xfId="29349" xr:uid="{00000000-0005-0000-0000-0000A27A0000}"/>
    <cellStyle name="Total 9 2 3 5" xfId="31396" xr:uid="{00000000-0005-0000-0000-0000A37A0000}"/>
    <cellStyle name="Total 9 2 3 6" xfId="31398" xr:uid="{00000000-0005-0000-0000-0000A47A0000}"/>
    <cellStyle name="Total 9 2 4" xfId="29352" xr:uid="{00000000-0005-0000-0000-0000A57A0000}"/>
    <cellStyle name="Total 9 2 4 2" xfId="29384" xr:uid="{00000000-0005-0000-0000-0000A67A0000}"/>
    <cellStyle name="Total 9 2 4 2 2" xfId="31420" xr:uid="{00000000-0005-0000-0000-0000A77A0000}"/>
    <cellStyle name="Total 9 2 4 2 3" xfId="31422" xr:uid="{00000000-0005-0000-0000-0000A87A0000}"/>
    <cellStyle name="Total 9 2 4 2 4" xfId="31424" xr:uid="{00000000-0005-0000-0000-0000A97A0000}"/>
    <cellStyle name="Total 9 2 4 3" xfId="29387" xr:uid="{00000000-0005-0000-0000-0000AA7A0000}"/>
    <cellStyle name="Total 9 2 4 4" xfId="29390" xr:uid="{00000000-0005-0000-0000-0000AB7A0000}"/>
    <cellStyle name="Total 9 2 4 5" xfId="31426" xr:uid="{00000000-0005-0000-0000-0000AC7A0000}"/>
    <cellStyle name="Total 9 2 5" xfId="29355" xr:uid="{00000000-0005-0000-0000-0000AD7A0000}"/>
    <cellStyle name="Total 9 2 5 2" xfId="31437" xr:uid="{00000000-0005-0000-0000-0000AE7A0000}"/>
    <cellStyle name="Total 9 2 5 3" xfId="31439" xr:uid="{00000000-0005-0000-0000-0000AF7A0000}"/>
    <cellStyle name="Total 9 2 5 4" xfId="31441" xr:uid="{00000000-0005-0000-0000-0000B07A0000}"/>
    <cellStyle name="Total 9 2 6" xfId="29358" xr:uid="{00000000-0005-0000-0000-0000B17A0000}"/>
    <cellStyle name="Total 9 2 7" xfId="29393" xr:uid="{00000000-0005-0000-0000-0000B27A0000}"/>
    <cellStyle name="Total 9 2 8" xfId="26463" xr:uid="{00000000-0005-0000-0000-0000B37A0000}"/>
    <cellStyle name="Total 9 3" xfId="18367" xr:uid="{00000000-0005-0000-0000-0000B47A0000}"/>
    <cellStyle name="Total 9 3 2" xfId="19481" xr:uid="{00000000-0005-0000-0000-0000B57A0000}"/>
    <cellStyle name="Total 9 3 2 2" xfId="19488" xr:uid="{00000000-0005-0000-0000-0000B67A0000}"/>
    <cellStyle name="Total 9 3 2 2 2" xfId="25842" xr:uid="{00000000-0005-0000-0000-0000B77A0000}"/>
    <cellStyle name="Total 9 3 2 2 2 2" xfId="31443" xr:uid="{00000000-0005-0000-0000-0000B87A0000}"/>
    <cellStyle name="Total 9 3 2 2 2 3" xfId="31444" xr:uid="{00000000-0005-0000-0000-0000B97A0000}"/>
    <cellStyle name="Total 9 3 2 2 2 4" xfId="31445" xr:uid="{00000000-0005-0000-0000-0000BA7A0000}"/>
    <cellStyle name="Total 9 3 2 2 3" xfId="31448" xr:uid="{00000000-0005-0000-0000-0000BB7A0000}"/>
    <cellStyle name="Total 9 3 2 2 4" xfId="31450" xr:uid="{00000000-0005-0000-0000-0000BC7A0000}"/>
    <cellStyle name="Total 9 3 2 2 5" xfId="31451" xr:uid="{00000000-0005-0000-0000-0000BD7A0000}"/>
    <cellStyle name="Total 9 3 2 3" xfId="29396" xr:uid="{00000000-0005-0000-0000-0000BE7A0000}"/>
    <cellStyle name="Total 9 3 2 3 2" xfId="31453" xr:uid="{00000000-0005-0000-0000-0000BF7A0000}"/>
    <cellStyle name="Total 9 3 2 3 3" xfId="31454" xr:uid="{00000000-0005-0000-0000-0000C07A0000}"/>
    <cellStyle name="Total 9 3 2 3 4" xfId="31455" xr:uid="{00000000-0005-0000-0000-0000C17A0000}"/>
    <cellStyle name="Total 9 3 2 4" xfId="29400" xr:uid="{00000000-0005-0000-0000-0000C27A0000}"/>
    <cellStyle name="Total 9 3 2 5" xfId="31457" xr:uid="{00000000-0005-0000-0000-0000C37A0000}"/>
    <cellStyle name="Total 9 3 2 6" xfId="26468" xr:uid="{00000000-0005-0000-0000-0000C47A0000}"/>
    <cellStyle name="Total 9 3 3" xfId="19484" xr:uid="{00000000-0005-0000-0000-0000C57A0000}"/>
    <cellStyle name="Total 9 3 3 2" xfId="29417" xr:uid="{00000000-0005-0000-0000-0000C67A0000}"/>
    <cellStyle name="Total 9 3 3 2 2" xfId="31458" xr:uid="{00000000-0005-0000-0000-0000C77A0000}"/>
    <cellStyle name="Total 9 3 3 2 3" xfId="31459" xr:uid="{00000000-0005-0000-0000-0000C87A0000}"/>
    <cellStyle name="Total 9 3 3 2 4" xfId="31460" xr:uid="{00000000-0005-0000-0000-0000C97A0000}"/>
    <cellStyle name="Total 9 3 3 3" xfId="31462" xr:uid="{00000000-0005-0000-0000-0000CA7A0000}"/>
    <cellStyle name="Total 9 3 3 4" xfId="31464" xr:uid="{00000000-0005-0000-0000-0000CB7A0000}"/>
    <cellStyle name="Total 9 3 3 5" xfId="31465" xr:uid="{00000000-0005-0000-0000-0000CC7A0000}"/>
    <cellStyle name="Total 9 3 4" xfId="19487" xr:uid="{00000000-0005-0000-0000-0000CD7A0000}"/>
    <cellStyle name="Total 9 3 4 2" xfId="25841" xr:uid="{00000000-0005-0000-0000-0000CE7A0000}"/>
    <cellStyle name="Total 9 3 4 3" xfId="31447" xr:uid="{00000000-0005-0000-0000-0000CF7A0000}"/>
    <cellStyle name="Total 9 3 4 4" xfId="31449" xr:uid="{00000000-0005-0000-0000-0000D07A0000}"/>
    <cellStyle name="Total 9 3 5" xfId="29395" xr:uid="{00000000-0005-0000-0000-0000D17A0000}"/>
    <cellStyle name="Total 9 3 6" xfId="29399" xr:uid="{00000000-0005-0000-0000-0000D27A0000}"/>
    <cellStyle name="Total 9 3 7" xfId="31456" xr:uid="{00000000-0005-0000-0000-0000D37A0000}"/>
    <cellStyle name="Total 9 4" xfId="4018" xr:uid="{00000000-0005-0000-0000-0000D47A0000}"/>
    <cellStyle name="Total 9 4 2" xfId="29412" xr:uid="{00000000-0005-0000-0000-0000D57A0000}"/>
    <cellStyle name="Total 9 4 2 2" xfId="29500" xr:uid="{00000000-0005-0000-0000-0000D67A0000}"/>
    <cellStyle name="Total 9 4 2 2 2" xfId="31466" xr:uid="{00000000-0005-0000-0000-0000D77A0000}"/>
    <cellStyle name="Total 9 4 2 2 3" xfId="31467" xr:uid="{00000000-0005-0000-0000-0000D87A0000}"/>
    <cellStyle name="Total 9 4 2 2 4" xfId="31468" xr:uid="{00000000-0005-0000-0000-0000D97A0000}"/>
    <cellStyle name="Total 9 4 2 3" xfId="29502" xr:uid="{00000000-0005-0000-0000-0000DA7A0000}"/>
    <cellStyle name="Total 9 4 2 4" xfId="31469" xr:uid="{00000000-0005-0000-0000-0000DB7A0000}"/>
    <cellStyle name="Total 9 4 2 5" xfId="18558" xr:uid="{00000000-0005-0000-0000-0000DC7A0000}"/>
    <cellStyle name="Total 9 4 3" xfId="29414" xr:uid="{00000000-0005-0000-0000-0000DD7A0000}"/>
    <cellStyle name="Total 9 4 3 2" xfId="29517" xr:uid="{00000000-0005-0000-0000-0000DE7A0000}"/>
    <cellStyle name="Total 9 4 3 3" xfId="31470" xr:uid="{00000000-0005-0000-0000-0000DF7A0000}"/>
    <cellStyle name="Total 9 4 3 4" xfId="31471" xr:uid="{00000000-0005-0000-0000-0000E07A0000}"/>
    <cellStyle name="Total 9 4 4" xfId="29416" xr:uid="{00000000-0005-0000-0000-0000E17A0000}"/>
    <cellStyle name="Total 9 4 5" xfId="31461" xr:uid="{00000000-0005-0000-0000-0000E27A0000}"/>
    <cellStyle name="Total 9 4 6" xfId="31463" xr:uid="{00000000-0005-0000-0000-0000E37A0000}"/>
    <cellStyle name="Total 9 5" xfId="4039" xr:uid="{00000000-0005-0000-0000-0000E47A0000}"/>
    <cellStyle name="Total 9 5 2" xfId="25834" xr:uid="{00000000-0005-0000-0000-0000E57A0000}"/>
    <cellStyle name="Total 9 5 2 2" xfId="29563" xr:uid="{00000000-0005-0000-0000-0000E67A0000}"/>
    <cellStyle name="Total 9 5 2 3" xfId="31472" xr:uid="{00000000-0005-0000-0000-0000E77A0000}"/>
    <cellStyle name="Total 9 5 2 4" xfId="31473" xr:uid="{00000000-0005-0000-0000-0000E87A0000}"/>
    <cellStyle name="Total 9 5 3" xfId="25837" xr:uid="{00000000-0005-0000-0000-0000E97A0000}"/>
    <cellStyle name="Total 9 5 4" xfId="25840" xr:uid="{00000000-0005-0000-0000-0000EA7A0000}"/>
    <cellStyle name="Total 9 5 5" xfId="31446" xr:uid="{00000000-0005-0000-0000-0000EB7A0000}"/>
    <cellStyle name="Total 9 6" xfId="4057" xr:uid="{00000000-0005-0000-0000-0000EC7A0000}"/>
    <cellStyle name="Total 9 6 2" xfId="29428" xr:uid="{00000000-0005-0000-0000-0000ED7A0000}"/>
    <cellStyle name="Total 9 6 3" xfId="31474" xr:uid="{00000000-0005-0000-0000-0000EE7A0000}"/>
    <cellStyle name="Total 9 6 4" xfId="31452" xr:uid="{00000000-0005-0000-0000-0000EF7A0000}"/>
    <cellStyle name="Total 9 7" xfId="7951" xr:uid="{00000000-0005-0000-0000-0000F07A0000}"/>
    <cellStyle name="Total 9 8" xfId="7957" xr:uid="{00000000-0005-0000-0000-0000F17A0000}"/>
    <cellStyle name="Total 9 9" xfId="7963" xr:uid="{00000000-0005-0000-0000-0000F27A0000}"/>
    <cellStyle name="Warning Text 2" xfId="31475" xr:uid="{00000000-0005-0000-0000-0000F37A0000}"/>
    <cellStyle name="Warning Text 3" xfId="31476" xr:uid="{00000000-0005-0000-0000-0000F47A0000}"/>
  </cellStyles>
  <dxfs count="884">
    <dxf>
      <font>
        <color auto="1"/>
      </font>
      <fill>
        <patternFill patternType="solid">
          <fgColor indexed="60"/>
          <bgColor indexed="10"/>
        </patternFill>
      </fill>
    </dxf>
    <dxf>
      <font>
        <color auto="1"/>
      </font>
      <fill>
        <patternFill patternType="solid">
          <fgColor indexed="60"/>
          <bgColor indexed="10"/>
        </patternFill>
      </fill>
    </dxf>
    <dxf>
      <font>
        <color auto="1"/>
      </font>
      <fill>
        <patternFill patternType="solid">
          <fgColor indexed="60"/>
          <bgColor indexed="10"/>
        </patternFill>
      </fill>
    </dxf>
    <dxf>
      <fill>
        <patternFill patternType="solid">
          <bgColor rgb="FFFF6600"/>
        </patternFill>
      </fill>
    </dxf>
    <dxf>
      <fill>
        <patternFill patternType="solid">
          <bgColor rgb="FFFF6600"/>
        </patternFill>
      </fill>
    </dxf>
    <dxf>
      <fill>
        <patternFill patternType="solid">
          <bgColor rgb="FFFF6600"/>
        </patternFill>
      </fill>
    </dxf>
    <dxf>
      <font>
        <color auto="1"/>
      </font>
      <fill>
        <patternFill patternType="solid">
          <fgColor indexed="51"/>
          <bgColor indexed="52"/>
        </patternFill>
      </fill>
    </dxf>
    <dxf>
      <font>
        <color auto="1"/>
      </font>
      <fill>
        <patternFill patternType="solid">
          <fgColor indexed="60"/>
          <bgColor indexed="10"/>
        </patternFill>
      </fill>
    </dxf>
    <dxf>
      <font>
        <color indexed="9"/>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b val="0"/>
        <i/>
      </font>
      <fill>
        <patternFill patternType="solid">
          <bgColor theme="8" tint="0.79995117038483843"/>
        </patternFill>
      </fill>
    </dxf>
    <dxf>
      <font>
        <b val="0"/>
        <i/>
      </font>
      <fill>
        <patternFill patternType="solid">
          <bgColor theme="8" tint="0.79995117038483843"/>
        </patternFill>
      </fill>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b val="0"/>
        <i/>
      </font>
      <fill>
        <patternFill patternType="solid">
          <bgColor rgb="FFDAEEF3"/>
        </patternFill>
      </fill>
    </dxf>
    <dxf>
      <font>
        <color rgb="FFE26B0A"/>
      </font>
    </dxf>
    <dxf>
      <font>
        <b/>
        <i/>
        <color rgb="FFE26B0A"/>
      </font>
    </dxf>
    <dxf>
      <font>
        <color rgb="FFCC00FF"/>
      </font>
    </dxf>
    <dxf>
      <font>
        <b/>
        <i/>
        <color rgb="FFFF33CC"/>
      </font>
    </dxf>
    <dxf>
      <font>
        <b/>
        <i/>
        <strike val="0"/>
        <u/>
        <color rgb="FF00B0F0"/>
      </font>
    </dxf>
    <dxf>
      <font>
        <color rgb="FFE26B0A"/>
      </font>
    </dxf>
    <dxf>
      <font>
        <b/>
        <i/>
        <color rgb="FFE26B0A"/>
      </font>
    </dxf>
    <dxf>
      <font>
        <b/>
        <i/>
        <strike val="0"/>
      </font>
      <fill>
        <patternFill patternType="solid">
          <bgColor rgb="FFFFFF00"/>
        </patternFill>
      </fill>
    </dxf>
    <dxf>
      <font>
        <color rgb="FFE26B0A"/>
      </font>
    </dxf>
    <dxf>
      <font>
        <b/>
        <i/>
        <color rgb="FFE26B0A"/>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color auto="1"/>
      </font>
      <fill>
        <patternFill patternType="solid">
          <fgColor indexed="60"/>
          <bgColor indexed="10"/>
        </patternFill>
      </fill>
    </dxf>
    <dxf>
      <font>
        <color auto="1"/>
      </font>
      <fill>
        <patternFill patternType="solid">
          <fgColor indexed="51"/>
          <bgColor indexed="52"/>
        </patternFill>
      </fill>
    </dxf>
    <dxf>
      <fill>
        <patternFill patternType="solid">
          <bgColor rgb="FFFF6600"/>
        </patternFill>
      </fill>
    </dxf>
    <dxf>
      <fill>
        <patternFill patternType="solid">
          <bgColor rgb="FFFF6600"/>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dxf>
    <dxf>
      <font>
        <b val="0"/>
        <i/>
      </font>
      <fill>
        <patternFill patternType="solid">
          <bgColor theme="8" tint="0.79995117038483843"/>
        </patternFill>
      </fill>
    </dxf>
    <dxf>
      <font>
        <color auto="1"/>
      </font>
      <fill>
        <patternFill patternType="solid">
          <fgColor indexed="51"/>
          <bgColor indexed="52"/>
        </patternFill>
      </fill>
    </dxf>
    <dxf>
      <font>
        <color auto="1"/>
      </font>
      <fill>
        <patternFill patternType="solid">
          <fgColor indexed="60"/>
          <bgColor indexed="10"/>
        </patternFill>
      </fill>
    </dxf>
    <dxf>
      <font>
        <color auto="1"/>
      </font>
      <fill>
        <patternFill patternType="solid">
          <fgColor indexed="60"/>
          <bgColor indexed="10"/>
        </patternFill>
      </fill>
    </dxf>
    <dxf>
      <fill>
        <patternFill patternType="solid">
          <bgColor rgb="FFFF6600"/>
        </patternFill>
      </fill>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ill>
        <patternFill patternType="solid">
          <bgColor rgb="FF7030A0"/>
        </patternFill>
      </fill>
    </dxf>
    <dxf>
      <font>
        <color theme="9" tint="-0.24994659260841701"/>
      </font>
    </dxf>
    <dxf>
      <font>
        <b/>
        <i/>
        <color theme="9" tint="-0.24994659260841701"/>
      </font>
    </dxf>
    <dxf>
      <font>
        <color rgb="FFCC00FF"/>
      </font>
    </dxf>
    <dxf>
      <font>
        <b/>
        <i/>
        <color rgb="FFFF33CC"/>
      </font>
    </dxf>
    <dxf>
      <font>
        <b/>
        <i/>
        <strike val="0"/>
        <u/>
        <color rgb="FF00B0F0"/>
      </font>
    </dxf>
    <dxf>
      <font>
        <color theme="9" tint="-0.24994659260841701"/>
      </font>
    </dxf>
    <dxf>
      <font>
        <b/>
        <i/>
        <color theme="9" tint="-0.24994659260841701"/>
      </font>
    </dxf>
    <dxf>
      <font>
        <b/>
        <i/>
        <strike val="0"/>
      </font>
      <fill>
        <patternFill patternType="solid">
          <bgColor rgb="FFFFFF00"/>
        </patternFill>
      </fill>
    </dxf>
    <dxf>
      <font>
        <color theme="9" tint="-0.24994659260841701"/>
      </font>
    </dxf>
    <dxf>
      <font>
        <b/>
        <i/>
        <color theme="9" tint="-0.24994659260841701"/>
      </font>
      <fill>
        <patternFill patternType="solid">
          <bgColor rgb="FF00B050"/>
        </patternFill>
      </fill>
    </dxf>
    <dxf>
      <fill>
        <patternFill patternType="solid">
          <bgColor theme="4" tint="0.39991454817346722"/>
        </patternFill>
      </fill>
    </dxf>
    <dxf>
      <fill>
        <patternFill patternType="solid">
          <bgColor theme="5" tint="0.79995117038483843"/>
        </patternFill>
      </fill>
    </dxf>
    <dxf>
      <fill>
        <patternFill patternType="solid">
          <bgColor theme="8" tint="0.79995117038483843"/>
        </patternFill>
      </fill>
    </dxf>
    <dxf>
      <font>
        <color auto="1"/>
      </font>
      <fill>
        <patternFill patternType="solid">
          <fgColor indexed="60"/>
          <bgColor indexed="10"/>
        </patternFill>
      </fill>
    </dxf>
    <dxf>
      <font>
        <color auto="1"/>
      </font>
      <fill>
        <patternFill patternType="solid">
          <fgColor indexed="51"/>
          <bgColor indexed="52"/>
        </patternFill>
      </fill>
    </dxf>
    <dxf>
      <font>
        <b val="0"/>
        <i/>
      </font>
      <fill>
        <patternFill patternType="solid">
          <bgColor theme="8" tint="0.79995117038483843"/>
        </patternFill>
      </fill>
    </dxf>
    <dxf>
      <font>
        <color rgb="FFFFFFFF"/>
      </font>
      <fill>
        <patternFill patternType="solid">
          <bgColor rgb="FFFF0000"/>
        </patternFill>
      </fill>
    </dxf>
    <dxf>
      <fill>
        <patternFill patternType="solid">
          <bgColor rgb="FFFFCC00"/>
        </patternFill>
      </fill>
    </dxf>
    <dxf>
      <font>
        <u/>
      </font>
      <fill>
        <patternFill patternType="solid">
          <bgColor rgb="FF00FF00"/>
        </patternFill>
      </fill>
    </dxf>
    <dxf>
      <font>
        <color indexed="9"/>
      </font>
      <fill>
        <patternFill patternType="solid">
          <fgColor indexed="8"/>
          <bgColor indexed="10"/>
        </patternFill>
      </fill>
    </dxf>
    <dxf>
      <font>
        <i val="0"/>
      </font>
      <fill>
        <patternFill patternType="solid">
          <fgColor indexed="8"/>
          <bgColor indexed="51"/>
        </patternFill>
      </fill>
    </dxf>
    <dxf>
      <fill>
        <patternFill patternType="solid">
          <fgColor indexed="8"/>
          <bgColor indexed="11"/>
        </patternFill>
      </fill>
    </dxf>
    <dxf>
      <font>
        <color indexed="9"/>
      </font>
      <fill>
        <patternFill patternType="solid">
          <bgColor indexed="10"/>
        </patternFill>
      </fill>
    </dxf>
    <dxf>
      <fill>
        <patternFill patternType="solid">
          <bgColor indexed="51"/>
        </patternFill>
      </fill>
    </dxf>
    <dxf>
      <font>
        <u/>
      </font>
      <fill>
        <patternFill patternType="solid">
          <bgColor indexed="11"/>
        </patternFill>
      </fill>
    </dxf>
    <dxf>
      <font>
        <color indexed="9"/>
      </font>
      <fill>
        <patternFill patternType="solid">
          <bgColor indexed="10"/>
        </patternFill>
      </fill>
    </dxf>
    <dxf>
      <fill>
        <patternFill patternType="solid">
          <bgColor indexed="51"/>
        </patternFill>
      </fill>
    </dxf>
    <dxf>
      <font>
        <u/>
      </font>
      <fill>
        <patternFill patternType="solid">
          <bgColor indexed="11"/>
        </patternFill>
      </fill>
    </dxf>
    <dxf>
      <font>
        <color indexed="9"/>
      </font>
      <fill>
        <patternFill patternType="solid">
          <fgColor indexed="8"/>
          <bgColor indexed="10"/>
        </patternFill>
      </fill>
    </dxf>
    <dxf>
      <fill>
        <patternFill patternType="solid">
          <fgColor indexed="8"/>
          <bgColor indexed="51"/>
        </patternFill>
      </fill>
    </dxf>
    <dxf>
      <fill>
        <patternFill patternType="solid">
          <fgColor indexed="8"/>
          <bgColor indexed="11"/>
        </patternFill>
      </fill>
    </dxf>
    <dxf>
      <font>
        <color auto="1"/>
      </font>
      <fill>
        <patternFill patternType="solid">
          <fgColor indexed="60"/>
          <bgColor indexed="10"/>
        </patternFill>
      </fill>
    </dxf>
    <dxf>
      <font>
        <color auto="1"/>
      </font>
      <fill>
        <patternFill patternType="solid">
          <fgColor indexed="60"/>
          <bgColor indexed="10"/>
        </patternFill>
      </fill>
    </dxf>
    <dxf>
      <font>
        <color auto="1"/>
      </font>
      <fill>
        <patternFill patternType="solid">
          <fgColor indexed="60"/>
          <bgColor indexed="10"/>
        </patternFill>
      </fill>
    </dxf>
    <dxf>
      <font>
        <color indexed="9"/>
      </font>
      <fill>
        <patternFill patternType="solid">
          <bgColor indexed="10"/>
        </patternFill>
      </fill>
    </dxf>
    <dxf>
      <fill>
        <patternFill patternType="solid">
          <bgColor indexed="51"/>
        </patternFill>
      </fill>
    </dxf>
    <dxf>
      <font>
        <u/>
      </font>
      <fill>
        <patternFill patternType="solid">
          <bgColor indexed="11"/>
        </patternFill>
      </fill>
    </dxf>
    <dxf>
      <font>
        <color rgb="FFFFFFFF"/>
      </font>
      <fill>
        <patternFill patternType="solid">
          <bgColor rgb="FFFF0000"/>
        </patternFill>
      </fill>
    </dxf>
    <dxf>
      <fill>
        <patternFill patternType="solid">
          <bgColor rgb="FFFFCC00"/>
        </patternFill>
      </fill>
    </dxf>
    <dxf>
      <font>
        <u/>
      </font>
      <fill>
        <patternFill patternType="solid">
          <bgColor rgb="FF00FF00"/>
        </patternFill>
      </fill>
    </dxf>
    <dxf>
      <font>
        <color indexed="9"/>
      </font>
      <fill>
        <patternFill patternType="solid">
          <bgColor indexed="10"/>
        </patternFill>
      </fill>
    </dxf>
    <dxf>
      <fill>
        <patternFill patternType="solid">
          <bgColor indexed="51"/>
        </patternFill>
      </fill>
    </dxf>
    <dxf>
      <font>
        <u/>
      </font>
      <fill>
        <patternFill patternType="solid">
          <bgColor indexed="11"/>
        </patternFill>
      </fill>
    </dxf>
    <dxf>
      <font>
        <color indexed="10"/>
      </font>
    </dxf>
    <dxf>
      <font>
        <color rgb="FFFF99FF"/>
      </font>
    </dxf>
    <dxf>
      <font>
        <color indexed="10"/>
      </font>
    </dxf>
    <dxf>
      <font>
        <color rgb="FFFF99FF"/>
      </font>
    </dxf>
    <dxf>
      <font>
        <color indexed="10"/>
      </font>
    </dxf>
    <dxf>
      <font>
        <color rgb="FFFF99FF"/>
      </font>
    </dxf>
    <dxf>
      <font>
        <color rgb="FFFF0000"/>
      </font>
    </dxf>
    <dxf>
      <font>
        <color rgb="FFFF0000"/>
      </font>
    </dxf>
    <dxf>
      <font>
        <color rgb="FFFF0000"/>
      </font>
    </dxf>
    <dxf>
      <font>
        <color indexed="10"/>
      </font>
    </dxf>
    <dxf>
      <font>
        <color rgb="FFFF99FF"/>
      </font>
    </dxf>
    <dxf>
      <font>
        <color indexed="10"/>
      </font>
    </dxf>
    <dxf>
      <font>
        <color rgb="FFFF99FF"/>
      </font>
    </dxf>
    <dxf>
      <font>
        <color indexed="10"/>
      </font>
    </dxf>
    <dxf>
      <font>
        <color rgb="FFFF99FF"/>
      </font>
    </dxf>
    <dxf>
      <font>
        <color indexed="10"/>
      </font>
    </dxf>
    <dxf>
      <font>
        <color rgb="FFFF99FF"/>
      </font>
    </dxf>
    <dxf>
      <font>
        <color rgb="FFFF0000"/>
      </font>
    </dxf>
    <dxf>
      <font>
        <color rgb="FFFF0000"/>
      </font>
    </dxf>
    <dxf>
      <font>
        <color indexed="10"/>
      </font>
    </dxf>
    <dxf>
      <font>
        <color rgb="FFFF99FF"/>
      </font>
    </dxf>
    <dxf>
      <font>
        <color indexed="10"/>
      </font>
    </dxf>
    <dxf>
      <font>
        <color rgb="FFFF99FF"/>
      </font>
    </dxf>
    <dxf>
      <font>
        <color rgb="FFFF0000"/>
      </font>
    </dxf>
    <dxf>
      <font>
        <color rgb="FFFF0000"/>
      </font>
    </dxf>
    <dxf>
      <font>
        <color indexed="10"/>
      </font>
    </dxf>
    <dxf>
      <font>
        <color rgb="FFFF99FF"/>
      </font>
    </dxf>
    <dxf>
      <font>
        <color indexed="10"/>
      </font>
    </dxf>
    <dxf>
      <font>
        <color rgb="FFFF99FF"/>
      </font>
    </dxf>
    <dxf>
      <font>
        <color rgb="FFFF0000"/>
      </font>
    </dxf>
    <dxf>
      <font>
        <color rgb="FFFF0000"/>
      </font>
    </dxf>
    <dxf>
      <font>
        <b val="0"/>
        <i/>
      </font>
      <fill>
        <patternFill patternType="solid">
          <bgColor theme="8" tint="0.79995117038483843"/>
        </patternFill>
      </fill>
    </dxf>
  </dxfs>
  <tableStyles count="0" defaultTableStyle="TableStyleMedium9" defaultPivotStyle="PivotStyleLight16"/>
  <colors>
    <mruColors>
      <color rgb="FFFFFF99"/>
      <color rgb="FFFFFFCC"/>
      <color rgb="FFCC00FF"/>
      <color rgb="FFFFFBF7"/>
      <color rgb="FFF7FEFF"/>
      <color rgb="FFEDF6F9"/>
      <color rgb="FFE1FFFF"/>
      <color rgb="FFDDFFFF"/>
      <color rgb="FFCC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61679833434534E-2"/>
          <c:y val="5.8608429924222133E-2"/>
          <c:w val="0.79843209065351084"/>
          <c:h val="0.82590342680483064"/>
        </c:manualLayout>
      </c:layout>
      <c:lineChart>
        <c:grouping val="standard"/>
        <c:varyColors val="0"/>
        <c:ser>
          <c:idx val="0"/>
          <c:order val="0"/>
          <c:tx>
            <c:strRef>
              <c:f>Beer!$BE$5</c:f>
              <c:strCache>
                <c:ptCount val="1"/>
                <c:pt idx="0">
                  <c:v>1000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Beer!$BE$6:$BE$29</c:f>
              <c:numCache>
                <c:formatCode>0.0</c:formatCode>
                <c:ptCount val="24"/>
                <c:pt idx="0">
                  <c:v>0</c:v>
                </c:pt>
                <c:pt idx="1">
                  <c:v>7.2070905402730112</c:v>
                </c:pt>
                <c:pt idx="2">
                  <c:v>13.107757205811929</c:v>
                </c:pt>
                <c:pt idx="3">
                  <c:v>17.938814468550756</c:v>
                </c:pt>
                <c:pt idx="4">
                  <c:v>21.894149619435765</c:v>
                </c:pt>
                <c:pt idx="5">
                  <c:v>25.132504146195664</c:v>
                </c:pt>
                <c:pt idx="6">
                  <c:v>27.783844586623285</c:v>
                </c:pt>
                <c:pt idx="7">
                  <c:v>29.954578542080704</c:v>
                </c:pt>
                <c:pt idx="8">
                  <c:v>31.731825188164301</c:v>
                </c:pt>
                <c:pt idx="9">
                  <c:v>33.186911673117642</c:v>
                </c:pt>
                <c:pt idx="10">
                  <c:v>34.378235726737081</c:v>
                </c:pt>
                <c:pt idx="11">
                  <c:v>35.353609366316839</c:v>
                </c:pt>
                <c:pt idx="12">
                  <c:v>36.152177760782394</c:v>
                </c:pt>
                <c:pt idx="13">
                  <c:v>36.805990263767441</c:v>
                </c:pt>
                <c:pt idx="14">
                  <c:v>37.3412866667082</c:v>
                </c:pt>
                <c:pt idx="15">
                  <c:v>37.779550293807816</c:v>
                </c:pt>
                <c:pt idx="16">
                  <c:v>38.138370203269773</c:v>
                </c:pt>
                <c:pt idx="17">
                  <c:v>38.43214709796294</c:v>
                </c:pt>
                <c:pt idx="18">
                  <c:v>38.672671276191984</c:v>
                </c:pt>
                <c:pt idx="19">
                  <c:v>38.869595817766914</c:v>
                </c:pt>
                <c:pt idx="20">
                  <c:v>39.030823995990076</c:v>
                </c:pt>
                <c:pt idx="21">
                  <c:v>39.162826463764134</c:v>
                </c:pt>
                <c:pt idx="22">
                  <c:v>39.270900943612936</c:v>
                </c:pt>
                <c:pt idx="23">
                  <c:v>39.359384843888066</c:v>
                </c:pt>
              </c:numCache>
            </c:numRef>
          </c:val>
          <c:smooth val="1"/>
          <c:extLst>
            <c:ext xmlns:c16="http://schemas.microsoft.com/office/drawing/2014/chart" uri="{C3380CC4-5D6E-409C-BE32-E72D297353CC}">
              <c16:uniqueId val="{00000000-06BF-476B-8A03-02051871C71E}"/>
            </c:ext>
          </c:extLst>
        </c:ser>
        <c:ser>
          <c:idx val="1"/>
          <c:order val="1"/>
          <c:tx>
            <c:strRef>
              <c:f>Beer!$BF$5</c:f>
              <c:strCache>
                <c:ptCount val="1"/>
                <c:pt idx="0">
                  <c:v>1010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Beer!$BF$6:$BF$30</c:f>
              <c:numCache>
                <c:formatCode>0.0</c:formatCode>
                <c:ptCount val="25"/>
                <c:pt idx="0">
                  <c:v>0</c:v>
                </c:pt>
                <c:pt idx="1">
                  <c:v>6.5876281716873537</c:v>
                </c:pt>
                <c:pt idx="2">
                  <c:v>11.981121945690669</c:v>
                </c:pt>
                <c:pt idx="3">
                  <c:v>16.396941165001813</c:v>
                </c:pt>
                <c:pt idx="4">
                  <c:v>20.012308159884647</c:v>
                </c:pt>
                <c:pt idx="5">
                  <c:v>22.97232030225835</c:v>
                </c:pt>
                <c:pt idx="6">
                  <c:v>25.395773272703941</c:v>
                </c:pt>
                <c:pt idx="7">
                  <c:v>27.379928748245938</c:v>
                </c:pt>
                <c:pt idx="8">
                  <c:v>29.004417854960234</c:v>
                </c:pt>
                <c:pt idx="9">
                  <c:v>30.334437044667407</c:v>
                </c:pt>
                <c:pt idx="10">
                  <c:v>31.423364657464532</c:v>
                </c:pt>
                <c:pt idx="11">
                  <c:v>32.314903181937325</c:v>
                </c:pt>
                <c:pt idx="12">
                  <c:v>33.044833189476975</c:v>
                </c:pt>
                <c:pt idx="13">
                  <c:v>33.642449334244127</c:v>
                </c:pt>
                <c:pt idx="14">
                  <c:v>34.131736050500898</c:v>
                </c:pt>
                <c:pt idx="15">
                  <c:v>34.532330132172852</c:v>
                </c:pt>
                <c:pt idx="16">
                  <c:v>34.860308826338716</c:v>
                </c:pt>
                <c:pt idx="17">
                  <c:v>35.128835069606673</c:v>
                </c:pt>
                <c:pt idx="18">
                  <c:v>35.348685762978647</c:v>
                </c:pt>
                <c:pt idx="19">
                  <c:v>35.528684286727795</c:v>
                </c:pt>
                <c:pt idx="20">
                  <c:v>35.676054613629859</c:v>
                </c:pt>
                <c:pt idx="21">
                  <c:v>35.796711232355733</c:v>
                </c:pt>
                <c:pt idx="22">
                  <c:v>35.895496516669013</c:v>
                </c:pt>
                <c:pt idx="23">
                  <c:v>35.976375066887847</c:v>
                </c:pt>
                <c:pt idx="24">
                  <c:v>36.042592823216374</c:v>
                </c:pt>
              </c:numCache>
            </c:numRef>
          </c:val>
          <c:smooth val="1"/>
          <c:extLst>
            <c:ext xmlns:c16="http://schemas.microsoft.com/office/drawing/2014/chart" uri="{C3380CC4-5D6E-409C-BE32-E72D297353CC}">
              <c16:uniqueId val="{00000001-06BF-476B-8A03-02051871C71E}"/>
            </c:ext>
          </c:extLst>
        </c:ser>
        <c:ser>
          <c:idx val="2"/>
          <c:order val="2"/>
          <c:tx>
            <c:strRef>
              <c:f>Beer!$BG$5</c:f>
              <c:strCache>
                <c:ptCount val="1"/>
                <c:pt idx="0">
                  <c:v>1020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Beer!$BG$6:$BG$30</c:f>
              <c:numCache>
                <c:formatCode>0.0</c:formatCode>
                <c:ptCount val="25"/>
                <c:pt idx="0">
                  <c:v>0</c:v>
                </c:pt>
                <c:pt idx="1">
                  <c:v>6.0214097056098543</c:v>
                </c:pt>
                <c:pt idx="2">
                  <c:v>10.951323008474876</c:v>
                </c:pt>
                <c:pt idx="3">
                  <c:v>14.98759463953872</c:v>
                </c:pt>
                <c:pt idx="4">
                  <c:v>18.292214351666914</c:v>
                </c:pt>
                <c:pt idx="5">
                  <c:v>20.997808137213969</c:v>
                </c:pt>
                <c:pt idx="6">
                  <c:v>23.212960974778021</c:v>
                </c:pt>
                <c:pt idx="7">
                  <c:v>25.026574725659668</c:v>
                </c:pt>
                <c:pt idx="8">
                  <c:v>26.511436077711583</c:v>
                </c:pt>
                <c:pt idx="9">
                  <c:v>27.727137730693432</c:v>
                </c:pt>
                <c:pt idx="10">
                  <c:v>28.722470060557413</c:v>
                </c:pt>
                <c:pt idx="11">
                  <c:v>29.537379248549808</c:v>
                </c:pt>
                <c:pt idx="12">
                  <c:v>30.204570461724991</c:v>
                </c:pt>
                <c:pt idx="13">
                  <c:v>30.750820426134922</c:v>
                </c:pt>
                <c:pt idx="14">
                  <c:v>31.198052070865085</c:v>
                </c:pt>
                <c:pt idx="15">
                  <c:v>31.564214372155313</c:v>
                </c:pt>
                <c:pt idx="16">
                  <c:v>31.864002708839436</c:v>
                </c:pt>
                <c:pt idx="17">
                  <c:v>32.109448639496811</c:v>
                </c:pt>
                <c:pt idx="18">
                  <c:v>32.310402771143856</c:v>
                </c:pt>
                <c:pt idx="19">
                  <c:v>32.474930098681376</c:v>
                </c:pt>
                <c:pt idx="20">
                  <c:v>32.609633681458071</c:v>
                </c:pt>
                <c:pt idx="21">
                  <c:v>32.719919647227144</c:v>
                </c:pt>
                <c:pt idx="22">
                  <c:v>32.810214159035191</c:v>
                </c:pt>
                <c:pt idx="23">
                  <c:v>32.884141052686594</c:v>
                </c:pt>
                <c:pt idx="24">
                  <c:v>32.944667273998526</c:v>
                </c:pt>
              </c:numCache>
            </c:numRef>
          </c:val>
          <c:smooth val="1"/>
          <c:extLst>
            <c:ext xmlns:c16="http://schemas.microsoft.com/office/drawing/2014/chart" uri="{C3380CC4-5D6E-409C-BE32-E72D297353CC}">
              <c16:uniqueId val="{00000002-06BF-476B-8A03-02051871C71E}"/>
            </c:ext>
          </c:extLst>
        </c:ser>
        <c:ser>
          <c:idx val="3"/>
          <c:order val="3"/>
          <c:tx>
            <c:strRef>
              <c:f>Beer!$BH$5</c:f>
              <c:strCache>
                <c:ptCount val="1"/>
                <c:pt idx="0">
                  <c:v>1030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Beer!$BH$6:$BH$30</c:f>
              <c:numCache>
                <c:formatCode>0.0</c:formatCode>
                <c:ptCount val="25"/>
                <c:pt idx="0">
                  <c:v>0</c:v>
                </c:pt>
                <c:pt idx="1">
                  <c:v>5.5038587330477089</c:v>
                </c:pt>
                <c:pt idx="2">
                  <c:v>10.010037138390684</c:v>
                </c:pt>
                <c:pt idx="3">
                  <c:v>13.699383977700879</c:v>
                </c:pt>
                <c:pt idx="4">
                  <c:v>16.719965693815187</c:v>
                </c:pt>
                <c:pt idx="5">
                  <c:v>19.193008836983037</c:v>
                </c:pt>
                <c:pt idx="6">
                  <c:v>21.217765311983186</c:v>
                </c:pt>
                <c:pt idx="7">
                  <c:v>22.875495705559583</c:v>
                </c:pt>
                <c:pt idx="8">
                  <c:v>24.232730559092648</c:v>
                </c:pt>
                <c:pt idx="9">
                  <c:v>25.343940472829452</c:v>
                </c:pt>
                <c:pt idx="10">
                  <c:v>26.253722202330909</c:v>
                </c:pt>
                <c:pt idx="11">
                  <c:v>26.998588482862225</c:v>
                </c:pt>
                <c:pt idx="12">
                  <c:v>27.608433413664024</c:v>
                </c:pt>
                <c:pt idx="13">
                  <c:v>28.107732213120169</c:v>
                </c:pt>
                <c:pt idx="14">
                  <c:v>28.516523495209835</c:v>
                </c:pt>
                <c:pt idx="15">
                  <c:v>28.851213489446817</c:v>
                </c:pt>
                <c:pt idx="16">
                  <c:v>29.125234480476131</c:v>
                </c:pt>
                <c:pt idx="17">
                  <c:v>29.349583892820732</c:v>
                </c:pt>
                <c:pt idx="18">
                  <c:v>29.533265656142234</c:v>
                </c:pt>
                <c:pt idx="19">
                  <c:v>29.683651564553138</c:v>
                </c:pt>
                <c:pt idx="20">
                  <c:v>29.806777132598711</c:v>
                </c:pt>
                <c:pt idx="21">
                  <c:v>29.907583821647819</c:v>
                </c:pt>
                <c:pt idx="22">
                  <c:v>29.990117358088291</c:v>
                </c:pt>
                <c:pt idx="23">
                  <c:v>30.057690102532391</c:v>
                </c:pt>
                <c:pt idx="24">
                  <c:v>30.113013986478652</c:v>
                </c:pt>
              </c:numCache>
            </c:numRef>
          </c:val>
          <c:smooth val="1"/>
          <c:extLst>
            <c:ext xmlns:c16="http://schemas.microsoft.com/office/drawing/2014/chart" uri="{C3380CC4-5D6E-409C-BE32-E72D297353CC}">
              <c16:uniqueId val="{00000003-06BF-476B-8A03-02051871C71E}"/>
            </c:ext>
          </c:extLst>
        </c:ser>
        <c:ser>
          <c:idx val="4"/>
          <c:order val="4"/>
          <c:tx>
            <c:strRef>
              <c:f>Beer!$BI$5</c:f>
              <c:strCache>
                <c:ptCount val="1"/>
                <c:pt idx="0">
                  <c:v>1040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Beer!$BI$6:$BI$30</c:f>
              <c:numCache>
                <c:formatCode>0.0</c:formatCode>
                <c:ptCount val="25"/>
                <c:pt idx="0">
                  <c:v>0</c:v>
                </c:pt>
                <c:pt idx="1">
                  <c:v>5.0307921955756498</c:v>
                </c:pt>
                <c:pt idx="2">
                  <c:v>9.149656478438132</c:v>
                </c:pt>
                <c:pt idx="3">
                  <c:v>12.521897334572138</c:v>
                </c:pt>
                <c:pt idx="4">
                  <c:v>15.282854630275068</c:v>
                </c:pt>
                <c:pt idx="5">
                  <c:v>17.543335276202075</c:v>
                </c:pt>
                <c:pt idx="6">
                  <c:v>19.394060297760095</c:v>
                </c:pt>
                <c:pt idx="7">
                  <c:v>20.909305788400562</c:v>
                </c:pt>
                <c:pt idx="8">
                  <c:v>22.149883870050648</c:v>
                </c:pt>
                <c:pt idx="9">
                  <c:v>23.165583297092059</c:v>
                </c:pt>
                <c:pt idx="10">
                  <c:v>23.997167653894547</c:v>
                </c:pt>
                <c:pt idx="11">
                  <c:v>24.678011340587314</c:v>
                </c:pt>
                <c:pt idx="12">
                  <c:v>25.23543900492168</c:v>
                </c:pt>
                <c:pt idx="13">
                  <c:v>25.691822176328653</c:v>
                </c:pt>
                <c:pt idx="14">
                  <c:v>26.065477113946802</c:v>
                </c:pt>
                <c:pt idx="15">
                  <c:v>26.371399902414211</c:v>
                </c:pt>
                <c:pt idx="16">
                  <c:v>26.621868297399857</c:v>
                </c:pt>
                <c:pt idx="17">
                  <c:v>26.826934475048681</c:v>
                </c:pt>
                <c:pt idx="18">
                  <c:v>26.994828461105929</c:v>
                </c:pt>
                <c:pt idx="19">
                  <c:v>27.132288430747845</c:v>
                </c:pt>
                <c:pt idx="20">
                  <c:v>27.244831135210845</c:v>
                </c:pt>
                <c:pt idx="21">
                  <c:v>27.336973308389272</c:v>
                </c:pt>
                <c:pt idx="22">
                  <c:v>27.412412939225884</c:v>
                </c:pt>
                <c:pt idx="23">
                  <c:v>27.474177684992672</c:v>
                </c:pt>
                <c:pt idx="24">
                  <c:v>27.524746381807983</c:v>
                </c:pt>
              </c:numCache>
            </c:numRef>
          </c:val>
          <c:smooth val="1"/>
          <c:extLst>
            <c:ext xmlns:c16="http://schemas.microsoft.com/office/drawing/2014/chart" uri="{C3380CC4-5D6E-409C-BE32-E72D297353CC}">
              <c16:uniqueId val="{00000004-06BF-476B-8A03-02051871C71E}"/>
            </c:ext>
          </c:extLst>
        </c:ser>
        <c:ser>
          <c:idx val="5"/>
          <c:order val="5"/>
          <c:tx>
            <c:strRef>
              <c:f>Beer!$BJ$5</c:f>
              <c:strCache>
                <c:ptCount val="1"/>
                <c:pt idx="0">
                  <c:v>1050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Beer!$BJ$6:$BJ$30</c:f>
              <c:numCache>
                <c:formatCode>0.0</c:formatCode>
                <c:ptCount val="25"/>
                <c:pt idx="0">
                  <c:v>0</c:v>
                </c:pt>
                <c:pt idx="1">
                  <c:v>4.5983865761486076</c:v>
                </c:pt>
                <c:pt idx="2">
                  <c:v>8.3632270805824369</c:v>
                </c:pt>
                <c:pt idx="3">
                  <c:v>11.445617781996038</c:v>
                </c:pt>
                <c:pt idx="4">
                  <c:v>13.969265842244964</c:v>
                </c:pt>
                <c:pt idx="5">
                  <c:v>16.035454119116356</c:v>
                </c:pt>
                <c:pt idx="6">
                  <c:v>17.727106003040163</c:v>
                </c:pt>
                <c:pt idx="7">
                  <c:v>19.112113423910895</c:v>
                </c:pt>
                <c:pt idx="8">
                  <c:v>20.246061592618979</c:v>
                </c:pt>
                <c:pt idx="9">
                  <c:v>21.174459830736748</c:v>
                </c:pt>
                <c:pt idx="10">
                  <c:v>21.934568019387179</c:v>
                </c:pt>
                <c:pt idx="11">
                  <c:v>22.556891969101688</c:v>
                </c:pt>
                <c:pt idx="12">
                  <c:v>23.066407725109915</c:v>
                </c:pt>
                <c:pt idx="13">
                  <c:v>23.483563943731625</c:v>
                </c:pt>
                <c:pt idx="14">
                  <c:v>23.825102568754943</c:v>
                </c:pt>
                <c:pt idx="15">
                  <c:v>24.104730744425499</c:v>
                </c:pt>
                <c:pt idx="16">
                  <c:v>24.333670931274082</c:v>
                </c:pt>
                <c:pt idx="17">
                  <c:v>24.52111130286243</c:v>
                </c:pt>
                <c:pt idx="18">
                  <c:v>24.674574499450177</c:v>
                </c:pt>
                <c:pt idx="19">
                  <c:v>24.800219537962217</c:v>
                </c:pt>
                <c:pt idx="20">
                  <c:v>24.903088994963689</c:v>
                </c:pt>
                <c:pt idx="21">
                  <c:v>24.987311382963235</c:v>
                </c:pt>
                <c:pt idx="22">
                  <c:v>25.05626684211612</c:v>
                </c:pt>
                <c:pt idx="23">
                  <c:v>25.112722797117208</c:v>
                </c:pt>
                <c:pt idx="24">
                  <c:v>25.158945023670977</c:v>
                </c:pt>
              </c:numCache>
            </c:numRef>
          </c:val>
          <c:smooth val="1"/>
          <c:extLst>
            <c:ext xmlns:c16="http://schemas.microsoft.com/office/drawing/2014/chart" uri="{C3380CC4-5D6E-409C-BE32-E72D297353CC}">
              <c16:uniqueId val="{00000005-06BF-476B-8A03-02051871C71E}"/>
            </c:ext>
          </c:extLst>
        </c:ser>
        <c:ser>
          <c:idx val="6"/>
          <c:order val="6"/>
          <c:tx>
            <c:strRef>
              <c:f>Beer!$BK$5</c:f>
              <c:strCache>
                <c:ptCount val="1"/>
                <c:pt idx="0">
                  <c:v>1060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Beer!$BK$6:$BK$30</c:f>
              <c:numCache>
                <c:formatCode>0.0</c:formatCode>
                <c:ptCount val="25"/>
                <c:pt idx="0">
                  <c:v>0</c:v>
                </c:pt>
                <c:pt idx="1">
                  <c:v>4.2031469958747074</c:v>
                </c:pt>
                <c:pt idx="2">
                  <c:v>7.6443927011046613</c:v>
                </c:pt>
                <c:pt idx="3">
                  <c:v>10.461846388873955</c:v>
                </c:pt>
                <c:pt idx="4">
                  <c:v>12.768582368423644</c:v>
                </c:pt>
                <c:pt idx="5">
                  <c:v>14.657178054112437</c:v>
                </c:pt>
                <c:pt idx="6">
                  <c:v>16.203429422116251</c:v>
                </c:pt>
                <c:pt idx="7">
                  <c:v>17.469392969089871</c:v>
                </c:pt>
                <c:pt idx="8">
                  <c:v>18.505876257272863</c:v>
                </c:pt>
                <c:pt idx="9">
                  <c:v>19.354477000359658</c:v>
                </c:pt>
                <c:pt idx="10">
                  <c:v>20.049252525809649</c:v>
                </c:pt>
                <c:pt idx="11">
                  <c:v>20.618086614981468</c:v>
                </c:pt>
                <c:pt idx="12">
                  <c:v>21.083808577185543</c:v>
                </c:pt>
                <c:pt idx="13">
                  <c:v>21.465109470025837</c:v>
                </c:pt>
                <c:pt idx="14">
                  <c:v>21.777292237170283</c:v>
                </c:pt>
                <c:pt idx="15">
                  <c:v>22.032885869212421</c:v>
                </c:pt>
                <c:pt idx="16">
                  <c:v>22.242148236056217</c:v>
                </c:pt>
                <c:pt idx="17">
                  <c:v>22.413477771253117</c:v>
                </c:pt>
                <c:pt idx="18">
                  <c:v>22.55375053062938</c:v>
                </c:pt>
                <c:pt idx="19">
                  <c:v>22.668596152549831</c:v>
                </c:pt>
                <c:pt idx="20">
                  <c:v>22.762623795072468</c:v>
                </c:pt>
                <c:pt idx="21">
                  <c:v>22.83960711764518</c:v>
                </c:pt>
                <c:pt idx="22">
                  <c:v>22.90263573130958</c:v>
                </c:pt>
                <c:pt idx="23">
                  <c:v>22.954239195640493</c:v>
                </c:pt>
                <c:pt idx="24">
                  <c:v>22.996488538853576</c:v>
                </c:pt>
              </c:numCache>
            </c:numRef>
          </c:val>
          <c:smooth val="1"/>
          <c:extLst>
            <c:ext xmlns:c16="http://schemas.microsoft.com/office/drawing/2014/chart" uri="{C3380CC4-5D6E-409C-BE32-E72D297353CC}">
              <c16:uniqueId val="{00000006-06BF-476B-8A03-02051871C71E}"/>
            </c:ext>
          </c:extLst>
        </c:ser>
        <c:ser>
          <c:idx val="7"/>
          <c:order val="7"/>
          <c:tx>
            <c:strRef>
              <c:f>Beer!$BL$5</c:f>
              <c:strCache>
                <c:ptCount val="1"/>
                <c:pt idx="0">
                  <c:v>1070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Beer!$BL$6:$BL$30</c:f>
              <c:numCache>
                <c:formatCode>0.0</c:formatCode>
                <c:ptCount val="25"/>
                <c:pt idx="0">
                  <c:v>0</c:v>
                </c:pt>
                <c:pt idx="1">
                  <c:v>3.8418789669760982</c:v>
                </c:pt>
                <c:pt idx="2">
                  <c:v>6.9873434268428953</c:v>
                </c:pt>
                <c:pt idx="3">
                  <c:v>9.5626319128496693</c:v>
                </c:pt>
                <c:pt idx="4">
                  <c:v>11.671099794391049</c:v>
                </c:pt>
                <c:pt idx="5">
                  <c:v>13.397367290886161</c:v>
                </c:pt>
                <c:pt idx="6">
                  <c:v>14.810715578305642</c:v>
                </c:pt>
                <c:pt idx="7">
                  <c:v>15.967867286026078</c:v>
                </c:pt>
                <c:pt idx="8">
                  <c:v>16.9152629751135</c:v>
                </c:pt>
                <c:pt idx="9">
                  <c:v>17.690924961102876</c:v>
                </c:pt>
                <c:pt idx="10">
                  <c:v>18.32598328302592</c:v>
                </c:pt>
                <c:pt idx="11">
                  <c:v>18.845925061182417</c:v>
                </c:pt>
                <c:pt idx="12">
                  <c:v>19.27161738476919</c:v>
                </c:pt>
                <c:pt idx="13">
                  <c:v>19.620144781438903</c:v>
                </c:pt>
                <c:pt idx="14">
                  <c:v>19.905494879382605</c:v>
                </c:pt>
                <c:pt idx="15">
                  <c:v>20.139119779962929</c:v>
                </c:pt>
                <c:pt idx="16">
                  <c:v>20.330395670752825</c:v>
                </c:pt>
                <c:pt idx="17">
                  <c:v>20.486999124864901</c:v>
                </c:pt>
                <c:pt idx="18">
                  <c:v>20.615215188784695</c:v>
                </c:pt>
                <c:pt idx="19">
                  <c:v>20.72018962335444</c:v>
                </c:pt>
                <c:pt idx="20">
                  <c:v>20.806135421223662</c:v>
                </c:pt>
                <c:pt idx="21">
                  <c:v>20.876501889037023</c:v>
                </c:pt>
                <c:pt idx="22">
                  <c:v>20.934113080221287</c:v>
                </c:pt>
                <c:pt idx="23">
                  <c:v>20.981281134165304</c:v>
                </c:pt>
                <c:pt idx="24">
                  <c:v>21.019899070492109</c:v>
                </c:pt>
              </c:numCache>
            </c:numRef>
          </c:val>
          <c:smooth val="1"/>
          <c:extLst>
            <c:ext xmlns:c16="http://schemas.microsoft.com/office/drawing/2014/chart" uri="{C3380CC4-5D6E-409C-BE32-E72D297353CC}">
              <c16:uniqueId val="{00000007-06BF-476B-8A03-02051871C71E}"/>
            </c:ext>
          </c:extLst>
        </c:ser>
        <c:ser>
          <c:idx val="8"/>
          <c:order val="8"/>
          <c:tx>
            <c:strRef>
              <c:f>Beer!$BM$5</c:f>
              <c:strCache>
                <c:ptCount val="1"/>
                <c:pt idx="0">
                  <c:v>1080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Beer!$BM$6:$BM$30</c:f>
              <c:numCache>
                <c:formatCode>0.0</c:formatCode>
                <c:ptCount val="25"/>
                <c:pt idx="0">
                  <c:v>0</c:v>
                </c:pt>
                <c:pt idx="1">
                  <c:v>3.5116625736335121</c:v>
                </c:pt>
                <c:pt idx="2">
                  <c:v>6.3867687171002387</c:v>
                </c:pt>
                <c:pt idx="3">
                  <c:v>8.7407065351198856</c:v>
                </c:pt>
                <c:pt idx="4">
                  <c:v>10.667947817565853</c:v>
                </c:pt>
                <c:pt idx="5">
                  <c:v>12.245839524105815</c:v>
                </c:pt>
                <c:pt idx="6">
                  <c:v>13.537707989276779</c:v>
                </c:pt>
                <c:pt idx="7">
                  <c:v>14.595400430643901</c:v>
                </c:pt>
                <c:pt idx="8">
                  <c:v>15.461365759689293</c:v>
                </c:pt>
                <c:pt idx="9">
                  <c:v>16.170358205678045</c:v>
                </c:pt>
                <c:pt idx="10">
                  <c:v>16.750832124909024</c:v>
                </c:pt>
                <c:pt idx="11">
                  <c:v>17.226083973943126</c:v>
                </c:pt>
                <c:pt idx="12">
                  <c:v>17.615187278204523</c:v>
                </c:pt>
                <c:pt idx="13">
                  <c:v>17.933758119527582</c:v>
                </c:pt>
                <c:pt idx="14">
                  <c:v>18.194581864352703</c:v>
                </c:pt>
                <c:pt idx="15">
                  <c:v>18.408126285373989</c:v>
                </c:pt>
                <c:pt idx="16">
                  <c:v>18.582961670012352</c:v>
                </c:pt>
                <c:pt idx="17">
                  <c:v>18.726104776141995</c:v>
                </c:pt>
                <c:pt idx="18">
                  <c:v>18.843300439221441</c:v>
                </c:pt>
                <c:pt idx="19">
                  <c:v>18.939252132711946</c:v>
                </c:pt>
                <c:pt idx="20">
                  <c:v>19.017810734982536</c:v>
                </c:pt>
                <c:pt idx="21">
                  <c:v>19.082129078580294</c:v>
                </c:pt>
                <c:pt idx="22">
                  <c:v>19.13478848447081</c:v>
                </c:pt>
                <c:pt idx="23">
                  <c:v>19.177902359512192</c:v>
                </c:pt>
                <c:pt idx="24">
                  <c:v>19.213201014892931</c:v>
                </c:pt>
              </c:numCache>
            </c:numRef>
          </c:val>
          <c:smooth val="1"/>
          <c:extLst>
            <c:ext xmlns:c16="http://schemas.microsoft.com/office/drawing/2014/chart" uri="{C3380CC4-5D6E-409C-BE32-E72D297353CC}">
              <c16:uniqueId val="{00000008-06BF-476B-8A03-02051871C71E}"/>
            </c:ext>
          </c:extLst>
        </c:ser>
        <c:ser>
          <c:idx val="9"/>
          <c:order val="9"/>
          <c:tx>
            <c:strRef>
              <c:f>Beer!$BN$5</c:f>
              <c:strCache>
                <c:ptCount val="1"/>
                <c:pt idx="0">
                  <c:v>1090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Beer!$BN$6:$BN$30</c:f>
              <c:numCache>
                <c:formatCode>0.0</c:formatCode>
                <c:ptCount val="25"/>
                <c:pt idx="0">
                  <c:v>0</c:v>
                </c:pt>
                <c:pt idx="1">
                  <c:v>3.2098288720335573</c:v>
                </c:pt>
                <c:pt idx="2">
                  <c:v>5.8378144816850392</c:v>
                </c:pt>
                <c:pt idx="3">
                  <c:v>7.989427118953099</c:v>
                </c:pt>
                <c:pt idx="4">
                  <c:v>9.7510185537956797</c:v>
                </c:pt>
                <c:pt idx="5">
                  <c:v>11.193287635860067</c:v>
                </c:pt>
                <c:pt idx="6">
                  <c:v>12.37411768755973</c:v>
                </c:pt>
                <c:pt idx="7">
                  <c:v>13.340899565044911</c:v>
                </c:pt>
                <c:pt idx="8">
                  <c:v>14.1324336196605</c:v>
                </c:pt>
                <c:pt idx="9">
                  <c:v>14.780486892282784</c:v>
                </c:pt>
                <c:pt idx="10">
                  <c:v>15.311068036211481</c:v>
                </c:pt>
                <c:pt idx="11">
                  <c:v>15.745471135749201</c:v>
                </c:pt>
                <c:pt idx="12">
                  <c:v>16.101130312573126</c:v>
                </c:pt>
                <c:pt idx="13">
                  <c:v>16.392319418253273</c:v>
                </c:pt>
                <c:pt idx="14">
                  <c:v>16.630724894034884</c:v>
                </c:pt>
                <c:pt idx="15">
                  <c:v>16.825914788759476</c:v>
                </c:pt>
                <c:pt idx="16">
                  <c:v>16.985722758260557</c:v>
                </c:pt>
                <c:pt idx="17">
                  <c:v>17.11656245747804</c:v>
                </c:pt>
                <c:pt idx="18">
                  <c:v>17.223684942950864</c:v>
                </c:pt>
                <c:pt idx="19">
                  <c:v>17.311389416153613</c:v>
                </c:pt>
                <c:pt idx="20">
                  <c:v>17.38319576554721</c:v>
                </c:pt>
                <c:pt idx="21">
                  <c:v>17.441985832062009</c:v>
                </c:pt>
                <c:pt idx="22">
                  <c:v>17.490119067493175</c:v>
                </c:pt>
                <c:pt idx="23">
                  <c:v>17.529527227585813</c:v>
                </c:pt>
                <c:pt idx="24">
                  <c:v>17.561791900175876</c:v>
                </c:pt>
              </c:numCache>
            </c:numRef>
          </c:val>
          <c:smooth val="1"/>
          <c:extLst>
            <c:ext xmlns:c16="http://schemas.microsoft.com/office/drawing/2014/chart" uri="{C3380CC4-5D6E-409C-BE32-E72D297353CC}">
              <c16:uniqueId val="{00000009-06BF-476B-8A03-02051871C71E}"/>
            </c:ext>
          </c:extLst>
        </c:ser>
        <c:ser>
          <c:idx val="10"/>
          <c:order val="10"/>
          <c:tx>
            <c:strRef>
              <c:f>Beer!$BO$5</c:f>
              <c:strCache>
                <c:ptCount val="1"/>
                <c:pt idx="0">
                  <c:v>1100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Beer!$BO$6:$BO$30</c:f>
              <c:numCache>
                <c:formatCode>0.0</c:formatCode>
                <c:ptCount val="25"/>
                <c:pt idx="0">
                  <c:v>0</c:v>
                </c:pt>
                <c:pt idx="1">
                  <c:v>2.9339383188743331</c:v>
                </c:pt>
                <c:pt idx="2">
                  <c:v>5.3360438481706627</c:v>
                </c:pt>
                <c:pt idx="3">
                  <c:v>7.3027215171442323</c:v>
                </c:pt>
                <c:pt idx="4">
                  <c:v>8.9129010061246117</c:v>
                </c:pt>
                <c:pt idx="5">
                  <c:v>10.231204471728239</c:v>
                </c:pt>
                <c:pt idx="6">
                  <c:v>11.310540060907208</c:v>
                </c:pt>
                <c:pt idx="7">
                  <c:v>12.194225300659575</c:v>
                </c:pt>
                <c:pt idx="8">
                  <c:v>12.917725582485927</c:v>
                </c:pt>
                <c:pt idx="9">
                  <c:v>13.510077513077746</c:v>
                </c:pt>
                <c:pt idx="10">
                  <c:v>13.995054255298383</c:v>
                </c:pt>
                <c:pt idx="11">
                  <c:v>14.392119628681993</c:v>
                </c:pt>
                <c:pt idx="12">
                  <c:v>14.717209260853547</c:v>
                </c:pt>
                <c:pt idx="13">
                  <c:v>14.983370140219206</c:v>
                </c:pt>
                <c:pt idx="14">
                  <c:v>15.201284237422151</c:v>
                </c:pt>
                <c:pt idx="15">
                  <c:v>15.379697210331424</c:v>
                </c:pt>
                <c:pt idx="16">
                  <c:v>15.525769398000316</c:v>
                </c:pt>
                <c:pt idx="17">
                  <c:v>15.645363190214216</c:v>
                </c:pt>
                <c:pt idx="18">
                  <c:v>15.743278305776956</c:v>
                </c:pt>
                <c:pt idx="19">
                  <c:v>15.823444422079353</c:v>
                </c:pt>
                <c:pt idx="20">
                  <c:v>15.889078886850953</c:v>
                </c:pt>
                <c:pt idx="21">
                  <c:v>15.942815841621275</c:v>
                </c:pt>
                <c:pt idx="22">
                  <c:v>15.986811939068499</c:v>
                </c:pt>
                <c:pt idx="23">
                  <c:v>16.022832897063957</c:v>
                </c:pt>
                <c:pt idx="24">
                  <c:v>16.052324363130168</c:v>
                </c:pt>
              </c:numCache>
            </c:numRef>
          </c:val>
          <c:smooth val="1"/>
          <c:extLst>
            <c:ext xmlns:c16="http://schemas.microsoft.com/office/drawing/2014/chart" uri="{C3380CC4-5D6E-409C-BE32-E72D297353CC}">
              <c16:uniqueId val="{0000000A-06BF-476B-8A03-02051871C71E}"/>
            </c:ext>
          </c:extLst>
        </c:ser>
        <c:ser>
          <c:idx val="11"/>
          <c:order val="11"/>
          <c:tx>
            <c:strRef>
              <c:f>Beer!$BP$5</c:f>
              <c:strCache>
                <c:ptCount val="1"/>
                <c:pt idx="0">
                  <c:v>1110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Beer!$BP$6:$BP$30</c:f>
              <c:numCache>
                <c:formatCode>0.0</c:formatCode>
                <c:ptCount val="25"/>
                <c:pt idx="0">
                  <c:v>0</c:v>
                </c:pt>
                <c:pt idx="1">
                  <c:v>2.6817610539796886</c:v>
                </c:pt>
                <c:pt idx="2">
                  <c:v>4.8774013012796793</c:v>
                </c:pt>
                <c:pt idx="3">
                  <c:v>6.6750394944399298</c:v>
                </c:pt>
                <c:pt idx="4">
                  <c:v>8.1468211660877632</c:v>
                </c:pt>
                <c:pt idx="5">
                  <c:v>9.3518140824823632</c:v>
                </c:pt>
                <c:pt idx="6">
                  <c:v>10.338378840375748</c:v>
                </c:pt>
                <c:pt idx="7">
                  <c:v>11.146109747565999</c:v>
                </c:pt>
                <c:pt idx="8">
                  <c:v>11.807423881494234</c:v>
                </c:pt>
                <c:pt idx="9">
                  <c:v>12.348862100386409</c:v>
                </c:pt>
                <c:pt idx="10">
                  <c:v>12.792154221085202</c:v>
                </c:pt>
                <c:pt idx="11">
                  <c:v>13.155091112898457</c:v>
                </c:pt>
                <c:pt idx="12">
                  <c:v>13.45223870765251</c:v>
                </c:pt>
                <c:pt idx="13">
                  <c:v>13.695522581680803</c:v>
                </c:pt>
                <c:pt idx="14">
                  <c:v>13.894706571075719</c:v>
                </c:pt>
                <c:pt idx="15">
                  <c:v>14.057784628714094</c:v>
                </c:pt>
                <c:pt idx="16">
                  <c:v>14.191301649654857</c:v>
                </c:pt>
                <c:pt idx="17">
                  <c:v>14.300616140758414</c:v>
                </c:pt>
                <c:pt idx="18">
                  <c:v>14.390115276381968</c:v>
                </c:pt>
                <c:pt idx="19">
                  <c:v>14.463390971090869</c:v>
                </c:pt>
                <c:pt idx="20">
                  <c:v>14.523384035802197</c:v>
                </c:pt>
                <c:pt idx="21">
                  <c:v>14.57250220285276</c:v>
                </c:pt>
                <c:pt idx="22">
                  <c:v>14.612716756751878</c:v>
                </c:pt>
                <c:pt idx="23">
                  <c:v>14.645641648750399</c:v>
                </c:pt>
                <c:pt idx="24">
                  <c:v>14.672598270371356</c:v>
                </c:pt>
              </c:numCache>
            </c:numRef>
          </c:val>
          <c:smooth val="1"/>
          <c:extLst>
            <c:ext xmlns:c16="http://schemas.microsoft.com/office/drawing/2014/chart" uri="{C3380CC4-5D6E-409C-BE32-E72D297353CC}">
              <c16:uniqueId val="{0000000B-06BF-476B-8A03-02051871C71E}"/>
            </c:ext>
          </c:extLst>
        </c:ser>
        <c:ser>
          <c:idx val="12"/>
          <c:order val="12"/>
          <c:tx>
            <c:strRef>
              <c:f>Beer!$BQ$5</c:f>
              <c:strCache>
                <c:ptCount val="1"/>
                <c:pt idx="0">
                  <c:v>1120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Beer!$BQ$6:$BQ$30</c:f>
              <c:numCache>
                <c:formatCode>0.0</c:formatCode>
                <c:ptCount val="25"/>
                <c:pt idx="0">
                  <c:v>0</c:v>
                </c:pt>
                <c:pt idx="1">
                  <c:v>2.4512588776581885</c:v>
                </c:pt>
                <c:pt idx="2">
                  <c:v>4.4581799045523649</c:v>
                </c:pt>
                <c:pt idx="3">
                  <c:v>6.1013078682694726</c:v>
                </c:pt>
                <c:pt idx="4">
                  <c:v>7.4465872634070687</c:v>
                </c:pt>
                <c:pt idx="5">
                  <c:v>8.5480088756883656</c:v>
                </c:pt>
                <c:pt idx="6">
                  <c:v>9.4497766217677945</c:v>
                </c:pt>
                <c:pt idx="7">
                  <c:v>10.188081607616843</c:v>
                </c:pt>
                <c:pt idx="8">
                  <c:v>10.792554604682264</c:v>
                </c:pt>
                <c:pt idx="9">
                  <c:v>11.287455236784938</c:v>
                </c:pt>
                <c:pt idx="10">
                  <c:v>11.692645604005131</c:v>
                </c:pt>
                <c:pt idx="11">
                  <c:v>12.024387418499263</c:v>
                </c:pt>
                <c:pt idx="12">
                  <c:v>12.2959946441075</c:v>
                </c:pt>
                <c:pt idx="13">
                  <c:v>12.518367832471153</c:v>
                </c:pt>
                <c:pt idx="14">
                  <c:v>12.70043160044448</c:v>
                </c:pt>
                <c:pt idx="15">
                  <c:v>12.849492806305495</c:v>
                </c:pt>
                <c:pt idx="16">
                  <c:v>12.971533799634797</c:v>
                </c:pt>
                <c:pt idx="17">
                  <c:v>13.07145251400968</c:v>
                </c:pt>
                <c:pt idx="18">
                  <c:v>13.153259038276413</c:v>
                </c:pt>
                <c:pt idx="19">
                  <c:v>13.220236555496008</c:v>
                </c:pt>
                <c:pt idx="20">
                  <c:v>13.275073108608499</c:v>
                </c:pt>
                <c:pt idx="21">
                  <c:v>13.319969481034491</c:v>
                </c:pt>
                <c:pt idx="22">
                  <c:v>13.356727521841291</c:v>
                </c:pt>
                <c:pt idx="23">
                  <c:v>13.386822460272716</c:v>
                </c:pt>
                <c:pt idx="24">
                  <c:v>13.411462111878512</c:v>
                </c:pt>
              </c:numCache>
            </c:numRef>
          </c:val>
          <c:smooth val="0"/>
          <c:extLst>
            <c:ext xmlns:c16="http://schemas.microsoft.com/office/drawing/2014/chart" uri="{C3380CC4-5D6E-409C-BE32-E72D297353CC}">
              <c16:uniqueId val="{0000000C-06BF-476B-8A03-02051871C71E}"/>
            </c:ext>
          </c:extLst>
        </c:ser>
        <c:ser>
          <c:idx val="13"/>
          <c:order val="13"/>
          <c:tx>
            <c:strRef>
              <c:f>Beer!$BR$5</c:f>
              <c:strCache>
                <c:ptCount val="1"/>
                <c:pt idx="0">
                  <c:v>1130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Beer!$BR$6:$BR$30</c:f>
              <c:numCache>
                <c:formatCode>0.0</c:formatCode>
                <c:ptCount val="25"/>
                <c:pt idx="0">
                  <c:v>0</c:v>
                </c:pt>
                <c:pt idx="1">
                  <c:v>2.2405687771404268</c:v>
                </c:pt>
                <c:pt idx="2">
                  <c:v>4.0749913393716204</c:v>
                </c:pt>
                <c:pt idx="3">
                  <c:v>5.5768895052104082</c:v>
                </c:pt>
                <c:pt idx="4">
                  <c:v>6.8065397215740377</c:v>
                </c:pt>
                <c:pt idx="5">
                  <c:v>7.8132921692399355</c:v>
                </c:pt>
                <c:pt idx="6">
                  <c:v>8.6375513588805362</c:v>
                </c:pt>
                <c:pt idx="7">
                  <c:v>9.3123977059464345</c:v>
                </c:pt>
                <c:pt idx="8">
                  <c:v>9.8649151638916219</c:v>
                </c:pt>
                <c:pt idx="9">
                  <c:v>10.317278198323816</c:v>
                </c:pt>
                <c:pt idx="10">
                  <c:v>10.687641726169129</c:v>
                </c:pt>
                <c:pt idx="11">
                  <c:v>10.990869736234538</c:v>
                </c:pt>
                <c:pt idx="12">
                  <c:v>11.239131833269731</c:v>
                </c:pt>
                <c:pt idx="13">
                  <c:v>11.442391646936072</c:v>
                </c:pt>
                <c:pt idx="14">
                  <c:v>11.608806707249606</c:v>
                </c:pt>
                <c:pt idx="15">
                  <c:v>11.745055834903624</c:v>
                </c:pt>
                <c:pt idx="16">
                  <c:v>11.856607185794015</c:v>
                </c:pt>
                <c:pt idx="17">
                  <c:v>11.947937707315372</c:v>
                </c:pt>
                <c:pt idx="18">
                  <c:v>12.022712813979556</c:v>
                </c:pt>
                <c:pt idx="19">
                  <c:v>12.083933493370212</c:v>
                </c:pt>
                <c:pt idx="20">
                  <c:v>12.134056746311668</c:v>
                </c:pt>
                <c:pt idx="21">
                  <c:v>12.175094194939145</c:v>
                </c:pt>
                <c:pt idx="22">
                  <c:v>12.208692816158319</c:v>
                </c:pt>
                <c:pt idx="23">
                  <c:v>12.236201040611475</c:v>
                </c:pt>
                <c:pt idx="24">
                  <c:v>12.258722869933843</c:v>
                </c:pt>
              </c:numCache>
            </c:numRef>
          </c:val>
          <c:smooth val="0"/>
          <c:extLst>
            <c:ext xmlns:c16="http://schemas.microsoft.com/office/drawing/2014/chart" uri="{C3380CC4-5D6E-409C-BE32-E72D297353CC}">
              <c16:uniqueId val="{0000000D-06BF-476B-8A03-02051871C71E}"/>
            </c:ext>
          </c:extLst>
        </c:ser>
        <c:ser>
          <c:idx val="14"/>
          <c:order val="14"/>
          <c:tx>
            <c:strRef>
              <c:f>Beer!$BS$5</c:f>
              <c:strCache>
                <c:ptCount val="1"/>
                <c:pt idx="0">
                  <c:v>1140</c:v>
                </c:pt>
              </c:strCache>
            </c:strRef>
          </c:tx>
          <c:cat>
            <c:numRef>
              <c:f>Beer!$BD$6:$BD$29</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Beer!$BS$6:$BS$30</c:f>
              <c:numCache>
                <c:formatCode>0.0</c:formatCode>
                <c:ptCount val="25"/>
                <c:pt idx="0">
                  <c:v>0</c:v>
                </c:pt>
                <c:pt idx="1">
                  <c:v>2.0479878689486033</c:v>
                </c:pt>
                <c:pt idx="2">
                  <c:v>3.724738519187464</c:v>
                </c:pt>
                <c:pt idx="3">
                  <c:v>5.0975458417815229</c:v>
                </c:pt>
                <c:pt idx="4">
                  <c:v>6.2215054148399238</c:v>
                </c:pt>
                <c:pt idx="5">
                  <c:v>7.1417256825192359</c:v>
                </c:pt>
                <c:pt idx="6">
                  <c:v>7.8951383152739396</c:v>
                </c:pt>
                <c:pt idx="7">
                  <c:v>8.5119804074676644</c:v>
                </c:pt>
                <c:pt idx="8">
                  <c:v>9.0170079981396327</c:v>
                </c:pt>
                <c:pt idx="9">
                  <c:v>9.430489617775649</c:v>
                </c:pt>
                <c:pt idx="10">
                  <c:v>9.7690197356041502</c:v>
                </c:pt>
                <c:pt idx="11">
                  <c:v>10.046184753913456</c:v>
                </c:pt>
                <c:pt idx="12">
                  <c:v>10.273108278080707</c:v>
                </c:pt>
                <c:pt idx="13">
                  <c:v>10.45889754591327</c:v>
                </c:pt>
                <c:pt idx="14">
                  <c:v>10.611008933079631</c:v>
                </c:pt>
                <c:pt idx="15">
                  <c:v>10.735547203646082</c:v>
                </c:pt>
                <c:pt idx="16">
                  <c:v>10.837510515693982</c:v>
                </c:pt>
                <c:pt idx="17">
                  <c:v>10.920991014953284</c:v>
                </c:pt>
                <c:pt idx="18">
                  <c:v>10.989339066979179</c:v>
                </c:pt>
                <c:pt idx="19">
                  <c:v>11.045297719085754</c:v>
                </c:pt>
                <c:pt idx="20">
                  <c:v>11.091112788466196</c:v>
                </c:pt>
                <c:pt idx="21">
                  <c:v>11.128622994722367</c:v>
                </c:pt>
                <c:pt idx="22">
                  <c:v>11.159333754138594</c:v>
                </c:pt>
                <c:pt idx="23">
                  <c:v>11.184477597323037</c:v>
                </c:pt>
                <c:pt idx="24">
                  <c:v>11.20506363498871</c:v>
                </c:pt>
              </c:numCache>
            </c:numRef>
          </c:val>
          <c:smooth val="0"/>
          <c:extLst>
            <c:ext xmlns:c16="http://schemas.microsoft.com/office/drawing/2014/chart" uri="{C3380CC4-5D6E-409C-BE32-E72D297353CC}">
              <c16:uniqueId val="{0000000E-06BF-476B-8A03-02051871C71E}"/>
            </c:ext>
          </c:extLst>
        </c:ser>
        <c:dLbls>
          <c:showLegendKey val="0"/>
          <c:showVal val="0"/>
          <c:showCatName val="0"/>
          <c:showSerName val="0"/>
          <c:showPercent val="0"/>
          <c:showBubbleSize val="0"/>
        </c:dLbls>
        <c:marker val="1"/>
        <c:smooth val="0"/>
        <c:axId val="216977792"/>
        <c:axId val="216979712"/>
      </c:lineChart>
      <c:catAx>
        <c:axId val="216977792"/>
        <c:scaling>
          <c:orientation val="minMax"/>
        </c:scaling>
        <c:delete val="0"/>
        <c:axPos val="b"/>
        <c:majorGridlines/>
        <c:title>
          <c:tx>
            <c:rich>
              <a:bodyPr rot="0" spcFirstLastPara="0" vertOverflow="ellipsis" vert="horz" wrap="square" anchor="ctr" anchorCtr="1"/>
              <a:lstStyle/>
              <a:p>
                <a:pPr>
                  <a:defRPr lang="en-GB"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600">
                    <a:latin typeface="Times New Roman" panose="02020603050405020304" pitchFamily="18" charset="0"/>
                    <a:cs typeface="Times New Roman" panose="02020603050405020304" pitchFamily="18" charset="0"/>
                  </a:rPr>
                  <a:t>Boil Time (mins)</a:t>
                </a:r>
              </a:p>
            </c:rich>
          </c:tx>
          <c:layout>
            <c:manualLayout>
              <c:xMode val="edge"/>
              <c:yMode val="edge"/>
              <c:x val="0.38737568893214397"/>
              <c:y val="0.94171655717494496"/>
            </c:manualLayout>
          </c:layout>
          <c:overlay val="0"/>
        </c:title>
        <c:numFmt formatCode="0" sourceLinked="1"/>
        <c:majorTickMark val="out"/>
        <c:minorTickMark val="none"/>
        <c:tickLblPos val="nextTo"/>
        <c:txPr>
          <a:bodyPr rot="0" spcFirstLastPara="0" vertOverflow="ellipsis" vert="horz" wrap="square" anchor="ctr" anchorCtr="1"/>
          <a:lstStyle/>
          <a:p>
            <a:pPr>
              <a:defRPr lang="en-GB"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6979712"/>
        <c:crosses val="autoZero"/>
        <c:auto val="0"/>
        <c:lblAlgn val="ctr"/>
        <c:lblOffset val="0"/>
        <c:tickLblSkip val="1"/>
        <c:noMultiLvlLbl val="0"/>
      </c:catAx>
      <c:valAx>
        <c:axId val="216979712"/>
        <c:scaling>
          <c:orientation val="minMax"/>
          <c:max val="31"/>
          <c:min val="0"/>
        </c:scaling>
        <c:delete val="0"/>
        <c:axPos val="l"/>
        <c:majorGridlines/>
        <c:title>
          <c:tx>
            <c:rich>
              <a:bodyPr rot="-5400000" spcFirstLastPara="0" vertOverflow="ellipsis" vert="horz" wrap="square" anchor="ctr" anchorCtr="1"/>
              <a:lstStyle/>
              <a:p>
                <a:pPr>
                  <a:defRPr lang="en-GB"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600">
                    <a:latin typeface="Times New Roman" panose="02020603050405020304" pitchFamily="18" charset="0"/>
                    <a:cs typeface="Times New Roman" panose="02020603050405020304" pitchFamily="18" charset="0"/>
                  </a:rPr>
                  <a:t>Hop Utilization %</a:t>
                </a:r>
              </a:p>
            </c:rich>
          </c:tx>
          <c:layout>
            <c:manualLayout>
              <c:xMode val="edge"/>
              <c:yMode val="edge"/>
              <c:x val="1.3199801145020403E-3"/>
              <c:y val="0.302059634646756"/>
            </c:manualLayout>
          </c:layout>
          <c:overlay val="0"/>
        </c:title>
        <c:numFmt formatCode="0" sourceLinked="0"/>
        <c:majorTickMark val="out"/>
        <c:minorTickMark val="none"/>
        <c:tickLblPos val="nextTo"/>
        <c:txPr>
          <a:bodyPr rot="0" spcFirstLastPara="0" vertOverflow="ellipsis" vert="horz" wrap="square" anchor="ctr" anchorCtr="1"/>
          <a:lstStyle/>
          <a:p>
            <a:pPr>
              <a:defRPr lang="en-GB"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6977792"/>
        <c:crosses val="autoZero"/>
        <c:crossBetween val="midCat"/>
      </c:valAx>
    </c:plotArea>
    <c:legend>
      <c:legendPos val="r"/>
      <c:layout>
        <c:manualLayout>
          <c:xMode val="edge"/>
          <c:yMode val="edge"/>
          <c:x val="0.88220655557589989"/>
          <c:y val="1.8798363941476145E-3"/>
          <c:w val="0.11235046371597485"/>
          <c:h val="0.61735582304084158"/>
        </c:manualLayout>
      </c:layout>
      <c:overlay val="0"/>
      <c:txPr>
        <a:bodyPr rot="0" spcFirstLastPara="0" vertOverflow="ellipsis" vert="horz" wrap="square" anchor="ctr" anchorCtr="1"/>
        <a:lstStyle/>
        <a:p>
          <a:pPr>
            <a:defRPr lang="en-GB" sz="11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GB"/>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5" Type="http://schemas.openxmlformats.org/officeDocument/2006/relationships/image" Target="../media/image13.pn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chart" Target="../charts/chart1.xml"/><Relationship Id="rId2" Type="http://schemas.openxmlformats.org/officeDocument/2006/relationships/image" Target="../media/image15.png"/><Relationship Id="rId1" Type="http://schemas.openxmlformats.org/officeDocument/2006/relationships/image" Target="../media/image14.jpeg"/><Relationship Id="rId6" Type="http://schemas.openxmlformats.org/officeDocument/2006/relationships/image" Target="../media/image18.jpeg"/><Relationship Id="rId5" Type="http://schemas.openxmlformats.org/officeDocument/2006/relationships/image" Target="../media/image10.jpe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6</xdr:col>
      <xdr:colOff>15239</xdr:colOff>
      <xdr:row>172</xdr:row>
      <xdr:rowOff>98474</xdr:rowOff>
    </xdr:from>
    <xdr:to>
      <xdr:col>12</xdr:col>
      <xdr:colOff>626934</xdr:colOff>
      <xdr:row>172</xdr:row>
      <xdr:rowOff>98474</xdr:rowOff>
    </xdr:to>
    <xdr:sp macro="" textlink="">
      <xdr:nvSpPr>
        <xdr:cNvPr id="2" name="Line 67">
          <a:extLst>
            <a:ext uri="{FF2B5EF4-FFF2-40B4-BE49-F238E27FC236}">
              <a16:creationId xmlns:a16="http://schemas.microsoft.com/office/drawing/2014/main" id="{00000000-0008-0000-0100-000002000000}"/>
            </a:ext>
          </a:extLst>
        </xdr:cNvPr>
        <xdr:cNvSpPr>
          <a:spLocks noChangeShapeType="1"/>
        </xdr:cNvSpPr>
      </xdr:nvSpPr>
      <xdr:spPr>
        <a:xfrm>
          <a:off x="5691505" y="33605470"/>
          <a:ext cx="5069840" cy="0"/>
        </a:xfrm>
        <a:prstGeom prst="line">
          <a:avLst/>
        </a:prstGeom>
        <a:noFill/>
        <a:ln w="9525">
          <a:solidFill>
            <a:srgbClr val="000000"/>
          </a:solidFill>
          <a:round/>
          <a:tailEnd type="triangle" w="med" len="med"/>
        </a:ln>
      </xdr:spPr>
    </xdr:sp>
    <xdr:clientData/>
  </xdr:twoCellAnchor>
  <xdr:twoCellAnchor editAs="oneCell">
    <xdr:from>
      <xdr:col>6</xdr:col>
      <xdr:colOff>301006</xdr:colOff>
      <xdr:row>187</xdr:row>
      <xdr:rowOff>71120</xdr:rowOff>
    </xdr:from>
    <xdr:to>
      <xdr:col>6</xdr:col>
      <xdr:colOff>505006</xdr:colOff>
      <xdr:row>188</xdr:row>
      <xdr:rowOff>140104</xdr:rowOff>
    </xdr:to>
    <xdr:pic>
      <xdr:nvPicPr>
        <xdr:cNvPr id="4" name="Picture 185" descr="mw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r="-7143" b="52174"/>
        <a:stretch>
          <a:fillRect/>
        </a:stretch>
      </xdr:blipFill>
      <xdr:spPr>
        <a:xfrm>
          <a:off x="6003306" y="37002720"/>
          <a:ext cx="204000" cy="259483"/>
        </a:xfrm>
        <a:prstGeom prst="rect">
          <a:avLst/>
        </a:prstGeom>
        <a:noFill/>
        <a:ln w="9525">
          <a:noFill/>
          <a:miter lim="800000"/>
          <a:headEnd/>
          <a:tailEnd/>
        </a:ln>
      </xdr:spPr>
    </xdr:pic>
    <xdr:clientData/>
  </xdr:twoCellAnchor>
  <xdr:twoCellAnchor editAs="oneCell">
    <xdr:from>
      <xdr:col>10</xdr:col>
      <xdr:colOff>376063</xdr:colOff>
      <xdr:row>187</xdr:row>
      <xdr:rowOff>44203</xdr:rowOff>
    </xdr:from>
    <xdr:to>
      <xdr:col>10</xdr:col>
      <xdr:colOff>594653</xdr:colOff>
      <xdr:row>188</xdr:row>
      <xdr:rowOff>154294</xdr:rowOff>
    </xdr:to>
    <xdr:pic>
      <xdr:nvPicPr>
        <xdr:cNvPr id="5" name="Picture 186" descr="mw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l="-14285" t="50000"/>
        <a:stretch>
          <a:fillRect/>
        </a:stretch>
      </xdr:blipFill>
      <xdr:spPr>
        <a:xfrm>
          <a:off x="9100963" y="36975803"/>
          <a:ext cx="218590" cy="300591"/>
        </a:xfrm>
        <a:prstGeom prst="rect">
          <a:avLst/>
        </a:prstGeom>
        <a:noFill/>
        <a:ln w="9525">
          <a:noFill/>
          <a:miter lim="800000"/>
          <a:headEnd/>
          <a:tailEnd/>
        </a:ln>
      </xdr:spPr>
    </xdr:pic>
    <xdr:clientData/>
  </xdr:twoCellAnchor>
  <xdr:twoCellAnchor>
    <xdr:from>
      <xdr:col>9</xdr:col>
      <xdr:colOff>275910</xdr:colOff>
      <xdr:row>185</xdr:row>
      <xdr:rowOff>26472</xdr:rowOff>
    </xdr:from>
    <xdr:to>
      <xdr:col>9</xdr:col>
      <xdr:colOff>397830</xdr:colOff>
      <xdr:row>187</xdr:row>
      <xdr:rowOff>1707</xdr:rowOff>
    </xdr:to>
    <xdr:grpSp>
      <xdr:nvGrpSpPr>
        <xdr:cNvPr id="6" name="Group 265">
          <a:extLst>
            <a:ext uri="{FF2B5EF4-FFF2-40B4-BE49-F238E27FC236}">
              <a16:creationId xmlns:a16="http://schemas.microsoft.com/office/drawing/2014/main" id="{00000000-0008-0000-0100-000006000000}"/>
            </a:ext>
          </a:extLst>
        </xdr:cNvPr>
        <xdr:cNvGrpSpPr/>
      </xdr:nvGrpSpPr>
      <xdr:grpSpPr>
        <a:xfrm>
          <a:off x="8248335" y="35621397"/>
          <a:ext cx="121920" cy="356235"/>
          <a:chOff x="1728" y="447"/>
          <a:chExt cx="16" cy="44"/>
        </a:xfrm>
      </xdr:grpSpPr>
      <xdr:pic>
        <xdr:nvPicPr>
          <xdr:cNvPr id="7" name="Picture 184" descr="mw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srcRect r="-7143" b="48889"/>
          <a:stretch>
            <a:fillRect/>
          </a:stretch>
        </xdr:blipFill>
        <xdr:spPr>
          <a:xfrm>
            <a:off x="1730" y="447"/>
            <a:ext cx="14" cy="21"/>
          </a:xfrm>
          <a:prstGeom prst="rect">
            <a:avLst/>
          </a:prstGeom>
          <a:noFill/>
          <a:ln w="9525">
            <a:noFill/>
            <a:miter lim="800000"/>
            <a:headEnd/>
            <a:tailEnd/>
          </a:ln>
        </xdr:spPr>
      </xdr:pic>
      <xdr:pic>
        <xdr:nvPicPr>
          <xdr:cNvPr id="8" name="Picture 186" descr="mw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srcRect l="-14285" t="50000"/>
          <a:stretch>
            <a:fillRect/>
          </a:stretch>
        </xdr:blipFill>
        <xdr:spPr>
          <a:xfrm>
            <a:off x="1728" y="468"/>
            <a:ext cx="16" cy="23"/>
          </a:xfrm>
          <a:prstGeom prst="rect">
            <a:avLst/>
          </a:prstGeom>
          <a:noFill/>
          <a:ln w="9525">
            <a:noFill/>
            <a:miter lim="800000"/>
            <a:headEnd/>
            <a:tailEnd/>
          </a:ln>
        </xdr:spPr>
      </xdr:pic>
    </xdr:grpSp>
    <xdr:clientData/>
  </xdr:twoCellAnchor>
  <xdr:twoCellAnchor editAs="oneCell">
    <xdr:from>
      <xdr:col>0</xdr:col>
      <xdr:colOff>55218</xdr:colOff>
      <xdr:row>123</xdr:row>
      <xdr:rowOff>38100</xdr:rowOff>
    </xdr:from>
    <xdr:to>
      <xdr:col>10</xdr:col>
      <xdr:colOff>738187</xdr:colOff>
      <xdr:row>128</xdr:row>
      <xdr:rowOff>152401</xdr:rowOff>
    </xdr:to>
    <xdr:pic>
      <xdr:nvPicPr>
        <xdr:cNvPr id="9" name="Picture 8" descr="Colour Chart General new copy.jp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stretch>
          <a:fillRect/>
        </a:stretch>
      </xdr:blipFill>
      <xdr:spPr>
        <a:xfrm>
          <a:off x="55218" y="24206200"/>
          <a:ext cx="9380882" cy="1066800"/>
        </a:xfrm>
        <a:prstGeom prst="rect">
          <a:avLst/>
        </a:prstGeom>
      </xdr:spPr>
    </xdr:pic>
    <xdr:clientData/>
  </xdr:twoCellAnchor>
  <xdr:twoCellAnchor>
    <xdr:from>
      <xdr:col>5</xdr:col>
      <xdr:colOff>101600</xdr:colOff>
      <xdr:row>210</xdr:row>
      <xdr:rowOff>25400</xdr:rowOff>
    </xdr:from>
    <xdr:to>
      <xdr:col>18</xdr:col>
      <xdr:colOff>203200</xdr:colOff>
      <xdr:row>250</xdr:row>
      <xdr:rowOff>25400</xdr:rowOff>
    </xdr:to>
    <xdr:sp macro="" textlink="" fLocksText="0">
      <xdr:nvSpPr>
        <xdr:cNvPr id="10" name="Text Box 246">
          <a:extLst>
            <a:ext uri="{FF2B5EF4-FFF2-40B4-BE49-F238E27FC236}">
              <a16:creationId xmlns:a16="http://schemas.microsoft.com/office/drawing/2014/main" id="{00000000-0008-0000-0100-00000A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5217886" y="41521743"/>
          <a:ext cx="10279743" cy="7837714"/>
        </a:xfrm>
        <a:prstGeom prst="rect">
          <a:avLst/>
        </a:prstGeom>
        <a:solidFill>
          <a:srgbClr val="FFFFFF"/>
        </a:solidFill>
        <a:ln w="9525" cap="flat">
          <a:solidFill>
            <a:srgbClr val="000000"/>
          </a:solidFill>
          <a:prstDash val="solid"/>
          <a:headEnd type="none" w="med" len="med"/>
          <a:tailEnd type="none" w="med" len="med"/>
        </a:ln>
        <a:effectLst/>
      </xdr:spPr>
      <xdr:txBody>
        <a:bodyPr/>
        <a:lstStyle/>
        <a:p>
          <a:pPr algn="l" rtl="0"/>
          <a:r>
            <a:rPr lang="en-GB" sz="1400" b="0" i="0" baseline="0">
              <a:latin typeface="Times New Roman" pitchFamily="18" charset="0"/>
              <a:ea typeface="+mn-ea"/>
              <a:cs typeface="Times New Roman" pitchFamily="18" charset="0"/>
            </a:rPr>
            <a:t>I, personally, think these "typical" temperatures are pitched too low.</a:t>
          </a:r>
          <a:endParaRPr lang="en-GB" sz="1400">
            <a:latin typeface="Times New Roman" pitchFamily="18" charset="0"/>
            <a:ea typeface="+mn-ea"/>
            <a:cs typeface="Times New Roman" pitchFamily="18" charset="0"/>
          </a:endParaRPr>
        </a:p>
        <a:p>
          <a:pPr algn="l" rtl="0"/>
          <a:r>
            <a:rPr lang="en-GB" sz="1400" b="0" i="0" baseline="0">
              <a:latin typeface="Times New Roman" pitchFamily="18" charset="0"/>
              <a:ea typeface="+mn-ea"/>
              <a:cs typeface="Times New Roman" pitchFamily="18" charset="0"/>
            </a:rPr>
            <a:t>It is all about personal preferances. </a:t>
          </a:r>
          <a:endParaRPr lang="en-GB" sz="1400">
            <a:latin typeface="Times New Roman" pitchFamily="18" charset="0"/>
            <a:ea typeface="+mn-ea"/>
            <a:cs typeface="Times New Roman"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558800</xdr:colOff>
      <xdr:row>18</xdr:row>
      <xdr:rowOff>83820</xdr:rowOff>
    </xdr:from>
    <xdr:to>
      <xdr:col>10</xdr:col>
      <xdr:colOff>0</xdr:colOff>
      <xdr:row>19</xdr:row>
      <xdr:rowOff>99060</xdr:rowOff>
    </xdr:to>
    <xdr:sp macro="" textlink="">
      <xdr:nvSpPr>
        <xdr:cNvPr id="9" name="Line1">
          <a:extLst>
            <a:ext uri="{FF2B5EF4-FFF2-40B4-BE49-F238E27FC236}">
              <a16:creationId xmlns:a16="http://schemas.microsoft.com/office/drawing/2014/main" id="{00000000-0008-0000-0900-000009000000}"/>
            </a:ext>
          </a:extLst>
        </xdr:cNvPr>
        <xdr:cNvSpPr>
          <a:spLocks noChangeShapeType="1"/>
        </xdr:cNvSpPr>
      </xdr:nvSpPr>
      <xdr:spPr>
        <a:xfrm flipH="1">
          <a:off x="6854825" y="3684270"/>
          <a:ext cx="193675" cy="205740"/>
        </a:xfrm>
        <a:prstGeom prst="line">
          <a:avLst/>
        </a:prstGeom>
        <a:noFill/>
        <a:ln w="9525">
          <a:solidFill>
            <a:srgbClr val="FF0000"/>
          </a:solidFill>
          <a:round/>
          <a:tailEnd type="triangle" w="med" len="med"/>
        </a:ln>
      </xdr:spPr>
    </xdr:sp>
    <xdr:clientData/>
  </xdr:twoCellAnchor>
  <xdr:twoCellAnchor>
    <xdr:from>
      <xdr:col>9</xdr:col>
      <xdr:colOff>15240</xdr:colOff>
      <xdr:row>16</xdr:row>
      <xdr:rowOff>91440</xdr:rowOff>
    </xdr:from>
    <xdr:to>
      <xdr:col>10</xdr:col>
      <xdr:colOff>0</xdr:colOff>
      <xdr:row>18</xdr:row>
      <xdr:rowOff>83820</xdr:rowOff>
    </xdr:to>
    <xdr:sp macro="" textlink="">
      <xdr:nvSpPr>
        <xdr:cNvPr id="10" name="Line 26">
          <a:extLst>
            <a:ext uri="{FF2B5EF4-FFF2-40B4-BE49-F238E27FC236}">
              <a16:creationId xmlns:a16="http://schemas.microsoft.com/office/drawing/2014/main" id="{00000000-0008-0000-0900-00000A000000}"/>
            </a:ext>
          </a:extLst>
        </xdr:cNvPr>
        <xdr:cNvSpPr>
          <a:spLocks noChangeShapeType="1"/>
        </xdr:cNvSpPr>
      </xdr:nvSpPr>
      <xdr:spPr>
        <a:xfrm flipH="1" flipV="1">
          <a:off x="6882765" y="3310890"/>
          <a:ext cx="165735" cy="373380"/>
        </a:xfrm>
        <a:prstGeom prst="line">
          <a:avLst/>
        </a:prstGeom>
        <a:noFill/>
        <a:ln w="9525">
          <a:solidFill>
            <a:srgbClr val="FF0000"/>
          </a:solidFill>
          <a:round/>
          <a:tailEnd type="triangle" w="med" len="med"/>
        </a:ln>
      </xdr:spPr>
    </xdr:sp>
    <xdr:clientData/>
  </xdr:twoCellAnchor>
  <xdr:twoCellAnchor>
    <xdr:from>
      <xdr:col>5</xdr:col>
      <xdr:colOff>0</xdr:colOff>
      <xdr:row>40</xdr:row>
      <xdr:rowOff>50800</xdr:rowOff>
    </xdr:from>
    <xdr:to>
      <xdr:col>5</xdr:col>
      <xdr:colOff>304800</xdr:colOff>
      <xdr:row>40</xdr:row>
      <xdr:rowOff>149860</xdr:rowOff>
    </xdr:to>
    <xdr:sp macro="" textlink="">
      <xdr:nvSpPr>
        <xdr:cNvPr id="13" name="AutoShape 1">
          <a:extLst>
            <a:ext uri="{FF2B5EF4-FFF2-40B4-BE49-F238E27FC236}">
              <a16:creationId xmlns:a16="http://schemas.microsoft.com/office/drawing/2014/main" id="{00000000-0008-0000-0900-00000D000000}"/>
            </a:ext>
          </a:extLst>
        </xdr:cNvPr>
        <xdr:cNvSpPr>
          <a:spLocks noChangeArrowheads="1"/>
        </xdr:cNvSpPr>
      </xdr:nvSpPr>
      <xdr:spPr>
        <a:xfrm>
          <a:off x="4572000" y="7658100"/>
          <a:ext cx="304800" cy="99060"/>
        </a:xfrm>
        <a:prstGeom prst="rect">
          <a:avLst/>
        </a:prstGeom>
        <a:noFill/>
        <a:ln w="9525">
          <a:noFill/>
          <a:miter lim="800000"/>
        </a:ln>
      </xdr:spPr>
    </xdr:sp>
    <xdr:clientData/>
  </xdr:twoCellAnchor>
  <xdr:twoCellAnchor>
    <xdr:from>
      <xdr:col>6</xdr:col>
      <xdr:colOff>0</xdr:colOff>
      <xdr:row>35</xdr:row>
      <xdr:rowOff>0</xdr:rowOff>
    </xdr:from>
    <xdr:to>
      <xdr:col>6</xdr:col>
      <xdr:colOff>304800</xdr:colOff>
      <xdr:row>35</xdr:row>
      <xdr:rowOff>99060</xdr:rowOff>
    </xdr:to>
    <xdr:sp macro="" textlink="">
      <xdr:nvSpPr>
        <xdr:cNvPr id="24" name="Rectangle1">
          <a:extLst>
            <a:ext uri="{FF2B5EF4-FFF2-40B4-BE49-F238E27FC236}">
              <a16:creationId xmlns:a16="http://schemas.microsoft.com/office/drawing/2014/main" id="{00000000-0008-0000-0900-000018000000}"/>
            </a:ext>
          </a:extLst>
        </xdr:cNvPr>
        <xdr:cNvSpPr>
          <a:spLocks noChangeArrowheads="1"/>
        </xdr:cNvSpPr>
      </xdr:nvSpPr>
      <xdr:spPr>
        <a:xfrm>
          <a:off x="5153025" y="6838950"/>
          <a:ext cx="304800" cy="99060"/>
        </a:xfrm>
        <a:prstGeom prst="rect">
          <a:avLst/>
        </a:prstGeom>
        <a:noFill/>
        <a:ln w="9525">
          <a:noFill/>
          <a:miter lim="800000"/>
        </a:ln>
      </xdr:spPr>
    </xdr:sp>
    <xdr:clientData/>
  </xdr:twoCellAnchor>
  <xdr:twoCellAnchor editAs="oneCell">
    <xdr:from>
      <xdr:col>16</xdr:col>
      <xdr:colOff>785588</xdr:colOff>
      <xdr:row>33</xdr:row>
      <xdr:rowOff>148919</xdr:rowOff>
    </xdr:from>
    <xdr:to>
      <xdr:col>19</xdr:col>
      <xdr:colOff>1659</xdr:colOff>
      <xdr:row>46</xdr:row>
      <xdr:rowOff>1816</xdr:rowOff>
    </xdr:to>
    <xdr:pic>
      <xdr:nvPicPr>
        <xdr:cNvPr id="33" name="Picture 32" descr="Colonics copy.png">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 cstate="print"/>
        <a:stretch>
          <a:fillRect/>
        </a:stretch>
      </xdr:blipFill>
      <xdr:spPr>
        <a:xfrm>
          <a:off x="12999359" y="6887176"/>
          <a:ext cx="3099550" cy="2400154"/>
        </a:xfrm>
        <a:prstGeom prst="rect">
          <a:avLst/>
        </a:prstGeom>
      </xdr:spPr>
    </xdr:pic>
    <xdr:clientData/>
  </xdr:twoCellAnchor>
  <xdr:twoCellAnchor>
    <xdr:from>
      <xdr:col>0</xdr:col>
      <xdr:colOff>38100</xdr:colOff>
      <xdr:row>37</xdr:row>
      <xdr:rowOff>101600</xdr:rowOff>
    </xdr:from>
    <xdr:to>
      <xdr:col>9</xdr:col>
      <xdr:colOff>38100</xdr:colOff>
      <xdr:row>46</xdr:row>
      <xdr:rowOff>0</xdr:rowOff>
    </xdr:to>
    <xdr:sp macro="" textlink="" fLocksText="0">
      <xdr:nvSpPr>
        <xdr:cNvPr id="38" name="Text Box 246">
          <a:extLst>
            <a:ext uri="{FF2B5EF4-FFF2-40B4-BE49-F238E27FC236}">
              <a16:creationId xmlns:a16="http://schemas.microsoft.com/office/drawing/2014/main" id="{00000000-0008-0000-0900-000026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38100" y="7327900"/>
          <a:ext cx="6858000" cy="1612900"/>
        </a:xfrm>
        <a:prstGeom prst="rect">
          <a:avLst/>
        </a:prstGeom>
        <a:solidFill>
          <a:srgbClr val="FFFFFF"/>
        </a:solidFill>
        <a:ln w="9525" cap="flat">
          <a:solidFill>
            <a:srgbClr val="000000"/>
          </a:solidFill>
          <a:prstDash val="solid"/>
          <a:headEnd type="none" w="med" len="med"/>
          <a:tailEnd type="none" w="med" len="med"/>
        </a:ln>
        <a:effectLst/>
      </xdr:spPr>
      <xdr:txBody>
        <a:bodyPr/>
        <a:lstStyle/>
        <a:p>
          <a:endParaRPr lang="en-GB" sz="1400">
            <a:latin typeface="Times New Roman" pitchFamily="18" charset="0"/>
            <a:cs typeface="Times New Roman"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491289</xdr:colOff>
      <xdr:row>129</xdr:row>
      <xdr:rowOff>101600</xdr:rowOff>
    </xdr:from>
    <xdr:to>
      <xdr:col>13</xdr:col>
      <xdr:colOff>20052</xdr:colOff>
      <xdr:row>153</xdr:row>
      <xdr:rowOff>25400</xdr:rowOff>
    </xdr:to>
    <xdr:pic>
      <xdr:nvPicPr>
        <xdr:cNvPr id="2" name="Picture 23">
          <a:extLst>
            <a:ext uri="{FF2B5EF4-FFF2-40B4-BE49-F238E27FC236}">
              <a16:creationId xmlns:a16="http://schemas.microsoft.com/office/drawing/2014/main" id="{00000000-0008-0000-0A00-000002000000}"/>
            </a:ext>
          </a:extLst>
        </xdr:cNvPr>
        <xdr:cNvPicPr>
          <a:picLocks noRot="1" noChangeAspect="1" noChangeArrowheads="1"/>
        </xdr:cNvPicPr>
      </xdr:nvPicPr>
      <xdr:blipFill>
        <a:blip xmlns:r="http://schemas.openxmlformats.org/officeDocument/2006/relationships" r:embed="rId1" cstate="print"/>
        <a:srcRect r="15690"/>
        <a:stretch>
          <a:fillRect/>
        </a:stretch>
      </xdr:blipFill>
      <xdr:spPr>
        <a:xfrm>
          <a:off x="9929203" y="27185257"/>
          <a:ext cx="5711849" cy="4887686"/>
        </a:xfrm>
        <a:prstGeom prst="rect">
          <a:avLst/>
        </a:prstGeom>
        <a:solidFill>
          <a:schemeClr val="bg1"/>
        </a:solidFill>
        <a:ln w="9525">
          <a:noFill/>
          <a:miter lim="800000"/>
          <a:headEnd/>
          <a:tailEnd/>
        </a:ln>
      </xdr:spPr>
    </xdr:pic>
    <xdr:clientData/>
  </xdr:twoCellAnchor>
  <xdr:twoCellAnchor editAs="oneCell">
    <xdr:from>
      <xdr:col>0</xdr:col>
      <xdr:colOff>38100</xdr:colOff>
      <xdr:row>128</xdr:row>
      <xdr:rowOff>55883</xdr:rowOff>
    </xdr:from>
    <xdr:to>
      <xdr:col>5</xdr:col>
      <xdr:colOff>1108011</xdr:colOff>
      <xdr:row>134</xdr:row>
      <xdr:rowOff>38100</xdr:rowOff>
    </xdr:to>
    <xdr:pic>
      <xdr:nvPicPr>
        <xdr:cNvPr id="3" name="Picture 2" descr="Colour Chart General new copy.jp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38100" y="27406240"/>
          <a:ext cx="9127283" cy="1294334"/>
        </a:xfrm>
        <a:prstGeom prst="rect">
          <a:avLst/>
        </a:prstGeom>
      </xdr:spPr>
    </xdr:pic>
    <xdr:clientData/>
  </xdr:twoCellAnchor>
  <xdr:twoCellAnchor>
    <xdr:from>
      <xdr:col>0</xdr:col>
      <xdr:colOff>0</xdr:colOff>
      <xdr:row>137</xdr:row>
      <xdr:rowOff>76200</xdr:rowOff>
    </xdr:from>
    <xdr:to>
      <xdr:col>5</xdr:col>
      <xdr:colOff>1066800</xdr:colOff>
      <xdr:row>150</xdr:row>
      <xdr:rowOff>63500</xdr:rowOff>
    </xdr:to>
    <xdr:sp macro="" textlink="" fLocksText="0">
      <xdr:nvSpPr>
        <xdr:cNvPr id="7" name="Text Box 246">
          <a:extLst>
            <a:ext uri="{FF2B5EF4-FFF2-40B4-BE49-F238E27FC236}">
              <a16:creationId xmlns:a16="http://schemas.microsoft.com/office/drawing/2014/main" id="{00000000-0008-0000-0A00-000007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0" y="29654500"/>
          <a:ext cx="9258300" cy="2565400"/>
        </a:xfrm>
        <a:prstGeom prst="rect">
          <a:avLst/>
        </a:prstGeom>
        <a:solidFill>
          <a:srgbClr val="FFFFFF"/>
        </a:solidFill>
        <a:ln w="9525" cap="flat">
          <a:solidFill>
            <a:srgbClr val="000000"/>
          </a:solidFill>
          <a:prstDash val="solid"/>
          <a:headEnd type="none" w="med" len="med"/>
          <a:tailEnd type="none" w="med" len="med"/>
        </a:ln>
        <a:effectLst/>
      </xdr:spPr>
      <xdr:txBody>
        <a:bodyPr anchor="t"/>
        <a:lstStyle/>
        <a:p>
          <a:r>
            <a:rPr lang="en-GB" sz="1400" i="0">
              <a:latin typeface="Times New Roman" pitchFamily="18" charset="0"/>
              <a:cs typeface="Times New Roman" pitchFamily="18" charset="0"/>
            </a:rPr>
            <a:t>Notes! </a:t>
          </a:r>
        </a:p>
        <a:p>
          <a:endParaRPr lang="en-GB" sz="3600" i="1">
            <a:latin typeface="Times New Roman" pitchFamily="18" charset="0"/>
            <a:cs typeface="Times New Roman" pitchFamily="18" charset="0"/>
          </a:endParaRPr>
        </a:p>
      </xdr:txBody>
    </xdr:sp>
    <xdr:clientData/>
  </xdr:twoCellAnchor>
  <xdr:twoCellAnchor>
    <xdr:from>
      <xdr:col>8</xdr:col>
      <xdr:colOff>815837</xdr:colOff>
      <xdr:row>131</xdr:row>
      <xdr:rowOff>167521</xdr:rowOff>
    </xdr:from>
    <xdr:to>
      <xdr:col>11</xdr:col>
      <xdr:colOff>8285</xdr:colOff>
      <xdr:row>133</xdr:row>
      <xdr:rowOff>127416</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2014668" y="27531027"/>
          <a:ext cx="1846606" cy="370861"/>
        </a:xfrm>
        <a:prstGeom prst="rect">
          <a:avLst/>
        </a:prstGeom>
        <a:solidFill>
          <a:sysClr val="window" lastClr="FFFFFF"/>
        </a:solidFill>
        <a:ln w="9525">
          <a:solidFill>
            <a:srgbClr val="FFFBF7"/>
          </a:solidFill>
          <a:miter lim="800000"/>
        </a:ln>
      </xdr:spPr>
      <xdr:txBody>
        <a:bodyPr vertOverflow="clip" wrap="square" lIns="27305" tIns="22860" rIns="0" bIns="0" rtlCol="0" anchor="t" upright="1"/>
        <a:lstStyle/>
        <a:p>
          <a:pPr marL="0" marR="0" indent="0" algn="r" defTabSz="914400" rtl="0" eaLnBrk="1" fontAlgn="auto" latinLnBrk="0" hangingPunct="1">
            <a:lnSpc>
              <a:spcPct val="100000"/>
            </a:lnSpc>
            <a:spcBef>
              <a:spcPts val="0"/>
            </a:spcBef>
            <a:spcAft>
              <a:spcPts val="0"/>
            </a:spcAft>
            <a:buClrTx/>
            <a:buSzTx/>
            <a:buFontTx/>
            <a:buNone/>
            <a:tabLst/>
            <a:defRPr/>
          </a:pPr>
          <a:r>
            <a:rPr lang="en-GB" sz="1050" b="1" i="0">
              <a:solidFill>
                <a:srgbClr val="FF0000"/>
              </a:solidFill>
              <a:latin typeface="Times New Roman" pitchFamily="18" charset="0"/>
              <a:ea typeface="+mn-ea"/>
              <a:cs typeface="Times New Roman" pitchFamily="18" charset="0"/>
            </a:rPr>
            <a:t>"Too Hoppy" </a:t>
          </a:r>
          <a:r>
            <a:rPr lang="en-GB" sz="1050" b="0" i="0">
              <a:solidFill>
                <a:srgbClr val="FF0000"/>
              </a:solidFill>
              <a:latin typeface="Times New Roman" pitchFamily="18" charset="0"/>
              <a:ea typeface="+mn-ea"/>
              <a:cs typeface="Times New Roman" pitchFamily="18" charset="0"/>
            </a:rPr>
            <a:t>is perceived  as a BU/GU</a:t>
          </a:r>
          <a:r>
            <a:rPr lang="en-GB" sz="1050" b="0" i="0" baseline="0">
              <a:solidFill>
                <a:srgbClr val="FF0000"/>
              </a:solidFill>
              <a:latin typeface="Times New Roman" pitchFamily="18" charset="0"/>
              <a:ea typeface="+mn-ea"/>
              <a:cs typeface="Times New Roman" pitchFamily="18" charset="0"/>
            </a:rPr>
            <a:t> </a:t>
          </a:r>
          <a:r>
            <a:rPr lang="en-GB" sz="1050" b="0" i="0">
              <a:solidFill>
                <a:srgbClr val="FF0000"/>
              </a:solidFill>
              <a:latin typeface="Times New Roman" pitchFamily="18" charset="0"/>
              <a:ea typeface="+mn-ea"/>
              <a:cs typeface="Times New Roman" pitchFamily="18" charset="0"/>
            </a:rPr>
            <a:t>ratio of </a:t>
          </a:r>
          <a:r>
            <a:rPr lang="en-GB" sz="1100" b="0" i="0">
              <a:solidFill>
                <a:srgbClr val="FF0000"/>
              </a:solidFill>
              <a:latin typeface="Times New Roman" pitchFamily="18" charset="0"/>
              <a:ea typeface="+mn-ea"/>
              <a:cs typeface="Times New Roman" pitchFamily="18" charset="0"/>
            </a:rPr>
            <a:t>more</a:t>
          </a:r>
          <a:r>
            <a:rPr lang="en-GB" sz="1050" b="0" i="0" baseline="0">
              <a:solidFill>
                <a:srgbClr val="FF0000"/>
              </a:solidFill>
              <a:latin typeface="Times New Roman" pitchFamily="18" charset="0"/>
              <a:ea typeface="+mn-ea"/>
              <a:cs typeface="Times New Roman" pitchFamily="18" charset="0"/>
            </a:rPr>
            <a:t> than 0.</a:t>
          </a:r>
          <a:r>
            <a:rPr lang="en-GB" sz="1050" b="0" i="0">
              <a:solidFill>
                <a:srgbClr val="FF0000"/>
              </a:solidFill>
              <a:latin typeface="Times New Roman" pitchFamily="18" charset="0"/>
              <a:ea typeface="+mn-ea"/>
              <a:cs typeface="Times New Roman" pitchFamily="18" charset="0"/>
            </a:rPr>
            <a:t>80.</a:t>
          </a:r>
        </a:p>
        <a:p>
          <a:pPr algn="r" rtl="0"/>
          <a:endParaRPr lang="en-GB" sz="1000" b="0" i="0" u="none" strike="noStrike" baseline="0">
            <a:solidFill>
              <a:srgbClr val="000000"/>
            </a:solidFill>
            <a:latin typeface="Times New Roman" pitchFamily="18" charset="0"/>
            <a:ea typeface="Segoe UI Black" pitchFamily="34" charset="0"/>
            <a:cs typeface="Times New Roman" pitchFamily="18" charset="0"/>
          </a:endParaRPr>
        </a:p>
      </xdr:txBody>
    </xdr:sp>
    <xdr:clientData/>
  </xdr:twoCellAnchor>
  <xdr:twoCellAnchor>
    <xdr:from>
      <xdr:col>9</xdr:col>
      <xdr:colOff>863728</xdr:colOff>
      <xdr:row>146</xdr:row>
      <xdr:rowOff>101314</xdr:rowOff>
    </xdr:from>
    <xdr:to>
      <xdr:col>12</xdr:col>
      <xdr:colOff>98322</xdr:colOff>
      <xdr:row>148</xdr:row>
      <xdr:rowOff>57948</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12957405" y="30679637"/>
          <a:ext cx="1869640" cy="369588"/>
        </a:xfrm>
        <a:prstGeom prst="rect">
          <a:avLst/>
        </a:prstGeom>
        <a:solidFill>
          <a:sysClr val="window" lastClr="FFFFFF"/>
        </a:solidFill>
        <a:ln w="9525">
          <a:solidFill>
            <a:srgbClr val="FFFBF7"/>
          </a:solidFill>
          <a:miter lim="800000"/>
        </a:ln>
      </xdr:spPr>
      <xdr:txBody>
        <a:bodyPr vertOverflow="clip" wrap="square" lIns="27305" tIns="22860" rIns="0" bIns="0" rtlCol="0" anchor="t" upright="1"/>
        <a:lstStyle/>
        <a:p>
          <a:pPr marL="0" marR="0" indent="0" algn="l" defTabSz="914400" rtl="0" eaLnBrk="1" fontAlgn="auto" latinLnBrk="0" hangingPunct="1">
            <a:lnSpc>
              <a:spcPct val="100000"/>
            </a:lnSpc>
            <a:spcBef>
              <a:spcPts val="0"/>
            </a:spcBef>
            <a:spcAft>
              <a:spcPts val="0"/>
            </a:spcAft>
            <a:buClrTx/>
            <a:buSzTx/>
            <a:buFontTx/>
            <a:buNone/>
            <a:tabLst/>
            <a:defRPr/>
          </a:pPr>
          <a:r>
            <a:rPr lang="en-GB" sz="1100" b="1" i="0">
              <a:solidFill>
                <a:srgbClr val="FF0000"/>
              </a:solidFill>
              <a:latin typeface="Times New Roman" pitchFamily="18" charset="0"/>
              <a:ea typeface="+mn-ea"/>
              <a:cs typeface="Times New Roman" pitchFamily="18" charset="0"/>
            </a:rPr>
            <a:t>"Too Malty</a:t>
          </a:r>
          <a:r>
            <a:rPr lang="en-GB" sz="1100" b="0" i="0">
              <a:solidFill>
                <a:srgbClr val="FF0000"/>
              </a:solidFill>
              <a:latin typeface="Times New Roman" pitchFamily="18" charset="0"/>
              <a:ea typeface="+mn-ea"/>
              <a:cs typeface="Times New Roman" pitchFamily="18" charset="0"/>
            </a:rPr>
            <a:t>" is perceived  as</a:t>
          </a:r>
          <a:r>
            <a:rPr lang="en-GB" sz="1100" b="0" i="0" baseline="0">
              <a:solidFill>
                <a:srgbClr val="FF0000"/>
              </a:solidFill>
              <a:latin typeface="Times New Roman" pitchFamily="18" charset="0"/>
              <a:ea typeface="+mn-ea"/>
              <a:cs typeface="Times New Roman" pitchFamily="18" charset="0"/>
            </a:rPr>
            <a:t> a</a:t>
          </a:r>
          <a:r>
            <a:rPr lang="en-GB" sz="1100" b="0" i="0">
              <a:solidFill>
                <a:srgbClr val="FF0000"/>
              </a:solidFill>
              <a:latin typeface="Times New Roman" pitchFamily="18" charset="0"/>
              <a:ea typeface="+mn-ea"/>
              <a:cs typeface="Times New Roman" pitchFamily="18" charset="0"/>
            </a:rPr>
            <a:t> BU/GU</a:t>
          </a:r>
          <a:r>
            <a:rPr lang="en-GB" sz="1100" b="0" i="0" baseline="0">
              <a:solidFill>
                <a:srgbClr val="FF0000"/>
              </a:solidFill>
              <a:latin typeface="Times New Roman" pitchFamily="18" charset="0"/>
              <a:ea typeface="+mn-ea"/>
              <a:cs typeface="Times New Roman" pitchFamily="18" charset="0"/>
            </a:rPr>
            <a:t> </a:t>
          </a:r>
          <a:r>
            <a:rPr lang="en-GB" sz="1100" b="0" i="0">
              <a:solidFill>
                <a:srgbClr val="FF0000"/>
              </a:solidFill>
              <a:latin typeface="Times New Roman" pitchFamily="18" charset="0"/>
              <a:ea typeface="+mn-ea"/>
              <a:cs typeface="Times New Roman" pitchFamily="18" charset="0"/>
            </a:rPr>
            <a:t>ratio of less</a:t>
          </a:r>
          <a:r>
            <a:rPr lang="en-GB" sz="1100" b="0" i="0" baseline="0">
              <a:solidFill>
                <a:srgbClr val="FF0000"/>
              </a:solidFill>
              <a:latin typeface="Times New Roman" pitchFamily="18" charset="0"/>
              <a:ea typeface="+mn-ea"/>
              <a:cs typeface="Times New Roman" pitchFamily="18" charset="0"/>
            </a:rPr>
            <a:t> than 0.</a:t>
          </a:r>
          <a:r>
            <a:rPr lang="en-GB" sz="1100" b="0" i="0">
              <a:solidFill>
                <a:srgbClr val="FF0000"/>
              </a:solidFill>
              <a:latin typeface="Times New Roman" pitchFamily="18" charset="0"/>
              <a:ea typeface="+mn-ea"/>
              <a:cs typeface="Times New Roman" pitchFamily="18" charset="0"/>
            </a:rPr>
            <a:t>25.</a:t>
          </a:r>
        </a:p>
        <a:p>
          <a:pPr marL="0" marR="0" indent="0" algn="l" defTabSz="914400" rtl="0" eaLnBrk="1" fontAlgn="auto" latinLnBrk="0" hangingPunct="1">
            <a:lnSpc>
              <a:spcPct val="100000"/>
            </a:lnSpc>
            <a:spcBef>
              <a:spcPts val="0"/>
            </a:spcBef>
            <a:spcAft>
              <a:spcPts val="0"/>
            </a:spcAft>
            <a:buClrTx/>
            <a:buSzTx/>
            <a:buFontTx/>
            <a:buNone/>
            <a:tabLst/>
            <a:defRPr/>
          </a:pPr>
          <a:endParaRPr lang="en-GB" sz="900" b="0" i="0" u="none" strike="noStrike" baseline="0">
            <a:solidFill>
              <a:srgbClr val="FF0000"/>
            </a:solidFill>
            <a:latin typeface="Times New Roman" pitchFamily="18" charset="0"/>
            <a:ea typeface="Segoe UI Black" pitchFamily="34" charset="0"/>
            <a:cs typeface="Times New Roman" pitchFamily="18" charset="0"/>
          </a:endParaRPr>
        </a:p>
      </xdr:txBody>
    </xdr:sp>
    <xdr:clientData/>
  </xdr:twoCellAnchor>
  <xdr:twoCellAnchor>
    <xdr:from>
      <xdr:col>12</xdr:col>
      <xdr:colOff>601577</xdr:colOff>
      <xdr:row>129</xdr:row>
      <xdr:rowOff>175125</xdr:rowOff>
    </xdr:from>
    <xdr:to>
      <xdr:col>16</xdr:col>
      <xdr:colOff>60156</xdr:colOff>
      <xdr:row>147</xdr:row>
      <xdr:rowOff>177800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5371677" y="26807025"/>
          <a:ext cx="3052679" cy="36983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200" b="1" i="0" u="none" strike="noStrike">
              <a:solidFill>
                <a:schemeClr val="dk1"/>
              </a:solidFill>
              <a:latin typeface="Times New Roman" pitchFamily="18" charset="0"/>
              <a:ea typeface="+mn-ea"/>
              <a:cs typeface="Times New Roman" pitchFamily="18" charset="0"/>
            </a:rPr>
            <a:t>"Very Hoppy"</a:t>
          </a:r>
        </a:p>
        <a:p>
          <a:r>
            <a:rPr lang="en-GB" sz="1050" b="0" i="0" u="none" strike="noStrike">
              <a:solidFill>
                <a:schemeClr val="dk1"/>
              </a:solidFill>
              <a:latin typeface="Times New Roman" pitchFamily="18" charset="0"/>
              <a:ea typeface="+mn-ea"/>
              <a:cs typeface="Times New Roman" pitchFamily="18" charset="0"/>
            </a:rPr>
            <a:t> is perceived as</a:t>
          </a:r>
          <a:r>
            <a:rPr lang="en-GB" sz="1050" b="0" i="0" u="none" strike="noStrike" baseline="0">
              <a:solidFill>
                <a:schemeClr val="dk1"/>
              </a:solidFill>
              <a:latin typeface="Times New Roman" pitchFamily="18" charset="0"/>
              <a:ea typeface="+mn-ea"/>
              <a:cs typeface="Times New Roman" pitchFamily="18" charset="0"/>
            </a:rPr>
            <a:t> a</a:t>
          </a:r>
          <a:r>
            <a:rPr lang="en-GB" sz="1050" b="0" i="0" u="none" strike="noStrike">
              <a:solidFill>
                <a:schemeClr val="dk1"/>
              </a:solidFill>
              <a:latin typeface="Times New Roman" pitchFamily="18" charset="0"/>
              <a:ea typeface="+mn-ea"/>
              <a:cs typeface="Times New Roman" pitchFamily="18" charset="0"/>
            </a:rPr>
            <a:t> BU/GU</a:t>
          </a:r>
          <a:r>
            <a:rPr lang="en-GB" sz="1050" b="0" i="0" u="none" strike="noStrike" baseline="0">
              <a:solidFill>
                <a:schemeClr val="dk1"/>
              </a:solidFill>
              <a:latin typeface="Times New Roman" pitchFamily="18" charset="0"/>
              <a:ea typeface="+mn-ea"/>
              <a:cs typeface="Times New Roman" pitchFamily="18" charset="0"/>
            </a:rPr>
            <a:t> </a:t>
          </a:r>
          <a:r>
            <a:rPr lang="en-GB" sz="1050" b="0" i="0" u="none" strike="noStrike">
              <a:solidFill>
                <a:schemeClr val="dk1"/>
              </a:solidFill>
              <a:latin typeface="Times New Roman" pitchFamily="18" charset="0"/>
              <a:ea typeface="+mn-ea"/>
              <a:cs typeface="Times New Roman" pitchFamily="18" charset="0"/>
            </a:rPr>
            <a:t>ratio between 0.65 - </a:t>
          </a:r>
          <a:r>
            <a:rPr lang="en-GB" sz="1050" b="0" i="0">
              <a:solidFill>
                <a:schemeClr val="dk1"/>
              </a:solidFill>
              <a:latin typeface="Times New Roman" pitchFamily="18" charset="0"/>
              <a:ea typeface="+mn-ea"/>
              <a:cs typeface="Times New Roman" pitchFamily="18" charset="0"/>
            </a:rPr>
            <a:t>0.</a:t>
          </a:r>
          <a:r>
            <a:rPr lang="en-GB" sz="1050" b="0" i="0" u="none" strike="noStrike">
              <a:solidFill>
                <a:schemeClr val="dk1"/>
              </a:solidFill>
              <a:latin typeface="Times New Roman" pitchFamily="18" charset="0"/>
              <a:ea typeface="+mn-ea"/>
              <a:cs typeface="Times New Roman" pitchFamily="18" charset="0"/>
            </a:rPr>
            <a:t>80.</a:t>
          </a:r>
          <a:endParaRPr lang="en-GB" sz="1050">
            <a:latin typeface="Times New Roman" pitchFamily="18" charset="0"/>
            <a:cs typeface="Times New Roman" pitchFamily="18" charset="0"/>
          </a:endParaRPr>
        </a:p>
        <a:p>
          <a:endParaRPr lang="en-GB" sz="1050">
            <a:latin typeface="Times New Roman" pitchFamily="18" charset="0"/>
            <a:cs typeface="Times New Roman" pitchFamily="18" charset="0"/>
          </a:endParaRPr>
        </a:p>
        <a:p>
          <a:r>
            <a:rPr lang="en-GB" sz="1200" b="1" i="0">
              <a:solidFill>
                <a:schemeClr val="dk1"/>
              </a:solidFill>
              <a:latin typeface="Times New Roman" pitchFamily="18" charset="0"/>
              <a:ea typeface="+mn-ea"/>
              <a:cs typeface="Times New Roman" pitchFamily="18" charset="0"/>
            </a:rPr>
            <a:t>"Slighly Hoppy"</a:t>
          </a:r>
        </a:p>
        <a:p>
          <a:r>
            <a:rPr lang="en-GB" sz="1050" b="1" i="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is perceived as</a:t>
          </a:r>
          <a:r>
            <a:rPr lang="en-GB" sz="1050" b="0" i="0" baseline="0">
              <a:solidFill>
                <a:schemeClr val="dk1"/>
              </a:solidFill>
              <a:latin typeface="Times New Roman" pitchFamily="18" charset="0"/>
              <a:ea typeface="+mn-ea"/>
              <a:cs typeface="Times New Roman" pitchFamily="18" charset="0"/>
            </a:rPr>
            <a:t> a</a:t>
          </a:r>
          <a:r>
            <a:rPr lang="en-GB" sz="1050" b="0" i="0">
              <a:solidFill>
                <a:schemeClr val="dk1"/>
              </a:solidFill>
              <a:latin typeface="Times New Roman" pitchFamily="18" charset="0"/>
              <a:ea typeface="+mn-ea"/>
              <a:cs typeface="Times New Roman" pitchFamily="18" charset="0"/>
            </a:rPr>
            <a:t> BU/GU</a:t>
          </a:r>
          <a:r>
            <a:rPr lang="en-GB" sz="1050" b="0"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ratio between 0.55 - 0.65.</a:t>
          </a:r>
          <a:endParaRPr lang="en-GB" sz="1050">
            <a:solidFill>
              <a:schemeClr val="dk1"/>
            </a:solidFill>
            <a:latin typeface="Times New Roman" pitchFamily="18" charset="0"/>
            <a:ea typeface="+mn-ea"/>
            <a:cs typeface="Times New Roman" pitchFamily="18" charset="0"/>
          </a:endParaRPr>
        </a:p>
        <a:p>
          <a:endParaRPr lang="en-GB" sz="1300">
            <a:solidFill>
              <a:schemeClr val="dk1"/>
            </a:solidFill>
            <a:latin typeface="Times New Roman" pitchFamily="18" charset="0"/>
            <a:ea typeface="+mn-ea"/>
            <a:cs typeface="Times New Roman" pitchFamily="18" charset="0"/>
          </a:endParaRPr>
        </a:p>
        <a:p>
          <a:r>
            <a:rPr lang="en-GB" sz="1200" b="1" i="0">
              <a:solidFill>
                <a:schemeClr val="dk1"/>
              </a:solidFill>
              <a:latin typeface="Times New Roman" pitchFamily="18" charset="0"/>
              <a:ea typeface="+mn-ea"/>
              <a:cs typeface="Times New Roman" pitchFamily="18" charset="0"/>
            </a:rPr>
            <a:t>"Balanced"</a:t>
          </a:r>
        </a:p>
        <a:p>
          <a:r>
            <a:rPr lang="en-GB" sz="1050" b="1" i="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is perceived as</a:t>
          </a:r>
          <a:r>
            <a:rPr lang="en-GB" sz="1050" b="0" i="0" baseline="0">
              <a:solidFill>
                <a:schemeClr val="dk1"/>
              </a:solidFill>
              <a:latin typeface="Times New Roman" pitchFamily="18" charset="0"/>
              <a:ea typeface="+mn-ea"/>
              <a:cs typeface="Times New Roman" pitchFamily="18" charset="0"/>
            </a:rPr>
            <a:t> a</a:t>
          </a:r>
          <a:r>
            <a:rPr lang="en-GB" sz="1050" b="0" i="0">
              <a:solidFill>
                <a:schemeClr val="dk1"/>
              </a:solidFill>
              <a:latin typeface="Times New Roman" pitchFamily="18" charset="0"/>
              <a:ea typeface="+mn-ea"/>
              <a:cs typeface="Times New Roman" pitchFamily="18" charset="0"/>
            </a:rPr>
            <a:t> BU/GU</a:t>
          </a:r>
          <a:r>
            <a:rPr lang="en-GB" sz="1050" b="0"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ratio between 0.45 - 0.55. </a:t>
          </a:r>
        </a:p>
        <a:p>
          <a:endParaRPr lang="en-GB" sz="1700" b="0" i="0" u="none" strike="noStrike">
            <a:solidFill>
              <a:schemeClr val="dk1"/>
            </a:solidFill>
            <a:latin typeface="Times New Roman" pitchFamily="18" charset="0"/>
            <a:ea typeface="+mn-ea"/>
            <a:cs typeface="Times New Roman" pitchFamily="18" charset="0"/>
          </a:endParaRPr>
        </a:p>
        <a:p>
          <a:r>
            <a:rPr lang="en-GB" sz="1200" b="1" i="0" u="none" strike="noStrike">
              <a:solidFill>
                <a:schemeClr val="dk1"/>
              </a:solidFill>
              <a:latin typeface="Times New Roman" pitchFamily="18" charset="0"/>
              <a:ea typeface="+mn-ea"/>
              <a:cs typeface="Times New Roman" pitchFamily="18" charset="0"/>
            </a:rPr>
            <a:t>"Slightly Malty</a:t>
          </a:r>
          <a:r>
            <a:rPr lang="en-GB" sz="1200" b="1" i="0">
              <a:solidFill>
                <a:schemeClr val="dk1"/>
              </a:solidFill>
              <a:latin typeface="Times New Roman" pitchFamily="18" charset="0"/>
              <a:ea typeface="+mn-ea"/>
              <a:cs typeface="Times New Roman" pitchFamily="18" charset="0"/>
            </a:rPr>
            <a:t>"</a:t>
          </a:r>
        </a:p>
        <a:p>
          <a:r>
            <a:rPr lang="en-GB" sz="1050" b="1"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is perceived</a:t>
          </a:r>
          <a:r>
            <a:rPr lang="en-GB" sz="1050" b="0"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as</a:t>
          </a:r>
          <a:r>
            <a:rPr lang="en-GB" sz="1050" b="0" i="0" baseline="0">
              <a:solidFill>
                <a:schemeClr val="dk1"/>
              </a:solidFill>
              <a:latin typeface="Times New Roman" pitchFamily="18" charset="0"/>
              <a:ea typeface="+mn-ea"/>
              <a:cs typeface="Times New Roman" pitchFamily="18" charset="0"/>
            </a:rPr>
            <a:t> a</a:t>
          </a:r>
          <a:r>
            <a:rPr lang="en-GB" sz="1050" b="0" i="0">
              <a:solidFill>
                <a:schemeClr val="dk1"/>
              </a:solidFill>
              <a:latin typeface="Times New Roman" pitchFamily="18" charset="0"/>
              <a:ea typeface="+mn-ea"/>
              <a:cs typeface="Times New Roman" pitchFamily="18" charset="0"/>
            </a:rPr>
            <a:t> BU/GU</a:t>
          </a:r>
          <a:r>
            <a:rPr lang="en-GB" sz="1050" b="0"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ratio between 0.</a:t>
          </a:r>
          <a:r>
            <a:rPr lang="en-GB" sz="1050" b="0" i="0" u="none" strike="noStrike">
              <a:solidFill>
                <a:schemeClr val="dk1"/>
              </a:solidFill>
              <a:latin typeface="Times New Roman" pitchFamily="18" charset="0"/>
              <a:ea typeface="+mn-ea"/>
              <a:cs typeface="Times New Roman" pitchFamily="18" charset="0"/>
            </a:rPr>
            <a:t>35 - 0.45.  </a:t>
          </a:r>
          <a:r>
            <a:rPr lang="en-GB" sz="1050">
              <a:latin typeface="Times New Roman" pitchFamily="18" charset="0"/>
              <a:cs typeface="Times New Roman" pitchFamily="18" charset="0"/>
            </a:rPr>
            <a:t> </a:t>
          </a:r>
          <a:r>
            <a:rPr lang="en-GB" sz="1050">
              <a:solidFill>
                <a:schemeClr val="dk1"/>
              </a:solidFill>
              <a:latin typeface="Times New Roman" pitchFamily="18" charset="0"/>
              <a:ea typeface="+mn-ea"/>
              <a:cs typeface="Times New Roman" pitchFamily="18" charset="0"/>
            </a:rPr>
            <a:t> </a:t>
          </a:r>
          <a:endParaRPr lang="en-GB" sz="1050">
            <a:latin typeface="Times New Roman" pitchFamily="18" charset="0"/>
            <a:cs typeface="Times New Roman" pitchFamily="18" charset="0"/>
          </a:endParaRPr>
        </a:p>
        <a:p>
          <a:endParaRPr lang="en-GB" sz="1000" b="1" i="0" u="none" strike="noStrike">
            <a:solidFill>
              <a:schemeClr val="dk1"/>
            </a:solidFill>
            <a:latin typeface="Times New Roman" pitchFamily="18" charset="0"/>
            <a:ea typeface="+mn-ea"/>
            <a:cs typeface="Times New Roman" pitchFamily="18" charset="0"/>
          </a:endParaRPr>
        </a:p>
        <a:p>
          <a:endParaRPr lang="en-GB" sz="1000" b="1" i="0" u="none" strike="noStrike">
            <a:solidFill>
              <a:schemeClr val="dk1"/>
            </a:solidFill>
            <a:latin typeface="Times New Roman" pitchFamily="18" charset="0"/>
            <a:ea typeface="+mn-ea"/>
            <a:cs typeface="Times New Roman" pitchFamily="18" charset="0"/>
          </a:endParaRPr>
        </a:p>
        <a:p>
          <a:r>
            <a:rPr lang="en-GB" sz="1100" b="1" i="0" u="none" strike="noStrike">
              <a:solidFill>
                <a:schemeClr val="dk1"/>
              </a:solidFill>
              <a:latin typeface="Times New Roman" pitchFamily="18" charset="0"/>
              <a:ea typeface="+mn-ea"/>
              <a:cs typeface="Times New Roman" pitchFamily="18" charset="0"/>
            </a:rPr>
            <a:t>"</a:t>
          </a:r>
          <a:r>
            <a:rPr lang="en-GB" sz="1200" b="1" i="0" u="none" strike="noStrike">
              <a:solidFill>
                <a:schemeClr val="dk1"/>
              </a:solidFill>
              <a:latin typeface="Times New Roman" pitchFamily="18" charset="0"/>
              <a:ea typeface="+mn-ea"/>
              <a:cs typeface="Times New Roman" pitchFamily="18" charset="0"/>
            </a:rPr>
            <a:t>Very Malty"</a:t>
          </a:r>
          <a:endParaRPr lang="en-GB" sz="1050" b="1" i="0" u="none" strike="noStrike">
            <a:solidFill>
              <a:schemeClr val="dk1"/>
            </a:solidFill>
            <a:latin typeface="Times New Roman" pitchFamily="18" charset="0"/>
            <a:ea typeface="+mn-ea"/>
            <a:cs typeface="Times New Roman" pitchFamily="18" charset="0"/>
          </a:endParaRPr>
        </a:p>
        <a:p>
          <a:r>
            <a:rPr lang="en-GB" sz="1050" b="1" i="0" u="none" strike="noStrike"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is perceived as</a:t>
          </a:r>
          <a:r>
            <a:rPr lang="en-GB" sz="1050" b="0" i="0" baseline="0">
              <a:solidFill>
                <a:schemeClr val="dk1"/>
              </a:solidFill>
              <a:latin typeface="Times New Roman" pitchFamily="18" charset="0"/>
              <a:ea typeface="+mn-ea"/>
              <a:cs typeface="Times New Roman" pitchFamily="18" charset="0"/>
            </a:rPr>
            <a:t> a</a:t>
          </a:r>
          <a:r>
            <a:rPr lang="en-GB" sz="1050" b="0" i="0">
              <a:solidFill>
                <a:schemeClr val="dk1"/>
              </a:solidFill>
              <a:latin typeface="Times New Roman" pitchFamily="18" charset="0"/>
              <a:ea typeface="+mn-ea"/>
              <a:cs typeface="Times New Roman" pitchFamily="18" charset="0"/>
            </a:rPr>
            <a:t> BU/GU</a:t>
          </a:r>
          <a:r>
            <a:rPr lang="en-GB" sz="1050" b="0" i="0" baseline="0">
              <a:solidFill>
                <a:schemeClr val="dk1"/>
              </a:solidFill>
              <a:latin typeface="Times New Roman" pitchFamily="18" charset="0"/>
              <a:ea typeface="+mn-ea"/>
              <a:cs typeface="Times New Roman" pitchFamily="18" charset="0"/>
            </a:rPr>
            <a:t> </a:t>
          </a:r>
          <a:r>
            <a:rPr lang="en-GB" sz="1050" b="0" i="0">
              <a:solidFill>
                <a:schemeClr val="dk1"/>
              </a:solidFill>
              <a:latin typeface="Times New Roman" pitchFamily="18" charset="0"/>
              <a:ea typeface="+mn-ea"/>
              <a:cs typeface="Times New Roman" pitchFamily="18" charset="0"/>
            </a:rPr>
            <a:t>ratio between 0.</a:t>
          </a:r>
          <a:r>
            <a:rPr lang="en-GB" sz="1050" b="0" i="0" u="none" strike="noStrike">
              <a:solidFill>
                <a:schemeClr val="dk1"/>
              </a:solidFill>
              <a:latin typeface="Times New Roman" pitchFamily="18" charset="0"/>
              <a:ea typeface="+mn-ea"/>
              <a:cs typeface="Times New Roman" pitchFamily="18" charset="0"/>
            </a:rPr>
            <a:t>25 - 0.35. </a:t>
          </a:r>
        </a:p>
        <a:p>
          <a:endParaRPr lang="en-GB" sz="900" b="0" i="0" u="none" strike="noStrike">
            <a:solidFill>
              <a:schemeClr val="dk1"/>
            </a:solidFill>
            <a:latin typeface="Times New Roman" pitchFamily="18" charset="0"/>
            <a:ea typeface="+mn-ea"/>
            <a:cs typeface="Times New Roman" pitchFamily="18" charset="0"/>
          </a:endParaRPr>
        </a:p>
        <a:p>
          <a:r>
            <a:rPr lang="en-GB" sz="1200" b="1" i="0">
              <a:solidFill>
                <a:schemeClr val="dk1"/>
              </a:solidFill>
              <a:latin typeface="Times New Roman" pitchFamily="18" charset="0"/>
              <a:ea typeface="+mn-ea"/>
              <a:cs typeface="Times New Roman" pitchFamily="18" charset="0"/>
            </a:rPr>
            <a:t>             </a:t>
          </a:r>
        </a:p>
        <a:p>
          <a:endParaRPr lang="en-GB" sz="1200" b="1" i="0" u="sng">
            <a:solidFill>
              <a:schemeClr val="dk1"/>
            </a:solidFill>
            <a:latin typeface="Times New Roman" pitchFamily="18" charset="0"/>
            <a:ea typeface="+mn-ea"/>
            <a:cs typeface="Times New Roman" pitchFamily="18" charset="0"/>
          </a:endParaRPr>
        </a:p>
        <a:p>
          <a:r>
            <a:rPr lang="en-GB" sz="1200" b="1" i="0" u="sng">
              <a:solidFill>
                <a:schemeClr val="dk1"/>
              </a:solidFill>
              <a:latin typeface="Times New Roman" pitchFamily="18" charset="0"/>
              <a:ea typeface="+mn-ea"/>
              <a:cs typeface="Times New Roman" pitchFamily="18" charset="0"/>
            </a:rPr>
            <a:t>NOTE:-</a:t>
          </a:r>
          <a:r>
            <a:rPr lang="en-GB" sz="1200" b="1" i="0">
              <a:solidFill>
                <a:schemeClr val="dk1"/>
              </a:solidFill>
              <a:latin typeface="Times New Roman" pitchFamily="18" charset="0"/>
              <a:ea typeface="+mn-ea"/>
              <a:cs typeface="Times New Roman" pitchFamily="18" charset="0"/>
            </a:rPr>
            <a:t>  1 EBU = 1 IBU = 1 BU.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6607</xdr:colOff>
      <xdr:row>18</xdr:row>
      <xdr:rowOff>8817</xdr:rowOff>
    </xdr:from>
    <xdr:to>
      <xdr:col>16</xdr:col>
      <xdr:colOff>368301</xdr:colOff>
      <xdr:row>20</xdr:row>
      <xdr:rowOff>2410</xdr:rowOff>
    </xdr:to>
    <xdr:pic>
      <xdr:nvPicPr>
        <xdr:cNvPr id="2" name="Picture 206">
          <a:extLst>
            <a:ext uri="{FF2B5EF4-FFF2-40B4-BE49-F238E27FC236}">
              <a16:creationId xmlns:a16="http://schemas.microsoft.com/office/drawing/2014/main" id="{00000000-0008-0000-0200-000002000000}"/>
            </a:ext>
          </a:extLst>
        </xdr:cNvPr>
        <xdr:cNvPicPr>
          <a:picLocks noRot="1" noChangeAspect="1" noChangeArrowheads="1"/>
        </xdr:cNvPicPr>
      </xdr:nvPicPr>
      <xdr:blipFill>
        <a:blip xmlns:r="http://schemas.openxmlformats.org/officeDocument/2006/relationships" r:embed="rId1" cstate="print"/>
        <a:srcRect l="457" t="625" r="660" b="27451"/>
        <a:stretch>
          <a:fillRect/>
        </a:stretch>
      </xdr:blipFill>
      <xdr:spPr>
        <a:xfrm>
          <a:off x="5581907" y="3615617"/>
          <a:ext cx="6508494" cy="374593"/>
        </a:xfrm>
        <a:prstGeom prst="rect">
          <a:avLst/>
        </a:prstGeom>
        <a:noFill/>
        <a:ln w="9525">
          <a:noFill/>
          <a:miter lim="800000"/>
          <a:headEnd/>
          <a:tailEnd/>
        </a:ln>
      </xdr:spPr>
    </xdr:pic>
    <xdr:clientData/>
  </xdr:twoCellAnchor>
  <xdr:twoCellAnchor editAs="oneCell">
    <xdr:from>
      <xdr:col>14</xdr:col>
      <xdr:colOff>53871</xdr:colOff>
      <xdr:row>36</xdr:row>
      <xdr:rowOff>25399</xdr:rowOff>
    </xdr:from>
    <xdr:to>
      <xdr:col>15</xdr:col>
      <xdr:colOff>399123</xdr:colOff>
      <xdr:row>43</xdr:row>
      <xdr:rowOff>152400</xdr:rowOff>
    </xdr:to>
    <xdr:pic>
      <xdr:nvPicPr>
        <xdr:cNvPr id="5" name="Picture 4" descr="grimbergen-belgian-pale-ale-33cl-plusglass-belgian-pale-ale-opti-large.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tretch>
          <a:fillRect/>
        </a:stretch>
      </xdr:blipFill>
      <xdr:spPr>
        <a:xfrm>
          <a:off x="10540365" y="6955790"/>
          <a:ext cx="895350" cy="1461135"/>
        </a:xfrm>
        <a:prstGeom prst="rect">
          <a:avLst/>
        </a:prstGeom>
      </xdr:spPr>
    </xdr:pic>
    <xdr:clientData/>
  </xdr:twoCellAnchor>
  <xdr:twoCellAnchor>
    <xdr:from>
      <xdr:col>1</xdr:col>
      <xdr:colOff>63500</xdr:colOff>
      <xdr:row>77</xdr:row>
      <xdr:rowOff>97972</xdr:rowOff>
    </xdr:from>
    <xdr:to>
      <xdr:col>15</xdr:col>
      <xdr:colOff>393700</xdr:colOff>
      <xdr:row>113</xdr:row>
      <xdr:rowOff>0</xdr:rowOff>
    </xdr:to>
    <xdr:sp macro="" textlink="" fLocksText="0">
      <xdr:nvSpPr>
        <xdr:cNvPr id="7" name="Text Box 246">
          <a:extLst>
            <a:ext uri="{FF2B5EF4-FFF2-40B4-BE49-F238E27FC236}">
              <a16:creationId xmlns:a16="http://schemas.microsoft.com/office/drawing/2014/main" id="{00000000-0008-0000-0200-000007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194129" y="15327086"/>
          <a:ext cx="11694885" cy="6955971"/>
        </a:xfrm>
        <a:prstGeom prst="rect">
          <a:avLst/>
        </a:prstGeom>
        <a:solidFill>
          <a:srgbClr val="FFFFFF"/>
        </a:solidFill>
        <a:ln w="9525" cap="flat">
          <a:solidFill>
            <a:srgbClr val="000000"/>
          </a:solidFill>
          <a:prstDash val="solid"/>
          <a:headEnd type="none" w="med" len="med"/>
          <a:tailEnd type="none" w="med" len="med"/>
        </a:ln>
        <a:effectLst/>
      </xdr:spPr>
      <xdr:txBody>
        <a:bodyPr anchor="t"/>
        <a:lstStyle/>
        <a:p>
          <a:r>
            <a:rPr lang="en-GB" sz="1400" i="0">
              <a:latin typeface="Times New Roman" pitchFamily="18" charset="0"/>
              <a:cs typeface="Times New Roman" pitchFamily="18" charset="0"/>
            </a:rPr>
            <a:t>Notes!</a:t>
          </a:r>
        </a:p>
        <a:p>
          <a:endParaRPr lang="en-GB" sz="3600" i="1">
            <a:latin typeface="Times New Roman" pitchFamily="18" charset="0"/>
            <a:cs typeface="Times New Roman" pitchFamily="18" charset="0"/>
          </a:endParaRPr>
        </a:p>
      </xdr:txBody>
    </xdr:sp>
    <xdr:clientData/>
  </xdr:twoCellAnchor>
  <xdr:twoCellAnchor editAs="oneCell">
    <xdr:from>
      <xdr:col>16</xdr:col>
      <xdr:colOff>80567</xdr:colOff>
      <xdr:row>77</xdr:row>
      <xdr:rowOff>76199</xdr:rowOff>
    </xdr:from>
    <xdr:to>
      <xdr:col>24</xdr:col>
      <xdr:colOff>22696</xdr:colOff>
      <xdr:row>112</xdr:row>
      <xdr:rowOff>185056</xdr:rowOff>
    </xdr:to>
    <xdr:pic>
      <xdr:nvPicPr>
        <xdr:cNvPr id="6" name="Picture 5" descr="P &amp; Gs cabinet - Copy">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stretch>
          <a:fillRect/>
        </a:stretch>
      </xdr:blipFill>
      <xdr:spPr>
        <a:xfrm>
          <a:off x="12152824" y="15305313"/>
          <a:ext cx="4285529" cy="6966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592288</xdr:colOff>
      <xdr:row>1</xdr:row>
      <xdr:rowOff>167105</xdr:rowOff>
    </xdr:from>
    <xdr:to>
      <xdr:col>25</xdr:col>
      <xdr:colOff>660948</xdr:colOff>
      <xdr:row>17</xdr:row>
      <xdr:rowOff>88899</xdr:rowOff>
    </xdr:to>
    <xdr:pic>
      <xdr:nvPicPr>
        <xdr:cNvPr id="14" name="Picture 23">
          <a:extLst>
            <a:ext uri="{FF2B5EF4-FFF2-40B4-BE49-F238E27FC236}">
              <a16:creationId xmlns:a16="http://schemas.microsoft.com/office/drawing/2014/main" id="{00000000-0008-0000-0300-00000E000000}"/>
            </a:ext>
          </a:extLst>
        </xdr:cNvPr>
        <xdr:cNvPicPr>
          <a:picLocks noRot="1" noChangeAspect="1" noChangeArrowheads="1"/>
        </xdr:cNvPicPr>
      </xdr:nvPicPr>
      <xdr:blipFill>
        <a:blip xmlns:r="http://schemas.openxmlformats.org/officeDocument/2006/relationships" r:embed="rId1" cstate="screen"/>
        <a:srcRect/>
        <a:stretch>
          <a:fillRect/>
        </a:stretch>
      </xdr:blipFill>
      <xdr:spPr>
        <a:xfrm>
          <a:off x="15364393" y="601579"/>
          <a:ext cx="4747608" cy="3130215"/>
        </a:xfrm>
        <a:prstGeom prst="rect">
          <a:avLst/>
        </a:prstGeom>
        <a:noFill/>
        <a:ln w="9525">
          <a:noFill/>
          <a:miter lim="800000"/>
          <a:headEnd/>
          <a:tailEnd/>
        </a:ln>
      </xdr:spPr>
    </xdr:pic>
    <xdr:clientData/>
  </xdr:twoCellAnchor>
  <xdr:twoCellAnchor>
    <xdr:from>
      <xdr:col>55</xdr:col>
      <xdr:colOff>444500</xdr:colOff>
      <xdr:row>55</xdr:row>
      <xdr:rowOff>152400</xdr:rowOff>
    </xdr:from>
    <xdr:to>
      <xdr:col>63</xdr:col>
      <xdr:colOff>251987</xdr:colOff>
      <xdr:row>73</xdr:row>
      <xdr:rowOff>12700</xdr:rowOff>
    </xdr:to>
    <xdr:pic>
      <xdr:nvPicPr>
        <xdr:cNvPr id="15" name="Picture 1016">
          <a:extLst>
            <a:ext uri="{FF2B5EF4-FFF2-40B4-BE49-F238E27FC236}">
              <a16:creationId xmlns:a16="http://schemas.microsoft.com/office/drawing/2014/main" id="{00000000-0008-0000-0300-00000F000000}"/>
            </a:ext>
          </a:extLst>
        </xdr:cNvPr>
        <xdr:cNvPicPr>
          <a:picLocks noRot="1" noChangeAspect="1" noChangeArrowheads="1"/>
        </xdr:cNvPicPr>
      </xdr:nvPicPr>
      <xdr:blipFill>
        <a:blip xmlns:r="http://schemas.openxmlformats.org/officeDocument/2006/relationships" r:embed="rId2" cstate="screen"/>
        <a:srcRect/>
        <a:stretch>
          <a:fillRect/>
        </a:stretch>
      </xdr:blipFill>
      <xdr:spPr>
        <a:xfrm>
          <a:off x="22352000" y="10541000"/>
          <a:ext cx="4214387" cy="3060700"/>
        </a:xfrm>
        <a:prstGeom prst="rect">
          <a:avLst/>
        </a:prstGeom>
        <a:noFill/>
        <a:ln w="9525">
          <a:noFill/>
          <a:miter lim="800000"/>
          <a:headEnd/>
          <a:tailEnd/>
        </a:ln>
      </xdr:spPr>
    </xdr:pic>
    <xdr:clientData/>
  </xdr:twoCellAnchor>
  <xdr:twoCellAnchor>
    <xdr:from>
      <xdr:col>27</xdr:col>
      <xdr:colOff>0</xdr:colOff>
      <xdr:row>5</xdr:row>
      <xdr:rowOff>114300</xdr:rowOff>
    </xdr:from>
    <xdr:to>
      <xdr:col>64</xdr:col>
      <xdr:colOff>266700</xdr:colOff>
      <xdr:row>8</xdr:row>
      <xdr:rowOff>132095</xdr:rowOff>
    </xdr:to>
    <xdr:pic>
      <xdr:nvPicPr>
        <xdr:cNvPr id="16" name="Picture 206">
          <a:extLst>
            <a:ext uri="{FF2B5EF4-FFF2-40B4-BE49-F238E27FC236}">
              <a16:creationId xmlns:a16="http://schemas.microsoft.com/office/drawing/2014/main" id="{00000000-0008-0000-0300-000010000000}"/>
            </a:ext>
          </a:extLst>
        </xdr:cNvPr>
        <xdr:cNvPicPr>
          <a:picLocks noRot="1" noChangeAspect="1" noChangeArrowheads="1"/>
        </xdr:cNvPicPr>
      </xdr:nvPicPr>
      <xdr:blipFill>
        <a:blip xmlns:r="http://schemas.openxmlformats.org/officeDocument/2006/relationships" r:embed="rId3" cstate="print"/>
        <a:srcRect l="310"/>
        <a:stretch>
          <a:fillRect/>
        </a:stretch>
      </xdr:blipFill>
      <xdr:spPr>
        <a:xfrm>
          <a:off x="20840700" y="1066800"/>
          <a:ext cx="5511800" cy="589295"/>
        </a:xfrm>
        <a:prstGeom prst="rect">
          <a:avLst/>
        </a:prstGeom>
        <a:noFill/>
        <a:ln w="9525">
          <a:noFill/>
          <a:miter lim="800000"/>
          <a:headEnd/>
          <a:tailEnd/>
        </a:ln>
      </xdr:spPr>
    </xdr:pic>
    <xdr:clientData/>
  </xdr:twoCellAnchor>
  <xdr:twoCellAnchor>
    <xdr:from>
      <xdr:col>6</xdr:col>
      <xdr:colOff>21685</xdr:colOff>
      <xdr:row>153</xdr:row>
      <xdr:rowOff>2664</xdr:rowOff>
    </xdr:from>
    <xdr:to>
      <xdr:col>6</xdr:col>
      <xdr:colOff>200022</xdr:colOff>
      <xdr:row>165</xdr:row>
      <xdr:rowOff>177577</xdr:rowOff>
    </xdr:to>
    <xdr:sp macro="" textlink="">
      <xdr:nvSpPr>
        <xdr:cNvPr id="18" name="Right Brace 17">
          <a:extLst>
            <a:ext uri="{FF2B5EF4-FFF2-40B4-BE49-F238E27FC236}">
              <a16:creationId xmlns:a16="http://schemas.microsoft.com/office/drawing/2014/main" id="{00000000-0008-0000-0300-000012000000}"/>
            </a:ext>
          </a:extLst>
        </xdr:cNvPr>
        <xdr:cNvSpPr/>
      </xdr:nvSpPr>
      <xdr:spPr>
        <a:xfrm>
          <a:off x="5876385" y="26405964"/>
          <a:ext cx="178337" cy="2308513"/>
        </a:xfrm>
        <a:prstGeom prst="rightBrace">
          <a:avLst>
            <a:gd name="adj1" fmla="val 25980"/>
            <a:gd name="adj2" fmla="val 50117"/>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xdr:from>
      <xdr:col>9</xdr:col>
      <xdr:colOff>30409</xdr:colOff>
      <xdr:row>4</xdr:row>
      <xdr:rowOff>7222</xdr:rowOff>
    </xdr:from>
    <xdr:to>
      <xdr:col>9</xdr:col>
      <xdr:colOff>106009</xdr:colOff>
      <xdr:row>5</xdr:row>
      <xdr:rowOff>207885</xdr:rowOff>
    </xdr:to>
    <xdr:sp macro="" textlink="">
      <xdr:nvSpPr>
        <xdr:cNvPr id="19" name="Right Brace 18">
          <a:extLst>
            <a:ext uri="{FF2B5EF4-FFF2-40B4-BE49-F238E27FC236}">
              <a16:creationId xmlns:a16="http://schemas.microsoft.com/office/drawing/2014/main" id="{00000000-0008-0000-0300-000013000000}"/>
            </a:ext>
          </a:extLst>
        </xdr:cNvPr>
        <xdr:cNvSpPr/>
      </xdr:nvSpPr>
      <xdr:spPr>
        <a:xfrm>
          <a:off x="11602720" y="768985"/>
          <a:ext cx="75565" cy="374015"/>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latin typeface="Times New Roman" panose="02020603050405020304" pitchFamily="18" charset="0"/>
            <a:cs typeface="Times New Roman" panose="02020603050405020304" pitchFamily="18" charset="0"/>
          </a:endParaRPr>
        </a:p>
      </xdr:txBody>
    </xdr:sp>
    <xdr:clientData fLocksWithSheet="0"/>
  </xdr:twoCellAnchor>
  <xdr:twoCellAnchor>
    <xdr:from>
      <xdr:col>61</xdr:col>
      <xdr:colOff>0</xdr:colOff>
      <xdr:row>2</xdr:row>
      <xdr:rowOff>144097</xdr:rowOff>
    </xdr:from>
    <xdr:to>
      <xdr:col>61</xdr:col>
      <xdr:colOff>42337</xdr:colOff>
      <xdr:row>3</xdr:row>
      <xdr:rowOff>142116</xdr:rowOff>
    </xdr:to>
    <xdr:sp macro="" textlink="">
      <xdr:nvSpPr>
        <xdr:cNvPr id="20" name="Text Box 1404">
          <a:extLst>
            <a:ext uri="{FF2B5EF4-FFF2-40B4-BE49-F238E27FC236}">
              <a16:creationId xmlns:a16="http://schemas.microsoft.com/office/drawing/2014/main" id="{00000000-0008-0000-0300-000014000000}"/>
            </a:ext>
          </a:extLst>
        </xdr:cNvPr>
        <xdr:cNvSpPr txBox="1">
          <a:spLocks noChangeArrowheads="1"/>
        </xdr:cNvSpPr>
      </xdr:nvSpPr>
      <xdr:spPr>
        <a:xfrm>
          <a:off x="24326850" y="534035"/>
          <a:ext cx="41910" cy="179070"/>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15</xdr:col>
      <xdr:colOff>519340</xdr:colOff>
      <xdr:row>69</xdr:row>
      <xdr:rowOff>47625</xdr:rowOff>
    </xdr:from>
    <xdr:to>
      <xdr:col>17</xdr:col>
      <xdr:colOff>596901</xdr:colOff>
      <xdr:row>76</xdr:row>
      <xdr:rowOff>70159</xdr:rowOff>
    </xdr:to>
    <xdr:pic>
      <xdr:nvPicPr>
        <xdr:cNvPr id="21" name="Picture 20" descr="61CSXuScnaL._SL1000_ copy.jpg">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 cstate="print"/>
        <a:stretch>
          <a:fillRect/>
        </a:stretch>
      </xdr:blipFill>
      <xdr:spPr>
        <a:xfrm>
          <a:off x="13765440" y="12925425"/>
          <a:ext cx="1372961" cy="1267134"/>
        </a:xfrm>
        <a:prstGeom prst="rect">
          <a:avLst/>
        </a:prstGeom>
      </xdr:spPr>
    </xdr:pic>
    <xdr:clientData/>
  </xdr:twoCellAnchor>
  <xdr:twoCellAnchor editAs="oneCell">
    <xdr:from>
      <xdr:col>7</xdr:col>
      <xdr:colOff>904414</xdr:colOff>
      <xdr:row>18</xdr:row>
      <xdr:rowOff>0</xdr:rowOff>
    </xdr:from>
    <xdr:to>
      <xdr:col>7</xdr:col>
      <xdr:colOff>1762006</xdr:colOff>
      <xdr:row>21</xdr:row>
      <xdr:rowOff>2596</xdr:rowOff>
    </xdr:to>
    <xdr:pic>
      <xdr:nvPicPr>
        <xdr:cNvPr id="10" name="Picture 9" descr="hops2a.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7447915" y="3286125"/>
          <a:ext cx="857250" cy="538480"/>
        </a:xfrm>
        <a:prstGeom prst="rect">
          <a:avLst/>
        </a:prstGeom>
      </xdr:spPr>
    </xdr:pic>
    <xdr:clientData/>
  </xdr:twoCellAnchor>
  <xdr:twoCellAnchor>
    <xdr:from>
      <xdr:col>1</xdr:col>
      <xdr:colOff>66222</xdr:colOff>
      <xdr:row>80</xdr:row>
      <xdr:rowOff>170542</xdr:rowOff>
    </xdr:from>
    <xdr:to>
      <xdr:col>54</xdr:col>
      <xdr:colOff>225879</xdr:colOff>
      <xdr:row>106</xdr:row>
      <xdr:rowOff>157842</xdr:rowOff>
    </xdr:to>
    <xdr:sp macro="" textlink="" fLocksText="0">
      <xdr:nvSpPr>
        <xdr:cNvPr id="13" name="Text Box 246">
          <a:extLst>
            <a:ext uri="{FF2B5EF4-FFF2-40B4-BE49-F238E27FC236}">
              <a16:creationId xmlns:a16="http://schemas.microsoft.com/office/drawing/2014/main" id="{00000000-0008-0000-0300-00000D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294822" y="15004142"/>
          <a:ext cx="21292457" cy="4597400"/>
        </a:xfrm>
        <a:prstGeom prst="rect">
          <a:avLst/>
        </a:prstGeom>
        <a:solidFill>
          <a:srgbClr val="FFFFFF"/>
        </a:solidFill>
        <a:ln w="9525" cap="flat">
          <a:solidFill>
            <a:srgbClr val="000000"/>
          </a:solidFill>
          <a:prstDash val="solid"/>
          <a:headEnd type="none" w="med" len="med"/>
          <a:tailEnd type="none" w="med" len="med"/>
        </a:ln>
        <a:effectLst/>
      </xdr:spPr>
      <xdr:txBody>
        <a:bodyPr anchor="t"/>
        <a:lstStyle/>
        <a:p>
          <a:r>
            <a:rPr lang="en-GB" sz="1400" i="0">
              <a:latin typeface="Times New Roman" pitchFamily="18" charset="0"/>
              <a:cs typeface="Times New Roman" pitchFamily="18" charset="0"/>
            </a:rPr>
            <a:t>Notes!</a:t>
          </a:r>
        </a:p>
        <a:p>
          <a:endParaRPr lang="en-GB" sz="3600" i="1">
            <a:latin typeface="Times New Roman" pitchFamily="18" charset="0"/>
            <a:cs typeface="Times New Roman" pitchFamily="18" charset="0"/>
          </a:endParaRPr>
        </a:p>
      </xdr:txBody>
    </xdr:sp>
    <xdr:clientData/>
  </xdr:twoCellAnchor>
  <xdr:twoCellAnchor>
    <xdr:from>
      <xdr:col>61</xdr:col>
      <xdr:colOff>0</xdr:colOff>
      <xdr:row>2</xdr:row>
      <xdr:rowOff>144097</xdr:rowOff>
    </xdr:from>
    <xdr:to>
      <xdr:col>61</xdr:col>
      <xdr:colOff>42337</xdr:colOff>
      <xdr:row>3</xdr:row>
      <xdr:rowOff>142116</xdr:rowOff>
    </xdr:to>
    <xdr:sp macro="" textlink="">
      <xdr:nvSpPr>
        <xdr:cNvPr id="12" name="Text Box 1404">
          <a:extLst>
            <a:ext uri="{FF2B5EF4-FFF2-40B4-BE49-F238E27FC236}">
              <a16:creationId xmlns:a16="http://schemas.microsoft.com/office/drawing/2014/main" id="{00000000-0008-0000-0300-00000C000000}"/>
            </a:ext>
          </a:extLst>
        </xdr:cNvPr>
        <xdr:cNvSpPr txBox="1">
          <a:spLocks noChangeArrowheads="1"/>
        </xdr:cNvSpPr>
      </xdr:nvSpPr>
      <xdr:spPr>
        <a:xfrm>
          <a:off x="25768300" y="817197"/>
          <a:ext cx="42337" cy="201219"/>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480645</xdr:colOff>
      <xdr:row>2</xdr:row>
      <xdr:rowOff>168992</xdr:rowOff>
    </xdr:from>
    <xdr:to>
      <xdr:col>41</xdr:col>
      <xdr:colOff>653413</xdr:colOff>
      <xdr:row>20</xdr:row>
      <xdr:rowOff>1270</xdr:rowOff>
    </xdr:to>
    <xdr:pic>
      <xdr:nvPicPr>
        <xdr:cNvPr id="3" name="Picture 23">
          <a:extLst>
            <a:ext uri="{FF2B5EF4-FFF2-40B4-BE49-F238E27FC236}">
              <a16:creationId xmlns:a16="http://schemas.microsoft.com/office/drawing/2014/main" id="{00000000-0008-0000-0400-000003000000}"/>
            </a:ext>
          </a:extLst>
        </xdr:cNvPr>
        <xdr:cNvPicPr>
          <a:picLocks noRot="1" noChangeAspect="1" noChangeArrowheads="1"/>
        </xdr:cNvPicPr>
      </xdr:nvPicPr>
      <xdr:blipFill>
        <a:blip xmlns:r="http://schemas.openxmlformats.org/officeDocument/2006/relationships" r:embed="rId1" cstate="screen"/>
        <a:srcRect/>
        <a:stretch>
          <a:fillRect/>
        </a:stretch>
      </xdr:blipFill>
      <xdr:spPr>
        <a:xfrm>
          <a:off x="15837876" y="966161"/>
          <a:ext cx="5237137" cy="3009232"/>
        </a:xfrm>
        <a:prstGeom prst="rect">
          <a:avLst/>
        </a:prstGeom>
        <a:noFill/>
        <a:ln w="9525">
          <a:noFill/>
          <a:miter lim="800000"/>
          <a:headEnd/>
          <a:tailEnd/>
        </a:ln>
      </xdr:spPr>
    </xdr:pic>
    <xdr:clientData/>
  </xdr:twoCellAnchor>
  <xdr:twoCellAnchor>
    <xdr:from>
      <xdr:col>54</xdr:col>
      <xdr:colOff>0</xdr:colOff>
      <xdr:row>5</xdr:row>
      <xdr:rowOff>144097</xdr:rowOff>
    </xdr:from>
    <xdr:to>
      <xdr:col>54</xdr:col>
      <xdr:colOff>42337</xdr:colOff>
      <xdr:row>6</xdr:row>
      <xdr:rowOff>142116</xdr:rowOff>
    </xdr:to>
    <xdr:sp macro="" textlink="">
      <xdr:nvSpPr>
        <xdr:cNvPr id="6" name="Text Box 1404">
          <a:extLst>
            <a:ext uri="{FF2B5EF4-FFF2-40B4-BE49-F238E27FC236}">
              <a16:creationId xmlns:a16="http://schemas.microsoft.com/office/drawing/2014/main" id="{00000000-0008-0000-0400-000006000000}"/>
            </a:ext>
          </a:extLst>
        </xdr:cNvPr>
        <xdr:cNvSpPr txBox="1">
          <a:spLocks noChangeArrowheads="1"/>
        </xdr:cNvSpPr>
      </xdr:nvSpPr>
      <xdr:spPr>
        <a:xfrm>
          <a:off x="38871525" y="838835"/>
          <a:ext cx="41910" cy="188595"/>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1</xdr:col>
      <xdr:colOff>473860</xdr:colOff>
      <xdr:row>75</xdr:row>
      <xdr:rowOff>56807</xdr:rowOff>
    </xdr:from>
    <xdr:to>
      <xdr:col>1</xdr:col>
      <xdr:colOff>2609994</xdr:colOff>
      <xdr:row>83</xdr:row>
      <xdr:rowOff>161534</xdr:rowOff>
    </xdr:to>
    <xdr:pic>
      <xdr:nvPicPr>
        <xdr:cNvPr id="8" name="Picture 7" descr="monster3.pn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stretch>
          <a:fillRect/>
        </a:stretch>
      </xdr:blipFill>
      <xdr:spPr>
        <a:xfrm>
          <a:off x="727860" y="14280807"/>
          <a:ext cx="2136134" cy="162872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39600</xdr:colOff>
      <xdr:row>3</xdr:row>
      <xdr:rowOff>2080</xdr:rowOff>
    </xdr:from>
    <xdr:to>
      <xdr:col>8</xdr:col>
      <xdr:colOff>111600</xdr:colOff>
      <xdr:row>5</xdr:row>
      <xdr:rowOff>11380</xdr:rowOff>
    </xdr:to>
    <xdr:sp macro="" textlink="">
      <xdr:nvSpPr>
        <xdr:cNvPr id="9" name="Right Brace 8">
          <a:extLst>
            <a:ext uri="{FF2B5EF4-FFF2-40B4-BE49-F238E27FC236}">
              <a16:creationId xmlns:a16="http://schemas.microsoft.com/office/drawing/2014/main" id="{00000000-0008-0000-0400-000009000000}"/>
            </a:ext>
          </a:extLst>
        </xdr:cNvPr>
        <xdr:cNvSpPr/>
      </xdr:nvSpPr>
      <xdr:spPr>
        <a:xfrm>
          <a:off x="8488045" y="506730"/>
          <a:ext cx="71755" cy="389890"/>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latin typeface="Times New Roman" panose="02020603050405020304" pitchFamily="18" charset="0"/>
            <a:cs typeface="Times New Roman" panose="02020603050405020304" pitchFamily="18" charset="0"/>
          </a:endParaRPr>
        </a:p>
      </xdr:txBody>
    </xdr:sp>
    <xdr:clientData fLocksWithSheet="0"/>
  </xdr:twoCellAnchor>
  <xdr:twoCellAnchor>
    <xdr:from>
      <xdr:col>50</xdr:col>
      <xdr:colOff>0</xdr:colOff>
      <xdr:row>0</xdr:row>
      <xdr:rowOff>144097</xdr:rowOff>
    </xdr:from>
    <xdr:to>
      <xdr:col>50</xdr:col>
      <xdr:colOff>42337</xdr:colOff>
      <xdr:row>0</xdr:row>
      <xdr:rowOff>144097</xdr:rowOff>
    </xdr:to>
    <xdr:sp macro="" textlink="">
      <xdr:nvSpPr>
        <xdr:cNvPr id="100" name="Text Box 1404">
          <a:extLst>
            <a:ext uri="{FF2B5EF4-FFF2-40B4-BE49-F238E27FC236}">
              <a16:creationId xmlns:a16="http://schemas.microsoft.com/office/drawing/2014/main" id="{00000000-0008-0000-0400-000064000000}"/>
            </a:ext>
          </a:extLst>
        </xdr:cNvPr>
        <xdr:cNvSpPr txBox="1">
          <a:spLocks noChangeArrowheads="1"/>
        </xdr:cNvSpPr>
      </xdr:nvSpPr>
      <xdr:spPr>
        <a:xfrm>
          <a:off x="37976175" y="143510"/>
          <a:ext cx="41910" cy="0"/>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45</xdr:col>
      <xdr:colOff>0</xdr:colOff>
      <xdr:row>73</xdr:row>
      <xdr:rowOff>144097</xdr:rowOff>
    </xdr:from>
    <xdr:to>
      <xdr:col>45</xdr:col>
      <xdr:colOff>42337</xdr:colOff>
      <xdr:row>74</xdr:row>
      <xdr:rowOff>142116</xdr:rowOff>
    </xdr:to>
    <xdr:sp macro="" textlink="">
      <xdr:nvSpPr>
        <xdr:cNvPr id="101" name="Text Box 1404">
          <a:extLst>
            <a:ext uri="{FF2B5EF4-FFF2-40B4-BE49-F238E27FC236}">
              <a16:creationId xmlns:a16="http://schemas.microsoft.com/office/drawing/2014/main" id="{00000000-0008-0000-0400-000065000000}"/>
            </a:ext>
          </a:extLst>
        </xdr:cNvPr>
        <xdr:cNvSpPr txBox="1">
          <a:spLocks noChangeArrowheads="1"/>
        </xdr:cNvSpPr>
      </xdr:nvSpPr>
      <xdr:spPr>
        <a:xfrm>
          <a:off x="35309175" y="13983335"/>
          <a:ext cx="41910" cy="188595"/>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45</xdr:col>
      <xdr:colOff>0</xdr:colOff>
      <xdr:row>73</xdr:row>
      <xdr:rowOff>144097</xdr:rowOff>
    </xdr:from>
    <xdr:to>
      <xdr:col>45</xdr:col>
      <xdr:colOff>42337</xdr:colOff>
      <xdr:row>74</xdr:row>
      <xdr:rowOff>142116</xdr:rowOff>
    </xdr:to>
    <xdr:sp macro="" textlink="">
      <xdr:nvSpPr>
        <xdr:cNvPr id="103" name="Text Box 1404">
          <a:extLst>
            <a:ext uri="{FF2B5EF4-FFF2-40B4-BE49-F238E27FC236}">
              <a16:creationId xmlns:a16="http://schemas.microsoft.com/office/drawing/2014/main" id="{00000000-0008-0000-0400-000067000000}"/>
            </a:ext>
          </a:extLst>
        </xdr:cNvPr>
        <xdr:cNvSpPr txBox="1">
          <a:spLocks noChangeArrowheads="1"/>
        </xdr:cNvSpPr>
      </xdr:nvSpPr>
      <xdr:spPr>
        <a:xfrm>
          <a:off x="35309175" y="13983335"/>
          <a:ext cx="41910" cy="188595"/>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editAs="oneCell">
    <xdr:from>
      <xdr:col>6</xdr:col>
      <xdr:colOff>869901</xdr:colOff>
      <xdr:row>20</xdr:row>
      <xdr:rowOff>16941</xdr:rowOff>
    </xdr:from>
    <xdr:to>
      <xdr:col>6</xdr:col>
      <xdr:colOff>1721048</xdr:colOff>
      <xdr:row>23</xdr:row>
      <xdr:rowOff>4023</xdr:rowOff>
    </xdr:to>
    <xdr:pic>
      <xdr:nvPicPr>
        <xdr:cNvPr id="141" name="Picture 140" descr="hops2.jpg">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3" cstate="print"/>
        <a:stretch>
          <a:fillRect/>
        </a:stretch>
      </xdr:blipFill>
      <xdr:spPr>
        <a:xfrm>
          <a:off x="6902401" y="3763441"/>
          <a:ext cx="851743" cy="558582"/>
        </a:xfrm>
        <a:prstGeom prst="rect">
          <a:avLst/>
        </a:prstGeom>
      </xdr:spPr>
    </xdr:pic>
    <xdr:clientData/>
  </xdr:twoCellAnchor>
  <xdr:twoCellAnchor editAs="oneCell">
    <xdr:from>
      <xdr:col>16</xdr:col>
      <xdr:colOff>78569</xdr:colOff>
      <xdr:row>70</xdr:row>
      <xdr:rowOff>182349</xdr:rowOff>
    </xdr:from>
    <xdr:to>
      <xdr:col>17</xdr:col>
      <xdr:colOff>668986</xdr:colOff>
      <xdr:row>85</xdr:row>
      <xdr:rowOff>35775</xdr:rowOff>
    </xdr:to>
    <xdr:pic>
      <xdr:nvPicPr>
        <xdr:cNvPr id="220" name="Picture 219" descr="get-image-m1.jpg">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4" cstate="print"/>
        <a:srcRect l="7285" t="2298" r="7947" b="2105"/>
        <a:stretch>
          <a:fillRect/>
        </a:stretch>
      </xdr:blipFill>
      <xdr:spPr>
        <a:xfrm>
          <a:off x="14696090" y="13615729"/>
          <a:ext cx="1305910" cy="2697511"/>
        </a:xfrm>
        <a:prstGeom prst="rect">
          <a:avLst/>
        </a:prstGeom>
      </xdr:spPr>
    </xdr:pic>
    <xdr:clientData/>
  </xdr:twoCellAnchor>
  <xdr:twoCellAnchor>
    <xdr:from>
      <xdr:col>15</xdr:col>
      <xdr:colOff>0</xdr:colOff>
      <xdr:row>99</xdr:row>
      <xdr:rowOff>82062</xdr:rowOff>
    </xdr:from>
    <xdr:to>
      <xdr:col>40</xdr:col>
      <xdr:colOff>304800</xdr:colOff>
      <xdr:row>119</xdr:row>
      <xdr:rowOff>38100</xdr:rowOff>
    </xdr:to>
    <xdr:pic>
      <xdr:nvPicPr>
        <xdr:cNvPr id="221" name="Picture 1016">
          <a:extLst>
            <a:ext uri="{FF2B5EF4-FFF2-40B4-BE49-F238E27FC236}">
              <a16:creationId xmlns:a16="http://schemas.microsoft.com/office/drawing/2014/main" id="{00000000-0008-0000-0400-0000DD000000}"/>
            </a:ext>
          </a:extLst>
        </xdr:cNvPr>
        <xdr:cNvPicPr>
          <a:picLocks noRot="1" noChangeAspect="1" noChangeArrowheads="1"/>
        </xdr:cNvPicPr>
      </xdr:nvPicPr>
      <xdr:blipFill>
        <a:blip xmlns:r="http://schemas.openxmlformats.org/officeDocument/2006/relationships" r:embed="rId5" cstate="screen"/>
        <a:srcRect/>
        <a:stretch>
          <a:fillRect/>
        </a:stretch>
      </xdr:blipFill>
      <xdr:spPr>
        <a:xfrm>
          <a:off x="13927015" y="18862431"/>
          <a:ext cx="6084277" cy="3965331"/>
        </a:xfrm>
        <a:prstGeom prst="rect">
          <a:avLst/>
        </a:prstGeom>
        <a:noFill/>
        <a:ln w="9525">
          <a:noFill/>
          <a:miter lim="800000"/>
          <a:headEnd/>
          <a:tailEnd/>
        </a:ln>
      </xdr:spPr>
    </xdr:pic>
    <xdr:clientData/>
  </xdr:twoCellAnchor>
  <xdr:twoCellAnchor>
    <xdr:from>
      <xdr:col>54</xdr:col>
      <xdr:colOff>0</xdr:colOff>
      <xdr:row>5</xdr:row>
      <xdr:rowOff>144145</xdr:rowOff>
    </xdr:from>
    <xdr:to>
      <xdr:col>54</xdr:col>
      <xdr:colOff>42545</xdr:colOff>
      <xdr:row>6</xdr:row>
      <xdr:rowOff>142240</xdr:rowOff>
    </xdr:to>
    <xdr:sp macro="" textlink="">
      <xdr:nvSpPr>
        <xdr:cNvPr id="23" name="Text Box 1404">
          <a:extLst>
            <a:ext uri="{FF2B5EF4-FFF2-40B4-BE49-F238E27FC236}">
              <a16:creationId xmlns:a16="http://schemas.microsoft.com/office/drawing/2014/main" id="{00000000-0008-0000-0400-000017000000}"/>
            </a:ext>
          </a:extLst>
        </xdr:cNvPr>
        <xdr:cNvSpPr/>
      </xdr:nvSpPr>
      <xdr:spPr>
        <a:xfrm>
          <a:off x="26508075" y="839470"/>
          <a:ext cx="42545" cy="188595"/>
        </a:xfrm>
        <a:prstGeom prst="rect">
          <a:avLst/>
        </a:prstGeom>
        <a:noFill/>
        <a:ln w="12700" cap="flat">
          <a:noFill/>
          <a:prstDash val="solid"/>
          <a:headEnd type="none" w="med" len="med"/>
          <a:tailEnd type="none" w="med" len="med"/>
        </a:ln>
        <a:effectLst/>
      </xdr:spPr>
      <xdr:txBody>
        <a:bodyPr spcFirstLastPara="1" vertOverflow="clip" horzOverflow="clip" wrap="square" lIns="0" tIns="0" rIns="0" bIns="0" anchor="t" upright="1"/>
        <a:lstStyle/>
        <a:p>
          <a:pPr algn="l" defTabSz="360045" rtl="0">
            <a:defRPr sz="1000"/>
          </a:pPr>
          <a:endParaRPr/>
        </a:p>
      </xdr:txBody>
    </xdr:sp>
    <xdr:clientData/>
  </xdr:twoCellAnchor>
  <xdr:twoCellAnchor>
    <xdr:from>
      <xdr:col>39</xdr:col>
      <xdr:colOff>660400</xdr:colOff>
      <xdr:row>24</xdr:row>
      <xdr:rowOff>0</xdr:rowOff>
    </xdr:from>
    <xdr:to>
      <xdr:col>50</xdr:col>
      <xdr:colOff>571500</xdr:colOff>
      <xdr:row>27</xdr:row>
      <xdr:rowOff>140747</xdr:rowOff>
    </xdr:to>
    <xdr:pic>
      <xdr:nvPicPr>
        <xdr:cNvPr id="25" name="Picture 206">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 cstate="print"/>
        <a:stretch>
          <a:fillRect/>
        </a:stretch>
      </xdr:blipFill>
      <xdr:spPr>
        <a:xfrm>
          <a:off x="19177000" y="4711700"/>
          <a:ext cx="7531100" cy="712247"/>
        </a:xfrm>
        <a:prstGeom prst="rect">
          <a:avLst/>
        </a:prstGeom>
        <a:noFill/>
        <a:ln w="12700" cap="flat">
          <a:noFill/>
          <a:prstDash val="solid"/>
          <a:headEnd type="none" w="med" len="med"/>
          <a:tailEnd type="none" w="med" len="med"/>
        </a:ln>
        <a:effectLst/>
      </xdr:spPr>
    </xdr:pic>
    <xdr:clientData/>
  </xdr:twoCellAnchor>
  <xdr:twoCellAnchor>
    <xdr:from>
      <xdr:col>55</xdr:col>
      <xdr:colOff>0</xdr:colOff>
      <xdr:row>33</xdr:row>
      <xdr:rowOff>25400</xdr:rowOff>
    </xdr:from>
    <xdr:to>
      <xdr:col>71</xdr:col>
      <xdr:colOff>0</xdr:colOff>
      <xdr:row>59</xdr:row>
      <xdr:rowOff>165100</xdr:rowOff>
    </xdr:to>
    <xdr:graphicFrame macro="">
      <xdr:nvGraphicFramePr>
        <xdr:cNvPr id="20" name="Chart 17">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73</xdr:row>
      <xdr:rowOff>144097</xdr:rowOff>
    </xdr:from>
    <xdr:to>
      <xdr:col>45</xdr:col>
      <xdr:colOff>42337</xdr:colOff>
      <xdr:row>74</xdr:row>
      <xdr:rowOff>142116</xdr:rowOff>
    </xdr:to>
    <xdr:sp macro="" textlink="">
      <xdr:nvSpPr>
        <xdr:cNvPr id="38" name="Text Box 1404">
          <a:extLst>
            <a:ext uri="{FF2B5EF4-FFF2-40B4-BE49-F238E27FC236}">
              <a16:creationId xmlns:a16="http://schemas.microsoft.com/office/drawing/2014/main" id="{00000000-0008-0000-0400-000026000000}"/>
            </a:ext>
          </a:extLst>
        </xdr:cNvPr>
        <xdr:cNvSpPr txBox="1">
          <a:spLocks noChangeArrowheads="1"/>
        </xdr:cNvSpPr>
      </xdr:nvSpPr>
      <xdr:spPr>
        <a:xfrm>
          <a:off x="30718125" y="14169660"/>
          <a:ext cx="42337" cy="188519"/>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45</xdr:col>
      <xdr:colOff>0</xdr:colOff>
      <xdr:row>73</xdr:row>
      <xdr:rowOff>144097</xdr:rowOff>
    </xdr:from>
    <xdr:to>
      <xdr:col>45</xdr:col>
      <xdr:colOff>42337</xdr:colOff>
      <xdr:row>74</xdr:row>
      <xdr:rowOff>142116</xdr:rowOff>
    </xdr:to>
    <xdr:sp macro="" textlink="">
      <xdr:nvSpPr>
        <xdr:cNvPr id="39" name="Text Box 1404">
          <a:extLst>
            <a:ext uri="{FF2B5EF4-FFF2-40B4-BE49-F238E27FC236}">
              <a16:creationId xmlns:a16="http://schemas.microsoft.com/office/drawing/2014/main" id="{00000000-0008-0000-0400-000027000000}"/>
            </a:ext>
          </a:extLst>
        </xdr:cNvPr>
        <xdr:cNvSpPr txBox="1">
          <a:spLocks noChangeArrowheads="1"/>
        </xdr:cNvSpPr>
      </xdr:nvSpPr>
      <xdr:spPr>
        <a:xfrm>
          <a:off x="30718125" y="14169660"/>
          <a:ext cx="42337" cy="188519"/>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0</xdr:col>
      <xdr:colOff>38100</xdr:colOff>
      <xdr:row>85</xdr:row>
      <xdr:rowOff>38100</xdr:rowOff>
    </xdr:from>
    <xdr:to>
      <xdr:col>51</xdr:col>
      <xdr:colOff>0</xdr:colOff>
      <xdr:row>96</xdr:row>
      <xdr:rowOff>38100</xdr:rowOff>
    </xdr:to>
    <xdr:sp macro="" textlink="" fLocksText="0">
      <xdr:nvSpPr>
        <xdr:cNvPr id="18" name="Text Box 246">
          <a:extLst>
            <a:ext uri="{FF2B5EF4-FFF2-40B4-BE49-F238E27FC236}">
              <a16:creationId xmlns:a16="http://schemas.microsoft.com/office/drawing/2014/main" id="{00000000-0008-0000-0400-000012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38100" y="16421100"/>
          <a:ext cx="27381200" cy="2095500"/>
        </a:xfrm>
        <a:prstGeom prst="rect">
          <a:avLst/>
        </a:prstGeom>
        <a:solidFill>
          <a:srgbClr val="FFFFFF"/>
        </a:solidFill>
        <a:ln w="9525" cap="flat">
          <a:solidFill>
            <a:srgbClr val="000000"/>
          </a:solidFill>
          <a:prstDash val="solid"/>
          <a:headEnd type="none" w="med" len="med"/>
          <a:tailEnd type="none" w="med" len="med"/>
        </a:ln>
        <a:effectLst/>
      </xdr:spPr>
      <xdr:txBody>
        <a:bodyPr anchor="t"/>
        <a:lstStyle/>
        <a:p>
          <a:r>
            <a:rPr lang="en-GB" sz="1600" i="0">
              <a:latin typeface="Times New Roman" pitchFamily="18" charset="0"/>
              <a:cs typeface="Times New Roman" pitchFamily="18" charset="0"/>
            </a:rPr>
            <a:t>Notes!</a:t>
          </a:r>
        </a:p>
        <a:p>
          <a:endParaRPr lang="en-GB" sz="3600" i="1">
            <a:latin typeface="Times New Roman" pitchFamily="18" charset="0"/>
            <a:cs typeface="Times New Roman" pitchFamily="18" charset="0"/>
          </a:endParaRPr>
        </a:p>
      </xdr:txBody>
    </xdr:sp>
    <xdr:clientData/>
  </xdr:twoCellAnchor>
  <xdr:twoCellAnchor>
    <xdr:from>
      <xdr:col>49</xdr:col>
      <xdr:colOff>0</xdr:colOff>
      <xdr:row>1</xdr:row>
      <xdr:rowOff>144097</xdr:rowOff>
    </xdr:from>
    <xdr:to>
      <xdr:col>49</xdr:col>
      <xdr:colOff>42337</xdr:colOff>
      <xdr:row>2</xdr:row>
      <xdr:rowOff>142116</xdr:rowOff>
    </xdr:to>
    <xdr:sp macro="" textlink="">
      <xdr:nvSpPr>
        <xdr:cNvPr id="19" name="Text Box 1404">
          <a:extLst>
            <a:ext uri="{FF2B5EF4-FFF2-40B4-BE49-F238E27FC236}">
              <a16:creationId xmlns:a16="http://schemas.microsoft.com/office/drawing/2014/main" id="{00000000-0008-0000-0400-000013000000}"/>
            </a:ext>
          </a:extLst>
        </xdr:cNvPr>
        <xdr:cNvSpPr txBox="1">
          <a:spLocks noChangeArrowheads="1"/>
        </xdr:cNvSpPr>
      </xdr:nvSpPr>
      <xdr:spPr>
        <a:xfrm>
          <a:off x="25168860" y="814657"/>
          <a:ext cx="42337" cy="196139"/>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49</xdr:col>
      <xdr:colOff>0</xdr:colOff>
      <xdr:row>1</xdr:row>
      <xdr:rowOff>144097</xdr:rowOff>
    </xdr:from>
    <xdr:to>
      <xdr:col>49</xdr:col>
      <xdr:colOff>42337</xdr:colOff>
      <xdr:row>2</xdr:row>
      <xdr:rowOff>142116</xdr:rowOff>
    </xdr:to>
    <xdr:sp macro="" textlink="">
      <xdr:nvSpPr>
        <xdr:cNvPr id="21" name="Text Box 1404">
          <a:extLst>
            <a:ext uri="{FF2B5EF4-FFF2-40B4-BE49-F238E27FC236}">
              <a16:creationId xmlns:a16="http://schemas.microsoft.com/office/drawing/2014/main" id="{00000000-0008-0000-0400-000015000000}"/>
            </a:ext>
          </a:extLst>
        </xdr:cNvPr>
        <xdr:cNvSpPr txBox="1">
          <a:spLocks noChangeArrowheads="1"/>
        </xdr:cNvSpPr>
      </xdr:nvSpPr>
      <xdr:spPr>
        <a:xfrm>
          <a:off x="25168860" y="814657"/>
          <a:ext cx="42337" cy="196139"/>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0.87608</cdr:x>
      <cdr:y>0.76372</cdr:y>
    </cdr:from>
    <cdr:to>
      <cdr:x>0.99549</cdr:x>
      <cdr:y>0.90517</cdr:y>
    </cdr:to>
    <cdr:sp macro="" textlink="">
      <cdr:nvSpPr>
        <cdr:cNvPr id="2" name="Rectangles 1"/>
        <cdr:cNvSpPr/>
      </cdr:nvSpPr>
      <cdr:spPr>
        <a:xfrm xmlns:a="http://schemas.openxmlformats.org/drawingml/2006/main">
          <a:off x="6464300" y="3771552"/>
          <a:ext cx="881122" cy="698500"/>
        </a:xfrm>
        <a:prstGeom xmlns:a="http://schemas.openxmlformats.org/drawingml/2006/main" prst="rect">
          <a:avLst/>
        </a:prstGeom>
        <a:noFill xmlns:a="http://schemas.openxmlformats.org/drawingml/2006/main"/>
        <a:ln xmlns:a="http://schemas.openxmlformats.org/drawingml/2006/main" w="9525">
          <a:noFill/>
          <a:miter lim="800000"/>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1400" b="1" i="0" u="sng" strike="noStrike">
              <a:solidFill>
                <a:srgbClr val="FF0000"/>
              </a:solidFill>
              <a:latin typeface="Times New Roman" panose="02020603050405020304" pitchFamily="18" charset="0"/>
              <a:cs typeface="Times New Roman" panose="02020603050405020304" pitchFamily="18" charset="0"/>
            </a:rPr>
            <a:t>Hop Boil</a:t>
          </a:r>
        </a:p>
        <a:p xmlns:a="http://schemas.openxmlformats.org/drawingml/2006/main">
          <a:pPr algn="l" rtl="0">
            <a:defRPr sz="1000"/>
          </a:pPr>
          <a:r>
            <a:rPr lang="en-GB" sz="1400" b="1" i="0" u="sng" strike="noStrike">
              <a:solidFill>
                <a:srgbClr val="FF0000"/>
              </a:solidFill>
              <a:latin typeface="Times New Roman" panose="02020603050405020304" pitchFamily="18" charset="0"/>
              <a:cs typeface="Times New Roman" panose="02020603050405020304" pitchFamily="18" charset="0"/>
            </a:rPr>
            <a:t>Utilization </a:t>
          </a:r>
        </a:p>
        <a:p xmlns:a="http://schemas.openxmlformats.org/drawingml/2006/main">
          <a:pPr algn="l" rtl="0">
            <a:defRPr sz="1000"/>
          </a:pPr>
          <a:r>
            <a:rPr lang="en-GB" sz="1400" b="1" i="0" u="sng" strike="noStrike">
              <a:solidFill>
                <a:srgbClr val="FF0000"/>
              </a:solidFill>
              <a:latin typeface="Times New Roman" panose="02020603050405020304" pitchFamily="18" charset="0"/>
              <a:cs typeface="Times New Roman" panose="02020603050405020304" pitchFamily="18" charset="0"/>
            </a:rPr>
            <a:t>Chart</a:t>
          </a:r>
        </a:p>
        <a:p xmlns:a="http://schemas.openxmlformats.org/drawingml/2006/main">
          <a:pPr algn="ctr" rtl="0">
            <a:defRPr sz="1000"/>
          </a:pPr>
          <a:endParaRPr lang="en-GB" sz="1100" b="1" i="0" strike="noStrike">
            <a:solidFill>
              <a:srgbClr val="000000"/>
            </a:solidFill>
            <a:latin typeface="Arial" panose="020B0604020202020204"/>
            <a:cs typeface="Arial" panose="020B0604020202020204"/>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44302</xdr:colOff>
      <xdr:row>2</xdr:row>
      <xdr:rowOff>2626</xdr:rowOff>
    </xdr:from>
    <xdr:to>
      <xdr:col>6</xdr:col>
      <xdr:colOff>116302</xdr:colOff>
      <xdr:row>4</xdr:row>
      <xdr:rowOff>3969</xdr:rowOff>
    </xdr:to>
    <xdr:sp macro="" textlink="">
      <xdr:nvSpPr>
        <xdr:cNvPr id="2" name="Right Brace 1">
          <a:extLst>
            <a:ext uri="{FF2B5EF4-FFF2-40B4-BE49-F238E27FC236}">
              <a16:creationId xmlns:a16="http://schemas.microsoft.com/office/drawing/2014/main" id="{00000000-0008-0000-0500-000002000000}"/>
            </a:ext>
          </a:extLst>
        </xdr:cNvPr>
        <xdr:cNvSpPr/>
      </xdr:nvSpPr>
      <xdr:spPr>
        <a:xfrm>
          <a:off x="7216140" y="574040"/>
          <a:ext cx="72390" cy="382270"/>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editAs="oneCell">
    <xdr:from>
      <xdr:col>17</xdr:col>
      <xdr:colOff>895715</xdr:colOff>
      <xdr:row>14</xdr:row>
      <xdr:rowOff>12701</xdr:rowOff>
    </xdr:from>
    <xdr:to>
      <xdr:col>25</xdr:col>
      <xdr:colOff>355601</xdr:colOff>
      <xdr:row>17</xdr:row>
      <xdr:rowOff>341</xdr:rowOff>
    </xdr:to>
    <xdr:pic>
      <xdr:nvPicPr>
        <xdr:cNvPr id="3" name="Picture 2" descr="primq.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8116915" y="2997201"/>
          <a:ext cx="5441586" cy="559140"/>
        </a:xfrm>
        <a:prstGeom prst="rect">
          <a:avLst/>
        </a:prstGeom>
      </xdr:spPr>
    </xdr:pic>
    <xdr:clientData/>
  </xdr:twoCellAnchor>
  <xdr:twoCellAnchor editAs="oneCell">
    <xdr:from>
      <xdr:col>4</xdr:col>
      <xdr:colOff>85073</xdr:colOff>
      <xdr:row>73</xdr:row>
      <xdr:rowOff>34605</xdr:rowOff>
    </xdr:from>
    <xdr:to>
      <xdr:col>4</xdr:col>
      <xdr:colOff>876547</xdr:colOff>
      <xdr:row>80</xdr:row>
      <xdr:rowOff>170212</xdr:rowOff>
    </xdr:to>
    <xdr:pic>
      <xdr:nvPicPr>
        <xdr:cNvPr id="5" name="Picture 4" descr="packshot_leffe_brune copy.jp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stretch>
          <a:fillRect/>
        </a:stretch>
      </xdr:blipFill>
      <xdr:spPr>
        <a:xfrm>
          <a:off x="5351780" y="14169390"/>
          <a:ext cx="791845" cy="1469390"/>
        </a:xfrm>
        <a:prstGeom prst="rect">
          <a:avLst/>
        </a:prstGeom>
      </xdr:spPr>
    </xdr:pic>
    <xdr:clientData/>
  </xdr:twoCellAnchor>
  <xdr:twoCellAnchor editAs="oneCell">
    <xdr:from>
      <xdr:col>23</xdr:col>
      <xdr:colOff>117515</xdr:colOff>
      <xdr:row>121</xdr:row>
      <xdr:rowOff>179366</xdr:rowOff>
    </xdr:from>
    <xdr:to>
      <xdr:col>24</xdr:col>
      <xdr:colOff>361822</xdr:colOff>
      <xdr:row>130</xdr:row>
      <xdr:rowOff>30924</xdr:rowOff>
    </xdr:to>
    <xdr:pic>
      <xdr:nvPicPr>
        <xdr:cNvPr id="7" name="Picture 6" descr="08'0.jp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stretch>
          <a:fillRect/>
        </a:stretch>
      </xdr:blipFill>
      <xdr:spPr>
        <a:xfrm>
          <a:off x="21948775" y="23458170"/>
          <a:ext cx="891540" cy="1565910"/>
        </a:xfrm>
        <a:prstGeom prst="rect">
          <a:avLst/>
        </a:prstGeom>
      </xdr:spPr>
    </xdr:pic>
    <xdr:clientData/>
  </xdr:twoCellAnchor>
  <xdr:twoCellAnchor>
    <xdr:from>
      <xdr:col>15</xdr:col>
      <xdr:colOff>38100</xdr:colOff>
      <xdr:row>30</xdr:row>
      <xdr:rowOff>88900</xdr:rowOff>
    </xdr:from>
    <xdr:to>
      <xdr:col>20</xdr:col>
      <xdr:colOff>63500</xdr:colOff>
      <xdr:row>68</xdr:row>
      <xdr:rowOff>12700</xdr:rowOff>
    </xdr:to>
    <xdr:sp macro="" textlink="" fLocksText="0">
      <xdr:nvSpPr>
        <xdr:cNvPr id="10" name="Text Box 246">
          <a:extLst>
            <a:ext uri="{FF2B5EF4-FFF2-40B4-BE49-F238E27FC236}">
              <a16:creationId xmlns:a16="http://schemas.microsoft.com/office/drawing/2014/main" id="{00000000-0008-0000-0500-00000A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15709900" y="6159500"/>
          <a:ext cx="4635500" cy="7162800"/>
        </a:xfrm>
        <a:prstGeom prst="rect">
          <a:avLst/>
        </a:prstGeom>
        <a:solidFill>
          <a:srgbClr val="FFFFFF"/>
        </a:solidFill>
        <a:ln w="9525" cap="flat">
          <a:solidFill>
            <a:srgbClr val="000000"/>
          </a:solidFill>
          <a:prstDash val="solid"/>
          <a:headEnd type="none" w="med" len="med"/>
          <a:tailEnd type="none" w="med" len="med"/>
        </a:ln>
        <a:effectLst/>
      </xdr:spPr>
      <xdr:txBody>
        <a:bodyPr/>
        <a:lstStyle/>
        <a:p>
          <a:endParaRPr lang="en-GB" sz="1400">
            <a:latin typeface="Times New Roman" pitchFamily="18" charset="0"/>
            <a:cs typeface="Times New Roman" pitchFamily="18" charset="0"/>
          </a:endParaRPr>
        </a:p>
      </xdr:txBody>
    </xdr:sp>
    <xdr:clientData/>
  </xdr:twoCellAnchor>
  <xdr:twoCellAnchor>
    <xdr:from>
      <xdr:col>17</xdr:col>
      <xdr:colOff>25400</xdr:colOff>
      <xdr:row>132</xdr:row>
      <xdr:rowOff>76200</xdr:rowOff>
    </xdr:from>
    <xdr:to>
      <xdr:col>24</xdr:col>
      <xdr:colOff>533400</xdr:colOff>
      <xdr:row>158</xdr:row>
      <xdr:rowOff>0</xdr:rowOff>
    </xdr:to>
    <xdr:sp macro="" textlink="" fLocksText="0">
      <xdr:nvSpPr>
        <xdr:cNvPr id="12" name="Text Box 246">
          <a:extLst>
            <a:ext uri="{FF2B5EF4-FFF2-40B4-BE49-F238E27FC236}">
              <a16:creationId xmlns:a16="http://schemas.microsoft.com/office/drawing/2014/main" id="{00000000-0008-0000-0500-00000C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17246600" y="25450800"/>
          <a:ext cx="5842000" cy="4876800"/>
        </a:xfrm>
        <a:prstGeom prst="rect">
          <a:avLst/>
        </a:prstGeom>
        <a:solidFill>
          <a:srgbClr val="FFFFFF"/>
        </a:solidFill>
        <a:ln w="9525" cap="flat">
          <a:solidFill>
            <a:srgbClr val="000000"/>
          </a:solidFill>
          <a:prstDash val="solid"/>
          <a:headEnd type="none" w="med" len="med"/>
          <a:tailEnd type="none" w="med" len="med"/>
        </a:ln>
        <a:effectLst/>
      </xdr:spPr>
      <xdr:txBody>
        <a:bodyPr/>
        <a:lstStyle/>
        <a:p>
          <a:endParaRPr lang="en-GB" sz="1400">
            <a:latin typeface="Times New Roman" pitchFamily="18" charset="0"/>
            <a:cs typeface="Times New Roman" pitchFamily="18" charset="0"/>
          </a:endParaRPr>
        </a:p>
      </xdr:txBody>
    </xdr:sp>
    <xdr:clientData/>
  </xdr:twoCellAnchor>
  <xdr:twoCellAnchor>
    <xdr:from>
      <xdr:col>13</xdr:col>
      <xdr:colOff>88900</xdr:colOff>
      <xdr:row>83</xdr:row>
      <xdr:rowOff>76200</xdr:rowOff>
    </xdr:from>
    <xdr:to>
      <xdr:col>24</xdr:col>
      <xdr:colOff>635000</xdr:colOff>
      <xdr:row>119</xdr:row>
      <xdr:rowOff>101600</xdr:rowOff>
    </xdr:to>
    <xdr:sp macro="" textlink="" fLocksText="0">
      <xdr:nvSpPr>
        <xdr:cNvPr id="9" name="Text Box 246">
          <a:extLst>
            <a:ext uri="{FF2B5EF4-FFF2-40B4-BE49-F238E27FC236}">
              <a16:creationId xmlns:a16="http://schemas.microsoft.com/office/drawing/2014/main" id="{00000000-0008-0000-0500-000009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13919200" y="16243300"/>
          <a:ext cx="9271000" cy="6883400"/>
        </a:xfrm>
        <a:prstGeom prst="rect">
          <a:avLst/>
        </a:prstGeom>
        <a:solidFill>
          <a:srgbClr val="FFFFFF"/>
        </a:solidFill>
        <a:ln w="9525" cap="flat">
          <a:solidFill>
            <a:srgbClr val="000000"/>
          </a:solidFill>
          <a:prstDash val="solid"/>
          <a:headEnd type="none" w="med" len="med"/>
          <a:tailEnd type="none" w="med" len="med"/>
        </a:ln>
        <a:effectLst/>
      </xdr:spPr>
      <xdr:txBody>
        <a:bodyPr anchor="t"/>
        <a:lstStyle/>
        <a:p>
          <a:r>
            <a:rPr lang="en-GB" sz="1400" i="0">
              <a:latin typeface="Times New Roman" pitchFamily="18" charset="0"/>
              <a:cs typeface="Times New Roman" pitchFamily="18" charset="0"/>
            </a:rPr>
            <a:t>Notes!</a:t>
          </a:r>
        </a:p>
        <a:p>
          <a:endParaRPr lang="en-GB" sz="3600" i="1">
            <a:latin typeface="Times New Roman" pitchFamily="18" charset="0"/>
            <a:cs typeface="Times New Roman"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49756</xdr:colOff>
      <xdr:row>83</xdr:row>
      <xdr:rowOff>15828</xdr:rowOff>
    </xdr:from>
    <xdr:to>
      <xdr:col>15</xdr:col>
      <xdr:colOff>217714</xdr:colOff>
      <xdr:row>99</xdr:row>
      <xdr:rowOff>13606</xdr:rowOff>
    </xdr:to>
    <xdr:sp macro="" textlink="">
      <xdr:nvSpPr>
        <xdr:cNvPr id="4" name="AutoShape 4104">
          <a:extLst>
            <a:ext uri="{FF2B5EF4-FFF2-40B4-BE49-F238E27FC236}">
              <a16:creationId xmlns:a16="http://schemas.microsoft.com/office/drawing/2014/main" id="{00000000-0008-0000-0600-000004000000}"/>
            </a:ext>
          </a:extLst>
        </xdr:cNvPr>
        <xdr:cNvSpPr/>
      </xdr:nvSpPr>
      <xdr:spPr>
        <a:xfrm>
          <a:off x="11450955" y="15207615"/>
          <a:ext cx="167640" cy="2893695"/>
        </a:xfrm>
        <a:prstGeom prst="rightBrace">
          <a:avLst>
            <a:gd name="adj1" fmla="val 33750"/>
            <a:gd name="adj2" fmla="val 50315"/>
          </a:avLst>
        </a:prstGeom>
        <a:noFill/>
        <a:ln w="9525">
          <a:solidFill>
            <a:srgbClr val="000000"/>
          </a:solidFill>
          <a:round/>
        </a:ln>
      </xdr:spPr>
    </xdr:sp>
    <xdr:clientData/>
  </xdr:twoCellAnchor>
  <xdr:twoCellAnchor>
    <xdr:from>
      <xdr:col>15</xdr:col>
      <xdr:colOff>23813</xdr:colOff>
      <xdr:row>113</xdr:row>
      <xdr:rowOff>174624</xdr:rowOff>
    </xdr:from>
    <xdr:to>
      <xdr:col>15</xdr:col>
      <xdr:colOff>165100</xdr:colOff>
      <xdr:row>129</xdr:row>
      <xdr:rowOff>152400</xdr:rowOff>
    </xdr:to>
    <xdr:sp macro="" textlink="">
      <xdr:nvSpPr>
        <xdr:cNvPr id="6" name="AutoShape 4104">
          <a:extLst>
            <a:ext uri="{FF2B5EF4-FFF2-40B4-BE49-F238E27FC236}">
              <a16:creationId xmlns:a16="http://schemas.microsoft.com/office/drawing/2014/main" id="{00000000-0008-0000-0600-000006000000}"/>
            </a:ext>
          </a:extLst>
        </xdr:cNvPr>
        <xdr:cNvSpPr/>
      </xdr:nvSpPr>
      <xdr:spPr>
        <a:xfrm>
          <a:off x="11424920" y="20795615"/>
          <a:ext cx="141605" cy="2874010"/>
        </a:xfrm>
        <a:prstGeom prst="rightBrace">
          <a:avLst>
            <a:gd name="adj1" fmla="val 33750"/>
            <a:gd name="adj2" fmla="val 50315"/>
          </a:avLst>
        </a:prstGeom>
        <a:noFill/>
        <a:ln w="9525">
          <a:solidFill>
            <a:srgbClr val="000000"/>
          </a:solidFill>
          <a:round/>
        </a:ln>
      </xdr:spPr>
    </xdr:sp>
    <xdr:clientData/>
  </xdr:twoCellAnchor>
  <xdr:twoCellAnchor>
    <xdr:from>
      <xdr:col>15</xdr:col>
      <xdr:colOff>40821</xdr:colOff>
      <xdr:row>100</xdr:row>
      <xdr:rowOff>13608</xdr:rowOff>
    </xdr:from>
    <xdr:to>
      <xdr:col>15</xdr:col>
      <xdr:colOff>208779</xdr:colOff>
      <xdr:row>113</xdr:row>
      <xdr:rowOff>17144</xdr:rowOff>
    </xdr:to>
    <xdr:sp macro="" textlink="">
      <xdr:nvSpPr>
        <xdr:cNvPr id="9" name="AutoShape 4104">
          <a:extLst>
            <a:ext uri="{FF2B5EF4-FFF2-40B4-BE49-F238E27FC236}">
              <a16:creationId xmlns:a16="http://schemas.microsoft.com/office/drawing/2014/main" id="{00000000-0008-0000-0600-000009000000}"/>
            </a:ext>
          </a:extLst>
        </xdr:cNvPr>
        <xdr:cNvSpPr/>
      </xdr:nvSpPr>
      <xdr:spPr>
        <a:xfrm>
          <a:off x="11442065" y="18282285"/>
          <a:ext cx="167640" cy="2355850"/>
        </a:xfrm>
        <a:prstGeom prst="rightBrace">
          <a:avLst>
            <a:gd name="adj1" fmla="val 33750"/>
            <a:gd name="adj2" fmla="val 50315"/>
          </a:avLst>
        </a:prstGeom>
        <a:noFill/>
        <a:ln w="9525">
          <a:solidFill>
            <a:srgbClr val="000000"/>
          </a:solidFill>
          <a:round/>
        </a:ln>
      </xdr:spPr>
      <xdr:txBody>
        <a:bodyPr/>
        <a:lstStyle/>
        <a:p>
          <a:endParaRPr lang="en-GB"/>
        </a:p>
      </xdr:txBody>
    </xdr:sp>
    <xdr:clientData/>
  </xdr:twoCellAnchor>
  <xdr:twoCellAnchor>
    <xdr:from>
      <xdr:col>15</xdr:col>
      <xdr:colOff>27214</xdr:colOff>
      <xdr:row>130</xdr:row>
      <xdr:rowOff>163287</xdr:rowOff>
    </xdr:from>
    <xdr:to>
      <xdr:col>15</xdr:col>
      <xdr:colOff>163285</xdr:colOff>
      <xdr:row>174</xdr:row>
      <xdr:rowOff>3752</xdr:rowOff>
    </xdr:to>
    <xdr:sp macro="" textlink="">
      <xdr:nvSpPr>
        <xdr:cNvPr id="10" name="AutoShape 4104">
          <a:extLst>
            <a:ext uri="{FF2B5EF4-FFF2-40B4-BE49-F238E27FC236}">
              <a16:creationId xmlns:a16="http://schemas.microsoft.com/office/drawing/2014/main" id="{00000000-0008-0000-0600-00000A000000}"/>
            </a:ext>
          </a:extLst>
        </xdr:cNvPr>
        <xdr:cNvSpPr/>
      </xdr:nvSpPr>
      <xdr:spPr>
        <a:xfrm>
          <a:off x="11428095" y="23861395"/>
          <a:ext cx="136525" cy="7802880"/>
        </a:xfrm>
        <a:prstGeom prst="rightBrace">
          <a:avLst>
            <a:gd name="adj1" fmla="val 33750"/>
            <a:gd name="adj2" fmla="val 50315"/>
          </a:avLst>
        </a:prstGeom>
        <a:noFill/>
        <a:ln w="9525">
          <a:solidFill>
            <a:srgbClr val="000000"/>
          </a:solidFill>
          <a:round/>
        </a:ln>
      </xdr:spPr>
    </xdr:sp>
    <xdr:clientData/>
  </xdr:twoCellAnchor>
  <xdr:twoCellAnchor>
    <xdr:from>
      <xdr:col>15</xdr:col>
      <xdr:colOff>40821</xdr:colOff>
      <xdr:row>57</xdr:row>
      <xdr:rowOff>13613</xdr:rowOff>
    </xdr:from>
    <xdr:to>
      <xdr:col>15</xdr:col>
      <xdr:colOff>208779</xdr:colOff>
      <xdr:row>79</xdr:row>
      <xdr:rowOff>18756</xdr:rowOff>
    </xdr:to>
    <xdr:sp macro="" textlink="">
      <xdr:nvSpPr>
        <xdr:cNvPr id="11" name="AutoShape 4104">
          <a:extLst>
            <a:ext uri="{FF2B5EF4-FFF2-40B4-BE49-F238E27FC236}">
              <a16:creationId xmlns:a16="http://schemas.microsoft.com/office/drawing/2014/main" id="{00000000-0008-0000-0600-00000B000000}"/>
            </a:ext>
          </a:extLst>
        </xdr:cNvPr>
        <xdr:cNvSpPr/>
      </xdr:nvSpPr>
      <xdr:spPr>
        <a:xfrm>
          <a:off x="11442065" y="10500360"/>
          <a:ext cx="167640" cy="3986530"/>
        </a:xfrm>
        <a:prstGeom prst="rightBrace">
          <a:avLst>
            <a:gd name="adj1" fmla="val 33750"/>
            <a:gd name="adj2" fmla="val 50315"/>
          </a:avLst>
        </a:prstGeom>
        <a:noFill/>
        <a:ln w="9525">
          <a:solidFill>
            <a:srgbClr val="000000"/>
          </a:solidFill>
          <a:round/>
        </a:ln>
      </xdr:spPr>
    </xdr:sp>
    <xdr:clientData/>
  </xdr:twoCellAnchor>
  <xdr:twoCellAnchor>
    <xdr:from>
      <xdr:col>14</xdr:col>
      <xdr:colOff>0</xdr:colOff>
      <xdr:row>23</xdr:row>
      <xdr:rowOff>144097</xdr:rowOff>
    </xdr:from>
    <xdr:to>
      <xdr:col>14</xdr:col>
      <xdr:colOff>42337</xdr:colOff>
      <xdr:row>24</xdr:row>
      <xdr:rowOff>142116</xdr:rowOff>
    </xdr:to>
    <xdr:sp macro="" textlink="">
      <xdr:nvSpPr>
        <xdr:cNvPr id="44" name="Text Box 1404">
          <a:extLst>
            <a:ext uri="{FF2B5EF4-FFF2-40B4-BE49-F238E27FC236}">
              <a16:creationId xmlns:a16="http://schemas.microsoft.com/office/drawing/2014/main" id="{00000000-0008-0000-0600-00002C000000}"/>
            </a:ext>
          </a:extLst>
        </xdr:cNvPr>
        <xdr:cNvSpPr txBox="1">
          <a:spLocks noChangeArrowheads="1"/>
        </xdr:cNvSpPr>
      </xdr:nvSpPr>
      <xdr:spPr>
        <a:xfrm>
          <a:off x="10810875" y="4477385"/>
          <a:ext cx="41910" cy="179070"/>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twoCellAnchor>
    <xdr:from>
      <xdr:col>19</xdr:col>
      <xdr:colOff>190500</xdr:colOff>
      <xdr:row>37</xdr:row>
      <xdr:rowOff>55197</xdr:rowOff>
    </xdr:from>
    <xdr:to>
      <xdr:col>19</xdr:col>
      <xdr:colOff>232837</xdr:colOff>
      <xdr:row>38</xdr:row>
      <xdr:rowOff>53216</xdr:rowOff>
    </xdr:to>
    <xdr:sp macro="" textlink="">
      <xdr:nvSpPr>
        <xdr:cNvPr id="73" name="Text Box 1404">
          <a:extLst>
            <a:ext uri="{FF2B5EF4-FFF2-40B4-BE49-F238E27FC236}">
              <a16:creationId xmlns:a16="http://schemas.microsoft.com/office/drawing/2014/main" id="{00000000-0008-0000-0600-000049000000}"/>
            </a:ext>
          </a:extLst>
        </xdr:cNvPr>
        <xdr:cNvSpPr txBox="1">
          <a:spLocks noChangeArrowheads="1"/>
        </xdr:cNvSpPr>
      </xdr:nvSpPr>
      <xdr:spPr>
        <a:xfrm>
          <a:off x="14458950" y="6922135"/>
          <a:ext cx="41910" cy="179070"/>
        </a:xfrm>
        <a:prstGeom prst="rect">
          <a:avLst/>
        </a:prstGeom>
        <a:noFill/>
        <a:ln w="9525">
          <a:noFill/>
          <a:miter lim="800000"/>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panose="02020603050405020304" pitchFamily="12"/>
            <a:cs typeface="Times New Roman" panose="02020603050405020304" pitchFamily="12"/>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207546</xdr:colOff>
      <xdr:row>58</xdr:row>
      <xdr:rowOff>46202</xdr:rowOff>
    </xdr:from>
    <xdr:to>
      <xdr:col>7</xdr:col>
      <xdr:colOff>419100</xdr:colOff>
      <xdr:row>64</xdr:row>
      <xdr:rowOff>151790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stretch>
          <a:fillRect/>
        </a:stretch>
      </xdr:blipFill>
      <xdr:spPr>
        <a:xfrm>
          <a:off x="5502910" y="11494770"/>
          <a:ext cx="2012315" cy="1306195"/>
        </a:xfrm>
        <a:prstGeom prst="rect">
          <a:avLst/>
        </a:prstGeom>
      </xdr:spPr>
    </xdr:pic>
    <xdr:clientData/>
  </xdr:twoCellAnchor>
  <xdr:twoCellAnchor>
    <xdr:from>
      <xdr:col>36</xdr:col>
      <xdr:colOff>5870</xdr:colOff>
      <xdr:row>16</xdr:row>
      <xdr:rowOff>63500</xdr:rowOff>
    </xdr:from>
    <xdr:to>
      <xdr:col>44</xdr:col>
      <xdr:colOff>101600</xdr:colOff>
      <xdr:row>18</xdr:row>
      <xdr:rowOff>184629</xdr:rowOff>
    </xdr:to>
    <xdr:pic>
      <xdr:nvPicPr>
        <xdr:cNvPr id="2" name="Picture 206">
          <a:extLst>
            <a:ext uri="{FF2B5EF4-FFF2-40B4-BE49-F238E27FC236}">
              <a16:creationId xmlns:a16="http://schemas.microsoft.com/office/drawing/2014/main" id="{00000000-0008-0000-0700-000002000000}"/>
            </a:ext>
          </a:extLst>
        </xdr:cNvPr>
        <xdr:cNvPicPr>
          <a:picLocks noRot="1" noChangeAspect="1" noChangeArrowheads="1"/>
        </xdr:cNvPicPr>
      </xdr:nvPicPr>
      <xdr:blipFill>
        <a:blip xmlns:r="http://schemas.openxmlformats.org/officeDocument/2006/relationships" r:embed="rId2" cstate="print"/>
        <a:srcRect l="387"/>
        <a:stretch>
          <a:fillRect/>
        </a:stretch>
      </xdr:blipFill>
      <xdr:spPr>
        <a:xfrm>
          <a:off x="16198370" y="3390900"/>
          <a:ext cx="4845530" cy="502129"/>
        </a:xfrm>
        <a:prstGeom prst="rect">
          <a:avLst/>
        </a:prstGeom>
        <a:noFill/>
        <a:ln w="9525">
          <a:noFill/>
          <a:miter lim="800000"/>
          <a:headEnd/>
          <a:tailEnd/>
        </a:ln>
      </xdr:spPr>
    </xdr:pic>
    <xdr:clientData/>
  </xdr:twoCellAnchor>
  <xdr:twoCellAnchor>
    <xdr:from>
      <xdr:col>12</xdr:col>
      <xdr:colOff>37624</xdr:colOff>
      <xdr:row>3</xdr:row>
      <xdr:rowOff>17440</xdr:rowOff>
    </xdr:from>
    <xdr:to>
      <xdr:col>12</xdr:col>
      <xdr:colOff>116824</xdr:colOff>
      <xdr:row>5</xdr:row>
      <xdr:rowOff>5049</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a:off x="11143615" y="864870"/>
          <a:ext cx="78740" cy="368300"/>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editAs="oneCell">
    <xdr:from>
      <xdr:col>6</xdr:col>
      <xdr:colOff>769828</xdr:colOff>
      <xdr:row>16</xdr:row>
      <xdr:rowOff>697</xdr:rowOff>
    </xdr:from>
    <xdr:to>
      <xdr:col>6</xdr:col>
      <xdr:colOff>1600010</xdr:colOff>
      <xdr:row>18</xdr:row>
      <xdr:rowOff>165101</xdr:rowOff>
    </xdr:to>
    <xdr:pic>
      <xdr:nvPicPr>
        <xdr:cNvPr id="7" name="Picture 6" descr="images1.jp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stretch>
          <a:fillRect/>
        </a:stretch>
      </xdr:blipFill>
      <xdr:spPr>
        <a:xfrm>
          <a:off x="6065520" y="3210560"/>
          <a:ext cx="829310" cy="545465"/>
        </a:xfrm>
        <a:prstGeom prst="rect">
          <a:avLst/>
        </a:prstGeom>
      </xdr:spPr>
    </xdr:pic>
    <xdr:clientData/>
  </xdr:twoCellAnchor>
  <xdr:twoCellAnchor editAs="oneCell">
    <xdr:from>
      <xdr:col>36</xdr:col>
      <xdr:colOff>2952</xdr:colOff>
      <xdr:row>0</xdr:row>
      <xdr:rowOff>451883</xdr:rowOff>
    </xdr:from>
    <xdr:to>
      <xdr:col>44</xdr:col>
      <xdr:colOff>1</xdr:colOff>
      <xdr:row>16</xdr:row>
      <xdr:rowOff>12452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print"/>
        <a:stretch>
          <a:fillRect/>
        </a:stretch>
      </xdr:blipFill>
      <xdr:spPr>
        <a:xfrm>
          <a:off x="16235324" y="451883"/>
          <a:ext cx="4737398" cy="2954127"/>
        </a:xfrm>
        <a:prstGeom prst="rect">
          <a:avLst/>
        </a:prstGeom>
      </xdr:spPr>
    </xdr:pic>
    <xdr:clientData/>
  </xdr:twoCellAnchor>
  <xdr:twoCellAnchor editAs="oneCell">
    <xdr:from>
      <xdr:col>15</xdr:col>
      <xdr:colOff>127775</xdr:colOff>
      <xdr:row>65</xdr:row>
      <xdr:rowOff>167272</xdr:rowOff>
    </xdr:from>
    <xdr:to>
      <xdr:col>16</xdr:col>
      <xdr:colOff>571673</xdr:colOff>
      <xdr:row>73</xdr:row>
      <xdr:rowOff>68611</xdr:rowOff>
    </xdr:to>
    <xdr:pic>
      <xdr:nvPicPr>
        <xdr:cNvPr id="11" name="Picture 10" descr="talk.jpg">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cstate="print"/>
        <a:stretch>
          <a:fillRect/>
        </a:stretch>
      </xdr:blipFill>
      <xdr:spPr>
        <a:xfrm>
          <a:off x="13491210" y="13016230"/>
          <a:ext cx="1235075" cy="1435100"/>
        </a:xfrm>
        <a:prstGeom prst="rect">
          <a:avLst/>
        </a:prstGeom>
      </xdr:spPr>
    </xdr:pic>
    <xdr:clientData/>
  </xdr:twoCellAnchor>
  <xdr:twoCellAnchor>
    <xdr:from>
      <xdr:col>0</xdr:col>
      <xdr:colOff>152400</xdr:colOff>
      <xdr:row>48</xdr:row>
      <xdr:rowOff>50800</xdr:rowOff>
    </xdr:from>
    <xdr:to>
      <xdr:col>4</xdr:col>
      <xdr:colOff>647700</xdr:colOff>
      <xdr:row>98</xdr:row>
      <xdr:rowOff>76200</xdr:rowOff>
    </xdr:to>
    <xdr:sp macro="" textlink="" fLocksText="0">
      <xdr:nvSpPr>
        <xdr:cNvPr id="9" name="Text Box 246">
          <a:extLst>
            <a:ext uri="{FF2B5EF4-FFF2-40B4-BE49-F238E27FC236}">
              <a16:creationId xmlns:a16="http://schemas.microsoft.com/office/drawing/2014/main" id="{00000000-0008-0000-0700-000009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152400" y="9474200"/>
          <a:ext cx="4406900" cy="9829800"/>
        </a:xfrm>
        <a:prstGeom prst="rect">
          <a:avLst/>
        </a:prstGeom>
        <a:solidFill>
          <a:srgbClr val="FFFFFF"/>
        </a:solidFill>
        <a:ln w="9525" cap="flat">
          <a:solidFill>
            <a:srgbClr val="000000"/>
          </a:solidFill>
          <a:prstDash val="solid"/>
          <a:headEnd type="none" w="med" len="med"/>
          <a:tailEnd type="none" w="med" len="med"/>
        </a:ln>
        <a:effectLst/>
      </xdr:spPr>
      <xdr:txBody>
        <a:bodyPr/>
        <a:lstStyle/>
        <a:p>
          <a:r>
            <a:rPr lang="en-GB" sz="1400">
              <a:latin typeface="Times New Roman" pitchFamily="18" charset="0"/>
              <a:cs typeface="Times New Roman" pitchFamily="18" charset="0"/>
            </a:rPr>
            <a:t>Any lactose is added after the boil.</a:t>
          </a:r>
        </a:p>
        <a:p>
          <a:endParaRPr lang="en-GB" sz="1400">
            <a:latin typeface="Times New Roman" pitchFamily="18" charset="0"/>
            <a:cs typeface="Times New Roman" pitchFamily="18" charset="0"/>
          </a:endParaRPr>
        </a:p>
        <a:p>
          <a:r>
            <a:rPr lang="en-GB" sz="1400">
              <a:latin typeface="Times New Roman" pitchFamily="18" charset="0"/>
              <a:cs typeface="Times New Roman" pitchFamily="18" charset="0"/>
            </a:rPr>
            <a:t>Made using "</a:t>
          </a:r>
          <a:r>
            <a:rPr lang="en-GB" sz="1400" b="1">
              <a:latin typeface="Times New Roman" pitchFamily="18" charset="0"/>
              <a:cs typeface="Times New Roman" pitchFamily="18" charset="0"/>
            </a:rPr>
            <a:t>METHOD 2".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507118</xdr:colOff>
      <xdr:row>71</xdr:row>
      <xdr:rowOff>81822</xdr:rowOff>
    </xdr:from>
    <xdr:to>
      <xdr:col>3</xdr:col>
      <xdr:colOff>278518</xdr:colOff>
      <xdr:row>71</xdr:row>
      <xdr:rowOff>81822</xdr:rowOff>
    </xdr:to>
    <xdr:sp macro="" textlink="">
      <xdr:nvSpPr>
        <xdr:cNvPr id="2" name="Line 2">
          <a:extLst>
            <a:ext uri="{FF2B5EF4-FFF2-40B4-BE49-F238E27FC236}">
              <a16:creationId xmlns:a16="http://schemas.microsoft.com/office/drawing/2014/main" id="{00000000-0008-0000-0800-000002000000}"/>
            </a:ext>
          </a:extLst>
        </xdr:cNvPr>
        <xdr:cNvSpPr>
          <a:spLocks noChangeShapeType="1"/>
        </xdr:cNvSpPr>
      </xdr:nvSpPr>
      <xdr:spPr>
        <a:xfrm>
          <a:off x="1678305" y="13273405"/>
          <a:ext cx="581025" cy="0"/>
        </a:xfrm>
        <a:prstGeom prst="line">
          <a:avLst/>
        </a:prstGeom>
        <a:noFill/>
        <a:ln w="9525">
          <a:solidFill>
            <a:srgbClr val="000000"/>
          </a:solidFill>
          <a:round/>
          <a:tailEnd type="triangle" w="med" len="med"/>
        </a:ln>
      </xdr:spPr>
    </xdr:sp>
    <xdr:clientData/>
  </xdr:twoCellAnchor>
  <xdr:twoCellAnchor>
    <xdr:from>
      <xdr:col>2</xdr:col>
      <xdr:colOff>514738</xdr:colOff>
      <xdr:row>79</xdr:row>
      <xdr:rowOff>73118</xdr:rowOff>
    </xdr:from>
    <xdr:to>
      <xdr:col>3</xdr:col>
      <xdr:colOff>286138</xdr:colOff>
      <xdr:row>79</xdr:row>
      <xdr:rowOff>73118</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a:xfrm>
          <a:off x="1685925" y="14712950"/>
          <a:ext cx="581025" cy="0"/>
        </a:xfrm>
        <a:prstGeom prst="line">
          <a:avLst/>
        </a:prstGeom>
        <a:noFill/>
        <a:ln w="9525">
          <a:solidFill>
            <a:srgbClr val="000000"/>
          </a:solidFill>
          <a:round/>
          <a:tailEnd type="triangle" w="med" len="med"/>
        </a:ln>
      </xdr:spPr>
      <xdr:txBody>
        <a:bodyPr/>
        <a:lstStyle/>
        <a:p>
          <a:endParaRPr lang="en-GB"/>
        </a:p>
        <a:p>
          <a:endParaRPr lang="en-GB"/>
        </a:p>
      </xdr:txBody>
    </xdr:sp>
    <xdr:clientData/>
  </xdr:twoCellAnchor>
  <xdr:twoCellAnchor>
    <xdr:from>
      <xdr:col>4</xdr:col>
      <xdr:colOff>352178</xdr:colOff>
      <xdr:row>71</xdr:row>
      <xdr:rowOff>74202</xdr:rowOff>
    </xdr:from>
    <xdr:to>
      <xdr:col>4</xdr:col>
      <xdr:colOff>760433</xdr:colOff>
      <xdr:row>71</xdr:row>
      <xdr:rowOff>74202</xdr:rowOff>
    </xdr:to>
    <xdr:sp macro="" textlink="">
      <xdr:nvSpPr>
        <xdr:cNvPr id="4" name="Line 2">
          <a:extLst>
            <a:ext uri="{FF2B5EF4-FFF2-40B4-BE49-F238E27FC236}">
              <a16:creationId xmlns:a16="http://schemas.microsoft.com/office/drawing/2014/main" id="{00000000-0008-0000-0800-000004000000}"/>
            </a:ext>
          </a:extLst>
        </xdr:cNvPr>
        <xdr:cNvSpPr>
          <a:spLocks noChangeShapeType="1"/>
        </xdr:cNvSpPr>
      </xdr:nvSpPr>
      <xdr:spPr>
        <a:xfrm>
          <a:off x="3142615" y="13265785"/>
          <a:ext cx="408305" cy="0"/>
        </a:xfrm>
        <a:prstGeom prst="line">
          <a:avLst/>
        </a:prstGeom>
        <a:noFill/>
        <a:ln w="9525">
          <a:solidFill>
            <a:srgbClr val="000000"/>
          </a:solidFill>
          <a:round/>
          <a:tailEnd type="triangle" w="med" len="med"/>
        </a:ln>
      </xdr:spPr>
    </xdr:sp>
    <xdr:clientData/>
  </xdr:twoCellAnchor>
  <xdr:twoCellAnchor>
    <xdr:from>
      <xdr:col>1</xdr:col>
      <xdr:colOff>50800</xdr:colOff>
      <xdr:row>84</xdr:row>
      <xdr:rowOff>25400</xdr:rowOff>
    </xdr:from>
    <xdr:to>
      <xdr:col>12</xdr:col>
      <xdr:colOff>63500</xdr:colOff>
      <xdr:row>138</xdr:row>
      <xdr:rowOff>38100</xdr:rowOff>
    </xdr:to>
    <xdr:sp macro="" textlink="" fLocksText="0">
      <xdr:nvSpPr>
        <xdr:cNvPr id="7" name="Text Box 246">
          <a:extLst>
            <a:ext uri="{FF2B5EF4-FFF2-40B4-BE49-F238E27FC236}">
              <a16:creationId xmlns:a16="http://schemas.microsoft.com/office/drawing/2014/main" id="{00000000-0008-0000-0800-000007000000}"/>
            </a:ext>
          </a:extLst>
        </xdr:cNvPr>
        <xdr:cNvSpPr>
          <a:extLst>
            <a:ext uri="smNativeData">
              <pm:smNativeData xmlns:pm="smNativeData" xmlns="" val="SMDATA_13_To8YYxMAAAAlAAAAZAAAAI0AAAAAkAAAAEgAAACQAAAAS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eAAAAaAAAAAAAAAAAAAAAAAAAAAAAAAAAAAAAECcAABAnAAAAAAAAAAAAAAAAAAAAAAAAAAAAAAAAAAAAAAAAAAAAABQAAAAAAAAAwMD/AAAAAABkAAAAMgAAAAAAAABkAAAAAAAAAH9/fwAKAAAAIgAAABgAAAAAAAAAAAAAAAAAAAAAAAAAAAAAAAAAAAAkAAAAJAAAAAAAAAAHAAAAAAAAAAAAAAAAAAAAAAAAAAAAAAAAAAAAf39/ACUAAABYAAAAAAAAAAAAAAAAAAAAAAAAAAAAAAAAAAAAAAAAAAAAAAAAAAAAAAAAAAAAAAA/AAAAAAAAAKCGAQAAAAAAAAAAAAAAAAAMAAAAAQAAAAAAAAAAAAAAAAAAACEAAAAwAAAALAAAAKQAAAAIAAAAngAKAbsAAAAQAAAAaQLCABwrAAArwQAAiiMAAAMYAAAAAAAA"/>
            </a:ext>
          </a:extLst>
        </xdr:cNvSpPr>
      </xdr:nvSpPr>
      <xdr:spPr>
        <a:xfrm>
          <a:off x="419100" y="15316200"/>
          <a:ext cx="8686800" cy="9626600"/>
        </a:xfrm>
        <a:prstGeom prst="rect">
          <a:avLst/>
        </a:prstGeom>
        <a:solidFill>
          <a:srgbClr val="FFFFFF"/>
        </a:solidFill>
        <a:ln w="9525" cap="flat">
          <a:solidFill>
            <a:srgbClr val="000000"/>
          </a:solidFill>
          <a:prstDash val="solid"/>
          <a:headEnd type="none" w="med" len="med"/>
          <a:tailEnd type="none" w="med" len="med"/>
        </a:ln>
        <a:effectLst/>
      </xdr:spPr>
      <xdr:txBody>
        <a:bodyPr/>
        <a:lstStyle/>
        <a:p>
          <a:endParaRPr lang="en-GB" sz="1400">
            <a:latin typeface="Times New Roman" pitchFamily="18" charset="0"/>
            <a:cs typeface="Times New Roman"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ysClr val="window" lastClr="FFFFFF"/>
        </a:solidFill>
        <a:ln w="9525">
          <a:solidFill>
            <a:srgbClr val="808080"/>
          </a:solidFill>
          <a:miter lim="800000"/>
        </a:ln>
      </a:spPr>
      <a:bodyPr vertOverflow="clip" wrap="square" lIns="27305" tIns="22860" rIns="0" bIns="0" anchor="t" upright="1"/>
      <a:lstStyle>
        <a:defPPr algn="l" rtl="0">
          <a:defRPr sz="1400" b="0" i="0" u="none" strike="noStrike" baseline="0">
            <a:solidFill>
              <a:srgbClr val="000000"/>
            </a:solidFill>
            <a:latin typeface="Times New Roman" pitchFamily="18" charset="0"/>
            <a:ea typeface="Segoe UI Black" pitchFamily="34" charset="0"/>
            <a:cs typeface="Times New Roman" pitchFamily="18" charset="0"/>
          </a:defRPr>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lchesterhomebrew.co.uk/"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bjcp.org/stylecenter.ph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etespintpot.co.uk/health.html" TargetMode="External"/><Relationship Id="rId1" Type="http://schemas.openxmlformats.org/officeDocument/2006/relationships/hyperlink" Target="http://www.petespintpot.co.uk/health.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petespintpot.co.uk/health.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colchesterhomebrew.co.uk/" TargetMode="External"/><Relationship Id="rId7" Type="http://schemas.openxmlformats.org/officeDocument/2006/relationships/drawing" Target="../drawings/drawing3.xml"/><Relationship Id="rId2" Type="http://schemas.openxmlformats.org/officeDocument/2006/relationships/hyperlink" Target="http://www.petespintpot.co.uk/" TargetMode="External"/><Relationship Id="rId1" Type="http://schemas.openxmlformats.org/officeDocument/2006/relationships/hyperlink" Target="http://www.yobrew.co.uk/" TargetMode="External"/><Relationship Id="rId6" Type="http://schemas.openxmlformats.org/officeDocument/2006/relationships/printerSettings" Target="../printerSettings/printerSettings4.bin"/><Relationship Id="rId5" Type="http://schemas.openxmlformats.org/officeDocument/2006/relationships/hyperlink" Target="http://www.yobrew.co.uk/" TargetMode="External"/><Relationship Id="rId4" Type="http://schemas.openxmlformats.org/officeDocument/2006/relationships/hyperlink" Target="http://www.yobrew.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david.barrow@live.co.uk" TargetMode="External"/><Relationship Id="rId1" Type="http://schemas.openxmlformats.org/officeDocument/2006/relationships/hyperlink" Target="http://www.colchesterhomebrew.co.uk/"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david.barrow@live.co.uk" TargetMode="External"/><Relationship Id="rId1" Type="http://schemas.openxmlformats.org/officeDocument/2006/relationships/hyperlink" Target="mailto:david.barrow@live.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yobrew.co.uk/"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olchesterhomebrew.co.uk/" TargetMode="External"/><Relationship Id="rId1" Type="http://schemas.openxmlformats.org/officeDocument/2006/relationships/hyperlink" Target="http://www.petespintpot.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H73"/>
  <sheetViews>
    <sheetView showFormulas="1" showWhiteSpace="0" topLeftCell="A43" zoomScale="70" zoomScaleNormal="70" zoomScaleSheetLayoutView="75" workbookViewId="0">
      <selection activeCell="B53" sqref="B53:C53"/>
    </sheetView>
  </sheetViews>
  <sheetFormatPr defaultColWidth="7.42578125" defaultRowHeight="13.9"/>
  <cols>
    <col min="1" max="1" width="1.85546875" style="6" customWidth="1"/>
    <col min="2" max="2" width="1.42578125" style="6" customWidth="1"/>
    <col min="3" max="3" width="13.42578125" style="6" customWidth="1"/>
    <col min="4" max="4" width="5.85546875" style="6" customWidth="1"/>
    <col min="5" max="5" width="9.5703125" style="6" customWidth="1"/>
    <col min="6" max="6" width="9.85546875" style="6" customWidth="1"/>
    <col min="7" max="7" width="10.140625" style="6" customWidth="1"/>
    <col min="8" max="8" width="1.42578125" style="1" customWidth="1"/>
    <col min="9" max="16384" width="7.42578125" style="1"/>
  </cols>
  <sheetData>
    <row r="1" spans="1:8" ht="44.45" customHeight="1">
      <c r="A1" s="2145"/>
      <c r="B1" s="2145"/>
      <c r="C1" s="2818" t="s">
        <v>0</v>
      </c>
      <c r="D1" s="2818"/>
      <c r="E1" s="2818"/>
      <c r="F1" s="2818"/>
      <c r="G1" s="2181" t="s">
        <v>1</v>
      </c>
      <c r="H1" s="1903"/>
    </row>
    <row r="2" spans="1:8" ht="18" customHeight="1">
      <c r="A2" s="1626"/>
      <c r="B2" s="1626"/>
      <c r="C2" s="1627"/>
      <c r="D2" s="1627"/>
      <c r="E2" s="1627"/>
      <c r="F2" s="2815" t="s">
        <v>2</v>
      </c>
      <c r="G2" s="2815"/>
      <c r="H2" s="1903"/>
    </row>
    <row r="3" spans="1:8" ht="11.25" customHeight="1">
      <c r="A3" s="2816" t="s">
        <v>3</v>
      </c>
      <c r="B3" s="2816"/>
      <c r="C3" s="2816"/>
      <c r="D3" s="2816"/>
      <c r="E3" s="2816"/>
      <c r="F3" s="2816"/>
      <c r="G3" s="2816"/>
      <c r="H3" s="1903"/>
    </row>
    <row r="4" spans="1:8" ht="11.25" customHeight="1">
      <c r="A4" s="2817" t="s">
        <v>4</v>
      </c>
      <c r="B4" s="2817"/>
      <c r="C4" s="2817"/>
      <c r="D4" s="2817"/>
      <c r="E4" s="2817"/>
      <c r="F4" s="2817"/>
      <c r="G4" s="2817"/>
      <c r="H4" s="1903"/>
    </row>
    <row r="5" spans="1:8" ht="11.25" customHeight="1">
      <c r="A5" s="2817" t="s">
        <v>5</v>
      </c>
      <c r="B5" s="2817"/>
      <c r="C5" s="2817"/>
      <c r="D5" s="2817"/>
      <c r="E5" s="2817"/>
      <c r="F5" s="2817"/>
      <c r="G5" s="2817"/>
      <c r="H5" s="1903"/>
    </row>
    <row r="6" spans="1:8" ht="14.25" customHeight="1">
      <c r="A6" s="1903"/>
      <c r="B6" s="1903"/>
      <c r="C6" s="1903"/>
      <c r="D6" s="1903"/>
      <c r="E6" s="1903"/>
      <c r="F6" s="1903"/>
      <c r="G6" s="1903"/>
      <c r="H6" s="1903"/>
    </row>
    <row r="7" spans="1:8" ht="14.25" customHeight="1">
      <c r="A7" s="1626"/>
      <c r="B7" s="1626"/>
      <c r="C7" s="1626"/>
      <c r="D7" s="4117" t="s">
        <v>6</v>
      </c>
      <c r="E7" s="4117"/>
      <c r="F7" s="4117"/>
      <c r="G7" s="4117"/>
      <c r="H7" s="1903"/>
    </row>
    <row r="8" spans="1:8" ht="14.25" customHeight="1">
      <c r="A8" s="1628"/>
      <c r="B8" s="4118" t="s">
        <v>7</v>
      </c>
      <c r="C8" s="4118"/>
      <c r="D8" s="2813" t="s">
        <v>8</v>
      </c>
      <c r="E8" s="2813"/>
      <c r="F8" s="2813"/>
      <c r="G8" s="2813"/>
      <c r="H8" s="1903"/>
    </row>
    <row r="9" spans="1:8" ht="14.25" customHeight="1">
      <c r="A9" s="1628"/>
      <c r="B9" s="1629"/>
      <c r="C9" s="1630" t="s">
        <v>1</v>
      </c>
      <c r="D9" s="4119" t="s">
        <v>9</v>
      </c>
      <c r="E9" s="4119"/>
      <c r="F9" s="4119"/>
      <c r="G9" s="4119"/>
      <c r="H9" s="1903"/>
    </row>
    <row r="10" spans="1:8" ht="14.25" customHeight="1">
      <c r="A10" s="1628"/>
      <c r="B10" s="1631"/>
      <c r="C10" s="1632"/>
      <c r="D10" s="4119" t="s">
        <v>10</v>
      </c>
      <c r="E10" s="4119"/>
      <c r="F10" s="4119"/>
      <c r="G10" s="4119"/>
      <c r="H10" s="1903"/>
    </row>
    <row r="11" spans="1:8" ht="14.25" customHeight="1">
      <c r="A11" s="1628"/>
      <c r="B11" s="1631"/>
      <c r="C11" s="1632"/>
      <c r="D11" s="4119" t="s">
        <v>11</v>
      </c>
      <c r="E11" s="4119"/>
      <c r="F11" s="4119"/>
      <c r="G11" s="4119"/>
      <c r="H11" s="1903"/>
    </row>
    <row r="12" spans="1:8" ht="14.25" customHeight="1">
      <c r="A12" s="1628"/>
      <c r="B12" s="1631"/>
      <c r="C12" s="1632"/>
      <c r="D12" s="4119" t="s">
        <v>12</v>
      </c>
      <c r="E12" s="4119"/>
      <c r="F12" s="4119"/>
      <c r="G12" s="4119"/>
      <c r="H12" s="1903"/>
    </row>
    <row r="13" spans="1:8" ht="14.25" customHeight="1">
      <c r="A13" s="1628"/>
      <c r="B13" s="1631"/>
      <c r="C13" s="1632"/>
      <c r="D13" s="4119" t="s">
        <v>13</v>
      </c>
      <c r="E13" s="4119"/>
      <c r="F13" s="4119"/>
      <c r="G13" s="4119"/>
      <c r="H13" s="1903"/>
    </row>
    <row r="14" spans="1:8" ht="14.25" customHeight="1">
      <c r="A14" s="1628"/>
      <c r="B14" s="1631"/>
      <c r="C14" s="1632"/>
      <c r="D14" s="4119" t="s">
        <v>14</v>
      </c>
      <c r="E14" s="4119"/>
      <c r="F14" s="4119"/>
      <c r="G14" s="4119"/>
      <c r="H14" s="1903"/>
    </row>
    <row r="15" spans="1:8" ht="14.25" customHeight="1">
      <c r="A15" s="1628"/>
      <c r="B15" s="1631"/>
      <c r="C15" s="1983" t="s">
        <v>15</v>
      </c>
      <c r="D15" s="1868"/>
      <c r="E15" s="2814" t="s">
        <v>16</v>
      </c>
      <c r="F15" s="2814"/>
      <c r="G15" s="2814"/>
      <c r="H15" s="1903"/>
    </row>
    <row r="16" spans="1:8" ht="14.25" customHeight="1">
      <c r="A16" s="1628"/>
      <c r="B16" s="1631"/>
      <c r="C16" s="1633"/>
      <c r="D16" s="4119" t="s">
        <v>17</v>
      </c>
      <c r="E16" s="4119"/>
      <c r="F16" s="4119"/>
      <c r="G16" s="4119"/>
      <c r="H16" s="1903"/>
    </row>
    <row r="17" spans="1:8" ht="14.25" customHeight="1">
      <c r="A17" s="1628"/>
      <c r="B17" s="1631"/>
      <c r="C17" s="1633"/>
      <c r="D17" s="1955" t="s">
        <v>18</v>
      </c>
      <c r="E17" s="4119" t="s">
        <v>19</v>
      </c>
      <c r="F17" s="4119"/>
      <c r="G17" s="4119"/>
      <c r="H17" s="1903"/>
    </row>
    <row r="18" spans="1:8" ht="14.25" customHeight="1">
      <c r="A18" s="1628"/>
      <c r="B18" s="1631"/>
      <c r="C18" s="1634"/>
      <c r="D18" s="1763"/>
      <c r="E18" s="4119" t="s">
        <v>20</v>
      </c>
      <c r="F18" s="4119"/>
      <c r="G18" s="4119"/>
      <c r="H18" s="1903"/>
    </row>
    <row r="19" spans="1:8" ht="14.25" customHeight="1">
      <c r="A19" s="1628"/>
      <c r="B19" s="1631"/>
      <c r="C19" s="1634"/>
      <c r="D19" s="1763"/>
      <c r="E19" s="4119" t="s">
        <v>21</v>
      </c>
      <c r="F19" s="4119"/>
      <c r="G19" s="4119"/>
      <c r="H19" s="1903"/>
    </row>
    <row r="20" spans="1:8" ht="14.25" customHeight="1">
      <c r="A20" s="1628"/>
      <c r="B20" s="1631"/>
      <c r="C20" s="1633"/>
      <c r="D20" s="4119" t="s">
        <v>22</v>
      </c>
      <c r="E20" s="4119"/>
      <c r="F20" s="4119"/>
      <c r="G20" s="4119"/>
      <c r="H20" s="1903"/>
    </row>
    <row r="21" spans="1:8" ht="14.25" customHeight="1">
      <c r="A21" s="1628"/>
      <c r="B21" s="1631"/>
      <c r="C21" s="1633"/>
      <c r="D21" s="4119" t="s">
        <v>23</v>
      </c>
      <c r="E21" s="4119"/>
      <c r="F21" s="4119"/>
      <c r="G21" s="4119"/>
      <c r="H21" s="1903"/>
    </row>
    <row r="22" spans="1:8" ht="14.25" customHeight="1">
      <c r="A22" s="1628"/>
      <c r="B22" s="1631"/>
      <c r="C22" s="1633"/>
      <c r="D22" s="4119" t="s">
        <v>24</v>
      </c>
      <c r="E22" s="4119"/>
      <c r="F22" s="4119"/>
      <c r="G22" s="4119"/>
      <c r="H22" s="1903"/>
    </row>
    <row r="23" spans="1:8" ht="14.25" customHeight="1">
      <c r="A23" s="1628"/>
      <c r="B23" s="1631"/>
      <c r="C23" s="1633"/>
      <c r="D23" s="4119" t="s">
        <v>25</v>
      </c>
      <c r="E23" s="4119"/>
      <c r="F23" s="4119"/>
      <c r="G23" s="4119"/>
      <c r="H23" s="1903"/>
    </row>
    <row r="24" spans="1:8" ht="14.25" customHeight="1">
      <c r="A24" s="1628"/>
      <c r="B24" s="1631"/>
      <c r="C24" s="1633"/>
      <c r="D24" s="4119" t="s">
        <v>26</v>
      </c>
      <c r="E24" s="4119"/>
      <c r="F24" s="4119"/>
      <c r="G24" s="4119"/>
      <c r="H24" s="1903"/>
    </row>
    <row r="25" spans="1:8" ht="14.25" customHeight="1">
      <c r="A25" s="1628"/>
      <c r="B25" s="1631"/>
      <c r="C25" s="1633"/>
      <c r="D25" s="4119" t="s">
        <v>27</v>
      </c>
      <c r="E25" s="4119"/>
      <c r="F25" s="4119"/>
      <c r="G25" s="4119"/>
      <c r="H25" s="1903"/>
    </row>
    <row r="26" spans="1:8" ht="14.25" customHeight="1">
      <c r="A26" s="1628"/>
      <c r="B26" s="1631"/>
      <c r="C26" s="1634"/>
      <c r="D26" s="4119" t="s">
        <v>28</v>
      </c>
      <c r="E26" s="4119"/>
      <c r="F26" s="4119"/>
      <c r="G26" s="4119"/>
      <c r="H26" s="1903"/>
    </row>
    <row r="27" spans="1:8" ht="14.25" customHeight="1">
      <c r="A27" s="1628"/>
      <c r="B27" s="1631"/>
      <c r="C27" s="1634"/>
      <c r="D27" s="4119" t="s">
        <v>29</v>
      </c>
      <c r="E27" s="4119"/>
      <c r="F27" s="4119"/>
      <c r="G27" s="4119"/>
      <c r="H27" s="1903"/>
    </row>
    <row r="28" spans="1:8" ht="14.25" customHeight="1">
      <c r="A28" s="1628"/>
      <c r="B28" s="1631"/>
      <c r="C28" s="1634"/>
      <c r="D28" s="4119" t="s">
        <v>30</v>
      </c>
      <c r="E28" s="4119"/>
      <c r="F28" s="4119"/>
      <c r="G28" s="4119"/>
      <c r="H28" s="1903"/>
    </row>
    <row r="29" spans="1:8" ht="14.25" customHeight="1">
      <c r="A29" s="1628"/>
      <c r="B29" s="1631"/>
      <c r="C29" s="1634"/>
      <c r="D29" s="4119" t="s">
        <v>31</v>
      </c>
      <c r="E29" s="4119"/>
      <c r="F29" s="4119"/>
      <c r="G29" s="4119"/>
      <c r="H29" s="1903"/>
    </row>
    <row r="30" spans="1:8" ht="14.25" customHeight="1">
      <c r="A30" s="1635"/>
      <c r="B30" s="1631"/>
      <c r="C30" s="74"/>
      <c r="D30" s="4120"/>
      <c r="E30" s="4120"/>
      <c r="F30" s="4120"/>
      <c r="G30" s="4120"/>
      <c r="H30" s="1903"/>
    </row>
    <row r="31" spans="1:8" ht="14.25" customHeight="1">
      <c r="A31" s="1635"/>
      <c r="B31" s="2812" t="s">
        <v>32</v>
      </c>
      <c r="C31" s="2812"/>
      <c r="D31" s="2813" t="s">
        <v>33</v>
      </c>
      <c r="E31" s="2813"/>
      <c r="F31" s="2813"/>
      <c r="G31" s="2813"/>
      <c r="H31" s="1903"/>
    </row>
    <row r="32" spans="1:8" ht="14.25" customHeight="1">
      <c r="A32" s="1635"/>
      <c r="B32" s="1631"/>
      <c r="C32" s="1630" t="s">
        <v>1</v>
      </c>
      <c r="D32" s="2807" t="s">
        <v>34</v>
      </c>
      <c r="E32" s="2807"/>
      <c r="F32" s="2807"/>
      <c r="G32" s="2807"/>
      <c r="H32" s="1903"/>
    </row>
    <row r="33" spans="1:8" ht="14.25" customHeight="1">
      <c r="A33" s="1635"/>
      <c r="B33" s="1631"/>
      <c r="C33" s="1632"/>
      <c r="D33" s="2807" t="s">
        <v>35</v>
      </c>
      <c r="E33" s="2807"/>
      <c r="F33" s="2807"/>
      <c r="G33" s="2807"/>
      <c r="H33" s="1903"/>
    </row>
    <row r="34" spans="1:8" ht="14.25" customHeight="1">
      <c r="A34" s="1635"/>
      <c r="B34" s="1636"/>
      <c r="C34" s="1633"/>
      <c r="D34" s="2807" t="s">
        <v>22</v>
      </c>
      <c r="E34" s="2807"/>
      <c r="F34" s="2807"/>
      <c r="G34" s="2807"/>
      <c r="H34" s="1903"/>
    </row>
    <row r="35" spans="1:8" ht="14.25" customHeight="1">
      <c r="A35" s="1637"/>
      <c r="B35" s="1636"/>
      <c r="C35" s="1633"/>
      <c r="D35" s="4121"/>
      <c r="E35" s="4121"/>
      <c r="F35" s="4121"/>
      <c r="G35" s="4121"/>
      <c r="H35" s="1903"/>
    </row>
    <row r="36" spans="1:8" ht="14.25" customHeight="1">
      <c r="A36" s="1637"/>
      <c r="B36" s="4122" t="s">
        <v>36</v>
      </c>
      <c r="C36" s="4122"/>
      <c r="D36" s="4121" t="s">
        <v>37</v>
      </c>
      <c r="E36" s="4121"/>
      <c r="F36" s="4121"/>
      <c r="G36" s="4121"/>
      <c r="H36" s="1903"/>
    </row>
    <row r="37" spans="1:8" ht="14.25" customHeight="1">
      <c r="A37" s="1637"/>
      <c r="B37" s="1636"/>
      <c r="C37" s="1630" t="s">
        <v>1</v>
      </c>
      <c r="D37" s="4119" t="s">
        <v>38</v>
      </c>
      <c r="E37" s="4119"/>
      <c r="F37" s="4119"/>
      <c r="G37" s="4119"/>
      <c r="H37" s="1903"/>
    </row>
    <row r="38" spans="1:8" ht="14.25" customHeight="1">
      <c r="A38" s="1637"/>
      <c r="B38" s="1636"/>
      <c r="C38" s="1636"/>
      <c r="D38" s="4119" t="s">
        <v>39</v>
      </c>
      <c r="E38" s="4119"/>
      <c r="F38" s="4119"/>
      <c r="G38" s="4119"/>
      <c r="H38" s="1903"/>
    </row>
    <row r="39" spans="1:8" ht="14.25" customHeight="1">
      <c r="A39" s="1637"/>
      <c r="B39" s="1636"/>
      <c r="C39" s="1636"/>
      <c r="D39" s="4119" t="s">
        <v>40</v>
      </c>
      <c r="E39" s="4119"/>
      <c r="F39" s="4119"/>
      <c r="G39" s="4119"/>
      <c r="H39" s="1903"/>
    </row>
    <row r="40" spans="1:8" ht="14.25" customHeight="1">
      <c r="A40" s="1637"/>
      <c r="B40" s="1636"/>
      <c r="C40" s="1633"/>
      <c r="D40" s="1763"/>
      <c r="E40" s="4123" t="s">
        <v>41</v>
      </c>
      <c r="F40" s="4123"/>
      <c r="G40" s="4123"/>
      <c r="H40" s="1903"/>
    </row>
    <row r="41" spans="1:8" ht="14.25" customHeight="1">
      <c r="A41" s="1637"/>
      <c r="B41" s="1636"/>
      <c r="C41" s="1638"/>
      <c r="D41" s="4124"/>
      <c r="E41" s="4124"/>
      <c r="F41" s="4124"/>
      <c r="G41" s="4124"/>
      <c r="H41" s="1903"/>
    </row>
    <row r="42" spans="1:8" ht="14.25" customHeight="1">
      <c r="A42" s="1637"/>
      <c r="B42" s="4122" t="s">
        <v>42</v>
      </c>
      <c r="C42" s="4122"/>
      <c r="D42" s="4121" t="s">
        <v>43</v>
      </c>
      <c r="E42" s="4121"/>
      <c r="F42" s="4121"/>
      <c r="G42" s="4121"/>
      <c r="H42" s="1903"/>
    </row>
    <row r="43" spans="1:8" ht="14.25" customHeight="1">
      <c r="A43" s="1637"/>
      <c r="B43" s="1639"/>
      <c r="C43" s="1630" t="s">
        <v>1</v>
      </c>
      <c r="D43" s="4119" t="s">
        <v>38</v>
      </c>
      <c r="E43" s="4119"/>
      <c r="F43" s="4119"/>
      <c r="G43" s="4119"/>
      <c r="H43" s="1903"/>
    </row>
    <row r="44" spans="1:8" ht="14.25" customHeight="1">
      <c r="A44" s="1637"/>
      <c r="B44" s="1636"/>
      <c r="C44" s="1633"/>
      <c r="D44" s="4119" t="s">
        <v>39</v>
      </c>
      <c r="E44" s="4119"/>
      <c r="F44" s="4119"/>
      <c r="G44" s="4119"/>
      <c r="H44" s="1903"/>
    </row>
    <row r="45" spans="1:8" ht="14.25" customHeight="1">
      <c r="A45" s="1637"/>
      <c r="B45" s="1636"/>
      <c r="C45" s="1633"/>
      <c r="D45" s="4119" t="s">
        <v>40</v>
      </c>
      <c r="E45" s="4119"/>
      <c r="F45" s="4119"/>
      <c r="G45" s="4119"/>
      <c r="H45" s="1903"/>
    </row>
    <row r="46" spans="1:8" ht="14.25" customHeight="1">
      <c r="A46" s="1637"/>
      <c r="B46" s="1636"/>
      <c r="C46" s="1633"/>
      <c r="D46" s="1905"/>
      <c r="E46" s="4121" t="s">
        <v>41</v>
      </c>
      <c r="F46" s="4121"/>
      <c r="G46" s="4121"/>
      <c r="H46" s="1903"/>
    </row>
    <row r="47" spans="1:8" ht="14.25" customHeight="1">
      <c r="A47" s="1637"/>
      <c r="B47" s="1636"/>
      <c r="C47" s="1633"/>
      <c r="D47" s="1905"/>
      <c r="E47" s="1905"/>
      <c r="F47" s="1763"/>
      <c r="G47" s="1763"/>
      <c r="H47" s="1903"/>
    </row>
    <row r="48" spans="1:8" ht="14.25" customHeight="1">
      <c r="A48" s="1637"/>
      <c r="B48" s="4122" t="s">
        <v>44</v>
      </c>
      <c r="C48" s="4122"/>
      <c r="D48" s="4125" t="s">
        <v>43</v>
      </c>
      <c r="E48" s="4125"/>
      <c r="F48" s="4125"/>
      <c r="G48" s="4125"/>
      <c r="H48" s="1903"/>
    </row>
    <row r="49" spans="1:8" ht="14.25" customHeight="1">
      <c r="A49" s="1637"/>
      <c r="B49" s="1637"/>
      <c r="C49" s="1630" t="s">
        <v>1</v>
      </c>
      <c r="D49" s="2809" t="s">
        <v>45</v>
      </c>
      <c r="E49" s="2809"/>
      <c r="F49" s="2809"/>
      <c r="G49" s="2809"/>
      <c r="H49" s="1903"/>
    </row>
    <row r="50" spans="1:8" ht="14.25" customHeight="1">
      <c r="A50" s="1637"/>
      <c r="B50" s="1637"/>
      <c r="C50" s="1637"/>
      <c r="D50" s="2810" t="s">
        <v>46</v>
      </c>
      <c r="E50" s="2810"/>
      <c r="F50" s="2810"/>
      <c r="G50" s="2810"/>
      <c r="H50" s="1903"/>
    </row>
    <row r="51" spans="1:8" ht="14.25" customHeight="1">
      <c r="A51" s="1637"/>
      <c r="B51" s="1637"/>
      <c r="C51" s="1907"/>
      <c r="D51" s="2810" t="s">
        <v>47</v>
      </c>
      <c r="E51" s="2810"/>
      <c r="F51" s="2810"/>
      <c r="G51" s="2810"/>
      <c r="H51" s="1903"/>
    </row>
    <row r="52" spans="1:8" ht="14.25" customHeight="1">
      <c r="A52" s="1637"/>
      <c r="B52" s="1636"/>
      <c r="C52" s="1638"/>
      <c r="D52" s="1763"/>
      <c r="E52" s="1763"/>
      <c r="F52" s="1763"/>
      <c r="G52" s="1763"/>
      <c r="H52" s="1903"/>
    </row>
    <row r="53" spans="1:8" ht="14.25" customHeight="1">
      <c r="A53" s="1637"/>
      <c r="B53" s="4126" t="s">
        <v>48</v>
      </c>
      <c r="C53" s="4126"/>
      <c r="D53" s="2811" t="s">
        <v>49</v>
      </c>
      <c r="E53" s="2811"/>
      <c r="F53" s="2811"/>
      <c r="G53" s="2811"/>
      <c r="H53" s="1903"/>
    </row>
    <row r="54" spans="1:8" ht="14.25" customHeight="1">
      <c r="A54" s="1637"/>
      <c r="B54" s="1636"/>
      <c r="C54" s="1630" t="s">
        <v>1</v>
      </c>
      <c r="D54" s="2807" t="s">
        <v>50</v>
      </c>
      <c r="E54" s="2807"/>
      <c r="F54" s="2807"/>
      <c r="G54" s="2807"/>
      <c r="H54" s="1903"/>
    </row>
    <row r="55" spans="1:8" ht="14.25" customHeight="1">
      <c r="A55" s="1637"/>
      <c r="B55" s="1907"/>
      <c r="C55" s="1907"/>
      <c r="D55" s="4125"/>
      <c r="E55" s="4125"/>
      <c r="F55" s="4125"/>
      <c r="G55" s="4125"/>
      <c r="H55" s="1903"/>
    </row>
    <row r="56" spans="1:8" ht="14.25" customHeight="1">
      <c r="A56" s="1637"/>
      <c r="B56" s="2808" t="s">
        <v>51</v>
      </c>
      <c r="C56" s="2808"/>
      <c r="D56" s="4121" t="s">
        <v>37</v>
      </c>
      <c r="E56" s="4121"/>
      <c r="F56" s="4121"/>
      <c r="G56" s="4121"/>
      <c r="H56" s="1903"/>
    </row>
    <row r="57" spans="1:8" ht="14.25" customHeight="1">
      <c r="A57" s="1637"/>
      <c r="B57" s="1906"/>
      <c r="C57" s="1630" t="s">
        <v>1</v>
      </c>
      <c r="D57" s="1903"/>
      <c r="E57" s="1903"/>
      <c r="F57" s="1903"/>
      <c r="G57" s="1903"/>
      <c r="H57" s="1903"/>
    </row>
    <row r="58" spans="1:8" ht="14.25" customHeight="1">
      <c r="A58" s="1637"/>
      <c r="B58" s="1906"/>
      <c r="C58" s="1906"/>
      <c r="D58" s="1903"/>
      <c r="E58" s="1903"/>
      <c r="F58" s="1903"/>
      <c r="G58" s="1903"/>
      <c r="H58" s="1903"/>
    </row>
    <row r="59" spans="1:8" ht="14.25" customHeight="1">
      <c r="A59" s="1637"/>
      <c r="B59" s="4118" t="s">
        <v>52</v>
      </c>
      <c r="C59" s="4118"/>
      <c r="D59" s="2805" t="s">
        <v>53</v>
      </c>
      <c r="E59" s="2805"/>
      <c r="F59" s="2805"/>
      <c r="G59" s="2805"/>
      <c r="H59" s="1903"/>
    </row>
    <row r="60" spans="1:8" ht="14.25" customHeight="1">
      <c r="A60" s="1637"/>
      <c r="B60" s="1907"/>
      <c r="C60" s="1630" t="s">
        <v>1</v>
      </c>
      <c r="D60" s="2806" t="s">
        <v>54</v>
      </c>
      <c r="E60" s="2806"/>
      <c r="F60" s="2806"/>
      <c r="G60" s="2806"/>
      <c r="H60" s="1903"/>
    </row>
    <row r="61" spans="1:8" ht="14.25" customHeight="1">
      <c r="A61" s="1637"/>
      <c r="B61" s="1907"/>
      <c r="C61" s="1907"/>
      <c r="D61" s="2804" t="s">
        <v>55</v>
      </c>
      <c r="E61" s="2804"/>
      <c r="F61" s="2804"/>
      <c r="G61" s="2804"/>
      <c r="H61" s="1903"/>
    </row>
    <row r="62" spans="1:8" ht="14.25" customHeight="1">
      <c r="A62" s="1637"/>
      <c r="B62" s="1640"/>
      <c r="C62" s="1641"/>
      <c r="D62" s="2804" t="s">
        <v>56</v>
      </c>
      <c r="E62" s="2804"/>
      <c r="F62" s="2804"/>
      <c r="G62" s="2804"/>
      <c r="H62" s="1903"/>
    </row>
    <row r="63" spans="1:8" ht="14.25" customHeight="1">
      <c r="A63" s="1637"/>
      <c r="B63" s="1642"/>
      <c r="C63" s="1630"/>
      <c r="D63" s="1907"/>
      <c r="E63" s="1907"/>
      <c r="F63" s="1907"/>
      <c r="G63" s="1907"/>
      <c r="H63" s="1903"/>
    </row>
    <row r="64" spans="1:8" ht="14.25" customHeight="1">
      <c r="A64" s="1637"/>
      <c r="B64" s="4126" t="s">
        <v>57</v>
      </c>
      <c r="C64" s="4126"/>
      <c r="D64" s="4127" t="s">
        <v>58</v>
      </c>
      <c r="E64" s="4127"/>
      <c r="F64" s="4127"/>
      <c r="G64" s="4127"/>
      <c r="H64" s="1903"/>
    </row>
    <row r="65" spans="1:8" ht="14.25" customHeight="1">
      <c r="A65" s="1637"/>
      <c r="B65" s="1642"/>
      <c r="C65" s="1630" t="s">
        <v>59</v>
      </c>
      <c r="D65" s="2800" t="s">
        <v>60</v>
      </c>
      <c r="E65" s="2800"/>
      <c r="F65" s="2800"/>
      <c r="G65" s="2800"/>
      <c r="H65" s="1903"/>
    </row>
    <row r="66" spans="1:8" ht="14.25" customHeight="1">
      <c r="A66" s="1637"/>
      <c r="B66" s="1642"/>
      <c r="C66" s="1643"/>
      <c r="D66" s="4128"/>
      <c r="E66" s="4128"/>
      <c r="F66" s="4128"/>
      <c r="G66" s="4128"/>
      <c r="H66" s="1903"/>
    </row>
    <row r="67" spans="1:8" ht="14.25" customHeight="1">
      <c r="A67" s="1637"/>
      <c r="B67" s="2801" t="s">
        <v>61</v>
      </c>
      <c r="C67" s="2801"/>
      <c r="D67" s="4127" t="s">
        <v>62</v>
      </c>
      <c r="E67" s="4127"/>
      <c r="F67" s="4127"/>
      <c r="G67" s="4127"/>
      <c r="H67" s="1903"/>
    </row>
    <row r="68" spans="1:8" ht="14.25" customHeight="1">
      <c r="A68" s="1637"/>
      <c r="B68" s="1629"/>
      <c r="C68" s="1630" t="s">
        <v>1</v>
      </c>
      <c r="D68" s="1638"/>
      <c r="E68" s="1638"/>
      <c r="F68" s="1638"/>
      <c r="G68" s="134"/>
      <c r="H68" s="1903"/>
    </row>
    <row r="69" spans="1:8" ht="11.25" customHeight="1">
      <c r="A69" s="1644"/>
      <c r="B69" s="1645"/>
      <c r="C69" s="1646"/>
      <c r="D69" s="1647"/>
      <c r="E69" s="1647"/>
      <c r="F69" s="2132"/>
      <c r="G69" s="2132"/>
      <c r="H69" s="1903"/>
    </row>
    <row r="70" spans="1:8" ht="11.25" customHeight="1">
      <c r="A70" s="2802" t="s">
        <v>63</v>
      </c>
      <c r="B70" s="2802"/>
      <c r="C70" s="2802"/>
      <c r="D70" s="1648"/>
      <c r="E70" s="1649"/>
      <c r="F70" s="2132"/>
      <c r="G70" s="2132"/>
      <c r="H70" s="1903"/>
    </row>
    <row r="71" spans="1:8" ht="10.9" customHeight="1">
      <c r="A71" s="2803" t="s">
        <v>64</v>
      </c>
      <c r="B71" s="2803"/>
      <c r="C71" s="2803"/>
      <c r="D71" s="2803"/>
      <c r="E71" s="2803"/>
      <c r="F71" s="2803"/>
      <c r="G71" s="2803"/>
      <c r="H71" s="1903"/>
    </row>
    <row r="72" spans="1:8">
      <c r="A72" s="1903"/>
      <c r="B72" s="1903"/>
      <c r="C72" s="1903"/>
      <c r="D72" s="1903"/>
      <c r="E72" s="1903"/>
      <c r="F72" s="2799" t="s">
        <v>65</v>
      </c>
      <c r="G72" s="2799"/>
      <c r="H72" s="1903"/>
    </row>
    <row r="73" spans="1:8">
      <c r="A73" s="1903"/>
      <c r="B73" s="1903"/>
      <c r="C73" s="1903"/>
      <c r="D73" s="1903"/>
      <c r="E73" s="1903"/>
      <c r="F73" s="1903"/>
      <c r="G73" s="1903"/>
      <c r="H73" s="1903"/>
    </row>
  </sheetData>
  <sheetProtection password="FA80" sheet="1" objects="1" scenarios="1"/>
  <mergeCells count="74">
    <mergeCell ref="F2:G2"/>
    <mergeCell ref="A3:G3"/>
    <mergeCell ref="A4:G4"/>
    <mergeCell ref="C1:F1"/>
    <mergeCell ref="A5:G5"/>
    <mergeCell ref="D7:G7"/>
    <mergeCell ref="B8:C8"/>
    <mergeCell ref="D8:G8"/>
    <mergeCell ref="D9:G9"/>
    <mergeCell ref="D10:G10"/>
    <mergeCell ref="D11:G11"/>
    <mergeCell ref="D12:G12"/>
    <mergeCell ref="D13:G13"/>
    <mergeCell ref="D14:G14"/>
    <mergeCell ref="E15:G15"/>
    <mergeCell ref="D16:G16"/>
    <mergeCell ref="E17:G17"/>
    <mergeCell ref="E18:G18"/>
    <mergeCell ref="E19:G19"/>
    <mergeCell ref="D20:G20"/>
    <mergeCell ref="D21:G21"/>
    <mergeCell ref="D22:G22"/>
    <mergeCell ref="D23:G23"/>
    <mergeCell ref="D24:G24"/>
    <mergeCell ref="D25:G25"/>
    <mergeCell ref="D26:G26"/>
    <mergeCell ref="D27:G27"/>
    <mergeCell ref="D28:G28"/>
    <mergeCell ref="D29:G29"/>
    <mergeCell ref="D30:G30"/>
    <mergeCell ref="B31:C31"/>
    <mergeCell ref="D31:G31"/>
    <mergeCell ref="D32:G32"/>
    <mergeCell ref="D33:G33"/>
    <mergeCell ref="D34:G34"/>
    <mergeCell ref="D35:G35"/>
    <mergeCell ref="B36:C36"/>
    <mergeCell ref="D36:G36"/>
    <mergeCell ref="D37:G37"/>
    <mergeCell ref="D38:G38"/>
    <mergeCell ref="D39:G39"/>
    <mergeCell ref="E40:G40"/>
    <mergeCell ref="D41:G41"/>
    <mergeCell ref="B42:C42"/>
    <mergeCell ref="D42:G42"/>
    <mergeCell ref="D43:G43"/>
    <mergeCell ref="D44:G44"/>
    <mergeCell ref="D45:G45"/>
    <mergeCell ref="E46:G46"/>
    <mergeCell ref="B48:C48"/>
    <mergeCell ref="D48:G48"/>
    <mergeCell ref="D49:G49"/>
    <mergeCell ref="D50:G50"/>
    <mergeCell ref="D51:G51"/>
    <mergeCell ref="B53:C53"/>
    <mergeCell ref="D53:G53"/>
    <mergeCell ref="D54:G54"/>
    <mergeCell ref="D55:G55"/>
    <mergeCell ref="B56:C56"/>
    <mergeCell ref="D56:G56"/>
    <mergeCell ref="B59:C59"/>
    <mergeCell ref="D61:G61"/>
    <mergeCell ref="D59:G59"/>
    <mergeCell ref="D60:G60"/>
    <mergeCell ref="D62:G62"/>
    <mergeCell ref="B64:C64"/>
    <mergeCell ref="D64:G64"/>
    <mergeCell ref="F72:G72"/>
    <mergeCell ref="D65:G65"/>
    <mergeCell ref="D66:G66"/>
    <mergeCell ref="B67:C67"/>
    <mergeCell ref="D67:G67"/>
    <mergeCell ref="A70:C70"/>
    <mergeCell ref="A71:G71"/>
  </mergeCells>
  <hyperlinks>
    <hyperlink ref="D8" location="'General Calc's'!B4" display="General Converters - volume, weights, temperature etc." xr:uid="{00000000-0004-0000-0000-000000000000}"/>
    <hyperlink ref="D9" location="'General Calc's'!B28" display="Malt &amp; Sugar Conversion Calculators" xr:uid="{00000000-0004-0000-0000-000001000000}"/>
    <hyperlink ref="D10" location="'General Calc's'!N37" display="Hydrometer Temperature Correction" xr:uid="{00000000-0004-0000-0000-000002000000}"/>
    <hyperlink ref="D13" location="'General Calc's'!B55" display="°Brix, Plato, Balling &amp; Baumé" xr:uid="{00000000-0004-0000-0000-000003000000}"/>
    <hyperlink ref="D14" location="'General Calc's'!B66" display="UK ̸ US Proof &amp; % Converters" xr:uid="{00000000-0004-0000-0000-000004000000}"/>
    <hyperlink ref="D23" location="'General Calc's'!B101" display="Making Beer &amp; Wine In Stages" xr:uid="{00000000-0004-0000-0000-000005000000}"/>
    <hyperlink ref="B31" location="'Beer Kit Calc's'!J1" display="Beer Kit Calculators" xr:uid="{00000000-0004-0000-0000-000006000000}"/>
    <hyperlink ref="D32" location="'Beer Kit Calc's'!B34" display="A Few Typical Beer Styles Carbonation Levels." xr:uid="{00000000-0004-0000-0000-000007000000}"/>
    <hyperlink ref="D16" location="'General Calc's'!B75" display="For ALL Grain Beers (mostly)" xr:uid="{00000000-0004-0000-0000-000008000000}"/>
    <hyperlink ref="B36" location="'Extract Calc'!I1" display="Malt Extract Calculator" xr:uid="{00000000-0004-0000-0000-000009000000}"/>
    <hyperlink ref="D37" location="'Extract Calc'!B8" display="Summary For The Finished Beer" xr:uid="{00000000-0004-0000-0000-00000A000000}"/>
    <hyperlink ref="D38" location="'Extract Calc'!K8" display="Calorie ̸ Carbohydrate ̸ Unit Data." xr:uid="{00000000-0004-0000-0000-00000B000000}"/>
    <hyperlink ref="D39" location="'Extract Calc'!B98" display="Technical Section" xr:uid="{00000000-0004-0000-0000-00000C000000}"/>
    <hyperlink ref="B42" location="'Beer Calc'!F1" display="Beer Calculator" xr:uid="{00000000-0004-0000-0000-00000D000000}"/>
    <hyperlink ref="D43" location="'Beer Calc'!B8" display="Summary For The Finished Beer" xr:uid="{00000000-0004-0000-0000-00000E000000}"/>
    <hyperlink ref="D44" location="'Beer Calc'!A85" display="Calorie ̸ Carbohydrate ̸ Unit Data." xr:uid="{00000000-0004-0000-0000-00000F000000}"/>
    <hyperlink ref="B53" location="'Beer Data Sheet'!P1" display="Beer Data Sheet" xr:uid="{00000000-0004-0000-0000-000010000000}"/>
    <hyperlink ref="D54" location="'Beer Data Sheet'!AI2" display="Some Beer Yeast Information" xr:uid="{00000000-0004-0000-0000-000011000000}"/>
    <hyperlink ref="B48" location="'Beer Scaling Calc'!F1" display="Beer Scaling Calculators Etc." xr:uid="{00000000-0004-0000-0000-000012000000}"/>
    <hyperlink ref="D49" location="'Beer Scaling Calc'!G15" display="General Recipe Comparator" xr:uid="{00000000-0004-0000-0000-000013000000}"/>
    <hyperlink ref="D50" location="'Beer Scaling Calc'!G81" display="Volume/Extract Converter" xr:uid="{00000000-0004-0000-0000-000014000000}"/>
    <hyperlink ref="D51" location="'Beer Scaling Calc'!B117" display="Piggy-Back Calc." xr:uid="{00000000-0004-0000-0000-000015000000}"/>
    <hyperlink ref="F51" location="'Beer Scaling Calc'!B117" display="'Beer Scaling Calc'!B117" xr:uid="{00000000-0004-0000-0000-000016000000}"/>
    <hyperlink ref="G51" location="'Beer Scaling Calc'!B117" display="'Beer Scaling Calc'!B117" xr:uid="{00000000-0004-0000-0000-000017000000}"/>
    <hyperlink ref="B59" location="'Primer'!D1" display="Priming Calc's. For Beers Etc." xr:uid="{00000000-0004-0000-0000-000018000000}"/>
    <hyperlink ref="D62" location="'Primer'!B53" display="Volume CO2 Converters to PSI or Atm. or Bar (Approx.)" xr:uid="{00000000-0004-0000-0000-000019000000}"/>
    <hyperlink ref="B64" location="'Water'!G1" display="Water Treatment Calculator" xr:uid="{00000000-0004-0000-0000-00001A000000}"/>
    <hyperlink ref="D65" location="'Water'!Q44" display="TCP Taste ̸ Aroma" xr:uid="{00000000-0004-0000-0000-00001B000000}"/>
    <hyperlink ref="B67" location="'BJCP'!F1" display="BJCP Guide" xr:uid="{00000000-0004-0000-0000-00001C000000}"/>
    <hyperlink ref="C67" location="'BJCP'!F1" display="'BJCP'!F1" xr:uid="{00000000-0004-0000-0000-00001D000000}"/>
    <hyperlink ref="B56" location="'Gluten-Free Calc'!G1" display="Gluten-Free Beer Calculator" xr:uid="{00000000-0004-0000-0000-00001E000000}"/>
    <hyperlink ref="C56" location="'Gluten-Free Calc'!G1" display="'Gluten-Free Calc'!G1" xr:uid="{00000000-0004-0000-0000-00001F000000}"/>
    <hyperlink ref="B31:C31" location="'Beer Kit'!I1" display="Beer Kit Calculators" xr:uid="{00000000-0004-0000-0000-000020000000}"/>
    <hyperlink ref="B56:C56" location="'Gluten-Free'!G1" display="Gluten-Free Beer Calculator" xr:uid="{00000000-0004-0000-0000-000021000000}"/>
    <hyperlink ref="B67:C67" location="BJCP!F1" display="BJCP Guide" xr:uid="{00000000-0004-0000-0000-000022000000}"/>
    <hyperlink ref="B64:C64" location="Water!I1" display="Water Treatment Calculator" xr:uid="{00000000-0004-0000-0000-000023000000}"/>
    <hyperlink ref="B59:C59" location="Primer!F1" display="Priming Calc's. For Beers Etc." xr:uid="{00000000-0004-0000-0000-000024000000}"/>
    <hyperlink ref="B48:C48" location="'Beer Scaling'!K1" display="Beer Scaling Calculators Etc." xr:uid="{00000000-0004-0000-0000-000025000000}"/>
    <hyperlink ref="B42:C42" location="Beer!N1" display="Beer Calculator" xr:uid="{00000000-0004-0000-0000-000026000000}"/>
    <hyperlink ref="B36:C36" location="Extract!P1" display="Malt Extract Calculator" xr:uid="{00000000-0004-0000-0000-000027000000}"/>
    <hyperlink ref="D8:G8" location="'General Calc''s'!B4" display="General Converters - volume, weights, temperature etc." xr:uid="{00000000-0004-0000-0000-000028000000}"/>
    <hyperlink ref="D9:G9" location="'General Calc''s'!B31" display="Malt &amp; Sugar Conversion Calculators" xr:uid="{00000000-0004-0000-0000-000029000000}"/>
    <hyperlink ref="D10:G10" location="'General Calc''s'!B41" display="Hydrometer Temperature Correction" xr:uid="{00000000-0004-0000-0000-00002A000000}"/>
    <hyperlink ref="D13:G13" location="'General Calc''s'!B72" display="°Brix, Plato, Balling &amp; Baumé" xr:uid="{00000000-0004-0000-0000-00002B000000}"/>
    <hyperlink ref="D14:G14" location="'General Calc''s'!A82" display="UK ̸ US Proof &amp; % Converters" xr:uid="{00000000-0004-0000-0000-00002C000000}"/>
    <hyperlink ref="D23:G23" location="'General Calc''s'!A144" display="Making Beer &amp; Wine In Stages" xr:uid="{00000000-0004-0000-0000-00002D000000}"/>
    <hyperlink ref="D32:G32" location="'Beer Kit'!A48" display="A Few Typical Beer Styles Carbonation Levels." xr:uid="{00000000-0004-0000-0000-00002E000000}"/>
    <hyperlink ref="D37:G37" location="Extract!E9" display="Summary For The Finished Beer" xr:uid="{00000000-0004-0000-0000-00002F000000}"/>
    <hyperlink ref="D38:G38" location="Extract!J9" display="Calorie ̸ Carbohydrate ̸ Unit Data." xr:uid="{00000000-0004-0000-0000-000030000000}"/>
    <hyperlink ref="D39:G39" location="Extract!A110" display="Technical Section" xr:uid="{00000000-0004-0000-0000-000031000000}"/>
    <hyperlink ref="D43:G43" location="Beer!D11" display="Summary For The Finished Beer" xr:uid="{00000000-0004-0000-0000-000032000000}"/>
    <hyperlink ref="D44:G44" location="Beer!I11" display="Calorie ̸ Carbohydrate ̸ Unit Data." xr:uid="{00000000-0004-0000-0000-000033000000}"/>
    <hyperlink ref="D49:G49" location="'Beer Scaling'!G21" display="General Recipe Comparator" xr:uid="{00000000-0004-0000-0000-000034000000}"/>
    <hyperlink ref="D51:G51" location="'Beer Scaling'!G126" display="Piggy-Back Calc." xr:uid="{00000000-0004-0000-0000-000035000000}"/>
    <hyperlink ref="D11" location="'General Calc''s'!M45" display="SG to % ABV Calculator" xr:uid="{00000000-0004-0000-0000-000036000000}"/>
    <hyperlink ref="D33" location="'Beer Kit'!B48" display="Priming Sugar." xr:uid="{00000000-0004-0000-0000-000037000000}"/>
    <hyperlink ref="D26" location="'General Calc's'!B75" display="Safe Drinking in the UK" xr:uid="{00000000-0004-0000-0000-000038000000}"/>
    <hyperlink ref="D26:G26" location="'General Calc''s'!A172" display="Safe Drinking in the UK" xr:uid="{00000000-0004-0000-0000-000039000000}"/>
    <hyperlink ref="D11:G11" location="'General Calc''s'!B50" display="SG to % ABV Calculator" xr:uid="{00000000-0004-0000-0000-00003A000000}"/>
    <hyperlink ref="D20" location="'General Calc''s'!B98" display="Sugar Solutions (Syrups)" xr:uid="{00000000-0004-0000-0000-00003B000000}"/>
    <hyperlink ref="D22" location="'General Calc''s'!B125" display="Malt Colour" xr:uid="{00000000-0004-0000-0000-00003C000000}"/>
    <hyperlink ref="D62:G62" location="Primer!A61" display="Volume CO2 Converters to PSI or Atm. or Bar (Approx.)" xr:uid="{00000000-0004-0000-0000-00003D000000}"/>
    <hyperlink ref="D27" location="'General Calc's'!B75" display="BMI  -  Waist to Height Ratio Calculators" xr:uid="{00000000-0004-0000-0000-00003E000000}"/>
    <hyperlink ref="D27:G27" location="'General Calc''s'!A181" display="BMI  -  Waist to Height Ratio Calculators" xr:uid="{00000000-0004-0000-0000-00003F000000}"/>
    <hyperlink ref="D20:G20" location="'General Calc''s'!A118" display="Sugar Solutions (Syrups)" xr:uid="{00000000-0004-0000-0000-000040000000}"/>
    <hyperlink ref="D33:G33" location="'Beer Kit'!B62" display="Priming Sugar." xr:uid="{00000000-0004-0000-0000-000041000000}"/>
    <hyperlink ref="D22:G22" location="'General Calc''s'!A135" display="Malt Colour" xr:uid="{00000000-0004-0000-0000-000042000000}"/>
    <hyperlink ref="D54:G54" location="'Beer Data Sheet'!AB3" display="Some Beer Yeast Information" xr:uid="{00000000-0004-0000-0000-000043000000}"/>
    <hyperlink ref="D65:G65" location="Water!K37" display="TCP Taste ̸ Aroma" xr:uid="{00000000-0004-0000-0000-000044000000}"/>
    <hyperlink ref="E19" location="'General Calc''s'!K102" display="Hop Calc's (for all beers)" xr:uid="{00000000-0004-0000-0000-000045000000}"/>
    <hyperlink ref="D16:G16" location="'General Calc''s'!A91" display="For ALL Grain Beers (mostly)" xr:uid="{00000000-0004-0000-0000-000046000000}"/>
    <hyperlink ref="D29" location="'General Calc''s'!A183" display="Some Typical Beer Drinking Temperatures (°C)." xr:uid="{00000000-0004-0000-0000-000047000000}"/>
    <hyperlink ref="D34:G34" location="'Beer Kit'!B72" display="Sugar Solutions (Syrups)" xr:uid="{00000000-0004-0000-0000-000048000000}"/>
    <hyperlink ref="D25" location="'General Calc''s'!A154" display="Priming" xr:uid="{00000000-0004-0000-0000-000049000000}"/>
    <hyperlink ref="D25:G25" location="'General Calc''s'!A162" display="Priming" xr:uid="{00000000-0004-0000-0000-00004A000000}"/>
    <hyperlink ref="D21:G21" location="'General Calc''s'!A123" display="Beer Colour" xr:uid="{00000000-0004-0000-0000-00004B000000}"/>
    <hyperlink ref="D24:G24" location="'General Calc''s'!A151" display="Reduced Alcohol Beers &amp; Wines" xr:uid="{00000000-0004-0000-0000-00004C000000}"/>
    <hyperlink ref="E17" location="'General Calc''s'!A100" display="Drying" xr:uid="{00000000-0004-0000-0000-00004D000000}"/>
    <hyperlink ref="D17" location="'General Calc''s'!A102" display="Hops" xr:uid="{00000000-0004-0000-0000-00004E000000}"/>
    <hyperlink ref="D12:G12" location="'General Calc''s'!B62" display="OG Correction For Beers &amp; Wines." xr:uid="{00000000-0004-0000-0000-00004F000000}"/>
    <hyperlink ref="E17:G17" location="'General Calc''s'!B102" display="Drying" xr:uid="{00000000-0004-0000-0000-000050000000}"/>
    <hyperlink ref="D45" location="'Extract Calc'!B98" display="Technical Section" xr:uid="{00000000-0004-0000-0000-000051000000}"/>
    <hyperlink ref="D45:G45" location="Beer!A102" display="Technical Section" xr:uid="{00000000-0004-0000-0000-000052000000}"/>
    <hyperlink ref="B53:C53" location="'Beer Data Sheet'!Q1" display="Beer Data Sheet" xr:uid="{00000000-0004-0000-0000-000053000000}"/>
    <hyperlink ref="D50:G50" location="'Beer Scaling'!G73" display="Volume/Extract Converter" xr:uid="{00000000-0004-0000-0000-000054000000}"/>
    <hyperlink ref="E19:G19" location="'General Calc''s'!K106" display="Hop Calc's (for all beers)" xr:uid="{00000000-0004-0000-0000-000055000000}"/>
    <hyperlink ref="E18:G18" location="'General Calc''s'!K102" display="Alpha Acid ̸ Weight Conversions" xr:uid="{00000000-0004-0000-0000-000056000000}"/>
    <hyperlink ref="B8:C8" location="'General Calc''s'!H1" display="General Calc's." xr:uid="{00000000-0004-0000-0000-000057000000}"/>
    <hyperlink ref="D28:G28" location="'General Calc''s'!B205" display="Beer, Wine &amp; Spirit Freezing Point" xr:uid="{00000000-0004-0000-0000-000058000000}"/>
    <hyperlink ref="D29:G29" location="'General Calc''s'!A210" display="Some Typical Beer Drinking Temperatures (°C)." xr:uid="{00000000-0004-0000-0000-000059000000}"/>
    <hyperlink ref="D61:G61" location="Primer!P5" display="More typical beer styles carbonation levels." xr:uid="{00000000-0004-0000-0000-00005A000000}"/>
    <hyperlink ref="D31:G31" location="'Beer Kit'!B7" display="Beer Kit Modifier &amp; Comparator" xr:uid="{00000000-0004-0000-0000-00005B000000}"/>
    <hyperlink ref="D31" location="'Beer Kit Calc's'!B8" display="Beer Kit Modifier &amp; Comparator" xr:uid="{00000000-0004-0000-0000-00005C000000}"/>
  </hyperlinks>
  <printOptions horizontalCentered="1"/>
  <pageMargins left="0.59055118110236204" right="0.59055118110236204" top="0.39370078740157499" bottom="0.66929133858267698" header="0.31496062992126" footer="0.66"/>
  <pageSetup paperSize="9" scale="73"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pageSetUpPr fitToPage="1"/>
  </sheetPr>
  <dimension ref="A1:Z53"/>
  <sheetViews>
    <sheetView topLeftCell="A22" zoomScale="70" zoomScaleNormal="70" zoomScaleSheetLayoutView="75" workbookViewId="0">
      <selection activeCell="S49" sqref="S49"/>
    </sheetView>
  </sheetViews>
  <sheetFormatPr defaultColWidth="8.28515625" defaultRowHeight="13.9"/>
  <cols>
    <col min="1" max="1" width="31.28515625" style="78" customWidth="1"/>
    <col min="2" max="3" width="10.140625" style="78" customWidth="1"/>
    <col min="4" max="9" width="8.5703125" style="78" customWidth="1"/>
    <col min="10" max="10" width="2.7109375" style="78" customWidth="1"/>
    <col min="11" max="18" width="12.140625" style="78" customWidth="1"/>
    <col min="19" max="19" width="32.5703125" style="78" customWidth="1"/>
    <col min="20" max="20" width="2.85546875" style="79" customWidth="1"/>
    <col min="21" max="16384" width="8.28515625" style="79"/>
  </cols>
  <sheetData>
    <row r="1" spans="1:26" ht="36.75" customHeight="1">
      <c r="A1" s="2166"/>
      <c r="B1" s="80"/>
      <c r="C1" s="81"/>
      <c r="D1" s="82"/>
      <c r="E1" s="82"/>
      <c r="F1" s="3964" t="s">
        <v>1663</v>
      </c>
      <c r="G1" s="3964"/>
      <c r="H1" s="3964"/>
      <c r="I1" s="3964"/>
      <c r="J1" s="3964"/>
      <c r="K1" s="3964"/>
      <c r="L1" s="3964"/>
      <c r="M1" s="3964"/>
      <c r="N1" s="3964"/>
      <c r="O1" s="3964"/>
      <c r="P1" s="80"/>
      <c r="Q1" s="80"/>
      <c r="R1" s="80"/>
      <c r="S1" s="2188" t="s">
        <v>1</v>
      </c>
      <c r="T1" s="114"/>
      <c r="U1" s="1806"/>
      <c r="V1" s="1806"/>
      <c r="W1" s="1806"/>
      <c r="X1" s="1806"/>
      <c r="Y1" s="1806"/>
      <c r="Z1" s="1806"/>
    </row>
    <row r="2" spans="1:26" ht="15" customHeight="1">
      <c r="A2" s="85"/>
      <c r="B2" s="80"/>
      <c r="C2" s="81"/>
      <c r="D2" s="82"/>
      <c r="E2" s="82"/>
      <c r="F2" s="82"/>
      <c r="G2" s="4059" t="s">
        <v>1664</v>
      </c>
      <c r="H2" s="4059"/>
      <c r="I2" s="4059"/>
      <c r="J2" s="4059"/>
      <c r="K2" s="4059"/>
      <c r="L2" s="4059"/>
      <c r="M2" s="4059"/>
      <c r="N2" s="4059"/>
      <c r="O2" s="4059"/>
      <c r="P2" s="80"/>
      <c r="Q2" s="80"/>
      <c r="R2" s="80"/>
      <c r="S2" s="2189"/>
      <c r="T2" s="114"/>
      <c r="U2" s="1806"/>
      <c r="V2" s="1806"/>
      <c r="W2" s="1806"/>
      <c r="X2" s="1806"/>
      <c r="Y2" s="1806"/>
      <c r="Z2" s="1806"/>
    </row>
    <row r="3" spans="1:26" ht="15" customHeight="1">
      <c r="A3" s="85"/>
      <c r="B3" s="84"/>
      <c r="C3" s="84"/>
      <c r="D3" s="84"/>
      <c r="E3" s="84"/>
      <c r="F3" s="84"/>
      <c r="G3" s="84"/>
      <c r="H3" s="84"/>
      <c r="I3" s="84"/>
      <c r="J3" s="84"/>
      <c r="K3" s="84"/>
      <c r="L3" s="84"/>
      <c r="M3" s="89"/>
      <c r="N3" s="84"/>
      <c r="O3" s="4061" t="s">
        <v>153</v>
      </c>
      <c r="P3" s="4061"/>
      <c r="Q3" s="4061"/>
      <c r="R3" s="4061"/>
      <c r="S3" s="83"/>
      <c r="T3" s="114"/>
      <c r="U3" s="1806"/>
      <c r="V3" s="1806"/>
      <c r="W3" s="1806"/>
      <c r="X3" s="1806"/>
      <c r="Y3" s="1806"/>
      <c r="Z3" s="1806"/>
    </row>
    <row r="4" spans="1:26" ht="15" customHeight="1">
      <c r="A4" s="85"/>
      <c r="B4" s="86"/>
      <c r="C4" s="4051" t="s">
        <v>67</v>
      </c>
      <c r="D4" s="4051"/>
      <c r="E4" s="4051"/>
      <c r="F4" s="4051"/>
      <c r="G4" s="4051"/>
      <c r="H4" s="84"/>
      <c r="I4" s="4052" t="s">
        <v>1499</v>
      </c>
      <c r="J4" s="4052"/>
      <c r="K4" s="4052"/>
      <c r="L4" s="4052"/>
      <c r="M4" s="4052"/>
      <c r="N4" s="84"/>
      <c r="O4" s="4061"/>
      <c r="P4" s="4061"/>
      <c r="Q4" s="4061"/>
      <c r="R4" s="4061"/>
      <c r="S4" s="114" t="s">
        <v>1246</v>
      </c>
      <c r="T4" s="114"/>
      <c r="U4" s="1806"/>
      <c r="V4" s="1806"/>
      <c r="W4" s="1806"/>
      <c r="X4" s="1806"/>
      <c r="Y4" s="1806"/>
      <c r="Z4" s="1806"/>
    </row>
    <row r="5" spans="1:26" ht="15" customHeight="1">
      <c r="A5" s="85"/>
      <c r="B5" s="84"/>
      <c r="C5" s="84"/>
      <c r="D5" s="84"/>
      <c r="E5" s="84"/>
      <c r="F5" s="84"/>
      <c r="G5" s="84"/>
      <c r="H5" s="84"/>
      <c r="I5" s="84"/>
      <c r="J5" s="84"/>
      <c r="K5" s="1952"/>
      <c r="L5" s="1952"/>
      <c r="M5" s="84"/>
      <c r="N5" s="115"/>
      <c r="O5" s="4061"/>
      <c r="P5" s="4061"/>
      <c r="Q5" s="4061"/>
      <c r="R5" s="4061"/>
      <c r="S5" s="83"/>
      <c r="T5" s="114"/>
      <c r="U5" s="1806"/>
      <c r="V5" s="1806"/>
      <c r="W5" s="1806"/>
      <c r="X5" s="1806"/>
      <c r="Y5" s="1806"/>
      <c r="Z5" s="1806"/>
    </row>
    <row r="6" spans="1:26" ht="15" customHeight="1">
      <c r="A6" s="87" t="s">
        <v>1665</v>
      </c>
      <c r="B6" s="88">
        <v>23</v>
      </c>
      <c r="C6" s="4055" t="s">
        <v>1666</v>
      </c>
      <c r="D6" s="4055"/>
      <c r="E6" s="4055"/>
      <c r="F6" s="4055"/>
      <c r="G6" s="4055"/>
      <c r="H6" s="4055"/>
      <c r="I6" s="84"/>
      <c r="J6" s="80"/>
      <c r="K6" s="116"/>
      <c r="L6" s="116"/>
      <c r="M6" s="117"/>
      <c r="N6" s="117"/>
      <c r="O6" s="117"/>
      <c r="P6" s="117"/>
      <c r="Q6" s="117"/>
      <c r="R6" s="117"/>
      <c r="S6" s="114"/>
      <c r="T6" s="114"/>
      <c r="U6" s="1806"/>
      <c r="V6" s="1806"/>
      <c r="W6" s="1806"/>
      <c r="X6" s="1806"/>
      <c r="Y6" s="1806"/>
      <c r="Z6" s="1806"/>
    </row>
    <row r="7" spans="1:26" ht="15" customHeight="1">
      <c r="A7" s="83"/>
      <c r="B7" s="89"/>
      <c r="C7" s="89"/>
      <c r="D7" s="89"/>
      <c r="E7" s="90"/>
      <c r="F7" s="90"/>
      <c r="G7" s="90"/>
      <c r="H7" s="90"/>
      <c r="I7" s="90"/>
      <c r="J7" s="80"/>
      <c r="K7" s="118"/>
      <c r="L7" s="118"/>
      <c r="M7" s="119" t="s">
        <v>1667</v>
      </c>
      <c r="N7" s="119" t="s">
        <v>1668</v>
      </c>
      <c r="O7" s="120" t="s">
        <v>1669</v>
      </c>
      <c r="P7" s="120" t="s">
        <v>1670</v>
      </c>
      <c r="Q7" s="120" t="s">
        <v>1671</v>
      </c>
      <c r="R7" s="120" t="s">
        <v>1672</v>
      </c>
      <c r="S7" s="114"/>
      <c r="T7" s="114"/>
      <c r="U7" s="1806"/>
      <c r="V7" s="1806"/>
      <c r="W7" s="1806"/>
      <c r="X7" s="1806"/>
      <c r="Y7" s="1806"/>
      <c r="Z7" s="1806"/>
    </row>
    <row r="8" spans="1:26" ht="15" customHeight="1">
      <c r="A8" s="80"/>
      <c r="B8" s="80"/>
      <c r="C8" s="80"/>
      <c r="D8" s="2103" t="s">
        <v>1673</v>
      </c>
      <c r="E8" s="2103" t="s">
        <v>1674</v>
      </c>
      <c r="F8" s="2103" t="s">
        <v>1675</v>
      </c>
      <c r="G8" s="2103" t="s">
        <v>1676</v>
      </c>
      <c r="H8" s="2103" t="s">
        <v>1677</v>
      </c>
      <c r="I8" s="2103" t="s">
        <v>1678</v>
      </c>
      <c r="J8" s="84"/>
      <c r="K8" s="4050" t="s">
        <v>1679</v>
      </c>
      <c r="L8" s="4050"/>
      <c r="M8" s="2103" t="s">
        <v>1673</v>
      </c>
      <c r="N8" s="2103" t="s">
        <v>1674</v>
      </c>
      <c r="O8" s="2103" t="s">
        <v>1675</v>
      </c>
      <c r="P8" s="2103" t="s">
        <v>1676</v>
      </c>
      <c r="Q8" s="2103" t="s">
        <v>1677</v>
      </c>
      <c r="R8" s="2104" t="s">
        <v>1678</v>
      </c>
      <c r="S8" s="2105" t="s">
        <v>1680</v>
      </c>
      <c r="T8" s="114"/>
      <c r="U8" s="1806"/>
      <c r="V8" s="1806"/>
      <c r="W8" s="1806"/>
      <c r="X8" s="1806"/>
      <c r="Y8" s="1806"/>
      <c r="Z8" s="1806"/>
    </row>
    <row r="9" spans="1:26" ht="15" customHeight="1">
      <c r="A9" s="80"/>
      <c r="B9" s="4058" t="s">
        <v>1681</v>
      </c>
      <c r="C9" s="4058"/>
      <c r="D9" s="91" t="s">
        <v>1682</v>
      </c>
      <c r="E9" s="92" t="s">
        <v>1683</v>
      </c>
      <c r="F9" s="92" t="s">
        <v>1683</v>
      </c>
      <c r="G9" s="92" t="s">
        <v>1684</v>
      </c>
      <c r="H9" s="92" t="s">
        <v>1684</v>
      </c>
      <c r="I9" s="92" t="s">
        <v>1683</v>
      </c>
      <c r="J9" s="80"/>
      <c r="K9" s="4048" t="s">
        <v>1685</v>
      </c>
      <c r="L9" s="4048"/>
      <c r="M9" s="2101">
        <v>268</v>
      </c>
      <c r="N9" s="2101">
        <v>62</v>
      </c>
      <c r="O9" s="2101">
        <v>30</v>
      </c>
      <c r="P9" s="2101">
        <v>141</v>
      </c>
      <c r="Q9" s="2101">
        <v>638</v>
      </c>
      <c r="R9" s="2101">
        <v>36</v>
      </c>
      <c r="S9" s="2106" t="s">
        <v>1686</v>
      </c>
      <c r="T9" s="114"/>
      <c r="U9" s="1806"/>
      <c r="V9" s="1806"/>
      <c r="W9" s="1806"/>
      <c r="X9" s="1806"/>
      <c r="Y9" s="1806"/>
      <c r="Z9" s="1806"/>
    </row>
    <row r="10" spans="1:26" ht="15" customHeight="1">
      <c r="A10" s="93" t="s">
        <v>1687</v>
      </c>
      <c r="B10" s="94" t="s">
        <v>1688</v>
      </c>
      <c r="C10" s="94" t="s">
        <v>1689</v>
      </c>
      <c r="D10" s="95"/>
      <c r="E10" s="95"/>
      <c r="F10" s="95"/>
      <c r="G10" s="96"/>
      <c r="H10" s="96"/>
      <c r="I10" s="95"/>
      <c r="J10" s="80"/>
      <c r="K10" s="4049" t="s">
        <v>1690</v>
      </c>
      <c r="L10" s="4049"/>
      <c r="M10" s="2101">
        <v>260</v>
      </c>
      <c r="N10" s="2101">
        <v>23</v>
      </c>
      <c r="O10" s="2101">
        <v>69</v>
      </c>
      <c r="P10" s="2101">
        <v>270</v>
      </c>
      <c r="Q10" s="2101">
        <v>240</v>
      </c>
      <c r="R10" s="2101">
        <v>106</v>
      </c>
      <c r="S10" s="2106" t="s">
        <v>1691</v>
      </c>
      <c r="T10" s="114"/>
      <c r="U10" s="1806"/>
      <c r="V10" s="1806"/>
      <c r="W10" s="1806"/>
      <c r="X10" s="1806"/>
      <c r="Y10" s="1806"/>
      <c r="Z10" s="1806"/>
    </row>
    <row r="11" spans="1:26" ht="15" customHeight="1">
      <c r="A11" s="97" t="s">
        <v>1692</v>
      </c>
      <c r="B11" s="2100">
        <v>1</v>
      </c>
      <c r="C11" s="98">
        <f t="shared" ref="C11:C16" si="0">B11/C39</f>
        <v>0.22727272727272727</v>
      </c>
      <c r="D11" s="2107"/>
      <c r="E11" s="95"/>
      <c r="F11" s="2108">
        <f>$B11*F39/$B$6</f>
        <v>12.343695652173912</v>
      </c>
      <c r="G11" s="2108">
        <f>$B11*G39/$B$6</f>
        <v>31.270695652173913</v>
      </c>
      <c r="H11" s="95"/>
      <c r="I11" s="95"/>
      <c r="J11" s="80"/>
      <c r="K11" s="4049" t="s">
        <v>1693</v>
      </c>
      <c r="L11" s="4049"/>
      <c r="M11" s="2101">
        <v>119</v>
      </c>
      <c r="N11" s="2101">
        <v>4</v>
      </c>
      <c r="O11" s="2101">
        <v>12</v>
      </c>
      <c r="P11" s="2101">
        <v>319</v>
      </c>
      <c r="Q11" s="2101">
        <v>53</v>
      </c>
      <c r="R11" s="2101">
        <v>19</v>
      </c>
      <c r="S11" s="2106" t="s">
        <v>1694</v>
      </c>
      <c r="T11" s="114"/>
      <c r="U11" s="1806"/>
      <c r="V11" s="1806"/>
      <c r="W11" s="1806"/>
      <c r="X11" s="1806"/>
      <c r="Y11" s="1806"/>
      <c r="Z11" s="1806"/>
    </row>
    <row r="12" spans="1:26" ht="15" customHeight="1">
      <c r="A12" s="97" t="s">
        <v>1695</v>
      </c>
      <c r="B12" s="2100">
        <v>0.3</v>
      </c>
      <c r="C12" s="1792">
        <f t="shared" si="0"/>
        <v>7.4999999999999997E-2</v>
      </c>
      <c r="D12" s="2109">
        <f>$B12*D40/$B$6</f>
        <v>3.5549843478260867</v>
      </c>
      <c r="E12" s="95"/>
      <c r="F12" s="95"/>
      <c r="G12" s="95"/>
      <c r="H12" s="2107"/>
      <c r="I12" s="2110">
        <f>$B12*I40/$B$6</f>
        <v>6.2705973913043476</v>
      </c>
      <c r="J12" s="80"/>
      <c r="K12" s="4049" t="s">
        <v>1696</v>
      </c>
      <c r="L12" s="4049"/>
      <c r="M12" s="2101">
        <v>140</v>
      </c>
      <c r="N12" s="2101">
        <v>36</v>
      </c>
      <c r="O12" s="2101">
        <v>92</v>
      </c>
      <c r="P12" s="2101">
        <v>270</v>
      </c>
      <c r="Q12" s="2101">
        <v>231</v>
      </c>
      <c r="R12" s="2101">
        <v>60</v>
      </c>
      <c r="S12" s="2106" t="s">
        <v>1697</v>
      </c>
      <c r="T12" s="114"/>
      <c r="U12" s="1806"/>
      <c r="V12" s="1806"/>
      <c r="W12" s="1806"/>
      <c r="X12" s="1806"/>
      <c r="Y12" s="1806"/>
      <c r="Z12" s="1806"/>
    </row>
    <row r="13" spans="1:26" ht="15" customHeight="1">
      <c r="A13" s="97" t="s">
        <v>1698</v>
      </c>
      <c r="B13" s="2100">
        <v>1</v>
      </c>
      <c r="C13" s="1792">
        <f t="shared" si="0"/>
        <v>0.55555555555555558</v>
      </c>
      <c r="D13" s="2109">
        <f>$B13*D41/$B$6</f>
        <v>17.445756521739131</v>
      </c>
      <c r="E13" s="2107"/>
      <c r="F13" s="95"/>
      <c r="G13" s="2110">
        <f>$B13*G41/$B$6</f>
        <v>26.168634782608695</v>
      </c>
      <c r="H13" s="2107"/>
      <c r="I13" s="95"/>
      <c r="J13" s="80"/>
      <c r="K13" s="4049" t="s">
        <v>1699</v>
      </c>
      <c r="L13" s="4049"/>
      <c r="M13" s="2101">
        <v>90</v>
      </c>
      <c r="N13" s="2101">
        <v>4.2</v>
      </c>
      <c r="O13" s="2101">
        <v>24</v>
      </c>
      <c r="P13" s="2101">
        <v>123</v>
      </c>
      <c r="Q13" s="2101">
        <v>58</v>
      </c>
      <c r="R13" s="2101">
        <v>18</v>
      </c>
      <c r="S13" s="2106" t="s">
        <v>1700</v>
      </c>
      <c r="T13" s="114"/>
      <c r="U13" s="1806"/>
      <c r="V13" s="1806"/>
      <c r="W13" s="1806"/>
      <c r="X13" s="1806"/>
      <c r="Y13" s="1806"/>
      <c r="Z13" s="1806"/>
    </row>
    <row r="14" spans="1:26" ht="15" customHeight="1">
      <c r="A14" s="97" t="s">
        <v>1701</v>
      </c>
      <c r="B14" s="2100">
        <v>4.25</v>
      </c>
      <c r="C14" s="1792">
        <f t="shared" si="0"/>
        <v>1.0625</v>
      </c>
      <c r="D14" s="2111"/>
      <c r="E14" s="2112">
        <f>$B14*E42/$B$6</f>
        <v>18.186378260869564</v>
      </c>
      <c r="F14" s="2113" t="s">
        <v>148</v>
      </c>
      <c r="G14" s="95"/>
      <c r="H14" s="2108">
        <f>$B14*H42/$B$6</f>
        <v>72.046036956521746</v>
      </c>
      <c r="I14" s="2107"/>
      <c r="J14" s="80"/>
      <c r="K14" s="4049" t="s">
        <v>1702</v>
      </c>
      <c r="L14" s="4049"/>
      <c r="M14" s="2101">
        <v>80</v>
      </c>
      <c r="N14" s="2101">
        <v>19</v>
      </c>
      <c r="O14" s="2101">
        <v>1</v>
      </c>
      <c r="P14" s="2101">
        <v>164</v>
      </c>
      <c r="Q14" s="2101">
        <v>5</v>
      </c>
      <c r="R14" s="2101">
        <v>1</v>
      </c>
      <c r="S14" s="2106" t="s">
        <v>1703</v>
      </c>
      <c r="T14" s="114"/>
      <c r="U14" s="1806"/>
      <c r="V14" s="1806"/>
      <c r="W14" s="1806"/>
      <c r="X14" s="1806"/>
      <c r="Y14" s="1806"/>
      <c r="Z14" s="1806"/>
    </row>
    <row r="15" spans="1:26" ht="15" customHeight="1">
      <c r="A15" s="97" t="s">
        <v>1704</v>
      </c>
      <c r="B15" s="2100"/>
      <c r="C15" s="1792">
        <f t="shared" si="0"/>
        <v>0</v>
      </c>
      <c r="D15" s="2109">
        <f>$B15*D43/$B$6</f>
        <v>0</v>
      </c>
      <c r="E15" s="2111"/>
      <c r="F15" s="95"/>
      <c r="G15" s="95"/>
      <c r="H15" s="2108">
        <f>$B15*H43/$B$6</f>
        <v>0</v>
      </c>
      <c r="I15" s="2107"/>
      <c r="J15" s="80"/>
      <c r="K15" s="4048" t="s">
        <v>1705</v>
      </c>
      <c r="L15" s="4048"/>
      <c r="M15" s="2101">
        <v>7</v>
      </c>
      <c r="N15" s="2101">
        <v>0.8</v>
      </c>
      <c r="O15" s="2101">
        <v>3.2</v>
      </c>
      <c r="P15" s="2101">
        <v>9</v>
      </c>
      <c r="Q15" s="2101">
        <v>5.8</v>
      </c>
      <c r="R15" s="2101">
        <v>5</v>
      </c>
      <c r="S15" s="2106" t="s">
        <v>1706</v>
      </c>
      <c r="T15" s="114"/>
      <c r="U15" s="1806"/>
      <c r="V15" s="1806"/>
      <c r="W15" s="1806"/>
      <c r="X15" s="1806"/>
      <c r="Y15" s="1806"/>
      <c r="Z15" s="1806"/>
    </row>
    <row r="16" spans="1:26" ht="15" customHeight="1">
      <c r="A16" s="97" t="s">
        <v>1707</v>
      </c>
      <c r="B16" s="2100"/>
      <c r="C16" s="1792">
        <f t="shared" si="0"/>
        <v>0</v>
      </c>
      <c r="D16" s="2111"/>
      <c r="E16" s="2111"/>
      <c r="F16" s="2108">
        <f>$B16*F44/$B$6</f>
        <v>0</v>
      </c>
      <c r="G16" s="95"/>
      <c r="H16" s="95"/>
      <c r="I16" s="2110">
        <f>$B16*I44/$B$6</f>
        <v>0</v>
      </c>
      <c r="J16" s="2114"/>
      <c r="K16" s="4049" t="s">
        <v>281</v>
      </c>
      <c r="L16" s="4049"/>
      <c r="M16" s="2101">
        <v>200</v>
      </c>
      <c r="N16" s="2101">
        <v>60</v>
      </c>
      <c r="O16" s="2101">
        <v>8</v>
      </c>
      <c r="P16" s="2101">
        <v>120</v>
      </c>
      <c r="Q16" s="2101">
        <v>125</v>
      </c>
      <c r="R16" s="2101">
        <v>12</v>
      </c>
      <c r="S16" s="2106" t="s">
        <v>1708</v>
      </c>
      <c r="T16" s="114"/>
      <c r="U16" s="1806"/>
      <c r="V16" s="1806"/>
      <c r="W16" s="1806"/>
      <c r="X16" s="1806"/>
      <c r="Y16" s="1806"/>
      <c r="Z16" s="1806"/>
    </row>
    <row r="17" spans="1:26" ht="15" customHeight="1">
      <c r="A17" s="99" t="s">
        <v>1709</v>
      </c>
      <c r="B17" s="4056" t="s">
        <v>1705</v>
      </c>
      <c r="C17" s="4057"/>
      <c r="D17" s="2101">
        <v>7</v>
      </c>
      <c r="E17" s="2102">
        <v>0.8</v>
      </c>
      <c r="F17" s="2101">
        <v>3.2</v>
      </c>
      <c r="G17" s="2101">
        <v>9</v>
      </c>
      <c r="H17" s="2101">
        <v>5.8</v>
      </c>
      <c r="I17" s="2101">
        <v>5</v>
      </c>
      <c r="J17" s="2114"/>
      <c r="K17" s="4049" t="s">
        <v>1710</v>
      </c>
      <c r="L17" s="4049"/>
      <c r="M17" s="2101">
        <v>105</v>
      </c>
      <c r="N17" s="2101">
        <v>17</v>
      </c>
      <c r="O17" s="2101">
        <v>23</v>
      </c>
      <c r="P17" s="2101">
        <v>153</v>
      </c>
      <c r="Q17" s="2101">
        <v>66</v>
      </c>
      <c r="R17" s="2101">
        <v>30</v>
      </c>
      <c r="S17" s="2106" t="s">
        <v>1711</v>
      </c>
      <c r="T17" s="114"/>
      <c r="U17" s="1806"/>
      <c r="V17" s="1806"/>
      <c r="W17" s="1806"/>
      <c r="X17" s="1806"/>
      <c r="Y17" s="1806"/>
      <c r="Z17" s="1806"/>
    </row>
    <row r="18" spans="1:26" ht="15" customHeight="1">
      <c r="A18" s="100"/>
      <c r="B18" s="4060" t="s">
        <v>1712</v>
      </c>
      <c r="C18" s="4060"/>
      <c r="D18" s="2115">
        <f>SUM(D11:D16)</f>
        <v>21.000740869565217</v>
      </c>
      <c r="E18" s="2116">
        <f t="shared" ref="E18" si="1">SUM(E11:E16)</f>
        <v>18.186378260869564</v>
      </c>
      <c r="F18" s="2115">
        <f t="shared" ref="F18:I18" si="2">SUM(F11:F16)</f>
        <v>12.343695652173912</v>
      </c>
      <c r="G18" s="2115">
        <f t="shared" si="2"/>
        <v>57.439330434782605</v>
      </c>
      <c r="H18" s="2115">
        <f t="shared" si="2"/>
        <v>72.046036956521746</v>
      </c>
      <c r="I18" s="2115">
        <f t="shared" si="2"/>
        <v>6.2705973913043476</v>
      </c>
      <c r="J18" s="2114"/>
      <c r="K18" s="4048" t="s">
        <v>1713</v>
      </c>
      <c r="L18" s="4048"/>
      <c r="M18" s="2100">
        <v>58.2</v>
      </c>
      <c r="N18" s="2100">
        <v>28.2</v>
      </c>
      <c r="O18" s="2100">
        <v>14.5</v>
      </c>
      <c r="P18" s="2100">
        <v>247</v>
      </c>
      <c r="Q18" s="2100">
        <v>76</v>
      </c>
      <c r="R18" s="2100">
        <v>12</v>
      </c>
      <c r="S18" s="2117" t="s">
        <v>1714</v>
      </c>
      <c r="T18" s="114"/>
      <c r="U18" s="1806"/>
      <c r="V18" s="1806"/>
      <c r="W18" s="1806"/>
      <c r="X18" s="1806"/>
      <c r="Y18" s="1806"/>
      <c r="Z18" s="1806"/>
    </row>
    <row r="19" spans="1:26" ht="15" customHeight="1">
      <c r="A19" s="101" t="s">
        <v>368</v>
      </c>
      <c r="B19" s="4063" t="s">
        <v>1715</v>
      </c>
      <c r="C19" s="4063"/>
      <c r="D19" s="102">
        <f t="shared" ref="D19:I19" si="3">D17+D18</f>
        <v>28.000740869565217</v>
      </c>
      <c r="E19" s="1794">
        <f t="shared" si="3"/>
        <v>18.986378260869564</v>
      </c>
      <c r="F19" s="102">
        <f t="shared" si="3"/>
        <v>15.543695652173913</v>
      </c>
      <c r="G19" s="102">
        <f t="shared" si="3"/>
        <v>66.439330434782605</v>
      </c>
      <c r="H19" s="102">
        <f t="shared" si="3"/>
        <v>77.846036956521743</v>
      </c>
      <c r="I19" s="102">
        <f t="shared" si="3"/>
        <v>11.270597391304348</v>
      </c>
      <c r="J19" s="80"/>
      <c r="K19" s="4064" t="s">
        <v>1716</v>
      </c>
      <c r="L19" s="4064"/>
      <c r="M19" s="4064"/>
      <c r="N19" s="4062" t="s">
        <v>1717</v>
      </c>
      <c r="O19" s="4062"/>
      <c r="P19" s="4062"/>
      <c r="Q19" s="4062"/>
      <c r="R19" s="123"/>
      <c r="S19" s="112"/>
      <c r="T19" s="114"/>
      <c r="U19" s="1806"/>
      <c r="V19" s="1806"/>
      <c r="W19" s="1806"/>
      <c r="X19" s="1806"/>
      <c r="Y19" s="1806"/>
      <c r="Z19" s="1806"/>
    </row>
    <row r="20" spans="1:26" ht="15" customHeight="1">
      <c r="A20" s="103" t="s">
        <v>1718</v>
      </c>
      <c r="B20" s="4048" t="s">
        <v>1713</v>
      </c>
      <c r="C20" s="4048"/>
      <c r="D20" s="2100">
        <v>58.2</v>
      </c>
      <c r="E20" s="2100">
        <v>28.2</v>
      </c>
      <c r="F20" s="2100">
        <v>14.7</v>
      </c>
      <c r="G20" s="2100">
        <v>247</v>
      </c>
      <c r="H20" s="2100">
        <v>76</v>
      </c>
      <c r="I20" s="2100">
        <v>12</v>
      </c>
      <c r="J20" s="80"/>
      <c r="K20" s="114"/>
      <c r="L20" s="114"/>
      <c r="M20" s="114"/>
      <c r="N20" s="114"/>
      <c r="O20" s="114"/>
      <c r="P20" s="114"/>
      <c r="Q20" s="114"/>
      <c r="R20" s="114"/>
      <c r="S20" s="114"/>
      <c r="T20" s="114"/>
      <c r="U20" s="1806"/>
      <c r="V20" s="1806"/>
      <c r="W20" s="1806"/>
      <c r="X20" s="1806"/>
      <c r="Y20" s="1806"/>
      <c r="Z20" s="1806"/>
    </row>
    <row r="21" spans="1:26" ht="15" customHeight="1">
      <c r="A21" s="104"/>
      <c r="B21" s="4053" t="s">
        <v>1719</v>
      </c>
      <c r="C21" s="4053"/>
      <c r="D21" s="105">
        <f>D20-D19</f>
        <v>30.199259130434786</v>
      </c>
      <c r="E21" s="1795">
        <f t="shared" ref="E21" si="4">E20-E19</f>
        <v>9.2136217391304349</v>
      </c>
      <c r="F21" s="105">
        <f t="shared" ref="F21:I21" si="5">F20-F19</f>
        <v>-0.8436956521739134</v>
      </c>
      <c r="G21" s="105">
        <f t="shared" si="5"/>
        <v>180.56066956521738</v>
      </c>
      <c r="H21" s="106">
        <f t="shared" si="5"/>
        <v>-1.8460369565217434</v>
      </c>
      <c r="I21" s="105">
        <f t="shared" si="5"/>
        <v>0.72940260869565243</v>
      </c>
      <c r="J21" s="80"/>
      <c r="K21" s="4054" t="s">
        <v>1720</v>
      </c>
      <c r="L21" s="4054"/>
      <c r="M21" s="4054"/>
      <c r="N21" s="4054"/>
      <c r="O21" s="4054"/>
      <c r="P21" s="4054"/>
      <c r="Q21" s="4054"/>
      <c r="R21" s="4054"/>
      <c r="S21" s="4054"/>
      <c r="T21" s="114"/>
      <c r="U21" s="1806"/>
      <c r="V21" s="1806"/>
      <c r="W21" s="1806"/>
      <c r="X21" s="1806"/>
      <c r="Y21" s="1806"/>
      <c r="Z21" s="1806"/>
    </row>
    <row r="22" spans="1:26" ht="15" customHeight="1">
      <c r="A22" s="104"/>
      <c r="B22" s="107"/>
      <c r="C22" s="107"/>
      <c r="D22" s="108"/>
      <c r="E22" s="108"/>
      <c r="F22" s="108"/>
      <c r="G22" s="108"/>
      <c r="H22" s="108"/>
      <c r="I22" s="108"/>
      <c r="J22" s="80"/>
      <c r="K22" s="1953"/>
      <c r="L22" s="1953"/>
      <c r="M22" s="1953"/>
      <c r="N22" s="1953"/>
      <c r="O22" s="1953"/>
      <c r="P22" s="1953"/>
      <c r="Q22" s="1953"/>
      <c r="R22" s="1953"/>
      <c r="S22" s="1953"/>
      <c r="T22" s="114"/>
      <c r="U22" s="1806"/>
      <c r="V22" s="1806"/>
      <c r="W22" s="1806"/>
      <c r="X22" s="1806"/>
      <c r="Y22" s="1806"/>
      <c r="Z22" s="1806"/>
    </row>
    <row r="23" spans="1:26" ht="15" customHeight="1">
      <c r="A23" s="4066" t="s">
        <v>1721</v>
      </c>
      <c r="B23" s="4067"/>
      <c r="C23" s="4067"/>
      <c r="D23" s="4067"/>
      <c r="E23" s="4067"/>
      <c r="F23" s="4067"/>
      <c r="G23" s="4067"/>
      <c r="H23" s="4067"/>
      <c r="I23" s="4068"/>
      <c r="J23" s="80"/>
      <c r="K23" s="4074" t="s">
        <v>1722</v>
      </c>
      <c r="L23" s="4075"/>
      <c r="M23" s="4075"/>
      <c r="N23" s="4075"/>
      <c r="O23" s="4075"/>
      <c r="P23" s="4075"/>
      <c r="Q23" s="4075"/>
      <c r="R23" s="4075"/>
      <c r="S23" s="4076"/>
      <c r="T23" s="114"/>
      <c r="U23" s="1806"/>
      <c r="V23" s="1806"/>
      <c r="W23" s="1806"/>
      <c r="X23" s="1806"/>
      <c r="Y23" s="1806"/>
      <c r="Z23" s="1806"/>
    </row>
    <row r="24" spans="1:26" ht="15" customHeight="1">
      <c r="A24" s="4887"/>
      <c r="B24" s="4069"/>
      <c r="C24" s="4069"/>
      <c r="D24" s="4069"/>
      <c r="E24" s="4069"/>
      <c r="F24" s="4069"/>
      <c r="G24" s="4069"/>
      <c r="H24" s="4069"/>
      <c r="I24" s="4070"/>
      <c r="J24" s="80"/>
      <c r="K24" s="4888"/>
      <c r="L24" s="4077"/>
      <c r="M24" s="4077"/>
      <c r="N24" s="4077"/>
      <c r="O24" s="4077"/>
      <c r="P24" s="4077"/>
      <c r="Q24" s="4077"/>
      <c r="R24" s="4077"/>
      <c r="S24" s="4078"/>
      <c r="T24" s="114"/>
      <c r="U24" s="1806"/>
      <c r="V24" s="1806"/>
      <c r="W24" s="1806"/>
      <c r="X24" s="1806"/>
      <c r="Y24" s="1806"/>
      <c r="Z24" s="1806"/>
    </row>
    <row r="25" spans="1:26" ht="15" customHeight="1">
      <c r="A25" s="4887"/>
      <c r="B25" s="4069"/>
      <c r="C25" s="4069"/>
      <c r="D25" s="4069"/>
      <c r="E25" s="4069"/>
      <c r="F25" s="4069"/>
      <c r="G25" s="4069"/>
      <c r="H25" s="4069"/>
      <c r="I25" s="4070"/>
      <c r="J25" s="80"/>
      <c r="K25" s="4888"/>
      <c r="L25" s="4077"/>
      <c r="M25" s="4077"/>
      <c r="N25" s="4077"/>
      <c r="O25" s="4077"/>
      <c r="P25" s="4077"/>
      <c r="Q25" s="4077"/>
      <c r="R25" s="4077"/>
      <c r="S25" s="4078"/>
      <c r="T25" s="114"/>
      <c r="U25" s="1806"/>
      <c r="V25" s="1806"/>
      <c r="W25" s="1806"/>
      <c r="X25" s="1806"/>
      <c r="Y25" s="1806"/>
      <c r="Z25" s="1806"/>
    </row>
    <row r="26" spans="1:26" ht="15" customHeight="1">
      <c r="A26" s="4887"/>
      <c r="B26" s="4069"/>
      <c r="C26" s="4069"/>
      <c r="D26" s="4069"/>
      <c r="E26" s="4069"/>
      <c r="F26" s="4069"/>
      <c r="G26" s="4069"/>
      <c r="H26" s="4069"/>
      <c r="I26" s="4070"/>
      <c r="J26" s="80"/>
      <c r="K26" s="4888"/>
      <c r="L26" s="4077"/>
      <c r="M26" s="4077"/>
      <c r="N26" s="4077"/>
      <c r="O26" s="4077"/>
      <c r="P26" s="4077"/>
      <c r="Q26" s="4077"/>
      <c r="R26" s="4077"/>
      <c r="S26" s="4078"/>
      <c r="T26" s="114"/>
      <c r="U26" s="1806"/>
      <c r="V26" s="1806"/>
      <c r="W26" s="1806"/>
      <c r="X26" s="1806"/>
      <c r="Y26" s="1806"/>
      <c r="Z26" s="1806"/>
    </row>
    <row r="27" spans="1:26" ht="15" customHeight="1">
      <c r="A27" s="4887"/>
      <c r="B27" s="4069"/>
      <c r="C27" s="4069"/>
      <c r="D27" s="4069"/>
      <c r="E27" s="4069"/>
      <c r="F27" s="4069"/>
      <c r="G27" s="4069"/>
      <c r="H27" s="4069"/>
      <c r="I27" s="4070"/>
      <c r="J27" s="80"/>
      <c r="K27" s="4888"/>
      <c r="L27" s="4077"/>
      <c r="M27" s="4077"/>
      <c r="N27" s="4077"/>
      <c r="O27" s="4077"/>
      <c r="P27" s="4077"/>
      <c r="Q27" s="4077"/>
      <c r="R27" s="4077"/>
      <c r="S27" s="4078"/>
      <c r="T27" s="114"/>
      <c r="U27" s="1806"/>
      <c r="V27" s="1806"/>
      <c r="W27" s="1806"/>
      <c r="X27" s="1806"/>
      <c r="Y27" s="1806"/>
      <c r="Z27" s="1806"/>
    </row>
    <row r="28" spans="1:26" ht="15" customHeight="1">
      <c r="A28" s="4887"/>
      <c r="B28" s="4069"/>
      <c r="C28" s="4069"/>
      <c r="D28" s="4069"/>
      <c r="E28" s="4069"/>
      <c r="F28" s="4069"/>
      <c r="G28" s="4069"/>
      <c r="H28" s="4069"/>
      <c r="I28" s="4070"/>
      <c r="J28" s="80"/>
      <c r="K28" s="4888"/>
      <c r="L28" s="4077"/>
      <c r="M28" s="4077"/>
      <c r="N28" s="4077"/>
      <c r="O28" s="4077"/>
      <c r="P28" s="4077"/>
      <c r="Q28" s="4077"/>
      <c r="R28" s="4077"/>
      <c r="S28" s="4078"/>
      <c r="T28" s="114"/>
      <c r="U28" s="1806"/>
      <c r="V28" s="1806"/>
      <c r="W28" s="1806"/>
      <c r="X28" s="1806"/>
      <c r="Y28" s="1806"/>
      <c r="Z28" s="1806"/>
    </row>
    <row r="29" spans="1:26" ht="15" customHeight="1">
      <c r="A29" s="4887"/>
      <c r="B29" s="4069"/>
      <c r="C29" s="4069"/>
      <c r="D29" s="4069"/>
      <c r="E29" s="4069"/>
      <c r="F29" s="4069"/>
      <c r="G29" s="4069"/>
      <c r="H29" s="4069"/>
      <c r="I29" s="4070"/>
      <c r="J29" s="80"/>
      <c r="K29" s="4888"/>
      <c r="L29" s="4077"/>
      <c r="M29" s="4077"/>
      <c r="N29" s="4077"/>
      <c r="O29" s="4077"/>
      <c r="P29" s="4077"/>
      <c r="Q29" s="4077"/>
      <c r="R29" s="4077"/>
      <c r="S29" s="4078"/>
      <c r="T29" s="114"/>
      <c r="U29" s="1806"/>
      <c r="V29" s="1806"/>
      <c r="W29" s="1806"/>
      <c r="X29" s="1806"/>
      <c r="Y29" s="1806"/>
      <c r="Z29" s="1806"/>
    </row>
    <row r="30" spans="1:26" ht="15" customHeight="1">
      <c r="A30" s="4887"/>
      <c r="B30" s="4069"/>
      <c r="C30" s="4069"/>
      <c r="D30" s="4069"/>
      <c r="E30" s="4069"/>
      <c r="F30" s="4069"/>
      <c r="G30" s="4069"/>
      <c r="H30" s="4069"/>
      <c r="I30" s="4070"/>
      <c r="J30" s="80"/>
      <c r="K30" s="4888"/>
      <c r="L30" s="4077"/>
      <c r="M30" s="4077"/>
      <c r="N30" s="4077"/>
      <c r="O30" s="4077"/>
      <c r="P30" s="4077"/>
      <c r="Q30" s="4077"/>
      <c r="R30" s="4077"/>
      <c r="S30" s="4078"/>
      <c r="T30" s="114"/>
      <c r="U30" s="1806"/>
      <c r="V30" s="1806"/>
      <c r="W30" s="1806"/>
      <c r="X30" s="1806"/>
      <c r="Y30" s="1806"/>
      <c r="Z30" s="1806"/>
    </row>
    <row r="31" spans="1:26" ht="15" customHeight="1">
      <c r="A31" s="4887"/>
      <c r="B31" s="4069"/>
      <c r="C31" s="4069"/>
      <c r="D31" s="4069"/>
      <c r="E31" s="4069"/>
      <c r="F31" s="4069"/>
      <c r="G31" s="4069"/>
      <c r="H31" s="4069"/>
      <c r="I31" s="4070"/>
      <c r="J31" s="80"/>
      <c r="K31" s="4888"/>
      <c r="L31" s="4077"/>
      <c r="M31" s="4077"/>
      <c r="N31" s="4077"/>
      <c r="O31" s="4077"/>
      <c r="P31" s="4077"/>
      <c r="Q31" s="4077"/>
      <c r="R31" s="4077"/>
      <c r="S31" s="4078"/>
      <c r="T31" s="114"/>
      <c r="U31" s="1806"/>
      <c r="V31" s="1806"/>
      <c r="W31" s="1806"/>
      <c r="X31" s="1806"/>
      <c r="Y31" s="1806"/>
      <c r="Z31" s="1806"/>
    </row>
    <row r="32" spans="1:26" ht="15" customHeight="1">
      <c r="A32" s="4887"/>
      <c r="B32" s="4069"/>
      <c r="C32" s="4069"/>
      <c r="D32" s="4069"/>
      <c r="E32" s="4069"/>
      <c r="F32" s="4069"/>
      <c r="G32" s="4069"/>
      <c r="H32" s="4069"/>
      <c r="I32" s="4070"/>
      <c r="J32" s="80"/>
      <c r="K32" s="4888"/>
      <c r="L32" s="4077"/>
      <c r="M32" s="4077"/>
      <c r="N32" s="4077"/>
      <c r="O32" s="4077"/>
      <c r="P32" s="4077"/>
      <c r="Q32" s="4077"/>
      <c r="R32" s="4077"/>
      <c r="S32" s="4078"/>
      <c r="T32" s="114"/>
      <c r="U32" s="1806"/>
      <c r="V32" s="1806"/>
      <c r="W32" s="1806"/>
      <c r="X32" s="1806"/>
      <c r="Y32" s="1806"/>
      <c r="Z32" s="1806"/>
    </row>
    <row r="33" spans="1:26" ht="15" customHeight="1">
      <c r="A33" s="4887"/>
      <c r="B33" s="4069"/>
      <c r="C33" s="4069"/>
      <c r="D33" s="4069"/>
      <c r="E33" s="4069"/>
      <c r="F33" s="4069"/>
      <c r="G33" s="4069"/>
      <c r="H33" s="4069"/>
      <c r="I33" s="4070"/>
      <c r="J33" s="80"/>
      <c r="K33" s="4888"/>
      <c r="L33" s="4077"/>
      <c r="M33" s="4077"/>
      <c r="N33" s="4077"/>
      <c r="O33" s="4077"/>
      <c r="P33" s="4077"/>
      <c r="Q33" s="4077"/>
      <c r="R33" s="4077"/>
      <c r="S33" s="4078"/>
      <c r="T33" s="114"/>
      <c r="U33" s="1806"/>
      <c r="V33" s="1806"/>
      <c r="W33" s="1806"/>
      <c r="X33" s="1806"/>
      <c r="Y33" s="1806"/>
      <c r="Z33" s="1806"/>
    </row>
    <row r="34" spans="1:26" ht="15" customHeight="1">
      <c r="A34" s="4887"/>
      <c r="B34" s="4069"/>
      <c r="C34" s="4069"/>
      <c r="D34" s="4069"/>
      <c r="E34" s="4069"/>
      <c r="F34" s="4069"/>
      <c r="G34" s="4069"/>
      <c r="H34" s="4069"/>
      <c r="I34" s="4070"/>
      <c r="J34" s="80"/>
      <c r="K34" s="4888"/>
      <c r="L34" s="4077"/>
      <c r="M34" s="4077"/>
      <c r="N34" s="4077"/>
      <c r="O34" s="4077"/>
      <c r="P34" s="4077"/>
      <c r="Q34" s="4077"/>
      <c r="R34" s="4077"/>
      <c r="S34" s="4078"/>
      <c r="T34" s="114"/>
      <c r="U34" s="1806"/>
      <c r="V34" s="1806"/>
      <c r="W34" s="1806"/>
      <c r="X34" s="1806"/>
      <c r="Y34" s="1806"/>
      <c r="Z34" s="1806"/>
    </row>
    <row r="35" spans="1:26" ht="15" customHeight="1">
      <c r="A35" s="4071"/>
      <c r="B35" s="4072"/>
      <c r="C35" s="4072"/>
      <c r="D35" s="4072"/>
      <c r="E35" s="4072"/>
      <c r="F35" s="4072"/>
      <c r="G35" s="4072"/>
      <c r="H35" s="4072"/>
      <c r="I35" s="4073"/>
      <c r="J35" s="80"/>
      <c r="K35" s="4889" t="s">
        <v>1723</v>
      </c>
      <c r="L35" s="4079"/>
      <c r="M35" s="4079"/>
      <c r="N35" s="4079"/>
      <c r="O35" s="4079"/>
      <c r="P35" s="4079"/>
      <c r="Q35" s="4079"/>
      <c r="R35" s="124"/>
      <c r="S35" s="125"/>
      <c r="T35" s="114"/>
      <c r="U35" s="1806"/>
      <c r="V35" s="1806"/>
      <c r="W35" s="1806"/>
      <c r="X35" s="1806"/>
      <c r="Y35" s="1806"/>
      <c r="Z35" s="1806"/>
    </row>
    <row r="36" spans="1:26" ht="15" customHeight="1">
      <c r="A36" s="4890"/>
      <c r="B36" s="1793"/>
      <c r="C36" s="1793"/>
      <c r="D36" s="1793"/>
      <c r="E36" s="1793"/>
      <c r="F36" s="1793"/>
      <c r="G36" s="1793"/>
      <c r="H36" s="1793"/>
      <c r="I36" s="1793"/>
      <c r="J36" s="1791"/>
      <c r="K36" s="4889"/>
      <c r="L36" s="4079"/>
      <c r="M36" s="4079"/>
      <c r="N36" s="4079"/>
      <c r="O36" s="4079"/>
      <c r="P36" s="4079"/>
      <c r="Q36" s="4079"/>
      <c r="R36" s="126"/>
      <c r="S36" s="127"/>
      <c r="T36" s="114"/>
      <c r="U36" s="1806"/>
      <c r="V36" s="1806"/>
      <c r="W36" s="1806"/>
      <c r="X36" s="1806"/>
      <c r="Y36" s="1806"/>
      <c r="Z36" s="1806"/>
    </row>
    <row r="37" spans="1:26" ht="15" customHeight="1">
      <c r="A37" s="1807" t="s">
        <v>832</v>
      </c>
      <c r="B37" s="109"/>
      <c r="C37" s="109"/>
      <c r="D37" s="109"/>
      <c r="E37" s="109"/>
      <c r="F37" s="109"/>
      <c r="G37" s="109"/>
      <c r="H37" s="109"/>
      <c r="I37" s="109"/>
      <c r="J37" s="1791"/>
      <c r="K37" s="4889"/>
      <c r="L37" s="4079"/>
      <c r="M37" s="4079"/>
      <c r="N37" s="4079"/>
      <c r="O37" s="4079"/>
      <c r="P37" s="4079"/>
      <c r="Q37" s="4079"/>
      <c r="R37" s="126"/>
      <c r="S37" s="127"/>
      <c r="T37" s="114"/>
      <c r="U37" s="1806"/>
      <c r="V37" s="1806"/>
      <c r="W37" s="1806"/>
      <c r="X37" s="1806"/>
      <c r="Y37" s="1806"/>
      <c r="Z37" s="1806"/>
    </row>
    <row r="38" spans="1:26" ht="15" customHeight="1">
      <c r="A38" s="109"/>
      <c r="B38" s="109"/>
      <c r="C38" s="1798"/>
      <c r="D38" s="1799" t="s">
        <v>1724</v>
      </c>
      <c r="E38" s="1799" t="s">
        <v>1725</v>
      </c>
      <c r="F38" s="1799" t="s">
        <v>1726</v>
      </c>
      <c r="G38" s="1799" t="s">
        <v>1727</v>
      </c>
      <c r="H38" s="1799" t="s">
        <v>1728</v>
      </c>
      <c r="I38" s="1799" t="s">
        <v>1729</v>
      </c>
      <c r="J38" s="1791"/>
      <c r="K38" s="4889"/>
      <c r="L38" s="4079"/>
      <c r="M38" s="4079"/>
      <c r="N38" s="4079"/>
      <c r="O38" s="4079"/>
      <c r="P38" s="4079"/>
      <c r="Q38" s="4079"/>
      <c r="R38" s="126"/>
      <c r="S38" s="127"/>
      <c r="T38" s="114"/>
      <c r="U38" s="1806"/>
      <c r="V38" s="1806"/>
      <c r="W38" s="1806"/>
      <c r="X38" s="1806"/>
      <c r="Y38" s="1806"/>
      <c r="Z38" s="1806"/>
    </row>
    <row r="39" spans="1:26" ht="15" customHeight="1">
      <c r="A39" s="1808"/>
      <c r="B39" s="1808"/>
      <c r="C39" s="1784">
        <v>4.4000000000000004</v>
      </c>
      <c r="D39" s="1800"/>
      <c r="E39" s="1800"/>
      <c r="F39" s="1800">
        <v>283.90499999999997</v>
      </c>
      <c r="G39" s="1800">
        <v>719.226</v>
      </c>
      <c r="H39" s="1800"/>
      <c r="I39" s="1798"/>
      <c r="J39" s="1809"/>
      <c r="K39" s="4889"/>
      <c r="L39" s="4079"/>
      <c r="M39" s="4079"/>
      <c r="N39" s="4079"/>
      <c r="O39" s="4079"/>
      <c r="P39" s="4079"/>
      <c r="Q39" s="4079"/>
      <c r="R39" s="126"/>
      <c r="S39" s="127"/>
      <c r="T39" s="114"/>
      <c r="U39" s="1806"/>
      <c r="V39" s="1806"/>
      <c r="W39" s="1806"/>
      <c r="X39" s="1806"/>
      <c r="Y39" s="1806"/>
      <c r="Z39" s="1806"/>
    </row>
    <row r="40" spans="1:26" ht="15" customHeight="1">
      <c r="A40" s="1808"/>
      <c r="B40" s="1808"/>
      <c r="C40" s="1784">
        <v>4</v>
      </c>
      <c r="D40" s="1800">
        <v>272.54880000000003</v>
      </c>
      <c r="E40" s="1800"/>
      <c r="F40" s="1800"/>
      <c r="G40" s="1800"/>
      <c r="H40" s="1800"/>
      <c r="I40" s="1798">
        <v>480.74579999999997</v>
      </c>
      <c r="J40" s="1809"/>
      <c r="K40" s="4889"/>
      <c r="L40" s="4079"/>
      <c r="M40" s="4079"/>
      <c r="N40" s="4079"/>
      <c r="O40" s="4079"/>
      <c r="P40" s="4079"/>
      <c r="Q40" s="4079"/>
      <c r="R40" s="126"/>
      <c r="S40" s="127"/>
      <c r="T40" s="114"/>
      <c r="U40" s="1806"/>
      <c r="V40" s="1806"/>
      <c r="W40" s="1806"/>
      <c r="X40" s="1806"/>
      <c r="Y40" s="1806"/>
      <c r="Z40" s="1806"/>
    </row>
    <row r="41" spans="1:26" ht="15" customHeight="1">
      <c r="A41" s="1808"/>
      <c r="B41" s="1808"/>
      <c r="C41" s="1784">
        <v>1.8</v>
      </c>
      <c r="D41" s="1800">
        <v>401.25240000000002</v>
      </c>
      <c r="E41" s="1800"/>
      <c r="F41" s="1800"/>
      <c r="G41" s="1800">
        <v>601.87860000000001</v>
      </c>
      <c r="H41" s="1800"/>
      <c r="I41" s="1798"/>
      <c r="J41" s="1809"/>
      <c r="K41" s="4889"/>
      <c r="L41" s="4079"/>
      <c r="M41" s="4079"/>
      <c r="N41" s="4079"/>
      <c r="O41" s="4079"/>
      <c r="P41" s="4079"/>
      <c r="Q41" s="4079"/>
      <c r="R41" s="126"/>
      <c r="S41" s="127"/>
      <c r="T41" s="114"/>
      <c r="U41" s="1806"/>
      <c r="V41" s="1806"/>
      <c r="W41" s="1806"/>
      <c r="X41" s="1806"/>
      <c r="Y41" s="1806"/>
      <c r="Z41" s="1806"/>
    </row>
    <row r="42" spans="1:26" ht="15" customHeight="1">
      <c r="A42" s="1808"/>
      <c r="B42" s="1808"/>
      <c r="C42" s="1784">
        <v>4</v>
      </c>
      <c r="D42" s="1800"/>
      <c r="E42" s="1800">
        <v>98.420400000000001</v>
      </c>
      <c r="F42" s="1800"/>
      <c r="G42" s="1800"/>
      <c r="H42" s="1800">
        <v>389.89620000000002</v>
      </c>
      <c r="I42" s="1798"/>
      <c r="J42" s="1809"/>
      <c r="K42" s="4889"/>
      <c r="L42" s="4079"/>
      <c r="M42" s="4079"/>
      <c r="N42" s="4079"/>
      <c r="O42" s="4079"/>
      <c r="P42" s="4079"/>
      <c r="Q42" s="4079"/>
      <c r="R42" s="126"/>
      <c r="S42" s="127"/>
      <c r="T42" s="114"/>
      <c r="U42" s="1806"/>
      <c r="V42" s="1806"/>
      <c r="W42" s="1806"/>
      <c r="X42" s="1806"/>
      <c r="Y42" s="1806"/>
      <c r="Z42" s="1806"/>
    </row>
    <row r="43" spans="1:26" ht="15" customHeight="1">
      <c r="A43" s="1808"/>
      <c r="B43" s="1808"/>
      <c r="C43" s="1785">
        <v>4.4000000000000004</v>
      </c>
      <c r="D43" s="1800">
        <v>234.69479999999999</v>
      </c>
      <c r="E43" s="1800"/>
      <c r="F43" s="1800"/>
      <c r="G43" s="1800"/>
      <c r="H43" s="1800">
        <v>560.23919999999998</v>
      </c>
      <c r="I43" s="1798"/>
      <c r="J43" s="1809"/>
      <c r="K43" s="4889"/>
      <c r="L43" s="4079"/>
      <c r="M43" s="4079"/>
      <c r="N43" s="4079"/>
      <c r="O43" s="4079"/>
      <c r="P43" s="4079"/>
      <c r="Q43" s="4079"/>
      <c r="R43" s="126"/>
      <c r="S43" s="127"/>
      <c r="T43" s="114"/>
      <c r="U43" s="1806"/>
      <c r="V43" s="1806"/>
      <c r="W43" s="1806"/>
      <c r="X43" s="1806"/>
      <c r="Y43" s="1806"/>
      <c r="Z43" s="1806"/>
    </row>
    <row r="44" spans="1:26" ht="15" customHeight="1">
      <c r="A44" s="109"/>
      <c r="B44" s="109"/>
      <c r="C44" s="1784">
        <v>5.3</v>
      </c>
      <c r="D44" s="1798"/>
      <c r="E44" s="1798"/>
      <c r="F44" s="1798">
        <v>393.6816</v>
      </c>
      <c r="G44" s="1798"/>
      <c r="H44" s="1798"/>
      <c r="I44" s="1798">
        <v>605.66399999999999</v>
      </c>
      <c r="J44" s="1791"/>
      <c r="K44" s="4889"/>
      <c r="L44" s="4079"/>
      <c r="M44" s="4079"/>
      <c r="N44" s="4079"/>
      <c r="O44" s="4079"/>
      <c r="P44" s="4079"/>
      <c r="Q44" s="4079"/>
      <c r="R44" s="126"/>
      <c r="S44" s="127"/>
      <c r="T44" s="114"/>
      <c r="U44" s="1806"/>
      <c r="V44" s="1806"/>
      <c r="W44" s="1806"/>
      <c r="X44" s="1806"/>
      <c r="Y44" s="1806"/>
      <c r="Z44" s="1806"/>
    </row>
    <row r="45" spans="1:26" ht="15" customHeight="1">
      <c r="A45" s="109"/>
      <c r="B45" s="109"/>
      <c r="C45" s="110"/>
      <c r="D45" s="111"/>
      <c r="E45" s="111"/>
      <c r="F45" s="111"/>
      <c r="G45" s="111"/>
      <c r="H45" s="111"/>
      <c r="I45" s="109"/>
      <c r="J45" s="1791"/>
      <c r="K45" s="4889"/>
      <c r="L45" s="4079"/>
      <c r="M45" s="4079"/>
      <c r="N45" s="4079"/>
      <c r="O45" s="4079"/>
      <c r="P45" s="4079"/>
      <c r="Q45" s="4079"/>
      <c r="R45" s="126"/>
      <c r="S45" s="127"/>
      <c r="T45" s="114"/>
      <c r="U45" s="1806"/>
      <c r="V45" s="1806"/>
      <c r="W45" s="1806"/>
      <c r="X45" s="1806"/>
      <c r="Y45" s="1806"/>
      <c r="Z45" s="1806"/>
    </row>
    <row r="46" spans="1:26" ht="15" customHeight="1">
      <c r="A46" s="109"/>
      <c r="B46" s="109"/>
      <c r="C46" s="110"/>
      <c r="D46" s="111"/>
      <c r="E46" s="111"/>
      <c r="F46" s="111"/>
      <c r="G46" s="111"/>
      <c r="H46" s="111"/>
      <c r="I46" s="109"/>
      <c r="J46" s="1791"/>
      <c r="K46" s="4080"/>
      <c r="L46" s="4081"/>
      <c r="M46" s="4081"/>
      <c r="N46" s="4081"/>
      <c r="O46" s="4081"/>
      <c r="P46" s="4081"/>
      <c r="Q46" s="4081"/>
      <c r="R46" s="128"/>
      <c r="S46" s="129"/>
      <c r="T46" s="114"/>
      <c r="U46" s="1806"/>
      <c r="V46" s="1806"/>
      <c r="W46" s="1806"/>
      <c r="X46" s="1806"/>
      <c r="Y46" s="1806"/>
      <c r="Z46" s="1806"/>
    </row>
    <row r="47" spans="1:26" ht="15" customHeight="1">
      <c r="A47" s="87"/>
      <c r="B47" s="87"/>
      <c r="C47" s="87"/>
      <c r="D47" s="87"/>
      <c r="E47" s="87"/>
      <c r="F47" s="87"/>
      <c r="G47" s="87"/>
      <c r="H47" s="87"/>
      <c r="I47" s="87"/>
      <c r="J47" s="87"/>
      <c r="K47" s="4065"/>
      <c r="L47" s="4065"/>
      <c r="M47" s="4065"/>
      <c r="N47" s="4065"/>
      <c r="O47" s="4065"/>
      <c r="P47" s="4065"/>
      <c r="Q47" s="4065"/>
      <c r="R47" s="4065"/>
      <c r="S47" s="130"/>
      <c r="T47" s="114"/>
      <c r="U47" s="1806"/>
      <c r="V47" s="1806"/>
      <c r="W47" s="1806"/>
      <c r="X47" s="1806"/>
      <c r="Y47" s="1806"/>
      <c r="Z47" s="1806"/>
    </row>
    <row r="48" spans="1:26" ht="15" customHeight="1">
      <c r="A48" s="2193"/>
      <c r="B48" s="2193"/>
      <c r="C48" s="2193"/>
      <c r="D48" s="2193"/>
      <c r="E48" s="2193"/>
      <c r="F48" s="2193"/>
      <c r="G48" s="2193"/>
      <c r="H48" s="80"/>
      <c r="I48" s="80"/>
      <c r="J48" s="80"/>
      <c r="K48" s="80"/>
      <c r="L48" s="80"/>
      <c r="M48" s="80"/>
      <c r="N48" s="80"/>
      <c r="O48" s="80"/>
      <c r="P48" s="3084" t="s">
        <v>1486</v>
      </c>
      <c r="Q48" s="3084"/>
      <c r="R48" s="3084"/>
      <c r="S48" s="131" t="s">
        <v>840</v>
      </c>
      <c r="T48" s="114"/>
      <c r="U48" s="1806"/>
      <c r="V48" s="1806"/>
      <c r="W48" s="1806"/>
      <c r="X48" s="1806"/>
      <c r="Y48" s="1806"/>
      <c r="Z48" s="1806"/>
    </row>
    <row r="49" spans="1:26" ht="15" customHeight="1">
      <c r="A49" s="3067" t="s">
        <v>501</v>
      </c>
      <c r="B49" s="3067"/>
      <c r="C49" s="3067"/>
      <c r="D49" s="3067"/>
      <c r="E49" s="3067"/>
      <c r="F49" s="3067"/>
      <c r="G49" s="3067"/>
      <c r="H49" s="3067"/>
      <c r="I49" s="3067"/>
      <c r="J49" s="3067"/>
      <c r="K49" s="122"/>
      <c r="L49" s="122"/>
      <c r="M49" s="122"/>
      <c r="N49" s="122"/>
      <c r="O49" s="122"/>
      <c r="Q49" s="1269"/>
      <c r="R49" s="1269"/>
      <c r="S49" s="1269" t="s">
        <v>502</v>
      </c>
      <c r="T49" s="114"/>
      <c r="U49" s="1806"/>
      <c r="V49" s="1806"/>
      <c r="W49" s="1806"/>
      <c r="X49" s="1806"/>
      <c r="Y49" s="1806"/>
      <c r="Z49" s="1806"/>
    </row>
    <row r="50" spans="1:26" ht="15" customHeight="1">
      <c r="A50" s="1103"/>
      <c r="B50" s="1103"/>
      <c r="C50" s="1103"/>
      <c r="D50" s="1103"/>
      <c r="E50" s="1103"/>
      <c r="F50" s="114"/>
      <c r="G50" s="114"/>
      <c r="H50" s="114"/>
      <c r="I50" s="114"/>
      <c r="J50" s="114"/>
      <c r="K50" s="114"/>
      <c r="L50" s="114"/>
      <c r="M50" s="114"/>
      <c r="N50" s="114"/>
      <c r="O50" s="114"/>
      <c r="P50" s="114"/>
      <c r="Q50" s="114"/>
      <c r="R50" s="114"/>
      <c r="S50" s="114"/>
      <c r="T50" s="114"/>
      <c r="U50" s="1806"/>
      <c r="V50" s="1806"/>
      <c r="W50" s="1806"/>
      <c r="X50" s="1806"/>
      <c r="Y50" s="1806"/>
      <c r="Z50" s="1806"/>
    </row>
    <row r="51" spans="1:26">
      <c r="A51" s="1806"/>
      <c r="B51" s="1806"/>
      <c r="C51" s="1806"/>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row>
    <row r="52" spans="1:26">
      <c r="A52" s="83"/>
      <c r="B52" s="83"/>
      <c r="C52" s="83"/>
      <c r="D52" s="83"/>
      <c r="E52" s="83"/>
      <c r="F52" s="83"/>
      <c r="G52" s="83"/>
      <c r="H52" s="83"/>
      <c r="I52" s="83"/>
      <c r="J52" s="83"/>
      <c r="K52" s="83"/>
      <c r="L52" s="83"/>
      <c r="M52" s="83"/>
      <c r="N52" s="83"/>
      <c r="O52" s="83"/>
      <c r="P52" s="83"/>
      <c r="Q52" s="83"/>
      <c r="R52" s="83"/>
      <c r="S52" s="83"/>
      <c r="T52" s="1806"/>
      <c r="U52" s="1806"/>
      <c r="V52" s="1806"/>
      <c r="W52" s="1806"/>
      <c r="X52" s="1806"/>
      <c r="Y52" s="1806"/>
      <c r="Z52" s="1806"/>
    </row>
    <row r="53" spans="1:26">
      <c r="A53" s="83"/>
      <c r="B53" s="83"/>
      <c r="C53" s="83"/>
      <c r="D53" s="83"/>
      <c r="E53" s="83"/>
      <c r="F53" s="83"/>
      <c r="G53" s="83"/>
      <c r="H53" s="83"/>
      <c r="I53" s="83"/>
      <c r="J53" s="83"/>
      <c r="K53" s="83"/>
      <c r="L53" s="83"/>
      <c r="M53" s="83"/>
      <c r="N53" s="83"/>
      <c r="O53" s="83"/>
      <c r="P53" s="83"/>
      <c r="Q53" s="83"/>
      <c r="R53" s="83"/>
      <c r="S53" s="83"/>
      <c r="T53" s="1806"/>
      <c r="U53" s="1806"/>
      <c r="V53" s="1806"/>
      <c r="W53" s="1806"/>
      <c r="X53" s="1806"/>
    </row>
  </sheetData>
  <sheetProtection password="FA80" sheet="1" objects="1" scenarios="1"/>
  <mergeCells count="32">
    <mergeCell ref="A49:J49"/>
    <mergeCell ref="B19:C19"/>
    <mergeCell ref="K19:M19"/>
    <mergeCell ref="B20:C20"/>
    <mergeCell ref="P48:R48"/>
    <mergeCell ref="K47:R47"/>
    <mergeCell ref="A23:I35"/>
    <mergeCell ref="K23:S34"/>
    <mergeCell ref="K35:Q46"/>
    <mergeCell ref="C4:G4"/>
    <mergeCell ref="F1:O1"/>
    <mergeCell ref="I4:M4"/>
    <mergeCell ref="B21:C21"/>
    <mergeCell ref="K21:S21"/>
    <mergeCell ref="C6:H6"/>
    <mergeCell ref="B17:C17"/>
    <mergeCell ref="K17:L17"/>
    <mergeCell ref="B9:C9"/>
    <mergeCell ref="K9:L9"/>
    <mergeCell ref="G2:O2"/>
    <mergeCell ref="B18:C18"/>
    <mergeCell ref="O3:R5"/>
    <mergeCell ref="N19:Q19"/>
    <mergeCell ref="K12:L12"/>
    <mergeCell ref="K13:L13"/>
    <mergeCell ref="K18:L18"/>
    <mergeCell ref="K14:L14"/>
    <mergeCell ref="K15:L15"/>
    <mergeCell ref="K16:L16"/>
    <mergeCell ref="K8:L8"/>
    <mergeCell ref="K10:L10"/>
    <mergeCell ref="K11:L11"/>
  </mergeCells>
  <hyperlinks>
    <hyperlink ref="S48" r:id="rId1" xr:uid="{00000000-0004-0000-0900-000000000000}"/>
  </hyperlinks>
  <printOptions horizontalCentered="1"/>
  <pageMargins left="0.31496062992126" right="0.31496062992126" top="0.47244094488188998" bottom="0.55118110236220497" header="0.196850393700787" footer="0.511811023622047"/>
  <pageSetup paperSize="9" scale="58" orientation="landscape" horizontalDpi="30066" verticalDpi="26478"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161"/>
  <sheetViews>
    <sheetView zoomScale="70" zoomScaleNormal="70" zoomScaleSheetLayoutView="75" workbookViewId="0">
      <pane ySplit="5" topLeftCell="A43" activePane="bottomLeft" state="frozen"/>
      <selection pane="bottomLeft" activeCell="B119" sqref="B119"/>
    </sheetView>
  </sheetViews>
  <sheetFormatPr defaultColWidth="6.7109375" defaultRowHeight="13.9"/>
  <cols>
    <col min="1" max="1" width="40.28515625" style="1" customWidth="1"/>
    <col min="2" max="2" width="5.85546875" style="1" customWidth="1"/>
    <col min="3" max="3" width="31.140625" style="1" customWidth="1"/>
    <col min="4" max="4" width="15" style="1" customWidth="1"/>
    <col min="5" max="5" width="28.5703125" style="1" customWidth="1"/>
    <col min="6" max="6" width="16.7109375" style="1" customWidth="1"/>
    <col min="7" max="8" width="12.85546875" style="1" customWidth="1"/>
    <col min="9" max="9" width="13" style="1" customWidth="1"/>
    <col min="10" max="10" width="12.7109375" style="1" customWidth="1"/>
    <col min="11" max="11" width="13" style="2" customWidth="1"/>
    <col min="12" max="12" width="12.7109375" style="1" customWidth="1"/>
    <col min="13" max="15" width="12.85546875" style="1" customWidth="1"/>
    <col min="16" max="16" width="13.42578125" style="1" customWidth="1"/>
    <col min="17" max="17" width="2.28515625" style="1" customWidth="1"/>
    <col min="18" max="16384" width="6.7109375" style="1"/>
  </cols>
  <sheetData>
    <row r="1" spans="1:17" ht="45.6">
      <c r="A1" s="3"/>
      <c r="B1" s="4"/>
      <c r="C1" s="5"/>
      <c r="E1" s="4112" t="s">
        <v>1730</v>
      </c>
      <c r="F1" s="4112"/>
      <c r="G1" s="4112"/>
      <c r="H1" s="4112"/>
      <c r="I1" s="4112"/>
      <c r="J1" s="4112"/>
      <c r="K1" s="4112"/>
      <c r="L1" s="4112"/>
      <c r="M1" s="31"/>
      <c r="N1" s="31"/>
      <c r="O1" s="4113" t="s">
        <v>1</v>
      </c>
      <c r="P1" s="4113"/>
      <c r="Q1" s="33"/>
    </row>
    <row r="2" spans="1:17" ht="16.5" customHeight="1">
      <c r="A2" s="7"/>
      <c r="B2" s="7"/>
      <c r="C2" s="5"/>
      <c r="D2" s="8"/>
      <c r="G2" s="4111" t="s">
        <v>1499</v>
      </c>
      <c r="H2" s="4111"/>
      <c r="I2" s="4111"/>
      <c r="J2" s="1763"/>
      <c r="K2" s="1763"/>
      <c r="L2" s="1763"/>
      <c r="M2" s="8"/>
      <c r="N2" s="8"/>
      <c r="O2" s="4114"/>
      <c r="P2" s="4114"/>
      <c r="Q2" s="33"/>
    </row>
    <row r="3" spans="1:17" ht="16.5" customHeight="1">
      <c r="A3" s="7"/>
      <c r="B3" s="7"/>
      <c r="C3" s="5"/>
      <c r="D3" s="8"/>
      <c r="E3" s="2128"/>
      <c r="F3" s="2128"/>
      <c r="G3" s="2128"/>
      <c r="H3" s="2128"/>
      <c r="I3" s="2128"/>
      <c r="J3" s="8"/>
      <c r="K3" s="32"/>
      <c r="L3" s="32"/>
      <c r="M3" s="8"/>
      <c r="N3" s="8"/>
      <c r="O3" s="2127"/>
      <c r="P3" s="2127"/>
      <c r="Q3" s="33"/>
    </row>
    <row r="4" spans="1:17" ht="16.5" customHeight="1">
      <c r="A4" s="4110" t="s">
        <v>1731</v>
      </c>
      <c r="B4" s="4110"/>
      <c r="C4" s="4110"/>
      <c r="D4" s="4110"/>
      <c r="E4" s="4110"/>
      <c r="F4" s="5"/>
      <c r="G4" s="5"/>
      <c r="H4" s="9"/>
      <c r="I4" s="4115" t="s">
        <v>1732</v>
      </c>
      <c r="J4" s="4115"/>
      <c r="K4" s="4115" t="s">
        <v>1733</v>
      </c>
      <c r="L4" s="4115"/>
      <c r="M4" s="4116" t="s">
        <v>1734</v>
      </c>
      <c r="N4" s="4116"/>
      <c r="O4" s="6"/>
      <c r="P4" s="33"/>
      <c r="Q4" s="33"/>
    </row>
    <row r="5" spans="1:17" ht="16.5" customHeight="1">
      <c r="A5" s="2739" t="s">
        <v>1735</v>
      </c>
      <c r="B5" s="2740" t="s">
        <v>1736</v>
      </c>
      <c r="C5" s="2741" t="s">
        <v>1737</v>
      </c>
      <c r="D5" s="2741" t="s">
        <v>1738</v>
      </c>
      <c r="E5" s="2741" t="s">
        <v>1739</v>
      </c>
      <c r="F5" s="2742" t="s">
        <v>1740</v>
      </c>
      <c r="G5" s="2743" t="s">
        <v>1741</v>
      </c>
      <c r="H5" s="2744" t="s">
        <v>1742</v>
      </c>
      <c r="I5" s="2743" t="s">
        <v>1743</v>
      </c>
      <c r="J5" s="2744" t="s">
        <v>1744</v>
      </c>
      <c r="K5" s="2743" t="s">
        <v>1745</v>
      </c>
      <c r="L5" s="2744" t="s">
        <v>1746</v>
      </c>
      <c r="M5" s="2743" t="s">
        <v>1747</v>
      </c>
      <c r="N5" s="2744" t="s">
        <v>1748</v>
      </c>
      <c r="O5" s="2740" t="s">
        <v>1749</v>
      </c>
      <c r="P5" s="2744" t="s">
        <v>1750</v>
      </c>
      <c r="Q5" s="33"/>
    </row>
    <row r="6" spans="1:17" ht="16.5" customHeight="1">
      <c r="A6" s="4891" t="s">
        <v>1751</v>
      </c>
      <c r="B6" s="10" t="s">
        <v>1752</v>
      </c>
      <c r="C6" s="11" t="s">
        <v>1753</v>
      </c>
      <c r="D6" s="11" t="s">
        <v>1754</v>
      </c>
      <c r="E6" s="11" t="s">
        <v>1755</v>
      </c>
      <c r="F6" s="11" t="s">
        <v>1756</v>
      </c>
      <c r="G6" s="2797">
        <v>2.8</v>
      </c>
      <c r="H6" s="2745">
        <v>4.2</v>
      </c>
      <c r="I6" s="2798">
        <v>8</v>
      </c>
      <c r="J6" s="2746">
        <v>12</v>
      </c>
      <c r="K6" s="2797">
        <v>2</v>
      </c>
      <c r="L6" s="2747">
        <v>3</v>
      </c>
      <c r="M6" s="4892">
        <v>1028</v>
      </c>
      <c r="N6" s="34">
        <v>1040</v>
      </c>
      <c r="O6" s="10">
        <v>998</v>
      </c>
      <c r="P6" s="34">
        <v>1008</v>
      </c>
      <c r="Q6" s="33"/>
    </row>
    <row r="7" spans="1:17" ht="16.5" customHeight="1">
      <c r="A7" s="4891"/>
      <c r="B7" s="10" t="s">
        <v>1757</v>
      </c>
      <c r="C7" s="11" t="s">
        <v>1758</v>
      </c>
      <c r="D7" s="11" t="s">
        <v>1754</v>
      </c>
      <c r="E7" s="11" t="s">
        <v>1755</v>
      </c>
      <c r="F7" s="11" t="s">
        <v>1756</v>
      </c>
      <c r="G7" s="12">
        <v>4.2</v>
      </c>
      <c r="H7" s="13">
        <v>5.3</v>
      </c>
      <c r="I7" s="35">
        <v>8</v>
      </c>
      <c r="J7" s="36">
        <v>18</v>
      </c>
      <c r="K7" s="12">
        <v>2</v>
      </c>
      <c r="L7" s="37">
        <v>4</v>
      </c>
      <c r="M7" s="4892">
        <v>1040</v>
      </c>
      <c r="N7" s="34">
        <v>1050</v>
      </c>
      <c r="O7" s="10">
        <v>1004</v>
      </c>
      <c r="P7" s="34">
        <v>1010</v>
      </c>
      <c r="Q7" s="33"/>
    </row>
    <row r="8" spans="1:17" ht="16.5" customHeight="1">
      <c r="A8" s="4891"/>
      <c r="B8" s="10" t="s">
        <v>1759</v>
      </c>
      <c r="C8" s="11" t="s">
        <v>1559</v>
      </c>
      <c r="D8" s="11" t="s">
        <v>1760</v>
      </c>
      <c r="E8" s="11" t="s">
        <v>1761</v>
      </c>
      <c r="F8" s="11" t="s">
        <v>1756</v>
      </c>
      <c r="G8" s="12">
        <v>4.2</v>
      </c>
      <c r="H8" s="13">
        <v>5.6</v>
      </c>
      <c r="I8" s="35">
        <v>8</v>
      </c>
      <c r="J8" s="36">
        <v>20</v>
      </c>
      <c r="K8" s="12">
        <v>2.5</v>
      </c>
      <c r="L8" s="37">
        <v>5</v>
      </c>
      <c r="M8" s="4892">
        <v>1042</v>
      </c>
      <c r="N8" s="34">
        <v>1055</v>
      </c>
      <c r="O8" s="10">
        <v>1006</v>
      </c>
      <c r="P8" s="34">
        <v>1012</v>
      </c>
      <c r="Q8" s="33"/>
    </row>
    <row r="9" spans="1:17" ht="16.5" customHeight="1">
      <c r="A9" s="4891"/>
      <c r="B9" s="10" t="s">
        <v>1762</v>
      </c>
      <c r="C9" s="11" t="s">
        <v>1763</v>
      </c>
      <c r="D9" s="11" t="s">
        <v>1764</v>
      </c>
      <c r="E9" s="11" t="s">
        <v>1764</v>
      </c>
      <c r="F9" s="11" t="s">
        <v>1756</v>
      </c>
      <c r="G9" s="12">
        <v>4</v>
      </c>
      <c r="H9" s="13">
        <v>5.5</v>
      </c>
      <c r="I9" s="35">
        <v>15</v>
      </c>
      <c r="J9" s="36">
        <v>30</v>
      </c>
      <c r="K9" s="12">
        <v>3</v>
      </c>
      <c r="L9" s="37">
        <v>6</v>
      </c>
      <c r="M9" s="4892">
        <v>1040</v>
      </c>
      <c r="N9" s="34">
        <v>1055</v>
      </c>
      <c r="O9" s="10">
        <v>1008</v>
      </c>
      <c r="P9" s="34">
        <v>1013</v>
      </c>
      <c r="Q9" s="33"/>
    </row>
    <row r="10" spans="1:17" ht="16.5" customHeight="1">
      <c r="A10" s="14" t="s">
        <v>1765</v>
      </c>
      <c r="B10" s="15" t="s">
        <v>1752</v>
      </c>
      <c r="C10" s="16" t="s">
        <v>1766</v>
      </c>
      <c r="D10" s="16" t="s">
        <v>1754</v>
      </c>
      <c r="E10" s="16" t="s">
        <v>1755</v>
      </c>
      <c r="F10" s="16" t="s">
        <v>1767</v>
      </c>
      <c r="G10" s="12">
        <v>4.5999999999999996</v>
      </c>
      <c r="H10" s="13">
        <v>6</v>
      </c>
      <c r="I10" s="35">
        <v>18</v>
      </c>
      <c r="J10" s="36">
        <v>25</v>
      </c>
      <c r="K10" s="12">
        <v>2</v>
      </c>
      <c r="L10" s="37">
        <v>6</v>
      </c>
      <c r="M10" s="38">
        <v>1042</v>
      </c>
      <c r="N10" s="39">
        <v>1050</v>
      </c>
      <c r="O10" s="15">
        <v>1008</v>
      </c>
      <c r="P10" s="39">
        <v>1012</v>
      </c>
      <c r="Q10" s="33"/>
    </row>
    <row r="11" spans="1:17" ht="16.5" customHeight="1">
      <c r="A11" s="4891"/>
      <c r="B11" s="10" t="s">
        <v>1757</v>
      </c>
      <c r="C11" s="11" t="s">
        <v>1768</v>
      </c>
      <c r="D11" s="11" t="s">
        <v>1769</v>
      </c>
      <c r="E11" s="11" t="s">
        <v>1769</v>
      </c>
      <c r="F11" s="11" t="s">
        <v>1767</v>
      </c>
      <c r="G11" s="12">
        <v>4.5999999999999996</v>
      </c>
      <c r="H11" s="13">
        <v>6</v>
      </c>
      <c r="I11" s="35">
        <v>8</v>
      </c>
      <c r="J11" s="36">
        <v>25</v>
      </c>
      <c r="K11" s="12">
        <v>7</v>
      </c>
      <c r="L11" s="37">
        <v>14</v>
      </c>
      <c r="M11" s="4892">
        <v>1042</v>
      </c>
      <c r="N11" s="34">
        <v>1055</v>
      </c>
      <c r="O11" s="10">
        <v>1008</v>
      </c>
      <c r="P11" s="34">
        <v>1014</v>
      </c>
      <c r="Q11" s="33"/>
    </row>
    <row r="12" spans="1:17" ht="16.5" customHeight="1">
      <c r="A12" s="17"/>
      <c r="B12" s="18" t="s">
        <v>1759</v>
      </c>
      <c r="C12" s="19" t="s">
        <v>1770</v>
      </c>
      <c r="D12" s="19" t="s">
        <v>1771</v>
      </c>
      <c r="E12" s="19" t="s">
        <v>1771</v>
      </c>
      <c r="F12" s="19" t="s">
        <v>1767</v>
      </c>
      <c r="G12" s="12">
        <v>4.2</v>
      </c>
      <c r="H12" s="13">
        <v>6</v>
      </c>
      <c r="I12" s="35">
        <v>8</v>
      </c>
      <c r="J12" s="36">
        <v>20</v>
      </c>
      <c r="K12" s="12">
        <v>14</v>
      </c>
      <c r="L12" s="37">
        <v>22</v>
      </c>
      <c r="M12" s="40">
        <v>1044</v>
      </c>
      <c r="N12" s="41">
        <v>1056</v>
      </c>
      <c r="O12" s="18">
        <v>1008</v>
      </c>
      <c r="P12" s="41">
        <v>1012</v>
      </c>
      <c r="Q12" s="33"/>
    </row>
    <row r="13" spans="1:17" ht="16.5" customHeight="1">
      <c r="A13" s="4891" t="s">
        <v>1772</v>
      </c>
      <c r="B13" s="10" t="s">
        <v>1752</v>
      </c>
      <c r="C13" s="11" t="s">
        <v>1773</v>
      </c>
      <c r="D13" s="11" t="s">
        <v>1754</v>
      </c>
      <c r="E13" s="11" t="s">
        <v>1774</v>
      </c>
      <c r="F13" s="11" t="s">
        <v>1775</v>
      </c>
      <c r="G13" s="12">
        <v>3</v>
      </c>
      <c r="H13" s="13">
        <v>4.0999999999999996</v>
      </c>
      <c r="I13" s="35">
        <v>20</v>
      </c>
      <c r="J13" s="36">
        <v>35</v>
      </c>
      <c r="K13" s="12">
        <v>3</v>
      </c>
      <c r="L13" s="37">
        <v>6</v>
      </c>
      <c r="M13" s="4892">
        <v>1028</v>
      </c>
      <c r="N13" s="34">
        <v>1044</v>
      </c>
      <c r="O13" s="10">
        <v>1008</v>
      </c>
      <c r="P13" s="34">
        <v>1014</v>
      </c>
      <c r="Q13" s="33"/>
    </row>
    <row r="14" spans="1:17" ht="16.5" customHeight="1">
      <c r="A14" s="4891"/>
      <c r="B14" s="10" t="s">
        <v>1757</v>
      </c>
      <c r="C14" s="11" t="s">
        <v>1776</v>
      </c>
      <c r="D14" s="11" t="s">
        <v>1774</v>
      </c>
      <c r="E14" s="11" t="s">
        <v>1774</v>
      </c>
      <c r="F14" s="11" t="s">
        <v>1775</v>
      </c>
      <c r="G14" s="12">
        <v>4.2</v>
      </c>
      <c r="H14" s="13">
        <v>5.8</v>
      </c>
      <c r="I14" s="35">
        <v>30</v>
      </c>
      <c r="J14" s="36">
        <v>45</v>
      </c>
      <c r="K14" s="12">
        <v>3.5</v>
      </c>
      <c r="L14" s="37">
        <v>6</v>
      </c>
      <c r="M14" s="4892">
        <v>1044</v>
      </c>
      <c r="N14" s="34">
        <v>1060</v>
      </c>
      <c r="O14" s="10">
        <v>1013</v>
      </c>
      <c r="P14" s="34">
        <v>1017</v>
      </c>
      <c r="Q14" s="33"/>
    </row>
    <row r="15" spans="1:17" ht="16.5" customHeight="1">
      <c r="A15" s="4891"/>
      <c r="B15" s="10" t="s">
        <v>1759</v>
      </c>
      <c r="C15" s="11" t="s">
        <v>1777</v>
      </c>
      <c r="D15" s="11" t="s">
        <v>1769</v>
      </c>
      <c r="E15" s="11" t="s">
        <v>1769</v>
      </c>
      <c r="F15" s="11" t="s">
        <v>1775</v>
      </c>
      <c r="G15" s="12">
        <v>4.4000000000000004</v>
      </c>
      <c r="H15" s="13">
        <v>5.8</v>
      </c>
      <c r="I15" s="35">
        <v>20</v>
      </c>
      <c r="J15" s="36">
        <v>35</v>
      </c>
      <c r="K15" s="12">
        <v>10</v>
      </c>
      <c r="L15" s="37">
        <v>16</v>
      </c>
      <c r="M15" s="4892">
        <v>1044</v>
      </c>
      <c r="N15" s="34">
        <v>1060</v>
      </c>
      <c r="O15" s="10">
        <v>1013</v>
      </c>
      <c r="P15" s="34">
        <v>1017</v>
      </c>
      <c r="Q15" s="33"/>
    </row>
    <row r="16" spans="1:17" ht="16.5" customHeight="1">
      <c r="A16" s="20"/>
      <c r="B16" s="21" t="s">
        <v>1762</v>
      </c>
      <c r="C16" s="22" t="s">
        <v>1778</v>
      </c>
      <c r="D16" s="22" t="s">
        <v>1771</v>
      </c>
      <c r="E16" s="22" t="s">
        <v>1771</v>
      </c>
      <c r="F16" s="22" t="s">
        <v>1775</v>
      </c>
      <c r="G16" s="12">
        <v>4.4000000000000004</v>
      </c>
      <c r="H16" s="13">
        <v>5.8</v>
      </c>
      <c r="I16" s="35">
        <v>18</v>
      </c>
      <c r="J16" s="36">
        <v>34</v>
      </c>
      <c r="K16" s="12">
        <v>14</v>
      </c>
      <c r="L16" s="37">
        <v>35</v>
      </c>
      <c r="M16" s="42">
        <v>1044</v>
      </c>
      <c r="N16" s="43">
        <v>1060</v>
      </c>
      <c r="O16" s="21">
        <v>1013</v>
      </c>
      <c r="P16" s="43">
        <v>1017</v>
      </c>
      <c r="Q16" s="33"/>
    </row>
    <row r="17" spans="1:17" ht="16.5" customHeight="1">
      <c r="A17" s="4891" t="s">
        <v>1779</v>
      </c>
      <c r="B17" s="10" t="s">
        <v>1752</v>
      </c>
      <c r="C17" s="11" t="s">
        <v>1780</v>
      </c>
      <c r="D17" s="11" t="s">
        <v>1754</v>
      </c>
      <c r="E17" s="11" t="s">
        <v>1781</v>
      </c>
      <c r="F17" s="11" t="s">
        <v>1782</v>
      </c>
      <c r="G17" s="12">
        <v>4.7</v>
      </c>
      <c r="H17" s="13">
        <v>5.4</v>
      </c>
      <c r="I17" s="35">
        <v>16</v>
      </c>
      <c r="J17" s="36">
        <v>22</v>
      </c>
      <c r="K17" s="12">
        <v>3</v>
      </c>
      <c r="L17" s="37">
        <v>5</v>
      </c>
      <c r="M17" s="4892">
        <v>1044</v>
      </c>
      <c r="N17" s="34">
        <v>1048</v>
      </c>
      <c r="O17" s="10">
        <v>1006</v>
      </c>
      <c r="P17" s="34">
        <v>1012</v>
      </c>
      <c r="Q17" s="33"/>
    </row>
    <row r="18" spans="1:17" ht="16.5" customHeight="1">
      <c r="A18" s="4891"/>
      <c r="B18" s="10" t="s">
        <v>1757</v>
      </c>
      <c r="C18" s="11" t="s">
        <v>1783</v>
      </c>
      <c r="D18" s="11" t="s">
        <v>1754</v>
      </c>
      <c r="E18" s="11" t="s">
        <v>1781</v>
      </c>
      <c r="F18" s="11" t="s">
        <v>1782</v>
      </c>
      <c r="G18" s="12">
        <v>5.8</v>
      </c>
      <c r="H18" s="13">
        <v>6.3</v>
      </c>
      <c r="I18" s="35">
        <v>18</v>
      </c>
      <c r="J18" s="36">
        <v>25</v>
      </c>
      <c r="K18" s="12">
        <v>4</v>
      </c>
      <c r="L18" s="37">
        <v>7</v>
      </c>
      <c r="M18" s="4892">
        <v>1054</v>
      </c>
      <c r="N18" s="34">
        <v>1057</v>
      </c>
      <c r="O18" s="10">
        <v>1010</v>
      </c>
      <c r="P18" s="34">
        <v>1012</v>
      </c>
      <c r="Q18" s="33"/>
    </row>
    <row r="19" spans="1:17" ht="16.5" customHeight="1">
      <c r="A19" s="4891"/>
      <c r="B19" s="10" t="s">
        <v>1759</v>
      </c>
      <c r="C19" s="11" t="s">
        <v>1594</v>
      </c>
      <c r="D19" s="11" t="s">
        <v>1552</v>
      </c>
      <c r="E19" s="11" t="s">
        <v>1781</v>
      </c>
      <c r="F19" s="11" t="s">
        <v>1782</v>
      </c>
      <c r="G19" s="12">
        <v>6.3</v>
      </c>
      <c r="H19" s="13">
        <v>7.4</v>
      </c>
      <c r="I19" s="35">
        <v>23</v>
      </c>
      <c r="J19" s="36">
        <v>35</v>
      </c>
      <c r="K19" s="12">
        <v>6</v>
      </c>
      <c r="L19" s="37">
        <v>11</v>
      </c>
      <c r="M19" s="4892">
        <v>1064</v>
      </c>
      <c r="N19" s="34">
        <v>1072</v>
      </c>
      <c r="O19" s="10">
        <v>1011</v>
      </c>
      <c r="P19" s="34">
        <v>1018</v>
      </c>
      <c r="Q19" s="33"/>
    </row>
    <row r="20" spans="1:17" ht="16.5" customHeight="1">
      <c r="A20" s="14" t="s">
        <v>1784</v>
      </c>
      <c r="B20" s="15" t="s">
        <v>1752</v>
      </c>
      <c r="C20" s="16" t="s">
        <v>1785</v>
      </c>
      <c r="D20" s="16" t="s">
        <v>1754</v>
      </c>
      <c r="E20" s="16" t="s">
        <v>1774</v>
      </c>
      <c r="F20" s="16" t="s">
        <v>1782</v>
      </c>
      <c r="G20" s="12">
        <v>2.4</v>
      </c>
      <c r="H20" s="13">
        <v>3.6</v>
      </c>
      <c r="I20" s="35">
        <v>15</v>
      </c>
      <c r="J20" s="36">
        <v>28</v>
      </c>
      <c r="K20" s="12">
        <v>2</v>
      </c>
      <c r="L20" s="37">
        <v>5</v>
      </c>
      <c r="M20" s="38">
        <v>1026</v>
      </c>
      <c r="N20" s="39">
        <v>1034</v>
      </c>
      <c r="O20" s="15">
        <v>1006</v>
      </c>
      <c r="P20" s="39">
        <v>1010</v>
      </c>
      <c r="Q20" s="33"/>
    </row>
    <row r="21" spans="1:17" ht="16.5" customHeight="1">
      <c r="A21" s="4891"/>
      <c r="B21" s="10" t="s">
        <v>1757</v>
      </c>
      <c r="C21" s="11" t="s">
        <v>1600</v>
      </c>
      <c r="D21" s="11" t="s">
        <v>1760</v>
      </c>
      <c r="E21" s="11" t="s">
        <v>1786</v>
      </c>
      <c r="F21" s="11" t="s">
        <v>1782</v>
      </c>
      <c r="G21" s="12">
        <v>4.4000000000000004</v>
      </c>
      <c r="H21" s="13">
        <v>5.2</v>
      </c>
      <c r="I21" s="35">
        <v>18</v>
      </c>
      <c r="J21" s="36">
        <v>30</v>
      </c>
      <c r="K21" s="12">
        <v>3.5</v>
      </c>
      <c r="L21" s="37">
        <v>5</v>
      </c>
      <c r="M21" s="4892">
        <v>1044</v>
      </c>
      <c r="N21" s="34">
        <v>1050</v>
      </c>
      <c r="O21" s="10">
        <v>1007</v>
      </c>
      <c r="P21" s="34">
        <v>1011</v>
      </c>
      <c r="Q21" s="33"/>
    </row>
    <row r="22" spans="1:17" ht="16.5" customHeight="1">
      <c r="A22" s="4891"/>
      <c r="B22" s="10" t="s">
        <v>1759</v>
      </c>
      <c r="C22" s="11" t="s">
        <v>1787</v>
      </c>
      <c r="D22" s="11" t="s">
        <v>1754</v>
      </c>
      <c r="E22" s="11" t="s">
        <v>1781</v>
      </c>
      <c r="F22" s="11" t="s">
        <v>1782</v>
      </c>
      <c r="G22" s="12">
        <v>4.8</v>
      </c>
      <c r="H22" s="13">
        <v>6</v>
      </c>
      <c r="I22" s="35">
        <v>20</v>
      </c>
      <c r="J22" s="36">
        <v>30</v>
      </c>
      <c r="K22" s="12">
        <v>4</v>
      </c>
      <c r="L22" s="37">
        <v>7</v>
      </c>
      <c r="M22" s="4892">
        <v>1048</v>
      </c>
      <c r="N22" s="34">
        <v>1056</v>
      </c>
      <c r="O22" s="10">
        <v>1010</v>
      </c>
      <c r="P22" s="34">
        <v>1015</v>
      </c>
      <c r="Q22" s="33"/>
    </row>
    <row r="23" spans="1:17" ht="16.5" customHeight="1">
      <c r="A23" s="17"/>
      <c r="B23" s="18" t="s">
        <v>1762</v>
      </c>
      <c r="C23" s="19" t="s">
        <v>1788</v>
      </c>
      <c r="D23" s="19" t="s">
        <v>1774</v>
      </c>
      <c r="E23" s="19" t="s">
        <v>1774</v>
      </c>
      <c r="F23" s="19" t="s">
        <v>1782</v>
      </c>
      <c r="G23" s="12">
        <v>4.4000000000000004</v>
      </c>
      <c r="H23" s="13">
        <v>5.2</v>
      </c>
      <c r="I23" s="35">
        <v>22</v>
      </c>
      <c r="J23" s="36">
        <v>40</v>
      </c>
      <c r="K23" s="12">
        <v>2</v>
      </c>
      <c r="L23" s="37">
        <v>5</v>
      </c>
      <c r="M23" s="40">
        <v>1044</v>
      </c>
      <c r="N23" s="41">
        <v>1050</v>
      </c>
      <c r="O23" s="18">
        <v>1008</v>
      </c>
      <c r="P23" s="41">
        <v>1013</v>
      </c>
      <c r="Q23" s="33"/>
    </row>
    <row r="24" spans="1:17" ht="16.5" customHeight="1">
      <c r="A24" s="4891" t="s">
        <v>1789</v>
      </c>
      <c r="B24" s="10" t="s">
        <v>1752</v>
      </c>
      <c r="C24" s="11" t="s">
        <v>1790</v>
      </c>
      <c r="D24" s="11" t="s">
        <v>1769</v>
      </c>
      <c r="E24" s="11" t="s">
        <v>1769</v>
      </c>
      <c r="F24" s="11" t="s">
        <v>1782</v>
      </c>
      <c r="G24" s="12">
        <v>5.8</v>
      </c>
      <c r="H24" s="13">
        <v>6.3</v>
      </c>
      <c r="I24" s="35">
        <v>18</v>
      </c>
      <c r="J24" s="36">
        <v>24</v>
      </c>
      <c r="K24" s="12">
        <v>8</v>
      </c>
      <c r="L24" s="37">
        <v>17</v>
      </c>
      <c r="M24" s="4892">
        <v>1054</v>
      </c>
      <c r="N24" s="34">
        <v>1060</v>
      </c>
      <c r="O24" s="10">
        <v>1010</v>
      </c>
      <c r="P24" s="34">
        <v>1014</v>
      </c>
      <c r="Q24" s="33"/>
    </row>
    <row r="25" spans="1:17" ht="16.5" customHeight="1">
      <c r="A25" s="4891"/>
      <c r="B25" s="10" t="s">
        <v>1757</v>
      </c>
      <c r="C25" s="11" t="s">
        <v>1791</v>
      </c>
      <c r="D25" s="11" t="s">
        <v>1769</v>
      </c>
      <c r="E25" s="11" t="s">
        <v>1792</v>
      </c>
      <c r="F25" s="11" t="s">
        <v>1782</v>
      </c>
      <c r="G25" s="12">
        <v>4.8</v>
      </c>
      <c r="H25" s="13">
        <v>6</v>
      </c>
      <c r="I25" s="35">
        <v>20</v>
      </c>
      <c r="J25" s="36">
        <v>30</v>
      </c>
      <c r="K25" s="12">
        <v>12</v>
      </c>
      <c r="L25" s="37">
        <v>22</v>
      </c>
      <c r="M25" s="4892">
        <v>1050</v>
      </c>
      <c r="N25" s="34">
        <v>1057</v>
      </c>
      <c r="O25" s="10">
        <v>1012</v>
      </c>
      <c r="P25" s="34">
        <v>1016</v>
      </c>
      <c r="Q25" s="33"/>
    </row>
    <row r="26" spans="1:17" ht="16.5" customHeight="1">
      <c r="A26" s="4891"/>
      <c r="B26" s="10" t="s">
        <v>1759</v>
      </c>
      <c r="C26" s="11" t="s">
        <v>1793</v>
      </c>
      <c r="D26" s="11" t="s">
        <v>1552</v>
      </c>
      <c r="E26" s="11" t="s">
        <v>1552</v>
      </c>
      <c r="F26" s="11" t="s">
        <v>1782</v>
      </c>
      <c r="G26" s="12">
        <v>6.3</v>
      </c>
      <c r="H26" s="13">
        <v>7.2</v>
      </c>
      <c r="I26" s="35">
        <v>20</v>
      </c>
      <c r="J26" s="36">
        <v>27</v>
      </c>
      <c r="K26" s="12">
        <v>14</v>
      </c>
      <c r="L26" s="37">
        <v>22</v>
      </c>
      <c r="M26" s="4892">
        <v>1064</v>
      </c>
      <c r="N26" s="34">
        <v>1072</v>
      </c>
      <c r="O26" s="10">
        <v>1013</v>
      </c>
      <c r="P26" s="34">
        <v>1019</v>
      </c>
      <c r="Q26" s="33"/>
    </row>
    <row r="27" spans="1:17" ht="16.5" customHeight="1">
      <c r="A27" s="14" t="s">
        <v>1794</v>
      </c>
      <c r="B27" s="15" t="s">
        <v>1752</v>
      </c>
      <c r="C27" s="16" t="s">
        <v>1795</v>
      </c>
      <c r="D27" s="16" t="s">
        <v>1769</v>
      </c>
      <c r="E27" s="16" t="s">
        <v>1769</v>
      </c>
      <c r="F27" s="16" t="s">
        <v>358</v>
      </c>
      <c r="G27" s="12">
        <v>4.7</v>
      </c>
      <c r="H27" s="13">
        <v>5.5</v>
      </c>
      <c r="I27" s="35">
        <v>18</v>
      </c>
      <c r="J27" s="36">
        <v>30</v>
      </c>
      <c r="K27" s="12">
        <v>9</v>
      </c>
      <c r="L27" s="37">
        <v>15</v>
      </c>
      <c r="M27" s="38">
        <v>1048</v>
      </c>
      <c r="N27" s="39">
        <v>1055</v>
      </c>
      <c r="O27" s="15">
        <v>1010</v>
      </c>
      <c r="P27" s="39">
        <v>1014</v>
      </c>
      <c r="Q27" s="33"/>
    </row>
    <row r="28" spans="1:17" ht="16.5" customHeight="1">
      <c r="A28" s="4891"/>
      <c r="B28" s="10" t="s">
        <v>1757</v>
      </c>
      <c r="C28" s="11" t="s">
        <v>457</v>
      </c>
      <c r="D28" s="11" t="s">
        <v>1796</v>
      </c>
      <c r="E28" s="11" t="s">
        <v>1786</v>
      </c>
      <c r="F28" s="11" t="s">
        <v>1782</v>
      </c>
      <c r="G28" s="12">
        <v>4.3</v>
      </c>
      <c r="H28" s="13">
        <v>5.5</v>
      </c>
      <c r="I28" s="35">
        <v>25</v>
      </c>
      <c r="J28" s="36">
        <v>50</v>
      </c>
      <c r="K28" s="12">
        <v>11</v>
      </c>
      <c r="L28" s="37">
        <v>17</v>
      </c>
      <c r="M28" s="4892">
        <v>1044</v>
      </c>
      <c r="N28" s="34">
        <v>1052</v>
      </c>
      <c r="O28" s="10">
        <v>1008</v>
      </c>
      <c r="P28" s="34">
        <v>1014</v>
      </c>
      <c r="Q28" s="33"/>
    </row>
    <row r="29" spans="1:17" ht="16.5" customHeight="1">
      <c r="A29" s="4891"/>
      <c r="B29" s="10" t="s">
        <v>1759</v>
      </c>
      <c r="C29" s="11" t="s">
        <v>1797</v>
      </c>
      <c r="D29" s="11" t="s">
        <v>1754</v>
      </c>
      <c r="E29" s="11" t="s">
        <v>1774</v>
      </c>
      <c r="F29" s="11" t="s">
        <v>1782</v>
      </c>
      <c r="G29" s="12">
        <v>4.7</v>
      </c>
      <c r="H29" s="13">
        <v>5.4</v>
      </c>
      <c r="I29" s="35">
        <v>20</v>
      </c>
      <c r="J29" s="36">
        <v>35</v>
      </c>
      <c r="K29" s="12">
        <v>3</v>
      </c>
      <c r="L29" s="37">
        <v>7</v>
      </c>
      <c r="M29" s="4892">
        <v>1045</v>
      </c>
      <c r="N29" s="34">
        <v>1051</v>
      </c>
      <c r="O29" s="10">
        <v>1008</v>
      </c>
      <c r="P29" s="34">
        <v>1012</v>
      </c>
      <c r="Q29" s="33"/>
    </row>
    <row r="30" spans="1:17" ht="16.5" customHeight="1">
      <c r="A30" s="17"/>
      <c r="B30" s="18" t="s">
        <v>1759</v>
      </c>
      <c r="C30" s="19" t="s">
        <v>1798</v>
      </c>
      <c r="D30" s="19" t="s">
        <v>1769</v>
      </c>
      <c r="E30" s="19" t="s">
        <v>1769</v>
      </c>
      <c r="F30" s="19" t="s">
        <v>1782</v>
      </c>
      <c r="G30" s="12">
        <v>4.8</v>
      </c>
      <c r="H30" s="13">
        <v>5.4</v>
      </c>
      <c r="I30" s="35">
        <v>25</v>
      </c>
      <c r="J30" s="36">
        <v>40</v>
      </c>
      <c r="K30" s="12">
        <v>7</v>
      </c>
      <c r="L30" s="37">
        <v>17</v>
      </c>
      <c r="M30" s="40">
        <v>1048</v>
      </c>
      <c r="N30" s="41">
        <v>1054</v>
      </c>
      <c r="O30" s="18">
        <v>1012</v>
      </c>
      <c r="P30" s="41">
        <v>1016</v>
      </c>
      <c r="Q30" s="33"/>
    </row>
    <row r="31" spans="1:17" ht="16.5" customHeight="1">
      <c r="A31" s="4891" t="s">
        <v>1799</v>
      </c>
      <c r="B31" s="10" t="s">
        <v>1752</v>
      </c>
      <c r="C31" s="11" t="s">
        <v>1610</v>
      </c>
      <c r="D31" s="11" t="s">
        <v>1771</v>
      </c>
      <c r="E31" s="11" t="s">
        <v>1771</v>
      </c>
      <c r="F31" s="11" t="s">
        <v>1782</v>
      </c>
      <c r="G31" s="12">
        <v>4.5</v>
      </c>
      <c r="H31" s="13">
        <v>5.6</v>
      </c>
      <c r="I31" s="35">
        <v>18</v>
      </c>
      <c r="J31" s="36">
        <v>28</v>
      </c>
      <c r="K31" s="12">
        <v>14</v>
      </c>
      <c r="L31" s="37">
        <v>28</v>
      </c>
      <c r="M31" s="4892">
        <v>1048</v>
      </c>
      <c r="N31" s="34">
        <v>1056</v>
      </c>
      <c r="O31" s="10">
        <v>1010</v>
      </c>
      <c r="P31" s="34">
        <v>1016</v>
      </c>
      <c r="Q31" s="33"/>
    </row>
    <row r="32" spans="1:17" ht="16.5" customHeight="1">
      <c r="A32" s="4891"/>
      <c r="B32" s="10" t="s">
        <v>1757</v>
      </c>
      <c r="C32" s="11" t="s">
        <v>1617</v>
      </c>
      <c r="D32" s="11" t="s">
        <v>1771</v>
      </c>
      <c r="E32" s="11" t="s">
        <v>1771</v>
      </c>
      <c r="F32" s="11" t="s">
        <v>1782</v>
      </c>
      <c r="G32" s="12">
        <v>4.4000000000000004</v>
      </c>
      <c r="H32" s="13">
        <v>5.4</v>
      </c>
      <c r="I32" s="35">
        <v>20</v>
      </c>
      <c r="J32" s="36">
        <v>30</v>
      </c>
      <c r="K32" s="12">
        <v>17</v>
      </c>
      <c r="L32" s="37">
        <v>30</v>
      </c>
      <c r="M32" s="4892">
        <v>1046</v>
      </c>
      <c r="N32" s="34">
        <v>1052</v>
      </c>
      <c r="O32" s="10">
        <v>1010</v>
      </c>
      <c r="P32" s="34">
        <v>1016</v>
      </c>
      <c r="Q32" s="33"/>
    </row>
    <row r="33" spans="1:17" ht="16.5" customHeight="1">
      <c r="A33" s="14" t="s">
        <v>1800</v>
      </c>
      <c r="B33" s="15" t="s">
        <v>1752</v>
      </c>
      <c r="C33" s="16" t="s">
        <v>1801</v>
      </c>
      <c r="D33" s="16" t="s">
        <v>1552</v>
      </c>
      <c r="E33" s="16" t="s">
        <v>1552</v>
      </c>
      <c r="F33" s="16" t="s">
        <v>1782</v>
      </c>
      <c r="G33" s="12">
        <v>7</v>
      </c>
      <c r="H33" s="13">
        <v>10</v>
      </c>
      <c r="I33" s="35">
        <v>16</v>
      </c>
      <c r="J33" s="36">
        <v>26</v>
      </c>
      <c r="K33" s="12">
        <v>6</v>
      </c>
      <c r="L33" s="37">
        <v>25</v>
      </c>
      <c r="M33" s="38">
        <v>1072</v>
      </c>
      <c r="N33" s="39">
        <v>1112</v>
      </c>
      <c r="O33" s="15">
        <v>1016</v>
      </c>
      <c r="P33" s="39">
        <v>1024</v>
      </c>
      <c r="Q33" s="33"/>
    </row>
    <row r="34" spans="1:17" ht="16.5" customHeight="1">
      <c r="A34" s="4891"/>
      <c r="B34" s="10" t="s">
        <v>1757</v>
      </c>
      <c r="C34" s="11" t="s">
        <v>1570</v>
      </c>
      <c r="D34" s="11" t="s">
        <v>1552</v>
      </c>
      <c r="E34" s="11" t="s">
        <v>1552</v>
      </c>
      <c r="F34" s="11" t="s">
        <v>1782</v>
      </c>
      <c r="G34" s="12">
        <v>9</v>
      </c>
      <c r="H34" s="13">
        <v>14</v>
      </c>
      <c r="I34" s="35">
        <v>25</v>
      </c>
      <c r="J34" s="36">
        <v>35</v>
      </c>
      <c r="K34" s="12">
        <v>18</v>
      </c>
      <c r="L34" s="37">
        <v>30</v>
      </c>
      <c r="M34" s="4892">
        <v>1078</v>
      </c>
      <c r="N34" s="34">
        <v>1120</v>
      </c>
      <c r="O34" s="10">
        <v>1020</v>
      </c>
      <c r="P34" s="34">
        <v>1035</v>
      </c>
      <c r="Q34" s="33"/>
    </row>
    <row r="35" spans="1:17" ht="16.5" customHeight="1">
      <c r="A35" s="17"/>
      <c r="B35" s="18" t="s">
        <v>1759</v>
      </c>
      <c r="C35" s="19" t="s">
        <v>1802</v>
      </c>
      <c r="D35" s="19" t="s">
        <v>1614</v>
      </c>
      <c r="E35" s="19" t="s">
        <v>1614</v>
      </c>
      <c r="F35" s="19" t="s">
        <v>1803</v>
      </c>
      <c r="G35" s="12">
        <v>6.5</v>
      </c>
      <c r="H35" s="13">
        <v>9.5</v>
      </c>
      <c r="I35" s="35">
        <v>20</v>
      </c>
      <c r="J35" s="36">
        <v>40</v>
      </c>
      <c r="K35" s="12">
        <v>17</v>
      </c>
      <c r="L35" s="37">
        <v>30</v>
      </c>
      <c r="M35" s="40">
        <v>1060</v>
      </c>
      <c r="N35" s="41">
        <v>1090</v>
      </c>
      <c r="O35" s="18">
        <v>1016</v>
      </c>
      <c r="P35" s="41">
        <v>1024</v>
      </c>
      <c r="Q35" s="33"/>
    </row>
    <row r="36" spans="1:17" ht="16.5" customHeight="1">
      <c r="A36" s="4891" t="s">
        <v>1804</v>
      </c>
      <c r="B36" s="10" t="s">
        <v>1752</v>
      </c>
      <c r="C36" s="11" t="s">
        <v>1805</v>
      </c>
      <c r="D36" s="11" t="s">
        <v>1764</v>
      </c>
      <c r="E36" s="11" t="s">
        <v>1764</v>
      </c>
      <c r="F36" s="11" t="s">
        <v>1782</v>
      </c>
      <c r="G36" s="12">
        <v>4.3</v>
      </c>
      <c r="H36" s="13">
        <v>5.6</v>
      </c>
      <c r="I36" s="35">
        <v>8</v>
      </c>
      <c r="J36" s="36">
        <v>15</v>
      </c>
      <c r="K36" s="12">
        <v>2</v>
      </c>
      <c r="L36" s="37">
        <v>6</v>
      </c>
      <c r="M36" s="4892">
        <v>1044</v>
      </c>
      <c r="N36" s="34">
        <v>1052</v>
      </c>
      <c r="O36" s="10">
        <v>1010</v>
      </c>
      <c r="P36" s="34">
        <v>1014</v>
      </c>
      <c r="Q36" s="33"/>
    </row>
    <row r="37" spans="1:17" ht="16.5" customHeight="1">
      <c r="A37" s="4891"/>
      <c r="B37" s="10" t="s">
        <v>1757</v>
      </c>
      <c r="C37" s="11" t="s">
        <v>1806</v>
      </c>
      <c r="D37" s="11" t="s">
        <v>1764</v>
      </c>
      <c r="E37" s="11" t="s">
        <v>1764</v>
      </c>
      <c r="F37" s="11" t="s">
        <v>1782</v>
      </c>
      <c r="G37" s="12">
        <v>4.3</v>
      </c>
      <c r="H37" s="13">
        <v>5.6</v>
      </c>
      <c r="I37" s="35">
        <v>10</v>
      </c>
      <c r="J37" s="36">
        <v>18</v>
      </c>
      <c r="K37" s="12">
        <v>14</v>
      </c>
      <c r="L37" s="37">
        <v>23</v>
      </c>
      <c r="M37" s="4892">
        <v>1044</v>
      </c>
      <c r="N37" s="34">
        <v>1056</v>
      </c>
      <c r="O37" s="10">
        <v>1010</v>
      </c>
      <c r="P37" s="34">
        <v>1014</v>
      </c>
      <c r="Q37" s="33"/>
    </row>
    <row r="38" spans="1:17" ht="16.5" customHeight="1">
      <c r="A38" s="4891"/>
      <c r="B38" s="10" t="s">
        <v>1759</v>
      </c>
      <c r="C38" s="11" t="s">
        <v>1807</v>
      </c>
      <c r="D38" s="11" t="s">
        <v>1764</v>
      </c>
      <c r="E38" s="11" t="s">
        <v>1764</v>
      </c>
      <c r="F38" s="11" t="s">
        <v>1782</v>
      </c>
      <c r="G38" s="12">
        <v>6.5</v>
      </c>
      <c r="H38" s="13">
        <v>9</v>
      </c>
      <c r="I38" s="35">
        <v>15</v>
      </c>
      <c r="J38" s="36">
        <v>30</v>
      </c>
      <c r="K38" s="12">
        <v>6</v>
      </c>
      <c r="L38" s="37">
        <v>25</v>
      </c>
      <c r="M38" s="4892">
        <v>1064</v>
      </c>
      <c r="N38" s="34">
        <v>1090</v>
      </c>
      <c r="O38" s="10">
        <v>1015</v>
      </c>
      <c r="P38" s="34">
        <v>1022</v>
      </c>
      <c r="Q38" s="33"/>
    </row>
    <row r="39" spans="1:17" ht="16.5" customHeight="1">
      <c r="A39" s="14" t="s">
        <v>1808</v>
      </c>
      <c r="B39" s="15" t="s">
        <v>1752</v>
      </c>
      <c r="C39" s="16" t="s">
        <v>1809</v>
      </c>
      <c r="D39" s="16" t="s">
        <v>1796</v>
      </c>
      <c r="E39" s="16" t="s">
        <v>1581</v>
      </c>
      <c r="F39" s="16" t="s">
        <v>1810</v>
      </c>
      <c r="G39" s="12">
        <v>3.2</v>
      </c>
      <c r="H39" s="13">
        <v>3.8</v>
      </c>
      <c r="I39" s="35">
        <v>25</v>
      </c>
      <c r="J39" s="36">
        <v>35</v>
      </c>
      <c r="K39" s="12">
        <v>8</v>
      </c>
      <c r="L39" s="37">
        <v>14</v>
      </c>
      <c r="M39" s="38">
        <v>1030</v>
      </c>
      <c r="N39" s="39">
        <v>1039</v>
      </c>
      <c r="O39" s="15">
        <v>1007</v>
      </c>
      <c r="P39" s="39">
        <v>1011</v>
      </c>
      <c r="Q39" s="33"/>
    </row>
    <row r="40" spans="1:17" ht="16.5" customHeight="1">
      <c r="A40" s="4891"/>
      <c r="B40" s="10" t="s">
        <v>1757</v>
      </c>
      <c r="C40" s="11" t="s">
        <v>1811</v>
      </c>
      <c r="D40" s="11" t="s">
        <v>1796</v>
      </c>
      <c r="E40" s="11" t="s">
        <v>1581</v>
      </c>
      <c r="F40" s="11" t="s">
        <v>1810</v>
      </c>
      <c r="G40" s="12">
        <v>3.8</v>
      </c>
      <c r="H40" s="13">
        <v>4.5999999999999996</v>
      </c>
      <c r="I40" s="35">
        <v>25</v>
      </c>
      <c r="J40" s="36">
        <v>40</v>
      </c>
      <c r="K40" s="12">
        <v>8</v>
      </c>
      <c r="L40" s="37">
        <v>16</v>
      </c>
      <c r="M40" s="4892">
        <v>1040</v>
      </c>
      <c r="N40" s="34">
        <v>1048</v>
      </c>
      <c r="O40" s="10">
        <v>1008</v>
      </c>
      <c r="P40" s="34">
        <v>1012</v>
      </c>
      <c r="Q40" s="33"/>
    </row>
    <row r="41" spans="1:17" ht="16.5" customHeight="1">
      <c r="A41" s="17"/>
      <c r="B41" s="18" t="s">
        <v>1759</v>
      </c>
      <c r="C41" s="19" t="s">
        <v>1812</v>
      </c>
      <c r="D41" s="19" t="s">
        <v>1796</v>
      </c>
      <c r="E41" s="19" t="s">
        <v>1581</v>
      </c>
      <c r="F41" s="19" t="s">
        <v>1810</v>
      </c>
      <c r="G41" s="12">
        <v>4.5999999999999996</v>
      </c>
      <c r="H41" s="13">
        <v>6.2</v>
      </c>
      <c r="I41" s="35">
        <v>30</v>
      </c>
      <c r="J41" s="36">
        <v>50</v>
      </c>
      <c r="K41" s="12">
        <v>8</v>
      </c>
      <c r="L41" s="37">
        <v>18</v>
      </c>
      <c r="M41" s="40">
        <v>1048</v>
      </c>
      <c r="N41" s="41">
        <v>1060</v>
      </c>
      <c r="O41" s="18">
        <v>1010</v>
      </c>
      <c r="P41" s="41">
        <v>1016</v>
      </c>
      <c r="Q41" s="33"/>
    </row>
    <row r="42" spans="1:17" ht="16.5" customHeight="1">
      <c r="A42" s="4891" t="s">
        <v>1813</v>
      </c>
      <c r="B42" s="10" t="s">
        <v>1752</v>
      </c>
      <c r="C42" s="11" t="s">
        <v>1814</v>
      </c>
      <c r="D42" s="11" t="s">
        <v>1760</v>
      </c>
      <c r="E42" s="11" t="s">
        <v>1815</v>
      </c>
      <c r="F42" s="11" t="s">
        <v>1810</v>
      </c>
      <c r="G42" s="12">
        <v>3.8</v>
      </c>
      <c r="H42" s="13">
        <v>5</v>
      </c>
      <c r="I42" s="35">
        <v>20</v>
      </c>
      <c r="J42" s="36">
        <v>45</v>
      </c>
      <c r="K42" s="12">
        <v>2</v>
      </c>
      <c r="L42" s="37">
        <v>6</v>
      </c>
      <c r="M42" s="4892">
        <v>1038</v>
      </c>
      <c r="N42" s="34">
        <v>1053</v>
      </c>
      <c r="O42" s="10">
        <v>1006</v>
      </c>
      <c r="P42" s="34">
        <v>1012</v>
      </c>
      <c r="Q42" s="33"/>
    </row>
    <row r="43" spans="1:17" ht="16.5" customHeight="1">
      <c r="A43" s="4891"/>
      <c r="B43" s="10" t="s">
        <v>1757</v>
      </c>
      <c r="C43" s="11" t="s">
        <v>1816</v>
      </c>
      <c r="D43" s="11" t="s">
        <v>1760</v>
      </c>
      <c r="E43" s="11" t="s">
        <v>1815</v>
      </c>
      <c r="F43" s="11" t="s">
        <v>1817</v>
      </c>
      <c r="G43" s="12">
        <v>4.5</v>
      </c>
      <c r="H43" s="13">
        <v>6</v>
      </c>
      <c r="I43" s="35">
        <v>20</v>
      </c>
      <c r="J43" s="36">
        <v>35</v>
      </c>
      <c r="K43" s="12">
        <v>4</v>
      </c>
      <c r="L43" s="37">
        <v>7</v>
      </c>
      <c r="M43" s="4892">
        <v>1038</v>
      </c>
      <c r="N43" s="34">
        <v>1050</v>
      </c>
      <c r="O43" s="10">
        <v>1004</v>
      </c>
      <c r="P43" s="34">
        <v>1006</v>
      </c>
      <c r="Q43" s="33"/>
    </row>
    <row r="44" spans="1:17" ht="16.5" customHeight="1">
      <c r="A44" s="4891"/>
      <c r="B44" s="10" t="s">
        <v>1759</v>
      </c>
      <c r="C44" s="11" t="s">
        <v>1818</v>
      </c>
      <c r="D44" s="11" t="s">
        <v>1819</v>
      </c>
      <c r="E44" s="11" t="s">
        <v>1581</v>
      </c>
      <c r="F44" s="11" t="s">
        <v>1810</v>
      </c>
      <c r="G44" s="12">
        <v>5</v>
      </c>
      <c r="H44" s="13">
        <v>7.5</v>
      </c>
      <c r="I44" s="35">
        <v>40</v>
      </c>
      <c r="J44" s="36">
        <v>60</v>
      </c>
      <c r="K44" s="12">
        <v>6</v>
      </c>
      <c r="L44" s="37">
        <v>14</v>
      </c>
      <c r="M44" s="4892">
        <v>1050</v>
      </c>
      <c r="N44" s="34">
        <v>1075</v>
      </c>
      <c r="O44" s="10">
        <v>1010</v>
      </c>
      <c r="P44" s="34">
        <v>1018</v>
      </c>
      <c r="Q44" s="33"/>
    </row>
    <row r="45" spans="1:17" ht="16.5" customHeight="1">
      <c r="A45" s="14" t="s">
        <v>1820</v>
      </c>
      <c r="B45" s="15" t="s">
        <v>1752</v>
      </c>
      <c r="C45" s="16" t="s">
        <v>1821</v>
      </c>
      <c r="D45" s="16" t="s">
        <v>1822</v>
      </c>
      <c r="E45" s="16" t="s">
        <v>1577</v>
      </c>
      <c r="F45" s="16" t="s">
        <v>1810</v>
      </c>
      <c r="G45" s="12">
        <v>3</v>
      </c>
      <c r="H45" s="13">
        <v>3.8</v>
      </c>
      <c r="I45" s="35">
        <v>10</v>
      </c>
      <c r="J45" s="36">
        <v>25</v>
      </c>
      <c r="K45" s="12">
        <v>12</v>
      </c>
      <c r="L45" s="37">
        <v>25</v>
      </c>
      <c r="M45" s="38">
        <v>1030</v>
      </c>
      <c r="N45" s="39">
        <v>1038</v>
      </c>
      <c r="O45" s="15">
        <v>1008</v>
      </c>
      <c r="P45" s="39">
        <v>1013</v>
      </c>
      <c r="Q45" s="33"/>
    </row>
    <row r="46" spans="1:17" ht="16.5" customHeight="1">
      <c r="A46" s="4891"/>
      <c r="B46" s="10" t="s">
        <v>1757</v>
      </c>
      <c r="C46" s="11" t="s">
        <v>1823</v>
      </c>
      <c r="D46" s="11" t="s">
        <v>1822</v>
      </c>
      <c r="E46" s="11"/>
      <c r="F46" s="11" t="s">
        <v>1810</v>
      </c>
      <c r="G46" s="12">
        <v>4.2</v>
      </c>
      <c r="H46" s="13">
        <v>5.4</v>
      </c>
      <c r="I46" s="35">
        <v>20</v>
      </c>
      <c r="J46" s="36">
        <v>30</v>
      </c>
      <c r="K46" s="12">
        <v>12</v>
      </c>
      <c r="L46" s="37">
        <v>22</v>
      </c>
      <c r="M46" s="4892">
        <v>1040</v>
      </c>
      <c r="N46" s="34">
        <v>1052</v>
      </c>
      <c r="O46" s="10">
        <v>1008</v>
      </c>
      <c r="P46" s="34">
        <v>1013</v>
      </c>
      <c r="Q46" s="33"/>
    </row>
    <row r="47" spans="1:17" ht="16.5" customHeight="1">
      <c r="A47" s="17"/>
      <c r="B47" s="18" t="s">
        <v>1759</v>
      </c>
      <c r="C47" s="19" t="s">
        <v>1824</v>
      </c>
      <c r="D47" s="19" t="s">
        <v>1614</v>
      </c>
      <c r="E47" s="19" t="s">
        <v>1614</v>
      </c>
      <c r="F47" s="19" t="s">
        <v>1810</v>
      </c>
      <c r="G47" s="23">
        <v>4</v>
      </c>
      <c r="H47" s="24">
        <v>5.4</v>
      </c>
      <c r="I47" s="44">
        <v>18</v>
      </c>
      <c r="J47" s="45">
        <v>35</v>
      </c>
      <c r="K47" s="23">
        <v>20</v>
      </c>
      <c r="L47" s="46">
        <v>30</v>
      </c>
      <c r="M47" s="4892">
        <v>1040</v>
      </c>
      <c r="N47" s="41">
        <v>1052</v>
      </c>
      <c r="O47" s="18">
        <v>1008</v>
      </c>
      <c r="P47" s="41">
        <v>1014</v>
      </c>
      <c r="Q47" s="33"/>
    </row>
    <row r="48" spans="1:17" ht="16.5" customHeight="1">
      <c r="A48" s="4891" t="s">
        <v>1825</v>
      </c>
      <c r="B48" s="10" t="s">
        <v>1752</v>
      </c>
      <c r="C48" s="11" t="s">
        <v>1826</v>
      </c>
      <c r="D48" s="11" t="s">
        <v>1796</v>
      </c>
      <c r="E48" s="11"/>
      <c r="F48" s="11" t="s">
        <v>1827</v>
      </c>
      <c r="G48" s="25">
        <v>2.5</v>
      </c>
      <c r="H48" s="26">
        <v>3.2</v>
      </c>
      <c r="I48" s="47">
        <v>10</v>
      </c>
      <c r="J48" s="48">
        <v>20</v>
      </c>
      <c r="K48" s="25">
        <v>17</v>
      </c>
      <c r="L48" s="49">
        <v>22</v>
      </c>
      <c r="M48" s="38">
        <v>1030</v>
      </c>
      <c r="N48" s="34">
        <v>1035</v>
      </c>
      <c r="O48" s="10">
        <v>1010</v>
      </c>
      <c r="P48" s="34">
        <v>1013</v>
      </c>
      <c r="Q48" s="33"/>
    </row>
    <row r="49" spans="1:17" ht="16.5" customHeight="1">
      <c r="A49" s="4891"/>
      <c r="B49" s="10" t="s">
        <v>1757</v>
      </c>
      <c r="C49" s="11" t="s">
        <v>1828</v>
      </c>
      <c r="D49" s="11" t="s">
        <v>1796</v>
      </c>
      <c r="E49" s="11"/>
      <c r="F49" s="11" t="s">
        <v>1827</v>
      </c>
      <c r="G49" s="12">
        <v>3.2</v>
      </c>
      <c r="H49" s="13">
        <v>3.9</v>
      </c>
      <c r="I49" s="35">
        <v>10</v>
      </c>
      <c r="J49" s="36">
        <v>20</v>
      </c>
      <c r="K49" s="12">
        <v>13</v>
      </c>
      <c r="L49" s="37">
        <v>22</v>
      </c>
      <c r="M49" s="4892">
        <v>1035</v>
      </c>
      <c r="N49" s="34">
        <v>1040</v>
      </c>
      <c r="O49" s="10">
        <v>1010</v>
      </c>
      <c r="P49" s="34">
        <v>1015</v>
      </c>
      <c r="Q49" s="33"/>
    </row>
    <row r="50" spans="1:17" ht="16.5" customHeight="1">
      <c r="A50" s="4891"/>
      <c r="B50" s="10" t="s">
        <v>1759</v>
      </c>
      <c r="C50" s="11" t="s">
        <v>1829</v>
      </c>
      <c r="D50" s="11" t="s">
        <v>1796</v>
      </c>
      <c r="E50" s="11"/>
      <c r="F50" s="11" t="s">
        <v>1827</v>
      </c>
      <c r="G50" s="27">
        <v>3.9</v>
      </c>
      <c r="H50" s="28">
        <v>6</v>
      </c>
      <c r="I50" s="50">
        <v>15</v>
      </c>
      <c r="J50" s="51">
        <v>30</v>
      </c>
      <c r="K50" s="27">
        <v>13</v>
      </c>
      <c r="L50" s="52">
        <v>22</v>
      </c>
      <c r="M50" s="40">
        <v>1040</v>
      </c>
      <c r="N50" s="34">
        <v>1060</v>
      </c>
      <c r="O50" s="10">
        <v>1010</v>
      </c>
      <c r="P50" s="34">
        <v>1016</v>
      </c>
      <c r="Q50" s="33"/>
    </row>
    <row r="51" spans="1:17" ht="16.5" customHeight="1">
      <c r="A51" s="14" t="s">
        <v>1830</v>
      </c>
      <c r="B51" s="15" t="s">
        <v>1752</v>
      </c>
      <c r="C51" s="16" t="s">
        <v>478</v>
      </c>
      <c r="D51" s="16" t="s">
        <v>1796</v>
      </c>
      <c r="E51" s="16" t="s">
        <v>1815</v>
      </c>
      <c r="F51" s="16" t="s">
        <v>1831</v>
      </c>
      <c r="G51" s="29">
        <v>3.8</v>
      </c>
      <c r="H51" s="30">
        <v>5</v>
      </c>
      <c r="I51" s="53">
        <v>18</v>
      </c>
      <c r="J51" s="54">
        <v>28</v>
      </c>
      <c r="K51" s="29">
        <v>9</v>
      </c>
      <c r="L51" s="55">
        <v>14</v>
      </c>
      <c r="M51" s="4892">
        <v>1036</v>
      </c>
      <c r="N51" s="39">
        <v>1046</v>
      </c>
      <c r="O51" s="15">
        <v>1010</v>
      </c>
      <c r="P51" s="39">
        <v>1014</v>
      </c>
      <c r="Q51" s="33"/>
    </row>
    <row r="52" spans="1:17" ht="16.5" customHeight="1">
      <c r="A52" s="4891"/>
      <c r="B52" s="10" t="s">
        <v>1757</v>
      </c>
      <c r="C52" s="11" t="s">
        <v>1832</v>
      </c>
      <c r="D52" s="11" t="s">
        <v>1833</v>
      </c>
      <c r="E52" s="11" t="s">
        <v>1832</v>
      </c>
      <c r="F52" s="11" t="s">
        <v>1831</v>
      </c>
      <c r="G52" s="12">
        <v>4</v>
      </c>
      <c r="H52" s="13">
        <v>4.5</v>
      </c>
      <c r="I52" s="35">
        <v>25</v>
      </c>
      <c r="J52" s="36">
        <v>45</v>
      </c>
      <c r="K52" s="12">
        <v>25</v>
      </c>
      <c r="L52" s="37">
        <v>40</v>
      </c>
      <c r="M52" s="4892">
        <v>1036</v>
      </c>
      <c r="N52" s="34">
        <v>1044</v>
      </c>
      <c r="O52" s="10">
        <v>1007</v>
      </c>
      <c r="P52" s="34">
        <v>1011</v>
      </c>
      <c r="Q52" s="33"/>
    </row>
    <row r="53" spans="1:17" ht="16.5" customHeight="1">
      <c r="A53" s="17"/>
      <c r="B53" s="18" t="s">
        <v>1759</v>
      </c>
      <c r="C53" s="19" t="s">
        <v>1834</v>
      </c>
      <c r="D53" s="19" t="s">
        <v>1833</v>
      </c>
      <c r="E53" s="19" t="s">
        <v>1832</v>
      </c>
      <c r="F53" s="11" t="s">
        <v>1831</v>
      </c>
      <c r="G53" s="23">
        <v>5.5</v>
      </c>
      <c r="H53" s="24">
        <v>6.5</v>
      </c>
      <c r="I53" s="44">
        <v>35</v>
      </c>
      <c r="J53" s="45">
        <v>50</v>
      </c>
      <c r="K53" s="23">
        <v>25</v>
      </c>
      <c r="L53" s="46">
        <v>40</v>
      </c>
      <c r="M53" s="4892">
        <v>1052</v>
      </c>
      <c r="N53" s="41">
        <v>1062</v>
      </c>
      <c r="O53" s="18">
        <v>1010</v>
      </c>
      <c r="P53" s="41">
        <v>1014</v>
      </c>
      <c r="Q53" s="33"/>
    </row>
    <row r="54" spans="1:17" ht="16.5" customHeight="1">
      <c r="A54" s="4891" t="s">
        <v>1835</v>
      </c>
      <c r="B54" s="10" t="s">
        <v>1752</v>
      </c>
      <c r="C54" s="11" t="s">
        <v>1836</v>
      </c>
      <c r="D54" s="11" t="s">
        <v>1833</v>
      </c>
      <c r="E54" s="11" t="s">
        <v>1837</v>
      </c>
      <c r="F54" s="16" t="s">
        <v>1810</v>
      </c>
      <c r="G54" s="25">
        <v>4</v>
      </c>
      <c r="H54" s="26">
        <v>6</v>
      </c>
      <c r="I54" s="47">
        <v>20</v>
      </c>
      <c r="J54" s="48">
        <v>40</v>
      </c>
      <c r="K54" s="25">
        <v>30</v>
      </c>
      <c r="L54" s="49">
        <v>40</v>
      </c>
      <c r="M54" s="38">
        <v>1044</v>
      </c>
      <c r="N54" s="34">
        <v>1060</v>
      </c>
      <c r="O54" s="10">
        <v>1012</v>
      </c>
      <c r="P54" s="34">
        <v>1024</v>
      </c>
      <c r="Q54" s="33"/>
    </row>
    <row r="55" spans="1:17" ht="16.5" customHeight="1">
      <c r="A55" s="4891"/>
      <c r="B55" s="10" t="s">
        <v>1757</v>
      </c>
      <c r="C55" s="11" t="s">
        <v>1838</v>
      </c>
      <c r="D55" s="11" t="s">
        <v>1833</v>
      </c>
      <c r="E55" s="11" t="s">
        <v>1837</v>
      </c>
      <c r="F55" s="11" t="s">
        <v>1810</v>
      </c>
      <c r="G55" s="12">
        <v>4.2</v>
      </c>
      <c r="H55" s="13">
        <v>5.9</v>
      </c>
      <c r="I55" s="35">
        <v>25</v>
      </c>
      <c r="J55" s="36">
        <v>40</v>
      </c>
      <c r="K55" s="12">
        <v>22</v>
      </c>
      <c r="L55" s="37">
        <v>40</v>
      </c>
      <c r="M55" s="4892">
        <v>1045</v>
      </c>
      <c r="N55" s="34">
        <v>1065</v>
      </c>
      <c r="O55" s="10">
        <v>1010</v>
      </c>
      <c r="P55" s="34">
        <v>1018</v>
      </c>
      <c r="Q55" s="33"/>
    </row>
    <row r="56" spans="1:17" ht="16.5" customHeight="1">
      <c r="A56" s="4891"/>
      <c r="B56" s="10" t="s">
        <v>1759</v>
      </c>
      <c r="C56" s="11" t="s">
        <v>1839</v>
      </c>
      <c r="D56" s="11" t="s">
        <v>1833</v>
      </c>
      <c r="E56" s="11" t="s">
        <v>1837</v>
      </c>
      <c r="F56" s="11" t="s">
        <v>1810</v>
      </c>
      <c r="G56" s="12">
        <v>5.5</v>
      </c>
      <c r="H56" s="13">
        <v>8</v>
      </c>
      <c r="I56" s="35">
        <v>30</v>
      </c>
      <c r="J56" s="36">
        <v>50</v>
      </c>
      <c r="K56" s="12">
        <v>30</v>
      </c>
      <c r="L56" s="37">
        <v>40</v>
      </c>
      <c r="M56" s="4892">
        <v>1056</v>
      </c>
      <c r="N56" s="34">
        <v>1075</v>
      </c>
      <c r="O56" s="10">
        <v>1010</v>
      </c>
      <c r="P56" s="34">
        <v>1018</v>
      </c>
      <c r="Q56" s="33"/>
    </row>
    <row r="57" spans="1:17" ht="16.5" customHeight="1">
      <c r="A57" s="4891"/>
      <c r="B57" s="10" t="s">
        <v>1762</v>
      </c>
      <c r="C57" s="11" t="s">
        <v>1840</v>
      </c>
      <c r="D57" s="11" t="s">
        <v>1833</v>
      </c>
      <c r="E57" s="11" t="s">
        <v>1832</v>
      </c>
      <c r="F57" s="19" t="s">
        <v>1810</v>
      </c>
      <c r="G57" s="27">
        <v>6.3</v>
      </c>
      <c r="H57" s="28">
        <v>8</v>
      </c>
      <c r="I57" s="50">
        <v>50</v>
      </c>
      <c r="J57" s="51">
        <v>70</v>
      </c>
      <c r="K57" s="27">
        <v>30</v>
      </c>
      <c r="L57" s="52">
        <v>40</v>
      </c>
      <c r="M57" s="40">
        <v>1056</v>
      </c>
      <c r="N57" s="34">
        <v>1075</v>
      </c>
      <c r="O57" s="10">
        <v>1010</v>
      </c>
      <c r="P57" s="34">
        <v>1018</v>
      </c>
      <c r="Q57" s="33"/>
    </row>
    <row r="58" spans="1:17" ht="16.5" customHeight="1">
      <c r="A58" s="14" t="s">
        <v>1841</v>
      </c>
      <c r="B58" s="15" t="s">
        <v>1752</v>
      </c>
      <c r="C58" s="16" t="s">
        <v>1842</v>
      </c>
      <c r="D58" s="16" t="s">
        <v>1843</v>
      </c>
      <c r="E58" s="16" t="s">
        <v>1843</v>
      </c>
      <c r="F58" s="11" t="s">
        <v>1810</v>
      </c>
      <c r="G58" s="29">
        <v>5.5</v>
      </c>
      <c r="H58" s="30">
        <v>8</v>
      </c>
      <c r="I58" s="53">
        <v>30</v>
      </c>
      <c r="J58" s="54">
        <v>60</v>
      </c>
      <c r="K58" s="29">
        <v>8</v>
      </c>
      <c r="L58" s="55">
        <v>22</v>
      </c>
      <c r="M58" s="4892">
        <v>1055</v>
      </c>
      <c r="N58" s="39">
        <v>1080</v>
      </c>
      <c r="O58" s="15">
        <v>1015</v>
      </c>
      <c r="P58" s="39">
        <v>1022</v>
      </c>
      <c r="Q58" s="33"/>
    </row>
    <row r="59" spans="1:17" ht="16.5" customHeight="1">
      <c r="A59" s="4891"/>
      <c r="B59" s="10" t="s">
        <v>1757</v>
      </c>
      <c r="C59" s="11" t="s">
        <v>1844</v>
      </c>
      <c r="D59" s="11" t="s">
        <v>1843</v>
      </c>
      <c r="E59" s="11" t="s">
        <v>1843</v>
      </c>
      <c r="F59" s="11" t="s">
        <v>1810</v>
      </c>
      <c r="G59" s="12">
        <v>5.5</v>
      </c>
      <c r="H59" s="13">
        <v>9</v>
      </c>
      <c r="I59" s="35">
        <v>30</v>
      </c>
      <c r="J59" s="36">
        <v>60</v>
      </c>
      <c r="K59" s="12">
        <v>10</v>
      </c>
      <c r="L59" s="37">
        <v>22</v>
      </c>
      <c r="M59" s="4892">
        <v>1055</v>
      </c>
      <c r="N59" s="34">
        <v>1088</v>
      </c>
      <c r="O59" s="10">
        <v>1015</v>
      </c>
      <c r="P59" s="34">
        <v>1022</v>
      </c>
      <c r="Q59" s="33"/>
    </row>
    <row r="60" spans="1:17" ht="16.5" customHeight="1">
      <c r="A60" s="4891"/>
      <c r="B60" s="10" t="s">
        <v>1759</v>
      </c>
      <c r="C60" s="11" t="s">
        <v>1845</v>
      </c>
      <c r="D60" s="11" t="s">
        <v>1843</v>
      </c>
      <c r="E60" s="11" t="s">
        <v>1843</v>
      </c>
      <c r="F60" s="11" t="s">
        <v>1827</v>
      </c>
      <c r="G60" s="12">
        <v>6.5</v>
      </c>
      <c r="H60" s="13">
        <v>10</v>
      </c>
      <c r="I60" s="35">
        <v>17</v>
      </c>
      <c r="J60" s="36">
        <v>35</v>
      </c>
      <c r="K60" s="12">
        <v>14</v>
      </c>
      <c r="L60" s="37">
        <v>25</v>
      </c>
      <c r="M60" s="4892">
        <v>1070</v>
      </c>
      <c r="N60" s="34">
        <v>1130</v>
      </c>
      <c r="O60" s="10">
        <v>1018</v>
      </c>
      <c r="P60" s="34">
        <v>1040</v>
      </c>
      <c r="Q60" s="33"/>
    </row>
    <row r="61" spans="1:17" ht="16.5" customHeight="1">
      <c r="A61" s="17"/>
      <c r="B61" s="18" t="s">
        <v>1762</v>
      </c>
      <c r="C61" s="19" t="s">
        <v>1846</v>
      </c>
      <c r="D61" s="19" t="s">
        <v>1843</v>
      </c>
      <c r="E61" s="19" t="s">
        <v>1847</v>
      </c>
      <c r="F61" s="11" t="s">
        <v>1810</v>
      </c>
      <c r="G61" s="23">
        <v>8</v>
      </c>
      <c r="H61" s="24">
        <v>12</v>
      </c>
      <c r="I61" s="44">
        <v>35</v>
      </c>
      <c r="J61" s="45">
        <v>70</v>
      </c>
      <c r="K61" s="23">
        <v>8</v>
      </c>
      <c r="L61" s="46">
        <v>22</v>
      </c>
      <c r="M61" s="4892">
        <v>1080</v>
      </c>
      <c r="N61" s="41">
        <v>1120</v>
      </c>
      <c r="O61" s="18">
        <v>1018</v>
      </c>
      <c r="P61" s="41">
        <v>1030</v>
      </c>
      <c r="Q61" s="33"/>
    </row>
    <row r="62" spans="1:17" ht="16.5" customHeight="1">
      <c r="A62" s="4891" t="s">
        <v>1848</v>
      </c>
      <c r="B62" s="10" t="s">
        <v>1752</v>
      </c>
      <c r="C62" s="11" t="s">
        <v>1849</v>
      </c>
      <c r="D62" s="11" t="s">
        <v>1760</v>
      </c>
      <c r="E62" s="11" t="s">
        <v>1761</v>
      </c>
      <c r="F62" s="16" t="s">
        <v>1756</v>
      </c>
      <c r="G62" s="25">
        <v>3.8</v>
      </c>
      <c r="H62" s="26">
        <v>5.5</v>
      </c>
      <c r="I62" s="47">
        <v>15</v>
      </c>
      <c r="J62" s="48">
        <v>28</v>
      </c>
      <c r="K62" s="25">
        <v>3</v>
      </c>
      <c r="L62" s="49">
        <v>6</v>
      </c>
      <c r="M62" s="38">
        <v>1038</v>
      </c>
      <c r="N62" s="34">
        <v>1054</v>
      </c>
      <c r="O62" s="10">
        <v>1008</v>
      </c>
      <c r="P62" s="34">
        <v>1013</v>
      </c>
      <c r="Q62" s="33"/>
    </row>
    <row r="63" spans="1:17" ht="16.5" customHeight="1">
      <c r="A63" s="4891"/>
      <c r="B63" s="10" t="s">
        <v>1757</v>
      </c>
      <c r="C63" s="11" t="s">
        <v>1850</v>
      </c>
      <c r="D63" s="11" t="s">
        <v>1760</v>
      </c>
      <c r="E63" s="11" t="s">
        <v>1851</v>
      </c>
      <c r="F63" s="19" t="s">
        <v>1756</v>
      </c>
      <c r="G63" s="27">
        <v>4.5</v>
      </c>
      <c r="H63" s="28">
        <v>6.2</v>
      </c>
      <c r="I63" s="50">
        <v>30</v>
      </c>
      <c r="J63" s="51">
        <v>50</v>
      </c>
      <c r="K63" s="27">
        <v>5</v>
      </c>
      <c r="L63" s="52">
        <v>10</v>
      </c>
      <c r="M63" s="40">
        <v>1045</v>
      </c>
      <c r="N63" s="34">
        <v>1060</v>
      </c>
      <c r="O63" s="10">
        <v>1010</v>
      </c>
      <c r="P63" s="34">
        <v>1015</v>
      </c>
      <c r="Q63" s="33"/>
    </row>
    <row r="64" spans="1:17" ht="16.5" customHeight="1">
      <c r="A64" s="14" t="s">
        <v>1852</v>
      </c>
      <c r="B64" s="15" t="s">
        <v>1752</v>
      </c>
      <c r="C64" s="16" t="s">
        <v>1853</v>
      </c>
      <c r="D64" s="16" t="s">
        <v>1796</v>
      </c>
      <c r="E64" s="16" t="s">
        <v>1851</v>
      </c>
      <c r="F64" s="11" t="s">
        <v>1756</v>
      </c>
      <c r="G64" s="29">
        <v>4.5</v>
      </c>
      <c r="H64" s="30">
        <v>6.2</v>
      </c>
      <c r="I64" s="53">
        <v>25</v>
      </c>
      <c r="J64" s="54">
        <v>40</v>
      </c>
      <c r="K64" s="29">
        <v>10</v>
      </c>
      <c r="L64" s="55">
        <v>17</v>
      </c>
      <c r="M64" s="4892">
        <v>1045</v>
      </c>
      <c r="N64" s="39">
        <v>1060</v>
      </c>
      <c r="O64" s="15">
        <v>1010</v>
      </c>
      <c r="P64" s="39">
        <v>1015</v>
      </c>
      <c r="Q64" s="33"/>
    </row>
    <row r="65" spans="1:17" ht="16.5" customHeight="1">
      <c r="A65" s="4891"/>
      <c r="B65" s="10" t="s">
        <v>1757</v>
      </c>
      <c r="C65" s="11" t="s">
        <v>1854</v>
      </c>
      <c r="D65" s="11" t="s">
        <v>1769</v>
      </c>
      <c r="E65" s="11" t="s">
        <v>1761</v>
      </c>
      <c r="F65" s="11" t="s">
        <v>1756</v>
      </c>
      <c r="G65" s="12">
        <v>4.5</v>
      </c>
      <c r="H65" s="13">
        <v>5.5</v>
      </c>
      <c r="I65" s="35">
        <v>30</v>
      </c>
      <c r="J65" s="36">
        <v>45</v>
      </c>
      <c r="K65" s="12">
        <v>10</v>
      </c>
      <c r="L65" s="37">
        <v>14</v>
      </c>
      <c r="M65" s="4892">
        <v>1048</v>
      </c>
      <c r="N65" s="34">
        <v>1054</v>
      </c>
      <c r="O65" s="10">
        <v>1011</v>
      </c>
      <c r="P65" s="34">
        <v>1014</v>
      </c>
      <c r="Q65" s="33"/>
    </row>
    <row r="66" spans="1:17" ht="16.5" customHeight="1">
      <c r="A66" s="17"/>
      <c r="B66" s="18" t="s">
        <v>1759</v>
      </c>
      <c r="C66" s="19" t="s">
        <v>1855</v>
      </c>
      <c r="D66" s="19" t="s">
        <v>1822</v>
      </c>
      <c r="E66" s="19" t="s">
        <v>1856</v>
      </c>
      <c r="F66" s="11" t="s">
        <v>1756</v>
      </c>
      <c r="G66" s="23">
        <v>4.3</v>
      </c>
      <c r="H66" s="24">
        <v>6.2</v>
      </c>
      <c r="I66" s="44">
        <v>20</v>
      </c>
      <c r="J66" s="45">
        <v>30</v>
      </c>
      <c r="K66" s="23">
        <v>18</v>
      </c>
      <c r="L66" s="46">
        <v>35</v>
      </c>
      <c r="M66" s="4892">
        <v>1045</v>
      </c>
      <c r="N66" s="41">
        <v>1060</v>
      </c>
      <c r="O66" s="18">
        <v>1010</v>
      </c>
      <c r="P66" s="41">
        <v>1016</v>
      </c>
      <c r="Q66" s="33"/>
    </row>
    <row r="67" spans="1:17" ht="16.5" customHeight="1">
      <c r="A67" s="4891" t="s">
        <v>1857</v>
      </c>
      <c r="B67" s="10" t="s">
        <v>1752</v>
      </c>
      <c r="C67" s="11" t="s">
        <v>1858</v>
      </c>
      <c r="D67" s="11" t="s">
        <v>1614</v>
      </c>
      <c r="E67" s="11" t="s">
        <v>1856</v>
      </c>
      <c r="F67" s="16" t="s">
        <v>1756</v>
      </c>
      <c r="G67" s="25">
        <v>4.8</v>
      </c>
      <c r="H67" s="26">
        <v>6.5</v>
      </c>
      <c r="I67" s="47">
        <v>25</v>
      </c>
      <c r="J67" s="48">
        <v>50</v>
      </c>
      <c r="K67" s="25">
        <v>22</v>
      </c>
      <c r="L67" s="49">
        <v>40</v>
      </c>
      <c r="M67" s="38">
        <v>1050</v>
      </c>
      <c r="N67" s="34">
        <v>1070</v>
      </c>
      <c r="O67" s="10">
        <v>1012</v>
      </c>
      <c r="P67" s="34">
        <v>1018</v>
      </c>
      <c r="Q67" s="33"/>
    </row>
    <row r="68" spans="1:17" ht="16.5" customHeight="1">
      <c r="A68" s="4891"/>
      <c r="B68" s="10" t="s">
        <v>1757</v>
      </c>
      <c r="C68" s="11" t="s">
        <v>1859</v>
      </c>
      <c r="D68" s="11" t="s">
        <v>1833</v>
      </c>
      <c r="E68" s="11" t="s">
        <v>1856</v>
      </c>
      <c r="F68" s="11" t="s">
        <v>1756</v>
      </c>
      <c r="G68" s="12">
        <v>5</v>
      </c>
      <c r="H68" s="13">
        <v>7</v>
      </c>
      <c r="I68" s="35">
        <v>35</v>
      </c>
      <c r="J68" s="36">
        <v>75</v>
      </c>
      <c r="K68" s="12">
        <v>30</v>
      </c>
      <c r="L68" s="37">
        <v>40</v>
      </c>
      <c r="M68" s="4892">
        <v>1050</v>
      </c>
      <c r="N68" s="34">
        <v>1075</v>
      </c>
      <c r="O68" s="10">
        <v>1010</v>
      </c>
      <c r="P68" s="34">
        <v>1022</v>
      </c>
      <c r="Q68" s="33"/>
    </row>
    <row r="69" spans="1:17" ht="16.5" customHeight="1">
      <c r="A69" s="4891"/>
      <c r="B69" s="10" t="s">
        <v>1759</v>
      </c>
      <c r="C69" s="11" t="s">
        <v>477</v>
      </c>
      <c r="D69" s="11" t="s">
        <v>1833</v>
      </c>
      <c r="E69" s="11" t="s">
        <v>1837</v>
      </c>
      <c r="F69" s="19" t="s">
        <v>1810</v>
      </c>
      <c r="G69" s="27">
        <v>8</v>
      </c>
      <c r="H69" s="28">
        <v>12</v>
      </c>
      <c r="I69" s="50">
        <v>50</v>
      </c>
      <c r="J69" s="51">
        <v>90</v>
      </c>
      <c r="K69" s="27">
        <v>30</v>
      </c>
      <c r="L69" s="52">
        <v>40</v>
      </c>
      <c r="M69" s="40">
        <v>1075</v>
      </c>
      <c r="N69" s="34">
        <v>1115</v>
      </c>
      <c r="O69" s="10">
        <v>1018</v>
      </c>
      <c r="P69" s="34">
        <v>1030</v>
      </c>
      <c r="Q69" s="33"/>
    </row>
    <row r="70" spans="1:17" ht="16.5" customHeight="1">
      <c r="A70" s="14" t="s">
        <v>1860</v>
      </c>
      <c r="B70" s="15" t="s">
        <v>1752</v>
      </c>
      <c r="C70" s="16" t="s">
        <v>1861</v>
      </c>
      <c r="D70" s="16" t="s">
        <v>1819</v>
      </c>
      <c r="E70" s="16" t="s">
        <v>1851</v>
      </c>
      <c r="F70" s="11" t="s">
        <v>1756</v>
      </c>
      <c r="G70" s="29">
        <v>5.5</v>
      </c>
      <c r="H70" s="30">
        <v>7.5</v>
      </c>
      <c r="I70" s="53">
        <v>40</v>
      </c>
      <c r="J70" s="54">
        <v>70</v>
      </c>
      <c r="K70" s="29">
        <v>6</v>
      </c>
      <c r="L70" s="55">
        <v>14</v>
      </c>
      <c r="M70" s="4892">
        <v>1056</v>
      </c>
      <c r="N70" s="39">
        <v>1070</v>
      </c>
      <c r="O70" s="15">
        <v>1008</v>
      </c>
      <c r="P70" s="39">
        <v>1014</v>
      </c>
      <c r="Q70" s="33"/>
    </row>
    <row r="71" spans="1:17" ht="16.5" customHeight="1">
      <c r="A71" s="4891"/>
      <c r="B71" s="10" t="s">
        <v>1757</v>
      </c>
      <c r="C71" s="56" t="s">
        <v>1862</v>
      </c>
      <c r="D71" s="11" t="s">
        <v>1819</v>
      </c>
      <c r="E71" s="11" t="s">
        <v>1863</v>
      </c>
      <c r="F71" s="11" t="s">
        <v>1756</v>
      </c>
      <c r="G71" s="12">
        <v>6.2</v>
      </c>
      <c r="H71" s="13">
        <v>9.5</v>
      </c>
      <c r="I71" s="35">
        <v>50</v>
      </c>
      <c r="J71" s="36">
        <v>100</v>
      </c>
      <c r="K71" s="12">
        <v>5</v>
      </c>
      <c r="L71" s="37">
        <v>15</v>
      </c>
      <c r="M71" s="4892">
        <v>1058</v>
      </c>
      <c r="N71" s="34">
        <v>1080</v>
      </c>
      <c r="O71" s="10">
        <v>1008</v>
      </c>
      <c r="P71" s="34">
        <v>1016</v>
      </c>
      <c r="Q71" s="33"/>
    </row>
    <row r="72" spans="1:17" ht="16.5" customHeight="1">
      <c r="A72" s="4891"/>
      <c r="B72" s="10" t="s">
        <v>1757</v>
      </c>
      <c r="C72" s="56" t="s">
        <v>1864</v>
      </c>
      <c r="D72" s="11" t="s">
        <v>1819</v>
      </c>
      <c r="E72" s="11" t="s">
        <v>1863</v>
      </c>
      <c r="F72" s="11" t="s">
        <v>1756</v>
      </c>
      <c r="G72" s="12">
        <v>5.5</v>
      </c>
      <c r="H72" s="13">
        <v>9</v>
      </c>
      <c r="I72" s="35">
        <v>50</v>
      </c>
      <c r="J72" s="36">
        <v>90</v>
      </c>
      <c r="K72" s="12">
        <v>25</v>
      </c>
      <c r="L72" s="37">
        <v>40</v>
      </c>
      <c r="M72" s="4892">
        <v>1050</v>
      </c>
      <c r="N72" s="34">
        <v>1085</v>
      </c>
      <c r="O72" s="10">
        <v>1010</v>
      </c>
      <c r="P72" s="34">
        <v>1018</v>
      </c>
      <c r="Q72" s="33"/>
    </row>
    <row r="73" spans="1:17" ht="16.5" customHeight="1">
      <c r="A73" s="4891"/>
      <c r="B73" s="10" t="s">
        <v>1757</v>
      </c>
      <c r="C73" s="56" t="s">
        <v>1865</v>
      </c>
      <c r="D73" s="11" t="s">
        <v>1819</v>
      </c>
      <c r="E73" s="11" t="s">
        <v>1863</v>
      </c>
      <c r="F73" s="11" t="s">
        <v>1756</v>
      </c>
      <c r="G73" s="12">
        <v>5.5</v>
      </c>
      <c r="H73" s="13">
        <v>7.5</v>
      </c>
      <c r="I73" s="35">
        <v>40</v>
      </c>
      <c r="J73" s="36">
        <v>70</v>
      </c>
      <c r="K73" s="12">
        <v>11</v>
      </c>
      <c r="L73" s="37">
        <v>19</v>
      </c>
      <c r="M73" s="4892">
        <v>1056</v>
      </c>
      <c r="N73" s="34">
        <v>1070</v>
      </c>
      <c r="O73" s="10">
        <v>1008</v>
      </c>
      <c r="P73" s="34">
        <v>1016</v>
      </c>
      <c r="Q73" s="33"/>
    </row>
    <row r="74" spans="1:17" ht="16.5" customHeight="1">
      <c r="A74" s="4891"/>
      <c r="B74" s="10" t="s">
        <v>1757</v>
      </c>
      <c r="C74" s="56" t="s">
        <v>1866</v>
      </c>
      <c r="D74" s="11" t="s">
        <v>1819</v>
      </c>
      <c r="E74" s="11" t="s">
        <v>1863</v>
      </c>
      <c r="F74" s="11" t="s">
        <v>1756</v>
      </c>
      <c r="G74" s="12">
        <v>5.5</v>
      </c>
      <c r="H74" s="13">
        <v>7.5</v>
      </c>
      <c r="I74" s="35">
        <v>40</v>
      </c>
      <c r="J74" s="36">
        <v>70</v>
      </c>
      <c r="K74" s="12">
        <v>11</v>
      </c>
      <c r="L74" s="37">
        <v>19</v>
      </c>
      <c r="M74" s="4892">
        <v>1056</v>
      </c>
      <c r="N74" s="34">
        <v>1070</v>
      </c>
      <c r="O74" s="10">
        <v>1008</v>
      </c>
      <c r="P74" s="34">
        <v>1016</v>
      </c>
      <c r="Q74" s="33"/>
    </row>
    <row r="75" spans="1:17" ht="16.5" customHeight="1">
      <c r="A75" s="4891"/>
      <c r="B75" s="10" t="s">
        <v>1757</v>
      </c>
      <c r="C75" s="56" t="s">
        <v>1867</v>
      </c>
      <c r="D75" s="11" t="s">
        <v>1819</v>
      </c>
      <c r="E75" s="11" t="s">
        <v>1863</v>
      </c>
      <c r="F75" s="11" t="s">
        <v>1756</v>
      </c>
      <c r="G75" s="12">
        <v>5.5</v>
      </c>
      <c r="H75" s="13">
        <v>8</v>
      </c>
      <c r="I75" s="35">
        <v>50</v>
      </c>
      <c r="J75" s="36">
        <v>75</v>
      </c>
      <c r="K75" s="12">
        <v>6</v>
      </c>
      <c r="L75" s="37">
        <v>14</v>
      </c>
      <c r="M75" s="4892">
        <v>1056</v>
      </c>
      <c r="N75" s="34">
        <v>1075</v>
      </c>
      <c r="O75" s="10">
        <v>1008</v>
      </c>
      <c r="P75" s="34">
        <v>1014</v>
      </c>
      <c r="Q75" s="33"/>
    </row>
    <row r="76" spans="1:17" ht="16.5" customHeight="1">
      <c r="A76" s="17"/>
      <c r="B76" s="18" t="s">
        <v>1757</v>
      </c>
      <c r="C76" s="57" t="s">
        <v>1868</v>
      </c>
      <c r="D76" s="19" t="s">
        <v>1819</v>
      </c>
      <c r="E76" s="19" t="s">
        <v>1863</v>
      </c>
      <c r="F76" s="11" t="s">
        <v>1756</v>
      </c>
      <c r="G76" s="23">
        <v>5.5</v>
      </c>
      <c r="H76" s="24">
        <v>7</v>
      </c>
      <c r="I76" s="44">
        <v>40</v>
      </c>
      <c r="J76" s="45">
        <v>70</v>
      </c>
      <c r="K76" s="23">
        <v>5</v>
      </c>
      <c r="L76" s="46">
        <v>8</v>
      </c>
      <c r="M76" s="40">
        <v>1056</v>
      </c>
      <c r="N76" s="41">
        <v>1065</v>
      </c>
      <c r="O76" s="18">
        <v>1010</v>
      </c>
      <c r="P76" s="41">
        <v>1016</v>
      </c>
      <c r="Q76" s="33"/>
    </row>
    <row r="77" spans="1:17" ht="16.5" customHeight="1">
      <c r="A77" s="4891" t="s">
        <v>1869</v>
      </c>
      <c r="B77" s="10" t="s">
        <v>1752</v>
      </c>
      <c r="C77" s="11" t="s">
        <v>1870</v>
      </c>
      <c r="D77" s="11" t="s">
        <v>1819</v>
      </c>
      <c r="E77" s="11" t="s">
        <v>1863</v>
      </c>
      <c r="F77" s="16" t="s">
        <v>1756</v>
      </c>
      <c r="G77" s="25">
        <v>7.5</v>
      </c>
      <c r="H77" s="26">
        <v>10</v>
      </c>
      <c r="I77" s="47">
        <v>60</v>
      </c>
      <c r="J77" s="48">
        <v>120</v>
      </c>
      <c r="K77" s="25">
        <v>6</v>
      </c>
      <c r="L77" s="49">
        <v>14</v>
      </c>
      <c r="M77" s="4892">
        <v>1065</v>
      </c>
      <c r="N77" s="34">
        <v>1085</v>
      </c>
      <c r="O77" s="10">
        <v>1008</v>
      </c>
      <c r="P77" s="34">
        <v>1018</v>
      </c>
      <c r="Q77" s="33"/>
    </row>
    <row r="78" spans="1:17" ht="16.5" customHeight="1">
      <c r="A78" s="4891"/>
      <c r="B78" s="10" t="s">
        <v>1757</v>
      </c>
      <c r="C78" s="11" t="s">
        <v>1871</v>
      </c>
      <c r="D78" s="11" t="s">
        <v>1843</v>
      </c>
      <c r="E78" s="11" t="s">
        <v>1843</v>
      </c>
      <c r="F78" s="11" t="s">
        <v>1756</v>
      </c>
      <c r="G78" s="12">
        <v>6.3</v>
      </c>
      <c r="H78" s="13">
        <v>10</v>
      </c>
      <c r="I78" s="35">
        <v>50</v>
      </c>
      <c r="J78" s="36">
        <v>100</v>
      </c>
      <c r="K78" s="12">
        <v>7</v>
      </c>
      <c r="L78" s="37">
        <v>19</v>
      </c>
      <c r="M78" s="4892">
        <v>1062</v>
      </c>
      <c r="N78" s="34">
        <v>1090</v>
      </c>
      <c r="O78" s="10">
        <v>1014</v>
      </c>
      <c r="P78" s="34">
        <v>1024</v>
      </c>
      <c r="Q78" s="33"/>
    </row>
    <row r="79" spans="1:17" ht="16.5" customHeight="1">
      <c r="A79" s="4891"/>
      <c r="B79" s="10" t="s">
        <v>1759</v>
      </c>
      <c r="C79" s="11" t="s">
        <v>1872</v>
      </c>
      <c r="D79" s="11" t="s">
        <v>1843</v>
      </c>
      <c r="E79" s="11" t="s">
        <v>1847</v>
      </c>
      <c r="F79" s="11" t="s">
        <v>1756</v>
      </c>
      <c r="G79" s="12">
        <v>8</v>
      </c>
      <c r="H79" s="13">
        <v>12</v>
      </c>
      <c r="I79" s="35">
        <v>50</v>
      </c>
      <c r="J79" s="36">
        <v>100</v>
      </c>
      <c r="K79" s="12">
        <v>10</v>
      </c>
      <c r="L79" s="37">
        <v>19</v>
      </c>
      <c r="M79" s="4892">
        <v>1080</v>
      </c>
      <c r="N79" s="34">
        <v>1120</v>
      </c>
      <c r="O79" s="10">
        <v>1016</v>
      </c>
      <c r="P79" s="34">
        <v>1030</v>
      </c>
      <c r="Q79" s="33"/>
    </row>
    <row r="80" spans="1:17" ht="16.5" customHeight="1">
      <c r="A80" s="4891"/>
      <c r="B80" s="10" t="s">
        <v>1762</v>
      </c>
      <c r="C80" s="11" t="s">
        <v>1873</v>
      </c>
      <c r="D80" s="11" t="s">
        <v>1843</v>
      </c>
      <c r="E80" s="11" t="s">
        <v>1847</v>
      </c>
      <c r="F80" s="19" t="s">
        <v>1756</v>
      </c>
      <c r="G80" s="27">
        <v>8</v>
      </c>
      <c r="H80" s="28">
        <v>12</v>
      </c>
      <c r="I80" s="50">
        <v>30</v>
      </c>
      <c r="J80" s="51">
        <v>60</v>
      </c>
      <c r="K80" s="27">
        <v>8</v>
      </c>
      <c r="L80" s="52">
        <v>15</v>
      </c>
      <c r="M80" s="4892">
        <v>1080</v>
      </c>
      <c r="N80" s="34">
        <v>1120</v>
      </c>
      <c r="O80" s="10">
        <v>1016</v>
      </c>
      <c r="P80" s="34">
        <v>1030</v>
      </c>
      <c r="Q80" s="33"/>
    </row>
    <row r="81" spans="1:17" ht="16.5" customHeight="1">
      <c r="A81" s="14" t="s">
        <v>1874</v>
      </c>
      <c r="B81" s="15" t="s">
        <v>1752</v>
      </c>
      <c r="C81" s="16" t="s">
        <v>1875</v>
      </c>
      <c r="D81" s="16" t="s">
        <v>1764</v>
      </c>
      <c r="E81" s="16" t="s">
        <v>1876</v>
      </c>
      <c r="F81" s="11" t="s">
        <v>1782</v>
      </c>
      <c r="G81" s="29">
        <v>2.8</v>
      </c>
      <c r="H81" s="30">
        <v>3.8</v>
      </c>
      <c r="I81" s="53">
        <v>3</v>
      </c>
      <c r="J81" s="54">
        <v>8</v>
      </c>
      <c r="K81" s="29">
        <v>2</v>
      </c>
      <c r="L81" s="55">
        <v>3</v>
      </c>
      <c r="M81" s="38">
        <v>1028</v>
      </c>
      <c r="N81" s="39">
        <v>1032</v>
      </c>
      <c r="O81" s="15">
        <v>1003</v>
      </c>
      <c r="P81" s="39">
        <v>1006</v>
      </c>
      <c r="Q81" s="33"/>
    </row>
    <row r="82" spans="1:17" ht="16.5" customHeight="1">
      <c r="A82" s="4891"/>
      <c r="B82" s="10" t="s">
        <v>1757</v>
      </c>
      <c r="C82" s="11" t="s">
        <v>1877</v>
      </c>
      <c r="D82" s="11" t="s">
        <v>1878</v>
      </c>
      <c r="E82" s="11" t="s">
        <v>1879</v>
      </c>
      <c r="F82" s="11" t="s">
        <v>1880</v>
      </c>
      <c r="G82" s="12">
        <v>4.5999999999999996</v>
      </c>
      <c r="H82" s="13">
        <v>6.5</v>
      </c>
      <c r="I82" s="35">
        <v>10</v>
      </c>
      <c r="J82" s="36">
        <v>25</v>
      </c>
      <c r="K82" s="12">
        <v>10</v>
      </c>
      <c r="L82" s="37">
        <v>16</v>
      </c>
      <c r="M82" s="4892">
        <v>1048</v>
      </c>
      <c r="N82" s="34">
        <v>1057</v>
      </c>
      <c r="O82" s="10">
        <v>1002</v>
      </c>
      <c r="P82" s="34">
        <v>1012</v>
      </c>
      <c r="Q82" s="33"/>
    </row>
    <row r="83" spans="1:17" ht="16.5" customHeight="1">
      <c r="A83" s="4891"/>
      <c r="B83" s="10" t="s">
        <v>1759</v>
      </c>
      <c r="C83" s="11" t="s">
        <v>1611</v>
      </c>
      <c r="D83" s="11" t="s">
        <v>1878</v>
      </c>
      <c r="E83" s="11" t="s">
        <v>1879</v>
      </c>
      <c r="F83" s="11" t="s">
        <v>1880</v>
      </c>
      <c r="G83" s="12">
        <v>4</v>
      </c>
      <c r="H83" s="13">
        <v>8</v>
      </c>
      <c r="I83" s="35">
        <v>20</v>
      </c>
      <c r="J83" s="36">
        <v>25</v>
      </c>
      <c r="K83" s="12">
        <v>15</v>
      </c>
      <c r="L83" s="37">
        <v>22</v>
      </c>
      <c r="M83" s="4892">
        <v>1040</v>
      </c>
      <c r="N83" s="34">
        <v>1074</v>
      </c>
      <c r="O83" s="10">
        <v>1008</v>
      </c>
      <c r="P83" s="34">
        <v>1012</v>
      </c>
      <c r="Q83" s="33"/>
    </row>
    <row r="84" spans="1:17" ht="16.5" customHeight="1">
      <c r="A84" s="4891"/>
      <c r="B84" s="10" t="s">
        <v>1762</v>
      </c>
      <c r="C84" s="11" t="s">
        <v>1881</v>
      </c>
      <c r="D84" s="11" t="s">
        <v>1764</v>
      </c>
      <c r="E84" s="11" t="s">
        <v>1879</v>
      </c>
      <c r="F84" s="11" t="s">
        <v>1880</v>
      </c>
      <c r="G84" s="12">
        <v>5</v>
      </c>
      <c r="H84" s="13">
        <v>6.5</v>
      </c>
      <c r="I84" s="35">
        <v>0</v>
      </c>
      <c r="J84" s="36">
        <v>10</v>
      </c>
      <c r="K84" s="12">
        <v>3</v>
      </c>
      <c r="L84" s="37">
        <v>7</v>
      </c>
      <c r="M84" s="4892">
        <v>1040</v>
      </c>
      <c r="N84" s="34">
        <v>1054</v>
      </c>
      <c r="O84" s="10">
        <v>1001</v>
      </c>
      <c r="P84" s="34">
        <v>1010</v>
      </c>
      <c r="Q84" s="33"/>
    </row>
    <row r="85" spans="1:17" ht="16.5" customHeight="1">
      <c r="A85" s="4891"/>
      <c r="B85" s="10" t="s">
        <v>1882</v>
      </c>
      <c r="C85" s="11" t="s">
        <v>1883</v>
      </c>
      <c r="D85" s="11" t="s">
        <v>1764</v>
      </c>
      <c r="E85" s="11" t="s">
        <v>1879</v>
      </c>
      <c r="F85" s="11" t="s">
        <v>1880</v>
      </c>
      <c r="G85" s="12">
        <v>5</v>
      </c>
      <c r="H85" s="13">
        <v>8</v>
      </c>
      <c r="I85" s="35">
        <v>0</v>
      </c>
      <c r="J85" s="36">
        <v>10</v>
      </c>
      <c r="K85" s="12">
        <v>3</v>
      </c>
      <c r="L85" s="37">
        <v>7</v>
      </c>
      <c r="M85" s="4892">
        <v>1040</v>
      </c>
      <c r="N85" s="34">
        <v>1060</v>
      </c>
      <c r="O85" s="10">
        <v>1000</v>
      </c>
      <c r="P85" s="34">
        <v>1006</v>
      </c>
      <c r="Q85" s="33"/>
    </row>
    <row r="86" spans="1:17" ht="16.5" customHeight="1">
      <c r="A86" s="17"/>
      <c r="B86" s="18" t="s">
        <v>1884</v>
      </c>
      <c r="C86" s="19" t="s">
        <v>1885</v>
      </c>
      <c r="D86" s="19" t="s">
        <v>1764</v>
      </c>
      <c r="E86" s="19" t="s">
        <v>1879</v>
      </c>
      <c r="F86" s="11" t="s">
        <v>1880</v>
      </c>
      <c r="G86" s="23">
        <v>5</v>
      </c>
      <c r="H86" s="24">
        <v>7</v>
      </c>
      <c r="I86" s="44">
        <v>0</v>
      </c>
      <c r="J86" s="45">
        <v>10</v>
      </c>
      <c r="K86" s="23">
        <v>3</v>
      </c>
      <c r="L86" s="46">
        <v>7</v>
      </c>
      <c r="M86" s="4892">
        <v>1040</v>
      </c>
      <c r="N86" s="41">
        <v>1060</v>
      </c>
      <c r="O86" s="18">
        <v>1000</v>
      </c>
      <c r="P86" s="41">
        <v>1010</v>
      </c>
      <c r="Q86" s="33"/>
    </row>
    <row r="87" spans="1:17" ht="16.5" customHeight="1">
      <c r="A87" s="4891" t="s">
        <v>1886</v>
      </c>
      <c r="B87" s="10" t="s">
        <v>1752</v>
      </c>
      <c r="C87" s="11" t="s">
        <v>1887</v>
      </c>
      <c r="D87" s="11" t="s">
        <v>1764</v>
      </c>
      <c r="E87" s="11" t="s">
        <v>1764</v>
      </c>
      <c r="F87" s="16" t="s">
        <v>1880</v>
      </c>
      <c r="G87" s="25">
        <v>4.5</v>
      </c>
      <c r="H87" s="26">
        <v>5.5</v>
      </c>
      <c r="I87" s="47">
        <v>8</v>
      </c>
      <c r="J87" s="48">
        <v>20</v>
      </c>
      <c r="K87" s="25">
        <v>2</v>
      </c>
      <c r="L87" s="49">
        <v>4</v>
      </c>
      <c r="M87" s="38">
        <v>1044</v>
      </c>
      <c r="N87" s="34">
        <v>1052</v>
      </c>
      <c r="O87" s="10">
        <v>1008</v>
      </c>
      <c r="P87" s="34">
        <v>1012</v>
      </c>
      <c r="Q87" s="33"/>
    </row>
    <row r="88" spans="1:17" ht="16.5" customHeight="1">
      <c r="A88" s="4891"/>
      <c r="B88" s="10" t="s">
        <v>1757</v>
      </c>
      <c r="C88" s="11" t="s">
        <v>1888</v>
      </c>
      <c r="D88" s="11" t="s">
        <v>1760</v>
      </c>
      <c r="E88" s="11" t="s">
        <v>1815</v>
      </c>
      <c r="F88" s="11" t="s">
        <v>1880</v>
      </c>
      <c r="G88" s="12">
        <v>4.8</v>
      </c>
      <c r="H88" s="13">
        <v>5.5</v>
      </c>
      <c r="I88" s="35">
        <v>20</v>
      </c>
      <c r="J88" s="36">
        <v>30</v>
      </c>
      <c r="K88" s="12">
        <v>8</v>
      </c>
      <c r="L88" s="37">
        <v>14</v>
      </c>
      <c r="M88" s="4892">
        <v>1048</v>
      </c>
      <c r="N88" s="34">
        <v>1054</v>
      </c>
      <c r="O88" s="10">
        <v>1010</v>
      </c>
      <c r="P88" s="34">
        <v>1014</v>
      </c>
      <c r="Q88" s="33"/>
    </row>
    <row r="89" spans="1:17" ht="16.5" customHeight="1">
      <c r="A89" s="4891"/>
      <c r="B89" s="10" t="s">
        <v>1759</v>
      </c>
      <c r="C89" s="11" t="s">
        <v>1889</v>
      </c>
      <c r="D89" s="11" t="s">
        <v>1796</v>
      </c>
      <c r="E89" s="11" t="s">
        <v>1890</v>
      </c>
      <c r="F89" s="19" t="s">
        <v>365</v>
      </c>
      <c r="G89" s="27">
        <v>6</v>
      </c>
      <c r="H89" s="28">
        <v>8.5</v>
      </c>
      <c r="I89" s="50">
        <v>18</v>
      </c>
      <c r="J89" s="51">
        <v>28</v>
      </c>
      <c r="K89" s="27">
        <v>6</v>
      </c>
      <c r="L89" s="52">
        <v>19</v>
      </c>
      <c r="M89" s="40">
        <v>1060</v>
      </c>
      <c r="N89" s="34">
        <v>1080</v>
      </c>
      <c r="O89" s="10">
        <v>1008</v>
      </c>
      <c r="P89" s="34">
        <v>1016</v>
      </c>
      <c r="Q89" s="33"/>
    </row>
    <row r="90" spans="1:17" ht="16.5" customHeight="1">
      <c r="A90" s="14" t="s">
        <v>1891</v>
      </c>
      <c r="B90" s="15" t="s">
        <v>1752</v>
      </c>
      <c r="C90" s="16" t="s">
        <v>1892</v>
      </c>
      <c r="D90" s="16" t="s">
        <v>1760</v>
      </c>
      <c r="E90" s="16" t="s">
        <v>463</v>
      </c>
      <c r="F90" s="11" t="s">
        <v>1880</v>
      </c>
      <c r="G90" s="29">
        <v>6</v>
      </c>
      <c r="H90" s="30">
        <v>7.5</v>
      </c>
      <c r="I90" s="53">
        <v>15</v>
      </c>
      <c r="J90" s="54">
        <v>30</v>
      </c>
      <c r="K90" s="29">
        <v>4</v>
      </c>
      <c r="L90" s="55">
        <v>7</v>
      </c>
      <c r="M90" s="4892">
        <v>1062</v>
      </c>
      <c r="N90" s="39">
        <v>1075</v>
      </c>
      <c r="O90" s="15">
        <v>1008</v>
      </c>
      <c r="P90" s="39">
        <v>1018</v>
      </c>
      <c r="Q90" s="33"/>
    </row>
    <row r="91" spans="1:17" ht="16.5" customHeight="1">
      <c r="A91" s="4891"/>
      <c r="B91" s="10" t="s">
        <v>1757</v>
      </c>
      <c r="C91" s="11" t="s">
        <v>490</v>
      </c>
      <c r="D91" s="11" t="s">
        <v>1760</v>
      </c>
      <c r="E91" s="11" t="s">
        <v>1890</v>
      </c>
      <c r="F91" s="11" t="s">
        <v>1880</v>
      </c>
      <c r="G91" s="12">
        <v>3.5</v>
      </c>
      <c r="H91" s="13">
        <v>9.5</v>
      </c>
      <c r="I91" s="35">
        <v>20</v>
      </c>
      <c r="J91" s="36">
        <v>35</v>
      </c>
      <c r="K91" s="12">
        <v>5</v>
      </c>
      <c r="L91" s="37">
        <v>22</v>
      </c>
      <c r="M91" s="4892">
        <v>1048</v>
      </c>
      <c r="N91" s="34">
        <v>1065</v>
      </c>
      <c r="O91" s="10">
        <v>1002</v>
      </c>
      <c r="P91" s="34">
        <v>1008</v>
      </c>
      <c r="Q91" s="33"/>
    </row>
    <row r="92" spans="1:17" ht="16.5" customHeight="1">
      <c r="A92" s="17"/>
      <c r="B92" s="18" t="s">
        <v>1759</v>
      </c>
      <c r="C92" s="19" t="s">
        <v>1893</v>
      </c>
      <c r="D92" s="19" t="s">
        <v>1843</v>
      </c>
      <c r="E92" s="19" t="s">
        <v>465</v>
      </c>
      <c r="F92" s="11" t="s">
        <v>1880</v>
      </c>
      <c r="G92" s="23">
        <v>7.5</v>
      </c>
      <c r="H92" s="24">
        <v>10.5</v>
      </c>
      <c r="I92" s="44">
        <v>22</v>
      </c>
      <c r="J92" s="45">
        <v>35</v>
      </c>
      <c r="K92" s="23">
        <v>3</v>
      </c>
      <c r="L92" s="46">
        <v>6</v>
      </c>
      <c r="M92" s="4892">
        <v>1070</v>
      </c>
      <c r="N92" s="41">
        <v>1095</v>
      </c>
      <c r="O92" s="18">
        <v>1005</v>
      </c>
      <c r="P92" s="41">
        <v>1016</v>
      </c>
      <c r="Q92" s="33"/>
    </row>
    <row r="93" spans="1:17" ht="16.5" customHeight="1">
      <c r="A93" s="4891" t="s">
        <v>1894</v>
      </c>
      <c r="B93" s="10" t="s">
        <v>1752</v>
      </c>
      <c r="C93" s="11" t="s">
        <v>1895</v>
      </c>
      <c r="D93" s="11" t="s">
        <v>1760</v>
      </c>
      <c r="E93" s="11" t="s">
        <v>463</v>
      </c>
      <c r="F93" s="16" t="s">
        <v>1880</v>
      </c>
      <c r="G93" s="25">
        <v>4.8</v>
      </c>
      <c r="H93" s="26">
        <v>6</v>
      </c>
      <c r="I93" s="47">
        <v>25</v>
      </c>
      <c r="J93" s="48">
        <v>45</v>
      </c>
      <c r="K93" s="25">
        <v>3</v>
      </c>
      <c r="L93" s="49">
        <v>5</v>
      </c>
      <c r="M93" s="38">
        <v>1044</v>
      </c>
      <c r="N93" s="34">
        <v>1054</v>
      </c>
      <c r="O93" s="10">
        <v>1004</v>
      </c>
      <c r="P93" s="34">
        <v>1010</v>
      </c>
      <c r="Q93" s="33"/>
    </row>
    <row r="94" spans="1:17" ht="16.5" customHeight="1">
      <c r="A94" s="4891"/>
      <c r="B94" s="10" t="s">
        <v>1757</v>
      </c>
      <c r="C94" s="11" t="s">
        <v>1536</v>
      </c>
      <c r="D94" s="11" t="s">
        <v>1796</v>
      </c>
      <c r="E94" s="11" t="s">
        <v>463</v>
      </c>
      <c r="F94" s="11" t="s">
        <v>1880</v>
      </c>
      <c r="G94" s="12">
        <v>6</v>
      </c>
      <c r="H94" s="13">
        <v>7.6</v>
      </c>
      <c r="I94" s="35">
        <v>15</v>
      </c>
      <c r="J94" s="36">
        <v>25</v>
      </c>
      <c r="K94" s="12">
        <v>10</v>
      </c>
      <c r="L94" s="37">
        <v>17</v>
      </c>
      <c r="M94" s="4892">
        <v>1062</v>
      </c>
      <c r="N94" s="34">
        <v>1075</v>
      </c>
      <c r="O94" s="10">
        <v>1008</v>
      </c>
      <c r="P94" s="34">
        <v>1018</v>
      </c>
      <c r="Q94" s="33"/>
    </row>
    <row r="95" spans="1:17" ht="16.5" customHeight="1">
      <c r="A95" s="4891"/>
      <c r="B95" s="10" t="s">
        <v>1759</v>
      </c>
      <c r="C95" s="11" t="s">
        <v>1896</v>
      </c>
      <c r="D95" s="11" t="s">
        <v>1843</v>
      </c>
      <c r="E95" s="11" t="s">
        <v>465</v>
      </c>
      <c r="F95" s="11" t="s">
        <v>1880</v>
      </c>
      <c r="G95" s="12">
        <v>7.5</v>
      </c>
      <c r="H95" s="13">
        <v>9.5</v>
      </c>
      <c r="I95" s="35">
        <v>20</v>
      </c>
      <c r="J95" s="36">
        <v>40</v>
      </c>
      <c r="K95" s="12">
        <v>4.5</v>
      </c>
      <c r="L95" s="37">
        <v>7</v>
      </c>
      <c r="M95" s="4892">
        <v>1075</v>
      </c>
      <c r="N95" s="34">
        <v>1085</v>
      </c>
      <c r="O95" s="10">
        <v>1008</v>
      </c>
      <c r="P95" s="34">
        <v>1014</v>
      </c>
      <c r="Q95" s="33"/>
    </row>
    <row r="96" spans="1:17" ht="16.5" customHeight="1">
      <c r="A96" s="4891"/>
      <c r="B96" s="10" t="s">
        <v>1762</v>
      </c>
      <c r="C96" s="11" t="s">
        <v>1897</v>
      </c>
      <c r="D96" s="11" t="s">
        <v>1843</v>
      </c>
      <c r="E96" s="11" t="s">
        <v>465</v>
      </c>
      <c r="F96" s="19" t="s">
        <v>1880</v>
      </c>
      <c r="G96" s="27">
        <v>8</v>
      </c>
      <c r="H96" s="28">
        <v>12</v>
      </c>
      <c r="I96" s="50">
        <v>20</v>
      </c>
      <c r="J96" s="51">
        <v>35</v>
      </c>
      <c r="K96" s="27">
        <v>12</v>
      </c>
      <c r="L96" s="52">
        <v>22</v>
      </c>
      <c r="M96" s="40">
        <v>1075</v>
      </c>
      <c r="N96" s="34">
        <v>1110</v>
      </c>
      <c r="O96" s="10">
        <v>1010</v>
      </c>
      <c r="P96" s="34">
        <v>1024</v>
      </c>
      <c r="Q96" s="33"/>
    </row>
    <row r="97" spans="1:17" ht="16.5" customHeight="1">
      <c r="A97" s="14" t="s">
        <v>1898</v>
      </c>
      <c r="B97" s="15" t="s">
        <v>1752</v>
      </c>
      <c r="C97" s="58" t="s">
        <v>1899</v>
      </c>
      <c r="D97" s="16" t="s">
        <v>1764</v>
      </c>
      <c r="E97" s="16" t="s">
        <v>1876</v>
      </c>
      <c r="F97" s="11" t="s">
        <v>1782</v>
      </c>
      <c r="G97" s="29">
        <v>4.2</v>
      </c>
      <c r="H97" s="30">
        <v>4.8</v>
      </c>
      <c r="I97" s="53">
        <v>5</v>
      </c>
      <c r="J97" s="54">
        <v>12</v>
      </c>
      <c r="K97" s="29">
        <v>3</v>
      </c>
      <c r="L97" s="55">
        <v>4</v>
      </c>
      <c r="M97" s="4892">
        <v>1036</v>
      </c>
      <c r="N97" s="39">
        <v>1056</v>
      </c>
      <c r="O97" s="15">
        <v>1006</v>
      </c>
      <c r="P97" s="39">
        <v>1010</v>
      </c>
      <c r="Q97" s="33"/>
    </row>
    <row r="98" spans="1:17" ht="16.5" customHeight="1">
      <c r="A98" s="4891"/>
      <c r="B98" s="10" t="s">
        <v>1752</v>
      </c>
      <c r="C98" s="56" t="s">
        <v>1900</v>
      </c>
      <c r="D98" s="11" t="s">
        <v>1796</v>
      </c>
      <c r="E98" s="11" t="s">
        <v>1761</v>
      </c>
      <c r="F98" s="11" t="s">
        <v>1756</v>
      </c>
      <c r="G98" s="12">
        <v>4</v>
      </c>
      <c r="H98" s="13">
        <v>5.5</v>
      </c>
      <c r="I98" s="35">
        <v>15</v>
      </c>
      <c r="J98" s="36">
        <v>30</v>
      </c>
      <c r="K98" s="12">
        <v>11</v>
      </c>
      <c r="L98" s="37">
        <v>20</v>
      </c>
      <c r="M98" s="4892">
        <v>1044</v>
      </c>
      <c r="N98" s="34">
        <v>1055</v>
      </c>
      <c r="O98" s="10">
        <v>1010</v>
      </c>
      <c r="P98" s="34">
        <v>1018</v>
      </c>
      <c r="Q98" s="33"/>
    </row>
    <row r="99" spans="1:17" ht="16.5" customHeight="1">
      <c r="A99" s="4891"/>
      <c r="B99" s="10" t="s">
        <v>1752</v>
      </c>
      <c r="C99" s="56" t="s">
        <v>1901</v>
      </c>
      <c r="D99" s="11" t="s">
        <v>1764</v>
      </c>
      <c r="E99" s="11" t="s">
        <v>1792</v>
      </c>
      <c r="F99" s="11" t="s">
        <v>1782</v>
      </c>
      <c r="G99" s="12">
        <v>3.5</v>
      </c>
      <c r="H99" s="13">
        <v>4.7</v>
      </c>
      <c r="I99" s="35">
        <v>5</v>
      </c>
      <c r="J99" s="36">
        <v>12</v>
      </c>
      <c r="K99" s="12">
        <v>3</v>
      </c>
      <c r="L99" s="37">
        <v>6</v>
      </c>
      <c r="M99" s="4892">
        <v>1032</v>
      </c>
      <c r="N99" s="34">
        <v>1040</v>
      </c>
      <c r="O99" s="10">
        <v>1004</v>
      </c>
      <c r="P99" s="34">
        <v>1008</v>
      </c>
      <c r="Q99" s="33"/>
    </row>
    <row r="100" spans="1:17" ht="16.5" customHeight="1">
      <c r="A100" s="4891"/>
      <c r="B100" s="10" t="s">
        <v>1752</v>
      </c>
      <c r="C100" s="56" t="s">
        <v>1902</v>
      </c>
      <c r="D100" s="11" t="s">
        <v>1822</v>
      </c>
      <c r="E100" s="1757" t="s">
        <v>1903</v>
      </c>
      <c r="F100" s="11" t="s">
        <v>1810</v>
      </c>
      <c r="G100" s="12">
        <v>2.8</v>
      </c>
      <c r="H100" s="13">
        <v>3.6</v>
      </c>
      <c r="I100" s="35">
        <v>15</v>
      </c>
      <c r="J100" s="36">
        <v>20</v>
      </c>
      <c r="K100" s="12">
        <v>22</v>
      </c>
      <c r="L100" s="37">
        <v>35</v>
      </c>
      <c r="M100" s="4892">
        <v>1033</v>
      </c>
      <c r="N100" s="34">
        <v>1038</v>
      </c>
      <c r="O100" s="10">
        <v>1012</v>
      </c>
      <c r="P100" s="34">
        <v>1015</v>
      </c>
      <c r="Q100" s="33"/>
    </row>
    <row r="101" spans="1:17" ht="16.5" customHeight="1">
      <c r="A101" s="4891"/>
      <c r="B101" s="10" t="s">
        <v>1752</v>
      </c>
      <c r="C101" s="56" t="s">
        <v>1904</v>
      </c>
      <c r="D101" s="11" t="s">
        <v>1764</v>
      </c>
      <c r="E101" s="11" t="s">
        <v>1792</v>
      </c>
      <c r="F101" s="11" t="s">
        <v>401</v>
      </c>
      <c r="G101" s="12">
        <v>2.5</v>
      </c>
      <c r="H101" s="13">
        <v>3.3</v>
      </c>
      <c r="I101" s="35">
        <v>20</v>
      </c>
      <c r="J101" s="36">
        <v>35</v>
      </c>
      <c r="K101" s="12">
        <v>3</v>
      </c>
      <c r="L101" s="37">
        <v>6</v>
      </c>
      <c r="M101" s="4892">
        <v>1028</v>
      </c>
      <c r="N101" s="34">
        <v>1032</v>
      </c>
      <c r="O101" s="10">
        <v>1006</v>
      </c>
      <c r="P101" s="34">
        <v>1012</v>
      </c>
      <c r="Q101" s="33"/>
    </row>
    <row r="102" spans="1:17" ht="16.5" customHeight="1">
      <c r="A102" s="4891"/>
      <c r="B102" s="10" t="s">
        <v>1752</v>
      </c>
      <c r="C102" s="56" t="s">
        <v>1905</v>
      </c>
      <c r="D102" s="11" t="s">
        <v>1774</v>
      </c>
      <c r="E102" s="11" t="s">
        <v>1774</v>
      </c>
      <c r="F102" s="11" t="s">
        <v>1756</v>
      </c>
      <c r="G102" s="12">
        <v>4.5</v>
      </c>
      <c r="H102" s="13">
        <v>6</v>
      </c>
      <c r="I102" s="35">
        <v>25</v>
      </c>
      <c r="J102" s="36">
        <v>40</v>
      </c>
      <c r="K102" s="12">
        <v>3</v>
      </c>
      <c r="L102" s="37">
        <v>6</v>
      </c>
      <c r="M102" s="4892">
        <v>1044</v>
      </c>
      <c r="N102" s="34">
        <v>1060</v>
      </c>
      <c r="O102" s="10">
        <v>1010</v>
      </c>
      <c r="P102" s="34">
        <v>1015</v>
      </c>
      <c r="Q102" s="33"/>
    </row>
    <row r="103" spans="1:17" ht="16.5" customHeight="1">
      <c r="A103" s="4891"/>
      <c r="B103" s="10" t="s">
        <v>1752</v>
      </c>
      <c r="C103" s="56" t="s">
        <v>1906</v>
      </c>
      <c r="D103" s="11" t="s">
        <v>1614</v>
      </c>
      <c r="E103" s="11" t="s">
        <v>1856</v>
      </c>
      <c r="F103" s="11" t="s">
        <v>1756</v>
      </c>
      <c r="G103" s="12">
        <v>4.5</v>
      </c>
      <c r="H103" s="13">
        <v>6</v>
      </c>
      <c r="I103" s="35">
        <v>20</v>
      </c>
      <c r="J103" s="36">
        <v>30</v>
      </c>
      <c r="K103" s="12">
        <v>18</v>
      </c>
      <c r="L103" s="37">
        <v>30</v>
      </c>
      <c r="M103" s="4892">
        <v>1046</v>
      </c>
      <c r="N103" s="34">
        <v>1060</v>
      </c>
      <c r="O103" s="10">
        <v>1010</v>
      </c>
      <c r="P103" s="34">
        <v>1016</v>
      </c>
      <c r="Q103" s="33"/>
    </row>
    <row r="104" spans="1:17" ht="16.5" customHeight="1">
      <c r="A104" s="4891"/>
      <c r="B104" s="10" t="s">
        <v>1752</v>
      </c>
      <c r="C104" s="56" t="s">
        <v>1907</v>
      </c>
      <c r="D104" s="11" t="s">
        <v>1764</v>
      </c>
      <c r="E104" s="11" t="s">
        <v>1764</v>
      </c>
      <c r="F104" s="11" t="s">
        <v>1782</v>
      </c>
      <c r="G104" s="12">
        <v>4.5</v>
      </c>
      <c r="H104" s="13">
        <v>6</v>
      </c>
      <c r="I104" s="35">
        <v>10</v>
      </c>
      <c r="J104" s="36">
        <v>20</v>
      </c>
      <c r="K104" s="12">
        <v>14</v>
      </c>
      <c r="L104" s="37">
        <v>19</v>
      </c>
      <c r="M104" s="4892">
        <v>1046</v>
      </c>
      <c r="N104" s="34">
        <v>1056</v>
      </c>
      <c r="O104" s="10">
        <v>1010</v>
      </c>
      <c r="P104" s="34">
        <v>1014</v>
      </c>
      <c r="Q104" s="33"/>
    </row>
    <row r="105" spans="1:17" ht="16.5" customHeight="1">
      <c r="A105" s="17"/>
      <c r="B105" s="18" t="s">
        <v>1752</v>
      </c>
      <c r="C105" s="57" t="s">
        <v>1908</v>
      </c>
      <c r="D105" s="19" t="s">
        <v>1764</v>
      </c>
      <c r="E105" s="19" t="s">
        <v>1890</v>
      </c>
      <c r="F105" s="19" t="s">
        <v>1803</v>
      </c>
      <c r="G105" s="27">
        <v>7</v>
      </c>
      <c r="H105" s="28">
        <v>11</v>
      </c>
      <c r="I105" s="50">
        <v>7</v>
      </c>
      <c r="J105" s="51">
        <v>15</v>
      </c>
      <c r="K105" s="27">
        <v>4</v>
      </c>
      <c r="L105" s="52">
        <v>22</v>
      </c>
      <c r="M105" s="40">
        <v>1076</v>
      </c>
      <c r="N105" s="41">
        <v>1120</v>
      </c>
      <c r="O105" s="18">
        <v>1016</v>
      </c>
      <c r="P105" s="41">
        <v>1020</v>
      </c>
      <c r="Q105" s="33"/>
    </row>
    <row r="106" spans="1:17" ht="16.5" customHeight="1">
      <c r="A106" s="4891" t="s">
        <v>1909</v>
      </c>
      <c r="B106" s="10" t="s">
        <v>1752</v>
      </c>
      <c r="C106" s="11" t="s">
        <v>1910</v>
      </c>
      <c r="D106" s="4082" t="s">
        <v>1911</v>
      </c>
      <c r="E106" s="4082" t="s">
        <v>1911</v>
      </c>
      <c r="F106" s="4086" t="s">
        <v>1911</v>
      </c>
      <c r="G106" s="4098" t="s">
        <v>1912</v>
      </c>
      <c r="H106" s="4099"/>
      <c r="I106" s="4099"/>
      <c r="J106" s="4099"/>
      <c r="K106" s="4099"/>
      <c r="L106" s="4099"/>
      <c r="M106" s="4099"/>
      <c r="N106" s="4099"/>
      <c r="O106" s="4099"/>
      <c r="P106" s="4100"/>
      <c r="Q106" s="33"/>
    </row>
    <row r="107" spans="1:17" ht="16.5" customHeight="1">
      <c r="A107" s="4891"/>
      <c r="B107" s="10" t="s">
        <v>1757</v>
      </c>
      <c r="C107" s="11" t="s">
        <v>1913</v>
      </c>
      <c r="D107" s="4084"/>
      <c r="E107" s="4084"/>
      <c r="F107" s="4088"/>
      <c r="G107" s="4893"/>
      <c r="H107" s="4101"/>
      <c r="I107" s="4101"/>
      <c r="J107" s="4101"/>
      <c r="K107" s="4101"/>
      <c r="L107" s="4101"/>
      <c r="M107" s="4101"/>
      <c r="N107" s="4101"/>
      <c r="O107" s="4101"/>
      <c r="P107" s="4102"/>
      <c r="Q107" s="33"/>
    </row>
    <row r="108" spans="1:17" ht="16.5" customHeight="1">
      <c r="A108" s="4891"/>
      <c r="B108" s="10" t="s">
        <v>1759</v>
      </c>
      <c r="C108" s="11" t="s">
        <v>1914</v>
      </c>
      <c r="D108" s="4083"/>
      <c r="E108" s="4083"/>
      <c r="F108" s="4087"/>
      <c r="G108" s="4103"/>
      <c r="H108" s="4104"/>
      <c r="I108" s="4104"/>
      <c r="J108" s="4104"/>
      <c r="K108" s="4104"/>
      <c r="L108" s="4104"/>
      <c r="M108" s="4104"/>
      <c r="N108" s="4104"/>
      <c r="O108" s="4104"/>
      <c r="P108" s="4105"/>
      <c r="Q108" s="33"/>
    </row>
    <row r="109" spans="1:17" ht="16.5" customHeight="1">
      <c r="A109" s="14" t="s">
        <v>1915</v>
      </c>
      <c r="B109" s="15" t="s">
        <v>1752</v>
      </c>
      <c r="C109" s="16" t="s">
        <v>1916</v>
      </c>
      <c r="D109" s="4082" t="s">
        <v>1911</v>
      </c>
      <c r="E109" s="4082" t="s">
        <v>1911</v>
      </c>
      <c r="F109" s="4086" t="s">
        <v>1911</v>
      </c>
      <c r="G109" s="4098" t="s">
        <v>1917</v>
      </c>
      <c r="H109" s="4099"/>
      <c r="I109" s="4099"/>
      <c r="J109" s="4099"/>
      <c r="K109" s="4099"/>
      <c r="L109" s="4099"/>
      <c r="M109" s="4099"/>
      <c r="N109" s="4099"/>
      <c r="O109" s="4099"/>
      <c r="P109" s="4100"/>
      <c r="Q109" s="33"/>
    </row>
    <row r="110" spans="1:17" ht="16.5" customHeight="1">
      <c r="A110" s="4891"/>
      <c r="B110" s="10" t="s">
        <v>1757</v>
      </c>
      <c r="C110" s="11" t="s">
        <v>1918</v>
      </c>
      <c r="D110" s="4084"/>
      <c r="E110" s="4084"/>
      <c r="F110" s="4088"/>
      <c r="G110" s="4893"/>
      <c r="H110" s="4101"/>
      <c r="I110" s="4101"/>
      <c r="J110" s="4101"/>
      <c r="K110" s="4101"/>
      <c r="L110" s="4101"/>
      <c r="M110" s="4101"/>
      <c r="N110" s="4101"/>
      <c r="O110" s="4101"/>
      <c r="P110" s="4102"/>
      <c r="Q110" s="33"/>
    </row>
    <row r="111" spans="1:17" ht="16.5" customHeight="1">
      <c r="A111" s="17"/>
      <c r="B111" s="18" t="s">
        <v>1759</v>
      </c>
      <c r="C111" s="19" t="s">
        <v>1919</v>
      </c>
      <c r="D111" s="4083"/>
      <c r="E111" s="4083"/>
      <c r="F111" s="4087"/>
      <c r="G111" s="4103"/>
      <c r="H111" s="4104"/>
      <c r="I111" s="4104"/>
      <c r="J111" s="4104"/>
      <c r="K111" s="4104"/>
      <c r="L111" s="4104"/>
      <c r="M111" s="4104"/>
      <c r="N111" s="4104"/>
      <c r="O111" s="4104"/>
      <c r="P111" s="4105"/>
      <c r="Q111" s="33"/>
    </row>
    <row r="112" spans="1:17" ht="16.5" customHeight="1">
      <c r="A112" s="4891" t="s">
        <v>1920</v>
      </c>
      <c r="B112" s="10" t="s">
        <v>1752</v>
      </c>
      <c r="C112" s="11" t="s">
        <v>1921</v>
      </c>
      <c r="D112" s="4082" t="s">
        <v>1911</v>
      </c>
      <c r="E112" s="4082" t="s">
        <v>1911</v>
      </c>
      <c r="F112" s="4086" t="s">
        <v>1911</v>
      </c>
      <c r="G112" s="4893" t="s">
        <v>1922</v>
      </c>
      <c r="H112" s="4101"/>
      <c r="I112" s="4101"/>
      <c r="J112" s="4101"/>
      <c r="K112" s="4101"/>
      <c r="L112" s="4101"/>
      <c r="M112" s="4101"/>
      <c r="N112" s="4101"/>
      <c r="O112" s="4101"/>
      <c r="P112" s="4102"/>
      <c r="Q112" s="33"/>
    </row>
    <row r="113" spans="1:17" ht="16.5" customHeight="1">
      <c r="A113" s="4891"/>
      <c r="B113" s="10" t="s">
        <v>1757</v>
      </c>
      <c r="C113" s="11" t="s">
        <v>1923</v>
      </c>
      <c r="D113" s="4084"/>
      <c r="E113" s="4084"/>
      <c r="F113" s="4088"/>
      <c r="G113" s="4893" t="s">
        <v>1924</v>
      </c>
      <c r="H113" s="4101"/>
      <c r="I113" s="4101"/>
      <c r="J113" s="4101"/>
      <c r="K113" s="4101"/>
      <c r="L113" s="4101"/>
      <c r="M113" s="4101"/>
      <c r="N113" s="4101"/>
      <c r="O113" s="4101"/>
      <c r="P113" s="4102"/>
      <c r="Q113" s="33"/>
    </row>
    <row r="114" spans="1:17" ht="16.5" customHeight="1">
      <c r="A114" s="4891"/>
      <c r="B114" s="10" t="s">
        <v>1759</v>
      </c>
      <c r="C114" s="11" t="s">
        <v>1925</v>
      </c>
      <c r="D114" s="4083"/>
      <c r="E114" s="4083"/>
      <c r="F114" s="4087"/>
      <c r="G114" s="4893" t="s">
        <v>1926</v>
      </c>
      <c r="H114" s="4101"/>
      <c r="I114" s="4101"/>
      <c r="J114" s="4101"/>
      <c r="K114" s="4101"/>
      <c r="L114" s="4101"/>
      <c r="M114" s="4101"/>
      <c r="N114" s="4101"/>
      <c r="O114" s="4101"/>
      <c r="P114" s="4102"/>
      <c r="Q114" s="33"/>
    </row>
    <row r="115" spans="1:17" ht="16.5" customHeight="1">
      <c r="A115" s="14" t="s">
        <v>1927</v>
      </c>
      <c r="B115" s="15" t="s">
        <v>1752</v>
      </c>
      <c r="C115" s="16" t="s">
        <v>1928</v>
      </c>
      <c r="D115" s="4082" t="s">
        <v>1911</v>
      </c>
      <c r="E115" s="4082" t="s">
        <v>1911</v>
      </c>
      <c r="F115" s="4086" t="s">
        <v>1911</v>
      </c>
      <c r="G115" s="4098" t="s">
        <v>1922</v>
      </c>
      <c r="H115" s="4099"/>
      <c r="I115" s="4099"/>
      <c r="J115" s="4099"/>
      <c r="K115" s="4099"/>
      <c r="L115" s="4099"/>
      <c r="M115" s="4099"/>
      <c r="N115" s="4099"/>
      <c r="O115" s="4099"/>
      <c r="P115" s="4100"/>
      <c r="Q115" s="33"/>
    </row>
    <row r="116" spans="1:17" ht="16.5" customHeight="1">
      <c r="A116" s="17"/>
      <c r="B116" s="18" t="s">
        <v>1757</v>
      </c>
      <c r="C116" s="19" t="s">
        <v>1929</v>
      </c>
      <c r="D116" s="4083"/>
      <c r="E116" s="4083"/>
      <c r="F116" s="4087"/>
      <c r="G116" s="4103"/>
      <c r="H116" s="4104"/>
      <c r="I116" s="4104"/>
      <c r="J116" s="4104"/>
      <c r="K116" s="4104"/>
      <c r="L116" s="4104"/>
      <c r="M116" s="4104"/>
      <c r="N116" s="4104"/>
      <c r="O116" s="4104"/>
      <c r="P116" s="4105"/>
      <c r="Q116" s="33"/>
    </row>
    <row r="117" spans="1:17" ht="16.5" customHeight="1">
      <c r="A117" s="4891" t="s">
        <v>1930</v>
      </c>
      <c r="B117" s="10" t="s">
        <v>1752</v>
      </c>
      <c r="C117" s="11" t="s">
        <v>1931</v>
      </c>
      <c r="D117" s="4082" t="s">
        <v>1911</v>
      </c>
      <c r="E117" s="4082" t="s">
        <v>1911</v>
      </c>
      <c r="F117" s="4086" t="s">
        <v>1911</v>
      </c>
      <c r="G117" s="4098" t="s">
        <v>1932</v>
      </c>
      <c r="H117" s="4099"/>
      <c r="I117" s="4099"/>
      <c r="J117" s="4099"/>
      <c r="K117" s="4099"/>
      <c r="L117" s="4099"/>
      <c r="M117" s="4099"/>
      <c r="N117" s="4099"/>
      <c r="O117" s="4099"/>
      <c r="P117" s="4100"/>
      <c r="Q117" s="33"/>
    </row>
    <row r="118" spans="1:17" ht="16.5" customHeight="1">
      <c r="A118" s="4891"/>
      <c r="B118" s="10" t="s">
        <v>1757</v>
      </c>
      <c r="C118" s="11" t="s">
        <v>1933</v>
      </c>
      <c r="D118" s="4083"/>
      <c r="E118" s="4083"/>
      <c r="F118" s="4087"/>
      <c r="G118" s="4103"/>
      <c r="H118" s="4104"/>
      <c r="I118" s="4104"/>
      <c r="J118" s="4104"/>
      <c r="K118" s="4104"/>
      <c r="L118" s="4104"/>
      <c r="M118" s="4104"/>
      <c r="N118" s="4104"/>
      <c r="O118" s="4104"/>
      <c r="P118" s="4105"/>
      <c r="Q118" s="33"/>
    </row>
    <row r="119" spans="1:17" ht="16.5" customHeight="1">
      <c r="A119" s="14" t="s">
        <v>1934</v>
      </c>
      <c r="B119" s="15" t="s">
        <v>1752</v>
      </c>
      <c r="C119" s="16" t="s">
        <v>1935</v>
      </c>
      <c r="D119" s="4082" t="s">
        <v>1911</v>
      </c>
      <c r="E119" s="4082" t="s">
        <v>1911</v>
      </c>
      <c r="F119" s="4086" t="s">
        <v>1911</v>
      </c>
      <c r="G119" s="4098" t="s">
        <v>1936</v>
      </c>
      <c r="H119" s="4099"/>
      <c r="I119" s="4099"/>
      <c r="J119" s="4099"/>
      <c r="K119" s="4099"/>
      <c r="L119" s="4099"/>
      <c r="M119" s="4099"/>
      <c r="N119" s="4099"/>
      <c r="O119" s="4099"/>
      <c r="P119" s="4100"/>
      <c r="Q119" s="33"/>
    </row>
    <row r="120" spans="1:17" ht="16.5" customHeight="1">
      <c r="A120" s="17"/>
      <c r="B120" s="18" t="s">
        <v>1757</v>
      </c>
      <c r="C120" s="19" t="s">
        <v>1937</v>
      </c>
      <c r="D120" s="4083"/>
      <c r="E120" s="4083"/>
      <c r="F120" s="4087"/>
      <c r="G120" s="4103"/>
      <c r="H120" s="4104"/>
      <c r="I120" s="4104"/>
      <c r="J120" s="4104"/>
      <c r="K120" s="4104"/>
      <c r="L120" s="4104"/>
      <c r="M120" s="4104"/>
      <c r="N120" s="4104"/>
      <c r="O120" s="4104"/>
      <c r="P120" s="4105"/>
      <c r="Q120" s="33"/>
    </row>
    <row r="121" spans="1:17" ht="16.5" customHeight="1">
      <c r="A121" s="4891" t="s">
        <v>1938</v>
      </c>
      <c r="B121" s="15" t="s">
        <v>1752</v>
      </c>
      <c r="C121" s="16" t="s">
        <v>1939</v>
      </c>
      <c r="D121" s="4082" t="s">
        <v>1911</v>
      </c>
      <c r="E121" s="4082" t="s">
        <v>1911</v>
      </c>
      <c r="F121" s="4086" t="s">
        <v>1911</v>
      </c>
      <c r="G121" s="4098" t="s">
        <v>1940</v>
      </c>
      <c r="H121" s="4099"/>
      <c r="I121" s="4099"/>
      <c r="J121" s="4099"/>
      <c r="K121" s="4099"/>
      <c r="L121" s="4099"/>
      <c r="M121" s="4099"/>
      <c r="N121" s="4099"/>
      <c r="O121" s="4099"/>
      <c r="P121" s="4100"/>
      <c r="Q121" s="33"/>
    </row>
    <row r="122" spans="1:17" ht="16.5" customHeight="1">
      <c r="A122" s="4891"/>
      <c r="B122" s="10" t="s">
        <v>1757</v>
      </c>
      <c r="C122" s="11" t="s">
        <v>1941</v>
      </c>
      <c r="D122" s="4084"/>
      <c r="E122" s="4084"/>
      <c r="F122" s="4088"/>
      <c r="G122" s="4893"/>
      <c r="H122" s="4101"/>
      <c r="I122" s="4101"/>
      <c r="J122" s="4101"/>
      <c r="K122" s="4101"/>
      <c r="L122" s="4101"/>
      <c r="M122" s="4101"/>
      <c r="N122" s="4101"/>
      <c r="O122" s="4101"/>
      <c r="P122" s="4102"/>
      <c r="Q122" s="33"/>
    </row>
    <row r="123" spans="1:17" ht="16.5" customHeight="1">
      <c r="A123" s="59"/>
      <c r="B123" s="60" t="s">
        <v>1759</v>
      </c>
      <c r="C123" s="61" t="s">
        <v>1942</v>
      </c>
      <c r="D123" s="4085"/>
      <c r="E123" s="4085"/>
      <c r="F123" s="4089"/>
      <c r="G123" s="4106"/>
      <c r="H123" s="4107"/>
      <c r="I123" s="4107"/>
      <c r="J123" s="4107"/>
      <c r="K123" s="4107"/>
      <c r="L123" s="4107"/>
      <c r="M123" s="4107"/>
      <c r="N123" s="4107"/>
      <c r="O123" s="4107"/>
      <c r="P123" s="4108"/>
      <c r="Q123" s="33"/>
    </row>
    <row r="124" spans="1:17" ht="16.5" customHeight="1">
      <c r="A124" s="62"/>
      <c r="B124" s="62"/>
      <c r="C124" s="9"/>
      <c r="D124" s="9"/>
      <c r="E124" s="9"/>
      <c r="F124" s="9"/>
      <c r="G124" s="65"/>
      <c r="H124" s="65"/>
      <c r="I124" s="65"/>
      <c r="J124" s="65"/>
      <c r="K124" s="65"/>
      <c r="L124" s="65"/>
      <c r="M124" s="65"/>
      <c r="N124" s="65"/>
      <c r="O124" s="65"/>
      <c r="P124" s="65"/>
      <c r="Q124" s="33"/>
    </row>
    <row r="125" spans="1:17" ht="16.5" customHeight="1">
      <c r="A125" s="4090" t="s">
        <v>1943</v>
      </c>
      <c r="B125" s="4090"/>
      <c r="C125" s="4090"/>
      <c r="D125" s="4090"/>
      <c r="E125" s="4090"/>
      <c r="F125" s="4090"/>
      <c r="G125" s="65"/>
      <c r="H125" s="65"/>
      <c r="I125" s="65"/>
      <c r="J125" s="65"/>
      <c r="K125" s="65"/>
      <c r="L125" s="65"/>
      <c r="M125" s="65"/>
      <c r="N125" s="65"/>
      <c r="O125" s="65"/>
      <c r="P125" s="65"/>
      <c r="Q125" s="33"/>
    </row>
    <row r="126" spans="1:17" ht="18.75" customHeight="1">
      <c r="A126" s="4096" t="s">
        <v>1944</v>
      </c>
      <c r="B126" s="4096"/>
      <c r="C126" s="1745"/>
      <c r="D126" s="1745"/>
      <c r="E126" s="1746"/>
      <c r="F126" s="1746"/>
      <c r="G126" s="4094" t="s">
        <v>1945</v>
      </c>
      <c r="H126" s="4094"/>
      <c r="I126" s="4094"/>
      <c r="J126" s="4094"/>
      <c r="K126" s="4094"/>
      <c r="L126" s="4094"/>
      <c r="M126" s="4094"/>
      <c r="N126" s="4094"/>
      <c r="O126" s="4094"/>
      <c r="P126" s="4094"/>
      <c r="Q126" s="33"/>
    </row>
    <row r="127" spans="1:17" ht="16.5" customHeight="1">
      <c r="A127" s="4097" t="s">
        <v>1946</v>
      </c>
      <c r="B127" s="4097"/>
      <c r="C127" s="4097"/>
      <c r="D127" s="5"/>
      <c r="E127" s="63"/>
      <c r="F127" s="63"/>
      <c r="G127" s="63"/>
      <c r="H127" s="63"/>
      <c r="I127" s="63"/>
      <c r="J127" s="63"/>
      <c r="K127" s="63"/>
      <c r="L127" s="63"/>
      <c r="M127" s="63"/>
      <c r="N127" s="63"/>
      <c r="O127" s="6"/>
      <c r="P127" s="1760"/>
      <c r="Q127" s="33"/>
    </row>
    <row r="128" spans="1:17" ht="16.5" customHeight="1">
      <c r="A128" s="4097"/>
      <c r="B128" s="4097"/>
      <c r="C128" s="4097"/>
      <c r="D128" s="5"/>
      <c r="E128" s="63"/>
      <c r="F128" s="63"/>
      <c r="G128" s="4109" t="s">
        <v>1947</v>
      </c>
      <c r="H128" s="4109"/>
      <c r="I128" s="4109"/>
      <c r="J128" s="1826">
        <v>30</v>
      </c>
      <c r="K128" s="4092" t="s">
        <v>1948</v>
      </c>
      <c r="L128" s="4092"/>
      <c r="M128" s="1826">
        <v>1040</v>
      </c>
      <c r="N128" s="1827"/>
      <c r="O128" s="1827"/>
      <c r="P128" s="1827"/>
      <c r="Q128" s="33"/>
    </row>
    <row r="129" spans="1:17" ht="16.5" customHeight="1">
      <c r="A129" s="9"/>
      <c r="B129" s="9"/>
      <c r="C129" s="5"/>
      <c r="D129" s="64"/>
      <c r="E129" s="64"/>
      <c r="F129" s="64"/>
      <c r="G129" s="4091" t="str">
        <f>"                The BU ̸ GU Ratio = "&amp;FIXED(J128/(M128-1000))&amp;", which is classed as "&amp;IF(J128/(M128-1000+0.001)&gt;0.81,"`Too Hoppy?`",IF(J128/(M128-1000)&gt;0.65,"`Very Hoppy`",IF(J128/(M128-1000)&gt;0.55,"`Slightly Hoppy`",IF(J128/(M128-1000)&gt;0.45,"`Balanced`",IF(J128/(M128-1000)&gt;0.35,"`Slightly Malty`",IF(J128/(M128-1000)&gt;0.25,"`Very Malty`",IF((J128+0.001)/(M128-1000)&gt;0,"`Too Malty?`")))))))&amp;".    Where the BU/GU ratio = Bitterness (EBU) / (OG-1000) "</f>
        <v xml:space="preserve">                The BU ̸ GU Ratio = 0.75, which is classed as `Very Hoppy`.    Where the BU/GU ratio = Bitterness (EBU) / (OG-1000) </v>
      </c>
      <c r="H129" s="4091"/>
      <c r="I129" s="4091"/>
      <c r="J129" s="4091"/>
      <c r="K129" s="4091"/>
      <c r="L129" s="4091"/>
      <c r="M129" s="4091"/>
      <c r="N129" s="4091"/>
      <c r="O129" s="4091"/>
      <c r="P129" s="4091"/>
      <c r="Q129" s="33"/>
    </row>
    <row r="130" spans="1:17" ht="18.75" customHeight="1">
      <c r="A130" s="5"/>
      <c r="B130" s="5"/>
      <c r="C130" s="5"/>
      <c r="D130" s="5"/>
      <c r="E130" s="63"/>
      <c r="F130" s="63"/>
      <c r="G130" s="63"/>
      <c r="H130" s="67"/>
      <c r="I130" s="74"/>
      <c r="J130" s="1824"/>
      <c r="K130" s="74"/>
      <c r="L130" s="5"/>
      <c r="M130" s="4093"/>
      <c r="N130" s="76"/>
      <c r="O130" s="1949"/>
      <c r="P130" s="66"/>
      <c r="Q130" s="33"/>
    </row>
    <row r="131" spans="1:17" ht="16.5" customHeight="1">
      <c r="A131" s="5"/>
      <c r="B131" s="5"/>
      <c r="C131" s="5"/>
      <c r="D131" s="5"/>
      <c r="E131" s="63"/>
      <c r="F131" s="63"/>
      <c r="G131" s="63"/>
      <c r="H131" s="67"/>
      <c r="I131" s="74"/>
      <c r="J131" s="74"/>
      <c r="K131" s="74"/>
      <c r="L131" s="5"/>
      <c r="M131" s="4093"/>
      <c r="N131" s="66"/>
      <c r="O131" s="66"/>
      <c r="P131" s="66"/>
      <c r="Q131" s="33"/>
    </row>
    <row r="132" spans="1:17" ht="16.5" customHeight="1">
      <c r="A132" s="5"/>
      <c r="B132" s="5"/>
      <c r="C132" s="5"/>
      <c r="D132" s="5"/>
      <c r="E132" s="63"/>
      <c r="F132" s="63"/>
      <c r="G132" s="63"/>
      <c r="H132" s="67"/>
      <c r="I132" s="74"/>
      <c r="J132" s="74"/>
      <c r="K132" s="77"/>
      <c r="L132" s="77"/>
      <c r="M132" s="66"/>
      <c r="N132" s="66"/>
      <c r="O132" s="66"/>
      <c r="P132" s="66"/>
      <c r="Q132" s="33"/>
    </row>
    <row r="133" spans="1:17" ht="16.5" customHeight="1">
      <c r="A133" s="5"/>
      <c r="B133" s="5"/>
      <c r="C133" s="5"/>
      <c r="D133" s="5"/>
      <c r="E133" s="63"/>
      <c r="F133" s="63"/>
      <c r="G133" s="63"/>
      <c r="H133" s="67"/>
      <c r="I133" s="74"/>
      <c r="J133" s="74"/>
      <c r="K133" s="77"/>
      <c r="L133" s="77"/>
      <c r="M133" s="66"/>
      <c r="N133" s="66"/>
      <c r="O133" s="66"/>
      <c r="P133" s="66"/>
      <c r="Q133" s="33"/>
    </row>
    <row r="134" spans="1:17" ht="16.5" customHeight="1">
      <c r="A134" s="5"/>
      <c r="B134" s="5"/>
      <c r="C134" s="5"/>
      <c r="D134" s="5"/>
      <c r="E134" s="63"/>
      <c r="F134" s="63"/>
      <c r="G134" s="63"/>
      <c r="H134" s="67"/>
      <c r="I134" s="74"/>
      <c r="J134" s="74"/>
      <c r="K134" s="77"/>
      <c r="L134" s="77"/>
      <c r="M134" s="66"/>
      <c r="N134" s="66"/>
      <c r="O134" s="66"/>
      <c r="P134" s="66"/>
      <c r="Q134" s="33"/>
    </row>
    <row r="135" spans="1:17" ht="16.5" customHeight="1">
      <c r="A135" s="1919" t="s">
        <v>1949</v>
      </c>
      <c r="B135" s="5"/>
      <c r="C135" s="5"/>
      <c r="D135" s="5"/>
      <c r="E135" s="63"/>
      <c r="F135" s="63"/>
      <c r="G135" s="63"/>
      <c r="H135" s="67"/>
      <c r="I135" s="74"/>
      <c r="J135" s="74"/>
      <c r="K135" s="76"/>
      <c r="L135" s="1786"/>
      <c r="M135" s="66"/>
      <c r="N135" s="66"/>
      <c r="O135" s="66"/>
      <c r="P135" s="66"/>
      <c r="Q135" s="33"/>
    </row>
    <row r="136" spans="1:17" ht="16.5" customHeight="1">
      <c r="A136" s="68"/>
      <c r="B136" s="69"/>
      <c r="C136" s="69"/>
      <c r="D136" s="5"/>
      <c r="E136" s="5"/>
      <c r="F136" s="70"/>
      <c r="G136" s="63"/>
      <c r="H136" s="67"/>
      <c r="I136" s="74"/>
      <c r="J136" s="74"/>
      <c r="K136" s="76"/>
      <c r="L136" s="1786"/>
      <c r="M136" s="75"/>
      <c r="N136" s="76"/>
      <c r="O136" s="1949"/>
      <c r="P136" s="66"/>
      <c r="Q136" s="33"/>
    </row>
    <row r="137" spans="1:17" ht="16.5" customHeight="1">
      <c r="A137" s="1801" t="s">
        <v>832</v>
      </c>
      <c r="B137" s="69"/>
      <c r="C137" s="69"/>
      <c r="D137" s="5"/>
      <c r="E137" s="5"/>
      <c r="F137" s="63"/>
      <c r="G137" s="63"/>
      <c r="H137" s="67"/>
      <c r="I137" s="74"/>
      <c r="J137" s="74"/>
      <c r="K137" s="76"/>
      <c r="L137" s="1786"/>
      <c r="M137" s="75"/>
      <c r="N137" s="76"/>
      <c r="O137" s="1949"/>
      <c r="P137" s="66"/>
      <c r="Q137" s="33"/>
    </row>
    <row r="138" spans="1:17" ht="16.5" customHeight="1">
      <c r="A138" s="73"/>
      <c r="B138" s="73"/>
      <c r="C138" s="73"/>
      <c r="D138" s="73"/>
      <c r="E138" s="73"/>
      <c r="F138" s="73"/>
      <c r="G138" s="63"/>
      <c r="H138" s="67"/>
      <c r="I138" s="74"/>
      <c r="J138" s="74"/>
      <c r="K138" s="76"/>
      <c r="L138" s="1786"/>
      <c r="M138" s="75"/>
      <c r="N138" s="76"/>
      <c r="O138" s="1949"/>
      <c r="P138" s="66"/>
      <c r="Q138" s="33"/>
    </row>
    <row r="139" spans="1:17" ht="16.5" customHeight="1">
      <c r="A139" s="73"/>
      <c r="B139" s="73"/>
      <c r="C139" s="73"/>
      <c r="D139" s="73"/>
      <c r="E139" s="73"/>
      <c r="F139" s="73"/>
      <c r="G139" s="63"/>
      <c r="H139" s="67"/>
      <c r="I139" s="74"/>
      <c r="J139" s="74"/>
      <c r="K139" s="76"/>
      <c r="L139" s="1786"/>
      <c r="M139" s="75"/>
      <c r="N139" s="1949"/>
      <c r="O139" s="1949"/>
      <c r="P139" s="66"/>
      <c r="Q139" s="33"/>
    </row>
    <row r="140" spans="1:17" ht="16.5" customHeight="1">
      <c r="A140" s="73"/>
      <c r="B140" s="73"/>
      <c r="C140" s="73"/>
      <c r="D140" s="73"/>
      <c r="E140" s="73"/>
      <c r="F140" s="73"/>
      <c r="G140" s="63"/>
      <c r="H140" s="67"/>
      <c r="I140" s="74"/>
      <c r="J140" s="74"/>
      <c r="K140" s="76"/>
      <c r="L140" s="1786"/>
      <c r="M140" s="75"/>
      <c r="N140" s="1949"/>
      <c r="O140" s="1949"/>
      <c r="P140" s="66"/>
      <c r="Q140" s="33"/>
    </row>
    <row r="141" spans="1:17" ht="16.5" customHeight="1">
      <c r="A141" s="73"/>
      <c r="B141" s="73"/>
      <c r="C141" s="73"/>
      <c r="D141" s="73"/>
      <c r="E141" s="73"/>
      <c r="F141" s="73"/>
      <c r="G141" s="63"/>
      <c r="H141" s="67"/>
      <c r="I141" s="74"/>
      <c r="J141" s="74"/>
      <c r="K141" s="76"/>
      <c r="L141" s="1786"/>
      <c r="M141" s="75"/>
      <c r="N141" s="1949"/>
      <c r="O141" s="1949"/>
      <c r="P141" s="66"/>
      <c r="Q141" s="33"/>
    </row>
    <row r="142" spans="1:17" ht="16.5" customHeight="1">
      <c r="A142" s="73"/>
      <c r="B142" s="73"/>
      <c r="C142" s="73"/>
      <c r="D142" s="73"/>
      <c r="E142" s="73"/>
      <c r="F142" s="73"/>
      <c r="G142" s="63"/>
      <c r="H142" s="67"/>
      <c r="I142" s="74"/>
      <c r="J142" s="74"/>
      <c r="K142" s="76"/>
      <c r="L142" s="1786"/>
      <c r="M142" s="67"/>
      <c r="N142" s="118"/>
      <c r="O142" s="1949"/>
      <c r="P142" s="5"/>
      <c r="Q142" s="33"/>
    </row>
    <row r="143" spans="1:17" ht="16.5" customHeight="1">
      <c r="A143" s="73"/>
      <c r="B143" s="73"/>
      <c r="C143" s="73"/>
      <c r="D143" s="73"/>
      <c r="E143" s="73"/>
      <c r="F143" s="73"/>
      <c r="G143" s="63"/>
      <c r="H143" s="67"/>
      <c r="I143" s="74"/>
      <c r="J143" s="74"/>
      <c r="K143" s="76"/>
      <c r="L143" s="1786"/>
      <c r="M143" s="1845"/>
      <c r="N143" s="118"/>
      <c r="O143" s="1787"/>
      <c r="P143" s="5"/>
      <c r="Q143" s="33"/>
    </row>
    <row r="144" spans="1:17" ht="16.5" customHeight="1">
      <c r="A144" s="73"/>
      <c r="B144" s="73"/>
      <c r="C144" s="73"/>
      <c r="D144" s="73"/>
      <c r="E144" s="73"/>
      <c r="F144" s="73"/>
      <c r="G144" s="63"/>
      <c r="H144" s="67"/>
      <c r="I144" s="74"/>
      <c r="J144" s="74"/>
      <c r="K144" s="76"/>
      <c r="L144" s="1786"/>
      <c r="M144" s="67"/>
      <c r="N144" s="118"/>
      <c r="O144" s="1787"/>
      <c r="P144" s="5"/>
      <c r="Q144" s="33"/>
    </row>
    <row r="145" spans="1:17" ht="16.5" customHeight="1">
      <c r="A145" s="73"/>
      <c r="B145" s="73"/>
      <c r="C145" s="73"/>
      <c r="D145" s="73"/>
      <c r="E145" s="73"/>
      <c r="F145" s="73"/>
      <c r="G145" s="63"/>
      <c r="H145" s="67"/>
      <c r="I145" s="74"/>
      <c r="J145" s="74"/>
      <c r="K145" s="76"/>
      <c r="L145" s="1786"/>
      <c r="M145" s="67"/>
      <c r="N145" s="118"/>
      <c r="O145" s="1787"/>
      <c r="P145" s="5"/>
      <c r="Q145" s="33"/>
    </row>
    <row r="146" spans="1:17" ht="16.5" customHeight="1">
      <c r="A146" s="73"/>
      <c r="B146" s="73"/>
      <c r="C146" s="73"/>
      <c r="D146" s="73"/>
      <c r="E146" s="73"/>
      <c r="F146" s="73"/>
      <c r="G146" s="63"/>
      <c r="H146" s="67"/>
      <c r="I146" s="74"/>
      <c r="J146" s="74"/>
      <c r="K146" s="76"/>
      <c r="L146" s="1786"/>
      <c r="M146" s="67"/>
      <c r="N146" s="118"/>
      <c r="O146" s="1787"/>
      <c r="P146" s="5"/>
      <c r="Q146" s="33"/>
    </row>
    <row r="147" spans="1:17" ht="16.5" customHeight="1">
      <c r="A147" s="73"/>
      <c r="B147" s="73"/>
      <c r="C147" s="73"/>
      <c r="D147" s="73"/>
      <c r="E147" s="73"/>
      <c r="F147" s="73"/>
      <c r="G147" s="63"/>
      <c r="H147" s="67"/>
      <c r="I147" s="74"/>
      <c r="J147" s="74"/>
      <c r="K147" s="76"/>
      <c r="L147" s="1786"/>
      <c r="M147" s="67"/>
      <c r="N147" s="118"/>
      <c r="O147" s="1787"/>
      <c r="P147" s="5"/>
      <c r="Q147" s="33"/>
    </row>
    <row r="148" spans="1:17" ht="16.5" customHeight="1">
      <c r="A148" s="73"/>
      <c r="B148" s="73"/>
      <c r="C148" s="73"/>
      <c r="D148" s="73"/>
      <c r="E148" s="73"/>
      <c r="F148" s="73"/>
      <c r="G148" s="72"/>
      <c r="H148" s="72"/>
      <c r="I148" s="1653"/>
      <c r="J148" s="1788"/>
      <c r="K148" s="1789"/>
      <c r="L148" s="1786"/>
      <c r="M148" s="67"/>
      <c r="N148" s="73"/>
      <c r="O148" s="1787"/>
      <c r="P148" s="5"/>
      <c r="Q148" s="33"/>
    </row>
    <row r="149" spans="1:17" ht="16.5" customHeight="1">
      <c r="A149" s="73"/>
      <c r="B149" s="73"/>
      <c r="C149" s="73"/>
      <c r="D149" s="73"/>
      <c r="E149" s="73"/>
      <c r="F149" s="73"/>
      <c r="G149" s="1790"/>
      <c r="H149" s="1802"/>
      <c r="I149" s="1802"/>
      <c r="J149" s="73"/>
      <c r="K149" s="73"/>
      <c r="L149" s="73"/>
      <c r="M149" s="73"/>
      <c r="N149" s="73"/>
      <c r="O149" s="73"/>
      <c r="P149" s="6"/>
      <c r="Q149" s="33"/>
    </row>
    <row r="150" spans="1:17" ht="15.6">
      <c r="A150" s="73"/>
      <c r="B150" s="73"/>
      <c r="C150" s="73"/>
      <c r="D150" s="73"/>
      <c r="E150" s="73"/>
      <c r="F150" s="73"/>
      <c r="G150" s="1790"/>
      <c r="H150" s="1760"/>
      <c r="I150" s="1760"/>
      <c r="J150" s="1760"/>
      <c r="K150" s="1760"/>
      <c r="L150" s="1760"/>
      <c r="M150" s="1760"/>
      <c r="N150" s="1760"/>
      <c r="O150" s="1760"/>
      <c r="P150" s="1760"/>
      <c r="Q150" s="33"/>
    </row>
    <row r="151" spans="1:17" ht="16.5" customHeight="1">
      <c r="A151" s="73"/>
      <c r="B151" s="73"/>
      <c r="C151" s="73"/>
      <c r="D151" s="73"/>
      <c r="E151" s="73"/>
      <c r="F151" s="73"/>
      <c r="G151" s="1790"/>
      <c r="H151" s="73"/>
      <c r="I151" s="1825" t="s">
        <v>1950</v>
      </c>
      <c r="J151" s="1825"/>
      <c r="K151" s="1825"/>
      <c r="L151" s="73"/>
      <c r="M151" s="73"/>
      <c r="N151" s="1760"/>
      <c r="O151" s="1760"/>
      <c r="P151" s="1760"/>
      <c r="Q151" s="73"/>
    </row>
    <row r="152" spans="1:17" ht="15.75" customHeight="1">
      <c r="A152" s="2131" t="s">
        <v>1951</v>
      </c>
      <c r="B152" s="4095" t="s">
        <v>1952</v>
      </c>
      <c r="C152" s="4095"/>
      <c r="D152" s="72"/>
      <c r="E152" s="72"/>
      <c r="F152" s="72"/>
      <c r="G152" s="1803"/>
      <c r="H152" s="1804"/>
      <c r="I152" s="1825"/>
      <c r="J152" s="1825"/>
      <c r="K152" s="1825"/>
      <c r="L152" s="1761"/>
      <c r="M152" s="73"/>
      <c r="N152" s="1760"/>
      <c r="O152" s="1760"/>
      <c r="P152" s="1760"/>
      <c r="Q152" s="73"/>
    </row>
    <row r="153" spans="1:17" ht="15.75" customHeight="1">
      <c r="A153" s="71"/>
      <c r="B153" s="2126"/>
      <c r="C153" s="2126"/>
      <c r="D153" s="2126"/>
      <c r="E153" s="2126"/>
      <c r="F153" s="33"/>
      <c r="G153" s="33"/>
      <c r="H153" s="1805"/>
      <c r="I153" s="1805"/>
      <c r="J153" s="1805"/>
      <c r="K153" s="1805"/>
      <c r="L153" s="1805"/>
      <c r="M153" s="73"/>
      <c r="N153" s="2129"/>
      <c r="O153" s="2130"/>
      <c r="Q153" s="73"/>
    </row>
    <row r="154" spans="1:17" ht="15.6" customHeight="1">
      <c r="A154" s="3067" t="s">
        <v>501</v>
      </c>
      <c r="B154" s="3067"/>
      <c r="C154" s="3067"/>
      <c r="D154" s="3067"/>
      <c r="E154" s="3067"/>
      <c r="F154" s="1103"/>
      <c r="G154" s="1103"/>
      <c r="H154" s="1103"/>
      <c r="I154" s="33"/>
      <c r="J154" s="33"/>
      <c r="K154" s="33"/>
      <c r="L154" s="2799" t="s">
        <v>1953</v>
      </c>
      <c r="M154" s="2799"/>
      <c r="N154" s="2799"/>
      <c r="O154" s="2799"/>
      <c r="P154" s="2799"/>
      <c r="Q154" s="73"/>
    </row>
    <row r="155" spans="1:17">
      <c r="A155" s="33"/>
      <c r="B155" s="33"/>
      <c r="C155" s="33"/>
      <c r="D155" s="33"/>
      <c r="E155" s="33"/>
      <c r="F155" s="33"/>
      <c r="G155" s="33"/>
      <c r="H155" s="33"/>
      <c r="I155" s="33"/>
      <c r="J155" s="33"/>
      <c r="K155" s="33"/>
      <c r="L155" s="33"/>
      <c r="M155" s="33"/>
      <c r="N155" s="33"/>
      <c r="O155" s="33"/>
      <c r="P155" s="33"/>
      <c r="Q155" s="33"/>
    </row>
    <row r="157" spans="1:17">
      <c r="K157" s="1"/>
    </row>
    <row r="161" spans="8:8">
      <c r="H161" s="2133"/>
    </row>
  </sheetData>
  <sheetProtection password="FA80" sheet="1" objects="1" scenarios="1"/>
  <mergeCells count="49">
    <mergeCell ref="G2:I2"/>
    <mergeCell ref="E1:L1"/>
    <mergeCell ref="L154:P154"/>
    <mergeCell ref="O1:P1"/>
    <mergeCell ref="O2:P2"/>
    <mergeCell ref="I4:J4"/>
    <mergeCell ref="K4:L4"/>
    <mergeCell ref="M4:N4"/>
    <mergeCell ref="G112:P112"/>
    <mergeCell ref="F106:F108"/>
    <mergeCell ref="F109:F111"/>
    <mergeCell ref="G106:P108"/>
    <mergeCell ref="F112:F114"/>
    <mergeCell ref="E106:E108"/>
    <mergeCell ref="E109:E111"/>
    <mergeCell ref="E112:E114"/>
    <mergeCell ref="D106:D108"/>
    <mergeCell ref="D109:D111"/>
    <mergeCell ref="D112:D114"/>
    <mergeCell ref="A4:E4"/>
    <mergeCell ref="D115:D116"/>
    <mergeCell ref="D117:D118"/>
    <mergeCell ref="A127:C128"/>
    <mergeCell ref="G109:P111"/>
    <mergeCell ref="G113:P113"/>
    <mergeCell ref="G114:P114"/>
    <mergeCell ref="E121:E123"/>
    <mergeCell ref="G119:P120"/>
    <mergeCell ref="G121:P123"/>
    <mergeCell ref="E115:E116"/>
    <mergeCell ref="E117:E118"/>
    <mergeCell ref="G115:P116"/>
    <mergeCell ref="G117:P118"/>
    <mergeCell ref="F115:F116"/>
    <mergeCell ref="F117:F118"/>
    <mergeCell ref="G128:I128"/>
    <mergeCell ref="G129:P129"/>
    <mergeCell ref="K128:L128"/>
    <mergeCell ref="M130:M131"/>
    <mergeCell ref="G126:P126"/>
    <mergeCell ref="B152:C152"/>
    <mergeCell ref="A126:B126"/>
    <mergeCell ref="A154:E154"/>
    <mergeCell ref="D119:D120"/>
    <mergeCell ref="D121:D123"/>
    <mergeCell ref="F119:F120"/>
    <mergeCell ref="F121:F123"/>
    <mergeCell ref="A125:F125"/>
    <mergeCell ref="E119:E120"/>
  </mergeCells>
  <conditionalFormatting sqref="G6:H105">
    <cfRule type="colorScale" priority="1">
      <colorScale>
        <cfvo type="min"/>
        <cfvo type="max"/>
        <color rgb="FFFCFCFF"/>
        <color rgb="FFF8696B"/>
      </colorScale>
    </cfRule>
  </conditionalFormatting>
  <conditionalFormatting sqref="I6:J105">
    <cfRule type="colorScale" priority="2">
      <colorScale>
        <cfvo type="min"/>
        <cfvo type="max"/>
        <color rgb="FFFCFCFF"/>
        <color rgb="FFF8696B"/>
      </colorScale>
    </cfRule>
  </conditionalFormatting>
  <conditionalFormatting sqref="K6:L105">
    <cfRule type="colorScale" priority="3">
      <colorScale>
        <cfvo type="min"/>
        <cfvo type="max"/>
        <color rgb="FFFCFCFF"/>
        <color rgb="FFF8696B"/>
      </colorScale>
    </cfRule>
  </conditionalFormatting>
  <hyperlinks>
    <hyperlink ref="B152" r:id="rId1" xr:uid="{00000000-0004-0000-0A00-000000000000}"/>
  </hyperlinks>
  <printOptions horizontalCentered="1"/>
  <pageMargins left="0.43307086614173201" right="0.43307086614173201" top="0.31496062992126" bottom="0.70866141732283505" header="0.23622047244094499" footer="0.67"/>
  <pageSetup paperSize="9" scale="32" orientation="portrait"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T253"/>
  <sheetViews>
    <sheetView topLeftCell="A165" zoomScale="70" zoomScaleNormal="70" zoomScaleSheetLayoutView="71" zoomScalePageLayoutView="58" workbookViewId="0">
      <selection activeCell="D196" sqref="D196"/>
    </sheetView>
  </sheetViews>
  <sheetFormatPr defaultColWidth="9.42578125" defaultRowHeight="13.9"/>
  <cols>
    <col min="1" max="1" width="2.28515625" style="207" customWidth="1"/>
    <col min="2" max="2" width="38.28515625" style="207" customWidth="1"/>
    <col min="3" max="14" width="11.28515625" style="207" customWidth="1"/>
    <col min="15" max="17" width="10.7109375" style="207" customWidth="1"/>
    <col min="18" max="18" width="15" style="207" customWidth="1"/>
    <col min="19" max="19" width="7" style="207" customWidth="1"/>
    <col min="20" max="20" width="2.42578125" style="132" customWidth="1"/>
    <col min="21" max="16384" width="9.42578125" style="132"/>
  </cols>
  <sheetData>
    <row r="1" spans="1:20" ht="45.6">
      <c r="A1" s="2005"/>
      <c r="B1" s="2005"/>
      <c r="C1" s="177"/>
      <c r="D1" s="179"/>
      <c r="E1" s="1890"/>
      <c r="F1" s="3036" t="s">
        <v>66</v>
      </c>
      <c r="G1" s="3036"/>
      <c r="H1" s="3036"/>
      <c r="I1" s="3036"/>
      <c r="J1" s="3036"/>
      <c r="K1" s="3036"/>
      <c r="L1" s="3036"/>
      <c r="M1" s="229"/>
      <c r="N1" s="1918"/>
      <c r="O1" s="1918"/>
      <c r="P1" s="1918"/>
      <c r="Q1" s="3034" t="s">
        <v>1</v>
      </c>
      <c r="R1" s="3034"/>
      <c r="S1" s="3034"/>
      <c r="T1" s="67"/>
    </row>
    <row r="2" spans="1:20" ht="13.35" customHeight="1">
      <c r="A2" s="67"/>
      <c r="B2" s="67"/>
      <c r="C2" s="67"/>
      <c r="D2" s="67"/>
      <c r="E2" s="67"/>
      <c r="F2" s="67"/>
      <c r="G2" s="67"/>
      <c r="H2" s="67"/>
      <c r="I2" s="67"/>
      <c r="J2" s="67"/>
      <c r="K2" s="67"/>
      <c r="L2" s="134"/>
      <c r="M2" s="1918"/>
      <c r="N2" s="1918"/>
      <c r="O2" s="1918"/>
      <c r="P2" s="1918"/>
      <c r="Q2" s="3034"/>
      <c r="R2" s="3034"/>
      <c r="S2" s="3034"/>
      <c r="T2" s="67"/>
    </row>
    <row r="3" spans="1:20" ht="15" customHeight="1">
      <c r="A3" s="63"/>
      <c r="B3" s="63"/>
      <c r="C3" s="63"/>
      <c r="D3" s="4129"/>
      <c r="E3" s="4130" t="s">
        <v>67</v>
      </c>
      <c r="F3" s="2923"/>
      <c r="G3" s="2923"/>
      <c r="H3" s="2923"/>
      <c r="I3" s="2923"/>
      <c r="J3" s="67"/>
      <c r="K3" s="67"/>
      <c r="L3" s="67"/>
      <c r="M3" s="67"/>
      <c r="N3" s="63"/>
      <c r="O3" s="63"/>
      <c r="P3" s="63"/>
      <c r="Q3" s="63"/>
      <c r="R3" s="63"/>
      <c r="S3" s="63"/>
      <c r="T3" s="67"/>
    </row>
    <row r="4" spans="1:20" ht="15" customHeight="1">
      <c r="A4" s="4131" t="s">
        <v>68</v>
      </c>
      <c r="B4" s="4131"/>
      <c r="C4" s="67"/>
      <c r="D4" s="67"/>
      <c r="E4" s="67"/>
      <c r="F4" s="67"/>
      <c r="G4" s="67"/>
      <c r="H4" s="67"/>
      <c r="I4" s="67"/>
      <c r="J4" s="67"/>
      <c r="K4" s="67"/>
      <c r="L4" s="67"/>
      <c r="M4" s="67"/>
      <c r="N4" s="1472"/>
      <c r="O4" s="1472"/>
      <c r="P4" s="1472"/>
      <c r="Q4" s="1472"/>
      <c r="R4" s="1472"/>
      <c r="S4" s="1472"/>
      <c r="T4" s="67"/>
    </row>
    <row r="5" spans="1:20" ht="15" customHeight="1">
      <c r="A5" s="1518"/>
      <c r="B5" s="134"/>
      <c r="C5" s="67"/>
      <c r="D5" s="67"/>
      <c r="E5" s="67"/>
      <c r="F5" s="67"/>
      <c r="G5" s="67"/>
      <c r="H5" s="67"/>
      <c r="I5" s="67"/>
      <c r="J5" s="67"/>
      <c r="K5" s="67"/>
      <c r="L5" s="67"/>
      <c r="M5" s="67"/>
      <c r="N5" s="67"/>
      <c r="O5" s="67"/>
      <c r="P5" s="67"/>
      <c r="Q5" s="67"/>
      <c r="R5" s="67"/>
      <c r="S5" s="67"/>
      <c r="T5" s="67"/>
    </row>
    <row r="6" spans="1:20" ht="15" customHeight="1">
      <c r="A6" s="112"/>
      <c r="B6" s="1519" t="s">
        <v>69</v>
      </c>
      <c r="C6" s="4132" t="s">
        <v>70</v>
      </c>
      <c r="D6" s="4132" t="s">
        <v>71</v>
      </c>
      <c r="E6" s="4132" t="s">
        <v>72</v>
      </c>
      <c r="F6" s="67"/>
      <c r="G6" s="63"/>
      <c r="H6" s="63"/>
      <c r="I6" s="4132" t="s">
        <v>71</v>
      </c>
      <c r="J6" s="4132" t="s">
        <v>70</v>
      </c>
      <c r="K6" s="4132" t="s">
        <v>72</v>
      </c>
      <c r="L6" s="114"/>
      <c r="M6" s="1918"/>
      <c r="N6" s="1918"/>
      <c r="O6" s="4132" t="s">
        <v>71</v>
      </c>
      <c r="P6" s="4132" t="s">
        <v>72</v>
      </c>
      <c r="Q6" s="4132" t="s">
        <v>73</v>
      </c>
      <c r="R6" s="112"/>
      <c r="S6" s="112"/>
      <c r="T6" s="112"/>
    </row>
    <row r="7" spans="1:20" ht="15" customHeight="1">
      <c r="A7" s="112"/>
      <c r="B7" s="1520" t="s">
        <v>74</v>
      </c>
      <c r="C7" s="4133">
        <f>D7*0.264172</f>
        <v>7.1326440000000009</v>
      </c>
      <c r="D7" s="4134">
        <v>27</v>
      </c>
      <c r="E7" s="4133">
        <f>D7*0.219969</f>
        <v>5.9391629999999997</v>
      </c>
      <c r="F7" s="67"/>
      <c r="G7" s="63"/>
      <c r="H7" s="63"/>
      <c r="I7" s="4133">
        <f>4.54609*K7</f>
        <v>246.2465416666667</v>
      </c>
      <c r="J7" s="4134">
        <v>65</v>
      </c>
      <c r="K7" s="4133">
        <f>J7*(5/6)</f>
        <v>54.166666666666671</v>
      </c>
      <c r="L7" s="114"/>
      <c r="M7" s="1918"/>
      <c r="N7" s="1918"/>
      <c r="O7" s="4133">
        <f>4.54609*P7</f>
        <v>295.49585000000002</v>
      </c>
      <c r="P7" s="4134">
        <v>65</v>
      </c>
      <c r="Q7" s="4133">
        <f>P7*(6/5)</f>
        <v>78</v>
      </c>
      <c r="R7" s="112"/>
      <c r="S7" s="112"/>
      <c r="T7" s="112"/>
    </row>
    <row r="8" spans="1:20" ht="15" customHeight="1">
      <c r="A8" s="112"/>
      <c r="B8" s="1521" t="s">
        <v>75</v>
      </c>
      <c r="C8" s="114"/>
      <c r="D8" s="114"/>
      <c r="E8" s="114"/>
      <c r="F8" s="67"/>
      <c r="G8" s="63"/>
      <c r="H8" s="63"/>
      <c r="I8" s="114"/>
      <c r="J8" s="114"/>
      <c r="K8" s="114"/>
      <c r="L8" s="114"/>
      <c r="M8" s="1918"/>
      <c r="N8" s="1918"/>
      <c r="O8" s="1541"/>
      <c r="P8" s="114"/>
      <c r="Q8" s="114"/>
      <c r="R8" s="112"/>
      <c r="S8" s="112"/>
      <c r="T8" s="112"/>
    </row>
    <row r="9" spans="1:20" ht="15" customHeight="1">
      <c r="A9" s="112"/>
      <c r="B9" s="1521" t="s">
        <v>76</v>
      </c>
      <c r="C9" s="4132" t="s">
        <v>77</v>
      </c>
      <c r="D9" s="4132" t="s">
        <v>71</v>
      </c>
      <c r="E9" s="4132" t="s">
        <v>78</v>
      </c>
      <c r="F9" s="67"/>
      <c r="G9" s="63"/>
      <c r="H9" s="63"/>
      <c r="I9" s="4132" t="s">
        <v>71</v>
      </c>
      <c r="J9" s="4132" t="s">
        <v>79</v>
      </c>
      <c r="K9" s="4132" t="s">
        <v>78</v>
      </c>
      <c r="L9" s="114"/>
      <c r="M9" s="1918"/>
      <c r="N9" s="1918"/>
      <c r="O9" s="4132" t="s">
        <v>71</v>
      </c>
      <c r="P9" s="4132" t="s">
        <v>78</v>
      </c>
      <c r="Q9" s="4132" t="s">
        <v>79</v>
      </c>
      <c r="R9" s="112"/>
      <c r="S9" s="112"/>
      <c r="T9" s="112"/>
    </row>
    <row r="10" spans="1:20" ht="15" customHeight="1">
      <c r="A10" s="112"/>
      <c r="B10" s="1521" t="s">
        <v>80</v>
      </c>
      <c r="C10" s="4135">
        <f>E10*6/5</f>
        <v>57.015900000000002</v>
      </c>
      <c r="D10" s="4136">
        <v>27</v>
      </c>
      <c r="E10" s="4137">
        <f>D10*1.75975</f>
        <v>47.513249999999999</v>
      </c>
      <c r="F10" s="67"/>
      <c r="G10" s="63"/>
      <c r="H10" s="63"/>
      <c r="I10" s="4133">
        <f>4.54609*K10/8</f>
        <v>12.785878125000002</v>
      </c>
      <c r="J10" s="4134">
        <v>27</v>
      </c>
      <c r="K10" s="4133">
        <f>J10*(5/6)</f>
        <v>22.5</v>
      </c>
      <c r="L10" s="114"/>
      <c r="M10" s="1918"/>
      <c r="N10" s="1918"/>
      <c r="O10" s="4133">
        <f>0.568261*P10</f>
        <v>34.095660000000002</v>
      </c>
      <c r="P10" s="4134">
        <v>60</v>
      </c>
      <c r="Q10" s="4133">
        <f>P10*(6/5)</f>
        <v>72</v>
      </c>
      <c r="R10" s="112"/>
      <c r="S10" s="112"/>
      <c r="T10" s="112"/>
    </row>
    <row r="11" spans="1:20" ht="15" customHeight="1">
      <c r="A11" s="112"/>
      <c r="B11" s="1522"/>
      <c r="C11" s="63"/>
      <c r="D11" s="63"/>
      <c r="E11" s="63"/>
      <c r="F11" s="67"/>
      <c r="G11" s="63"/>
      <c r="H11" s="63"/>
      <c r="I11" s="112"/>
      <c r="J11" s="112"/>
      <c r="K11" s="112"/>
      <c r="L11" s="114"/>
      <c r="M11" s="1918"/>
      <c r="N11" s="1918"/>
      <c r="O11" s="112"/>
      <c r="P11" s="112"/>
      <c r="Q11" s="112"/>
      <c r="R11" s="112"/>
      <c r="S11" s="112"/>
      <c r="T11" s="112"/>
    </row>
    <row r="12" spans="1:20" ht="15" customHeight="1">
      <c r="A12" s="114"/>
      <c r="B12" s="1519" t="s">
        <v>81</v>
      </c>
      <c r="C12" s="4132" t="s">
        <v>82</v>
      </c>
      <c r="D12" s="4132" t="s">
        <v>83</v>
      </c>
      <c r="E12" s="4132" t="s">
        <v>84</v>
      </c>
      <c r="F12" s="67"/>
      <c r="G12" s="63"/>
      <c r="H12" s="63"/>
      <c r="I12" s="1726" t="s">
        <v>85</v>
      </c>
      <c r="J12" s="4138" t="s">
        <v>86</v>
      </c>
      <c r="K12" s="2915" t="s">
        <v>87</v>
      </c>
      <c r="L12" s="4139"/>
      <c r="M12" s="1918"/>
      <c r="N12" s="1918"/>
      <c r="O12" s="4132" t="s">
        <v>82</v>
      </c>
      <c r="P12" s="4132" t="s">
        <v>83</v>
      </c>
      <c r="Q12" s="4132" t="s">
        <v>86</v>
      </c>
      <c r="R12" s="112"/>
      <c r="S12" s="112"/>
      <c r="T12" s="112"/>
    </row>
    <row r="13" spans="1:20" ht="15" customHeight="1">
      <c r="A13" s="114"/>
      <c r="B13" s="1523" t="s">
        <v>88</v>
      </c>
      <c r="C13" s="4133">
        <f>1000*D13/2.20462</f>
        <v>453.59290943563974</v>
      </c>
      <c r="D13" s="4134">
        <v>1</v>
      </c>
      <c r="E13" s="4133">
        <f>D13*2.20462</f>
        <v>2.2046199999999998</v>
      </c>
      <c r="F13" s="67"/>
      <c r="G13" s="63"/>
      <c r="H13" s="63"/>
      <c r="I13" s="1728">
        <v>1</v>
      </c>
      <c r="J13" s="4140">
        <v>4</v>
      </c>
      <c r="K13" s="4132">
        <f>1000*(I13+J13/16)*0.4536</f>
        <v>567</v>
      </c>
      <c r="L13" s="4133">
        <f>K13/1000</f>
        <v>0.56699999999999995</v>
      </c>
      <c r="M13" s="1918"/>
      <c r="N13" s="1918"/>
      <c r="O13" s="4133">
        <f>P13/0.035274</f>
        <v>850.48477632250388</v>
      </c>
      <c r="P13" s="4134">
        <v>30</v>
      </c>
      <c r="Q13" s="4133">
        <f>P13*0.035274</f>
        <v>1.0582199999999999</v>
      </c>
      <c r="R13" s="112"/>
      <c r="S13" s="112"/>
      <c r="T13" s="112"/>
    </row>
    <row r="14" spans="1:20" ht="15" customHeight="1">
      <c r="A14" s="114"/>
      <c r="B14" s="1523" t="s">
        <v>89</v>
      </c>
      <c r="C14" s="114"/>
      <c r="D14" s="112"/>
      <c r="E14" s="112"/>
      <c r="F14" s="67"/>
      <c r="G14" s="63"/>
      <c r="H14" s="63"/>
      <c r="I14" s="112"/>
      <c r="J14" s="112"/>
      <c r="K14" s="114"/>
      <c r="L14" s="114"/>
      <c r="M14" s="1918"/>
      <c r="N14" s="1918"/>
      <c r="O14" s="114"/>
      <c r="P14" s="114"/>
      <c r="Q14" s="114"/>
      <c r="R14" s="112"/>
      <c r="S14" s="112"/>
      <c r="T14" s="112"/>
    </row>
    <row r="15" spans="1:20" ht="15" customHeight="1">
      <c r="A15" s="114"/>
      <c r="B15" s="1524"/>
      <c r="C15" s="4132" t="s">
        <v>90</v>
      </c>
      <c r="D15" s="4132" t="s">
        <v>83</v>
      </c>
      <c r="E15" s="4132" t="s">
        <v>84</v>
      </c>
      <c r="F15" s="67"/>
      <c r="G15" s="63"/>
      <c r="H15" s="63"/>
      <c r="I15" s="4132" t="s">
        <v>91</v>
      </c>
      <c r="J15" s="2915" t="s">
        <v>92</v>
      </c>
      <c r="K15" s="4141"/>
      <c r="L15" s="4139"/>
      <c r="M15" s="1918"/>
      <c r="N15" s="1918"/>
      <c r="O15" s="4132" t="s">
        <v>84</v>
      </c>
      <c r="P15" s="4138" t="s">
        <v>86</v>
      </c>
      <c r="Q15" s="1732" t="s">
        <v>93</v>
      </c>
      <c r="R15" s="112"/>
      <c r="S15" s="112"/>
      <c r="T15" s="112"/>
    </row>
    <row r="16" spans="1:20" ht="15" customHeight="1">
      <c r="A16" s="114"/>
      <c r="B16" s="114"/>
      <c r="C16" s="4133">
        <f>D16/2.20462</f>
        <v>10.432636917019714</v>
      </c>
      <c r="D16" s="1730">
        <v>23</v>
      </c>
      <c r="E16" s="2200">
        <f>D16*2.20462</f>
        <v>50.706259999999993</v>
      </c>
      <c r="F16" s="63"/>
      <c r="G16" s="63"/>
      <c r="H16" s="63"/>
      <c r="I16" s="4134">
        <v>1000</v>
      </c>
      <c r="J16" s="1731">
        <f>16*K16</f>
        <v>35.273368606701936</v>
      </c>
      <c r="K16" s="1731">
        <f>I16/(1000*0.4536)</f>
        <v>2.204585537918871</v>
      </c>
      <c r="L16" s="1732" t="str">
        <f>INT(J16/16)&amp;" lb. "&amp;FIXED(J16-16*INT(J16/16))</f>
        <v>2 lb. 3.27</v>
      </c>
      <c r="M16" s="1918"/>
      <c r="N16" s="1918"/>
      <c r="O16" s="4134">
        <v>2.2000000000000002</v>
      </c>
      <c r="P16" s="1735">
        <f>O16*16</f>
        <v>35.200000000000003</v>
      </c>
      <c r="Q16" s="1732" t="str">
        <f>INT(P16/16)&amp;" lb  "&amp;FIXED(P16-16*INT(P16/16))</f>
        <v>2 lb  3.20</v>
      </c>
      <c r="R16" s="112"/>
      <c r="S16" s="112"/>
      <c r="T16" s="112"/>
    </row>
    <row r="17" spans="1:20" ht="15" customHeight="1">
      <c r="A17" s="114"/>
      <c r="B17" s="112"/>
      <c r="C17" s="112"/>
      <c r="D17" s="112"/>
      <c r="E17" s="112"/>
      <c r="F17" s="63"/>
      <c r="G17" s="63"/>
      <c r="H17" s="63"/>
      <c r="I17" s="112"/>
      <c r="J17" s="70"/>
      <c r="K17" s="112"/>
      <c r="L17" s="112"/>
      <c r="M17" s="1918"/>
      <c r="N17" s="112"/>
      <c r="O17" s="112"/>
      <c r="P17" s="112"/>
      <c r="Q17" s="112"/>
      <c r="R17" s="112"/>
      <c r="S17" s="112"/>
      <c r="T17" s="112"/>
    </row>
    <row r="18" spans="1:20" ht="15" customHeight="1">
      <c r="A18" s="114"/>
      <c r="B18" s="2135" t="s">
        <v>94</v>
      </c>
      <c r="C18" s="1732" t="s">
        <v>95</v>
      </c>
      <c r="D18" s="1733" t="s">
        <v>96</v>
      </c>
      <c r="E18" s="2147" t="s">
        <v>97</v>
      </c>
      <c r="F18" s="63"/>
      <c r="G18" s="63"/>
      <c r="H18" s="63"/>
      <c r="I18" s="2147" t="s">
        <v>98</v>
      </c>
      <c r="J18" s="2147" t="s">
        <v>96</v>
      </c>
      <c r="K18" s="2147" t="s">
        <v>99</v>
      </c>
      <c r="L18" s="112"/>
      <c r="M18" s="1918"/>
      <c r="N18" s="112"/>
      <c r="O18" s="2201" t="s">
        <v>100</v>
      </c>
      <c r="P18" s="2201" t="s">
        <v>101</v>
      </c>
      <c r="Q18" s="2201" t="s">
        <v>102</v>
      </c>
      <c r="R18" s="112"/>
      <c r="S18" s="112"/>
      <c r="T18" s="112"/>
    </row>
    <row r="19" spans="1:20" ht="15" customHeight="1">
      <c r="A19" s="114"/>
      <c r="B19" s="112"/>
      <c r="C19" s="4137">
        <f>D19*0.09977637</f>
        <v>9.9776370000000003E-2</v>
      </c>
      <c r="D19" s="1730">
        <v>1</v>
      </c>
      <c r="E19" s="1731">
        <f>D19*10.022413122466</f>
        <v>10.022413122466</v>
      </c>
      <c r="F19" s="63"/>
      <c r="G19" s="63"/>
      <c r="H19" s="63"/>
      <c r="I19" s="1731">
        <f>J19*49.888</f>
        <v>49.887999999999998</v>
      </c>
      <c r="J19" s="1734">
        <v>1</v>
      </c>
      <c r="K19" s="4133">
        <f>J19*0.02004</f>
        <v>2.0039999999999999E-2</v>
      </c>
      <c r="L19" s="112"/>
      <c r="M19" s="1918"/>
      <c r="N19" s="112"/>
      <c r="O19" s="1735">
        <f>P19*28.41306</f>
        <v>340.95672000000002</v>
      </c>
      <c r="P19" s="4134">
        <v>12</v>
      </c>
      <c r="Q19" s="4137">
        <f>P19/28.41306</f>
        <v>0.42234099389506091</v>
      </c>
      <c r="R19" s="112"/>
      <c r="S19" s="112"/>
      <c r="T19" s="112"/>
    </row>
    <row r="20" spans="1:20" ht="15" customHeight="1">
      <c r="A20" s="114"/>
      <c r="B20" s="114"/>
      <c r="C20" s="1525"/>
      <c r="D20" s="1525"/>
      <c r="E20" s="1525"/>
      <c r="F20" s="63"/>
      <c r="G20" s="63"/>
      <c r="H20" s="63"/>
      <c r="I20" s="1525"/>
      <c r="J20" s="1525"/>
      <c r="K20" s="1525"/>
      <c r="L20" s="112"/>
      <c r="M20" s="1918"/>
      <c r="N20" s="112"/>
      <c r="O20" s="114"/>
      <c r="P20" s="114"/>
      <c r="Q20" s="114"/>
      <c r="R20" s="112"/>
      <c r="S20" s="112"/>
      <c r="T20" s="112"/>
    </row>
    <row r="21" spans="1:20" ht="15" customHeight="1">
      <c r="A21" s="112"/>
      <c r="B21" s="114"/>
      <c r="C21" s="1733" t="s">
        <v>95</v>
      </c>
      <c r="D21" s="1733" t="s">
        <v>96</v>
      </c>
      <c r="E21" s="1732" t="s">
        <v>103</v>
      </c>
      <c r="F21" s="63"/>
      <c r="G21" s="63"/>
      <c r="H21" s="63"/>
      <c r="I21" s="2147" t="s">
        <v>98</v>
      </c>
      <c r="J21" s="2147" t="s">
        <v>96</v>
      </c>
      <c r="K21" s="1732" t="s">
        <v>104</v>
      </c>
      <c r="L21" s="112"/>
      <c r="M21" s="1918"/>
      <c r="N21" s="112"/>
      <c r="O21" s="2201" t="s">
        <v>100</v>
      </c>
      <c r="P21" s="2201" t="s">
        <v>101</v>
      </c>
      <c r="Q21" s="2201" t="s">
        <v>105</v>
      </c>
      <c r="R21" s="112"/>
      <c r="S21" s="112"/>
      <c r="T21" s="112"/>
    </row>
    <row r="22" spans="1:20" ht="15" customHeight="1">
      <c r="A22" s="112"/>
      <c r="B22" s="73"/>
      <c r="C22" s="4133">
        <f>D22*0.1198264</f>
        <v>0.1198264</v>
      </c>
      <c r="D22" s="1734">
        <v>1</v>
      </c>
      <c r="E22" s="1735">
        <f>D22*8.3454063545262</f>
        <v>8.3454063545261992</v>
      </c>
      <c r="F22" s="63"/>
      <c r="G22" s="63"/>
      <c r="H22" s="63"/>
      <c r="I22" s="1731">
        <f>J22*59.913</f>
        <v>59.912999999999997</v>
      </c>
      <c r="J22" s="1734">
        <v>1</v>
      </c>
      <c r="K22" s="4133">
        <f>J22*0.016691</f>
        <v>1.6691000000000001E-2</v>
      </c>
      <c r="L22" s="112"/>
      <c r="M22" s="1918"/>
      <c r="N22" s="112"/>
      <c r="O22" s="1735">
        <f>P22*29.57353</f>
        <v>354.88236000000001</v>
      </c>
      <c r="P22" s="4134">
        <v>12</v>
      </c>
      <c r="Q22" s="4137">
        <f>P22/29.57353</f>
        <v>0.40576826641932834</v>
      </c>
      <c r="R22" s="112"/>
      <c r="S22" s="112"/>
      <c r="T22" s="112"/>
    </row>
    <row r="23" spans="1:20" ht="15" customHeight="1">
      <c r="A23" s="112"/>
      <c r="B23" s="63"/>
      <c r="C23" s="1544"/>
      <c r="D23" s="1544"/>
      <c r="E23" s="134"/>
      <c r="F23" s="63"/>
      <c r="G23" s="63"/>
      <c r="H23" s="63"/>
      <c r="I23" s="2878" t="str">
        <f>1*FIXED(J22)&amp;" g ̸ litre = "&amp;1*FIXED(K22,3)&amp;" oz ̸ pt US"</f>
        <v>1 g ̸ litre = 0.017 oz ̸ pt US</v>
      </c>
      <c r="J23" s="2878"/>
      <c r="K23" s="2878"/>
      <c r="L23" s="112"/>
      <c r="M23" s="1918"/>
      <c r="N23" s="112"/>
      <c r="O23" s="112"/>
      <c r="P23" s="112"/>
      <c r="Q23" s="112"/>
      <c r="R23" s="112"/>
      <c r="S23" s="112"/>
      <c r="T23" s="112"/>
    </row>
    <row r="24" spans="1:20" ht="15" customHeight="1">
      <c r="A24" s="1533"/>
      <c r="B24" s="1526" t="s">
        <v>106</v>
      </c>
      <c r="C24" s="1736" t="s">
        <v>107</v>
      </c>
      <c r="D24" s="1736" t="s">
        <v>108</v>
      </c>
      <c r="E24" s="1732" t="s">
        <v>109</v>
      </c>
      <c r="F24" s="63"/>
      <c r="G24" s="63"/>
      <c r="H24" s="63"/>
      <c r="I24" s="2942" t="str">
        <f>1*FIXED(J22)&amp;" oz ̸ pt US = "&amp;1*FIXED(I22,2)&amp;" g ̸ litre"</f>
        <v>1 oz ̸ pt US = 59.91 g ̸ litre</v>
      </c>
      <c r="J24" s="2942"/>
      <c r="K24" s="2942"/>
      <c r="L24" s="1542"/>
      <c r="M24" s="1542"/>
      <c r="N24" s="1543"/>
      <c r="O24" s="2201" t="s">
        <v>102</v>
      </c>
      <c r="P24" s="1736" t="s">
        <v>110</v>
      </c>
      <c r="Q24" s="1736" t="s">
        <v>111</v>
      </c>
      <c r="R24" s="2148"/>
      <c r="S24" s="2148"/>
      <c r="T24" s="112"/>
    </row>
    <row r="25" spans="1:20" ht="15" customHeight="1">
      <c r="A25" s="114"/>
      <c r="B25" s="1527"/>
      <c r="C25" s="1744">
        <f>(('General Calc''s'!D25+40)*5/9)-40</f>
        <v>-5.5555555555555571</v>
      </c>
      <c r="D25" s="1730">
        <v>22</v>
      </c>
      <c r="E25" s="1737">
        <f>((D25+40)*9/5)-40</f>
        <v>71.599999999999994</v>
      </c>
      <c r="F25" s="63"/>
      <c r="G25" s="63"/>
      <c r="H25" s="63"/>
      <c r="I25" s="184"/>
      <c r="J25" s="184"/>
      <c r="K25" s="184"/>
      <c r="L25" s="112"/>
      <c r="M25" s="1918"/>
      <c r="N25" s="112"/>
      <c r="O25" s="1737">
        <f>P25/0.96076</f>
        <v>12.490111994670887</v>
      </c>
      <c r="P25" s="1730">
        <v>12</v>
      </c>
      <c r="Q25" s="1737">
        <f>P25*0.96076</f>
        <v>11.529119999999999</v>
      </c>
      <c r="R25" s="2148"/>
      <c r="S25" s="2148"/>
      <c r="T25" s="112"/>
    </row>
    <row r="26" spans="1:20" ht="15" customHeight="1">
      <c r="A26" s="73"/>
      <c r="B26" s="113"/>
      <c r="C26" s="113"/>
      <c r="D26" s="113"/>
      <c r="E26" s="113"/>
      <c r="F26" s="63"/>
      <c r="G26" s="63"/>
      <c r="H26" s="63"/>
      <c r="I26" s="113"/>
      <c r="J26" s="113"/>
      <c r="K26" s="113"/>
      <c r="L26" s="112"/>
      <c r="M26" s="1918"/>
      <c r="N26" s="112"/>
      <c r="O26" s="113"/>
      <c r="P26" s="113"/>
      <c r="Q26" s="113"/>
      <c r="R26" s="2148"/>
      <c r="S26" s="2148"/>
      <c r="T26" s="112"/>
    </row>
    <row r="27" spans="1:20" ht="15" customHeight="1">
      <c r="A27" s="67"/>
      <c r="B27" s="3035" t="s">
        <v>112</v>
      </c>
      <c r="C27" s="3035"/>
      <c r="D27" s="2134"/>
      <c r="E27" s="2134"/>
      <c r="F27" s="63"/>
      <c r="G27" s="63"/>
      <c r="H27" s="63"/>
      <c r="I27" s="114"/>
      <c r="J27" s="114"/>
      <c r="K27" s="114"/>
      <c r="L27" s="114"/>
      <c r="M27" s="114"/>
      <c r="N27" s="1883" t="s">
        <v>100</v>
      </c>
      <c r="O27" s="1883" t="s">
        <v>101</v>
      </c>
      <c r="P27" s="2149" t="s">
        <v>113</v>
      </c>
      <c r="Q27" s="2149" t="s">
        <v>114</v>
      </c>
      <c r="R27" s="2148"/>
      <c r="S27" s="2148"/>
      <c r="T27" s="112"/>
    </row>
    <row r="28" spans="1:20" ht="15" customHeight="1">
      <c r="A28" s="1528"/>
      <c r="B28" s="177"/>
      <c r="C28" s="1529" t="s">
        <v>115</v>
      </c>
      <c r="D28" s="2202" t="s">
        <v>116</v>
      </c>
      <c r="E28" s="1530" t="s">
        <v>117</v>
      </c>
      <c r="F28" s="2202" t="s">
        <v>118</v>
      </c>
      <c r="G28" s="63"/>
      <c r="H28" s="63"/>
      <c r="I28" s="2203" t="s">
        <v>116</v>
      </c>
      <c r="J28" s="1738" t="s">
        <v>115</v>
      </c>
      <c r="K28" s="2203" t="s">
        <v>118</v>
      </c>
      <c r="L28" s="1738" t="s">
        <v>117</v>
      </c>
      <c r="M28" s="1918"/>
      <c r="N28" s="1881">
        <f>O28*28.41306</f>
        <v>28.413060000000002</v>
      </c>
      <c r="O28" s="1882">
        <v>1</v>
      </c>
      <c r="P28" s="1880">
        <f>O28/28.41306</f>
        <v>3.5195082824588407E-2</v>
      </c>
      <c r="Q28" s="1879">
        <f>O28/29.57353</f>
        <v>3.3814022201610693E-2</v>
      </c>
      <c r="R28" s="2148"/>
      <c r="S28" s="2148"/>
      <c r="T28" s="112"/>
    </row>
    <row r="29" spans="1:20" ht="15" customHeight="1">
      <c r="A29" s="179"/>
      <c r="B29" s="177"/>
      <c r="C29" s="1739">
        <v>23</v>
      </c>
      <c r="D29" s="4142">
        <v>25</v>
      </c>
      <c r="E29" s="1740">
        <v>22</v>
      </c>
      <c r="F29" s="4143">
        <f>D29*E29/C29</f>
        <v>23.913043478260871</v>
      </c>
      <c r="G29" s="63"/>
      <c r="H29" s="63"/>
      <c r="I29" s="4144">
        <v>13</v>
      </c>
      <c r="J29" s="2748">
        <v>23</v>
      </c>
      <c r="K29" s="4144">
        <v>22</v>
      </c>
      <c r="L29" s="2749">
        <f>J29*K29/I29</f>
        <v>38.92307692307692</v>
      </c>
      <c r="M29" s="1918"/>
      <c r="N29" s="1918"/>
      <c r="O29" s="112"/>
      <c r="P29" s="112"/>
      <c r="Q29" s="112"/>
      <c r="R29" s="112"/>
      <c r="S29" s="112"/>
      <c r="T29" s="112"/>
    </row>
    <row r="30" spans="1:20" ht="15" customHeight="1">
      <c r="A30" s="177"/>
      <c r="B30" s="177"/>
      <c r="C30" s="177"/>
      <c r="D30" s="177"/>
      <c r="E30" s="177"/>
      <c r="F30" s="177"/>
      <c r="G30" s="63"/>
      <c r="H30" s="63"/>
      <c r="I30" s="177"/>
      <c r="J30" s="177"/>
      <c r="K30" s="177"/>
      <c r="L30" s="177"/>
      <c r="M30" s="1918"/>
      <c r="N30" s="1918"/>
      <c r="O30" s="112"/>
      <c r="P30" s="112"/>
      <c r="Q30" s="112"/>
      <c r="R30" s="112"/>
      <c r="S30" s="112"/>
      <c r="T30" s="112"/>
    </row>
    <row r="31" spans="1:20" ht="15" customHeight="1">
      <c r="A31" s="3039" t="s">
        <v>9</v>
      </c>
      <c r="B31" s="3039"/>
      <c r="C31" s="1531"/>
      <c r="D31" s="1531"/>
      <c r="E31" s="1531"/>
      <c r="F31" s="1531"/>
      <c r="G31" s="1531"/>
      <c r="H31" s="63"/>
      <c r="I31" s="1531"/>
      <c r="J31" s="1531"/>
      <c r="K31" s="1531"/>
      <c r="L31" s="1531"/>
      <c r="M31" s="70"/>
      <c r="N31" s="3040" t="s">
        <v>119</v>
      </c>
      <c r="O31" s="3040"/>
      <c r="P31" s="112"/>
      <c r="Q31" s="112"/>
      <c r="R31" s="112"/>
      <c r="S31" s="112"/>
      <c r="T31" s="112"/>
    </row>
    <row r="32" spans="1:20" ht="15" customHeight="1">
      <c r="A32" s="70"/>
      <c r="B32" s="2204" t="s">
        <v>120</v>
      </c>
      <c r="C32" s="932">
        <v>76</v>
      </c>
      <c r="D32" s="3041" t="s">
        <v>121</v>
      </c>
      <c r="E32" s="3042"/>
      <c r="F32" s="3042"/>
      <c r="G32" s="3043"/>
      <c r="H32" s="63"/>
      <c r="I32" s="2863" t="s">
        <v>122</v>
      </c>
      <c r="J32" s="2863"/>
      <c r="K32" s="2863"/>
      <c r="L32" s="2206" t="s">
        <v>123</v>
      </c>
      <c r="M32" s="2207"/>
      <c r="N32" s="114"/>
      <c r="O32" s="1732" t="s">
        <v>124</v>
      </c>
      <c r="P32" s="2208" t="s">
        <v>125</v>
      </c>
      <c r="Q32" s="1732" t="s">
        <v>126</v>
      </c>
      <c r="R32" s="4145" t="s">
        <v>127</v>
      </c>
      <c r="S32" s="2861"/>
      <c r="T32" s="112"/>
    </row>
    <row r="33" spans="1:20" ht="15" customHeight="1">
      <c r="A33" s="70"/>
      <c r="B33" s="2209" t="s">
        <v>128</v>
      </c>
      <c r="C33" s="4134">
        <v>6200</v>
      </c>
      <c r="D33" s="3044" t="str">
        <f>"g = "&amp;1*FIXED((C32/100*L34/L35*C33),0)&amp;"g LIQUID Extract"</f>
        <v>g = 4560g LIQUID Extract</v>
      </c>
      <c r="E33" s="3045"/>
      <c r="F33" s="3046" t="str">
        <f>"= "&amp;1*FIXED((C32/100*C33*L34/L37),0)&amp;"g DRY Extract"</f>
        <v>= 3873g DRY Extract</v>
      </c>
      <c r="G33" s="3047"/>
      <c r="H33" s="63"/>
      <c r="I33" s="2863"/>
      <c r="J33" s="2863"/>
      <c r="K33" s="2863"/>
      <c r="L33" s="2755" t="s">
        <v>129</v>
      </c>
      <c r="M33" s="2780" t="s">
        <v>130</v>
      </c>
      <c r="N33" s="114"/>
      <c r="O33" s="2210">
        <f>1*FIXED((C32/100*L34/L35*P33),0)</f>
        <v>735</v>
      </c>
      <c r="P33" s="4134">
        <v>1000</v>
      </c>
      <c r="Q33" s="2210" t="str">
        <f>FIXED((C32/100*C33*L34/L37),0)</f>
        <v>3,873</v>
      </c>
      <c r="R33" s="4145"/>
      <c r="S33" s="2861"/>
      <c r="T33" s="112"/>
    </row>
    <row r="34" spans="1:20" ht="15" customHeight="1">
      <c r="A34" s="70"/>
      <c r="B34" s="2211" t="s">
        <v>131</v>
      </c>
      <c r="C34" s="4134">
        <v>4500</v>
      </c>
      <c r="D34" s="3048" t="str">
        <f>"g = "&amp;1*FIXED((L35/L37*C34),0)&amp;"g DRY Extract"</f>
        <v>g = 3822g DRY Extract</v>
      </c>
      <c r="E34" s="3049"/>
      <c r="F34" s="3050" t="str">
        <f>"= "&amp;1*FIXED((C34*L35/(L34*C32/100)),0)&amp;"g Pale MALT"</f>
        <v>= 6118g Pale MALT</v>
      </c>
      <c r="G34" s="3051"/>
      <c r="H34" s="63"/>
      <c r="I34" s="2863" t="s">
        <v>132</v>
      </c>
      <c r="J34" s="2863"/>
      <c r="K34" s="2863"/>
      <c r="L34" s="2212">
        <v>300</v>
      </c>
      <c r="M34" s="2213">
        <v>300</v>
      </c>
      <c r="N34" s="114"/>
      <c r="O34" s="1544"/>
      <c r="P34" s="1544"/>
      <c r="Q34" s="1544"/>
      <c r="R34" s="2150"/>
      <c r="S34" s="1909"/>
      <c r="T34" s="112"/>
    </row>
    <row r="35" spans="1:20" ht="15" customHeight="1">
      <c r="A35" s="70"/>
      <c r="B35" s="2211" t="s">
        <v>133</v>
      </c>
      <c r="C35" s="4134">
        <v>1000</v>
      </c>
      <c r="D35" s="3052" t="str">
        <f>"g = "&amp;1*FIXED((L36/L35*C34),0)&amp;"g LIQUID Extract ""NEW"""</f>
        <v>g = 4398g LIQUID Extract "NEW"</v>
      </c>
      <c r="E35" s="3053"/>
      <c r="F35" s="3053"/>
      <c r="G35" s="3054"/>
      <c r="H35" s="63"/>
      <c r="I35" s="2863" t="s">
        <v>134</v>
      </c>
      <c r="J35" s="2863"/>
      <c r="K35" s="2863"/>
      <c r="L35" s="2212">
        <v>310</v>
      </c>
      <c r="M35" s="2213">
        <v>310</v>
      </c>
      <c r="N35" s="114"/>
      <c r="O35" s="1731" t="s">
        <v>124</v>
      </c>
      <c r="P35" s="2214" t="s">
        <v>135</v>
      </c>
      <c r="Q35" s="4132" t="s">
        <v>126</v>
      </c>
      <c r="R35" s="4146" t="s">
        <v>136</v>
      </c>
      <c r="S35" s="2862"/>
      <c r="T35" s="112"/>
    </row>
    <row r="36" spans="1:20" ht="15" customHeight="1">
      <c r="A36" s="70"/>
      <c r="B36" s="2211" t="s">
        <v>137</v>
      </c>
      <c r="C36" s="4134">
        <v>3822</v>
      </c>
      <c r="D36" s="3048" t="str">
        <f>"g = "&amp;1*FIXED((L37/L35*C36),0)&amp;"g LIQUID Extract"</f>
        <v>g = 4500g LIQUID Extract</v>
      </c>
      <c r="E36" s="3049"/>
      <c r="F36" s="3056" t="str">
        <f>"= "&amp;1*FIXED((C36*100/C32*L37/L34),0)&amp;"g Pale MALT"</f>
        <v>= 6119g Pale MALT</v>
      </c>
      <c r="G36" s="3057"/>
      <c r="H36" s="63"/>
      <c r="I36" s="3058" t="s">
        <v>138</v>
      </c>
      <c r="J36" s="3059"/>
      <c r="K36" s="3060"/>
      <c r="L36" s="2212">
        <v>303</v>
      </c>
      <c r="M36" s="2213">
        <v>303</v>
      </c>
      <c r="N36" s="114"/>
      <c r="O36" s="2210">
        <f>1*FIXED(L37/L35*P36,1)</f>
        <v>1177.4000000000001</v>
      </c>
      <c r="P36" s="4134">
        <v>1000</v>
      </c>
      <c r="Q36" s="2210">
        <f>1*FIXED(L35/L37*P36,1)</f>
        <v>849.3</v>
      </c>
      <c r="R36" s="4146"/>
      <c r="S36" s="2862"/>
      <c r="T36" s="112"/>
    </row>
    <row r="37" spans="1:20" ht="15" customHeight="1">
      <c r="A37" s="70"/>
      <c r="B37" s="2209" t="s">
        <v>139</v>
      </c>
      <c r="C37" s="4134">
        <v>1000</v>
      </c>
      <c r="D37" s="3061" t="str">
        <f>"g = "&amp;1*FIXED((C37*0.262/0.2489),1)&amp;"g BREWING Sugar"</f>
        <v>g = 1052.6g BREWING Sugar</v>
      </c>
      <c r="E37" s="3062"/>
      <c r="F37" s="3062"/>
      <c r="G37" s="3063"/>
      <c r="H37" s="63"/>
      <c r="I37" s="2863" t="s">
        <v>137</v>
      </c>
      <c r="J37" s="2863"/>
      <c r="K37" s="2863"/>
      <c r="L37" s="2212">
        <v>365</v>
      </c>
      <c r="M37" s="2213">
        <v>365</v>
      </c>
      <c r="N37" s="114"/>
      <c r="O37" s="1534"/>
      <c r="P37" s="1534"/>
      <c r="Q37" s="1534"/>
      <c r="R37" s="2150"/>
      <c r="S37" s="2143"/>
      <c r="T37" s="112"/>
    </row>
    <row r="38" spans="1:20" ht="15" customHeight="1">
      <c r="A38" s="67"/>
      <c r="B38" s="2209" t="s">
        <v>140</v>
      </c>
      <c r="C38" s="4134">
        <v>1000</v>
      </c>
      <c r="D38" s="3064" t="str">
        <f>"g = "&amp;1*FIXED((C38*0.2489/0.262),1)&amp;"g CANE Sugar"</f>
        <v>g = 950g CANE Sugar</v>
      </c>
      <c r="E38" s="3065"/>
      <c r="F38" s="3065"/>
      <c r="G38" s="3066"/>
      <c r="H38" s="63"/>
      <c r="I38" s="3037" t="s">
        <v>139</v>
      </c>
      <c r="J38" s="3037"/>
      <c r="K38" s="3037"/>
      <c r="L38" s="2215">
        <v>375</v>
      </c>
      <c r="M38" s="2213">
        <v>375</v>
      </c>
      <c r="N38" s="114"/>
      <c r="O38" s="1732" t="s">
        <v>141</v>
      </c>
      <c r="P38" s="2208" t="s">
        <v>142</v>
      </c>
      <c r="Q38" s="1651" t="s">
        <v>143</v>
      </c>
      <c r="R38" s="4145" t="s">
        <v>144</v>
      </c>
      <c r="S38" s="2861"/>
      <c r="T38" s="112"/>
    </row>
    <row r="39" spans="1:20" ht="15" customHeight="1">
      <c r="A39" s="67"/>
      <c r="B39" s="67"/>
      <c r="C39" s="67"/>
      <c r="D39" s="67"/>
      <c r="E39" s="67"/>
      <c r="F39" s="67"/>
      <c r="G39" s="67"/>
      <c r="H39" s="63"/>
      <c r="I39" s="3037" t="s">
        <v>140</v>
      </c>
      <c r="J39" s="3037"/>
      <c r="K39" s="3037"/>
      <c r="L39" s="2215">
        <f>375*0.2489/0.262</f>
        <v>356.25</v>
      </c>
      <c r="M39" s="2213">
        <v>356</v>
      </c>
      <c r="N39" s="114"/>
      <c r="O39" s="2210">
        <f>1*FIXED((0.2489/0.262*P39),1)</f>
        <v>950</v>
      </c>
      <c r="P39" s="4134">
        <v>1000</v>
      </c>
      <c r="Q39" s="2210">
        <f>1*FIXED((0.262/0.2489*P39),1)</f>
        <v>1052.5999999999999</v>
      </c>
      <c r="R39" s="4145"/>
      <c r="S39" s="2861"/>
      <c r="T39" s="112"/>
    </row>
    <row r="40" spans="1:20" ht="15" customHeight="1">
      <c r="A40" s="112"/>
      <c r="B40" s="1613"/>
      <c r="C40" s="1532"/>
      <c r="D40" s="1532"/>
      <c r="E40" s="1532"/>
      <c r="F40" s="1532"/>
      <c r="G40" s="1532"/>
      <c r="H40" s="1532"/>
      <c r="I40" s="1532"/>
      <c r="J40" s="1532"/>
      <c r="K40" s="1532"/>
      <c r="L40" s="1532"/>
      <c r="M40" s="112"/>
      <c r="N40" s="63"/>
      <c r="O40" s="67"/>
      <c r="P40" s="67"/>
      <c r="Q40" s="67"/>
      <c r="R40" s="67"/>
      <c r="S40" s="67"/>
      <c r="T40" s="112"/>
    </row>
    <row r="41" spans="1:20" ht="15" customHeight="1">
      <c r="A41" s="112"/>
      <c r="B41" s="1533" t="s">
        <v>145</v>
      </c>
      <c r="C41" s="1533"/>
      <c r="D41" s="1533"/>
      <c r="E41" s="1533"/>
      <c r="F41" s="112"/>
      <c r="G41" s="2167" t="s">
        <v>146</v>
      </c>
      <c r="H41" s="4147" t="s">
        <v>147</v>
      </c>
      <c r="I41" s="4147"/>
      <c r="J41" s="4147"/>
      <c r="K41" s="4147"/>
      <c r="L41" s="114"/>
      <c r="M41" s="112"/>
      <c r="N41" s="1545"/>
      <c r="O41" s="67"/>
      <c r="P41" s="67"/>
      <c r="Q41" s="67"/>
      <c r="R41" s="67"/>
      <c r="S41" s="67"/>
      <c r="T41" s="112"/>
    </row>
    <row r="42" spans="1:20" ht="15" customHeight="1">
      <c r="A42" s="114"/>
      <c r="B42" s="114"/>
      <c r="C42" s="3038" t="s">
        <v>148</v>
      </c>
      <c r="D42" s="4148"/>
      <c r="E42" s="2216" t="s">
        <v>149</v>
      </c>
      <c r="F42" s="2217" t="s">
        <v>150</v>
      </c>
      <c r="G42" s="1534"/>
      <c r="H42" s="3055"/>
      <c r="I42" s="4139"/>
      <c r="J42" s="2216" t="s">
        <v>149</v>
      </c>
      <c r="K42" s="2218" t="s">
        <v>150</v>
      </c>
      <c r="L42" s="4149" t="s">
        <v>151</v>
      </c>
      <c r="M42" s="112"/>
      <c r="N42" s="63"/>
      <c r="O42" s="67"/>
      <c r="P42" s="67"/>
      <c r="Q42" s="67"/>
      <c r="R42" s="67"/>
      <c r="S42" s="67"/>
      <c r="T42" s="112"/>
    </row>
    <row r="43" spans="1:20" ht="15" customHeight="1">
      <c r="A43" s="114"/>
      <c r="B43" s="114"/>
      <c r="C43" s="3029" t="s">
        <v>152</v>
      </c>
      <c r="D43" s="4150"/>
      <c r="E43" s="4151">
        <v>20</v>
      </c>
      <c r="F43" s="2219">
        <v>68</v>
      </c>
      <c r="G43" s="1534"/>
      <c r="H43" s="3029" t="s">
        <v>152</v>
      </c>
      <c r="I43" s="4150"/>
      <c r="J43" s="4151">
        <v>20</v>
      </c>
      <c r="K43" s="2219">
        <v>68</v>
      </c>
      <c r="L43" s="4149"/>
      <c r="M43" s="112"/>
      <c r="N43" s="1545"/>
      <c r="O43" s="2821" t="s">
        <v>153</v>
      </c>
      <c r="P43" s="2821"/>
      <c r="Q43" s="2821"/>
      <c r="R43" s="2821"/>
      <c r="S43" s="67"/>
      <c r="T43" s="112"/>
    </row>
    <row r="44" spans="1:20" ht="15" customHeight="1">
      <c r="A44" s="114"/>
      <c r="B44" s="114"/>
      <c r="C44" s="4152" t="s">
        <v>154</v>
      </c>
      <c r="D44" s="4153"/>
      <c r="E44" s="4154">
        <v>24</v>
      </c>
      <c r="F44" s="4155">
        <v>75.2</v>
      </c>
      <c r="G44" s="1534"/>
      <c r="H44" s="4152" t="s">
        <v>154</v>
      </c>
      <c r="I44" s="4153"/>
      <c r="J44" s="4154">
        <v>24</v>
      </c>
      <c r="K44" s="4155">
        <v>75.2</v>
      </c>
      <c r="L44" s="4149"/>
      <c r="M44" s="112"/>
      <c r="N44" s="63"/>
      <c r="O44" s="2821"/>
      <c r="P44" s="2821"/>
      <c r="Q44" s="2821"/>
      <c r="R44" s="2821"/>
      <c r="S44" s="67"/>
      <c r="T44" s="112"/>
    </row>
    <row r="45" spans="1:20" ht="15" customHeight="1">
      <c r="A45" s="114"/>
      <c r="B45" s="114"/>
      <c r="C45" s="3030" t="s">
        <v>155</v>
      </c>
      <c r="D45" s="4156"/>
      <c r="E45" s="4151">
        <v>1079</v>
      </c>
      <c r="F45" s="4157">
        <v>1079</v>
      </c>
      <c r="G45" s="1534"/>
      <c r="H45" s="3030" t="s">
        <v>155</v>
      </c>
      <c r="I45" s="4156"/>
      <c r="J45" s="4151">
        <v>79</v>
      </c>
      <c r="K45" s="4157">
        <v>79</v>
      </c>
      <c r="L45" s="4149"/>
      <c r="M45" s="112"/>
      <c r="N45" s="1545"/>
      <c r="O45" s="2821"/>
      <c r="P45" s="2821"/>
      <c r="Q45" s="2821"/>
      <c r="R45" s="2821"/>
      <c r="S45" s="67"/>
      <c r="T45" s="112"/>
    </row>
    <row r="46" spans="1:20" ht="15" customHeight="1">
      <c r="A46" s="114"/>
      <c r="B46" s="114"/>
      <c r="C46" s="2959" t="s">
        <v>156</v>
      </c>
      <c r="D46" s="4139"/>
      <c r="E46" s="2220">
        <f>1*FIXED(E45*((1.00130346-0.000134722124*(((E44+40)*9/5)-40)+0.00000204052596*POWER((((E44+40)*9/5)-40),2)-0.00000000232820948*POWER((((E44+40)*9/5)-40),3))/(1.00130346-0.000134722124*(((E43+40)*9/5)-40)+0.00000204052596*POWER((((E43+40)*9/5)-40),2)-0.00000000232820948*POWER((((E43+40)*9/5)-40),3))),1)</f>
        <v>1079.9000000000001</v>
      </c>
      <c r="F46" s="2221">
        <f>1*FIXED((F45)*((1.00130346-0.000134722124*F44+0.00000204052596*POWER(F44,2)-0.00000000232820948*POWER(F44,3))/(1.00130346-0.000134722124*F43+0.00000204052596*POWER(F43,2)-0.00000000232820948*POWER(F43,3))),1)</f>
        <v>1079.9000000000001</v>
      </c>
      <c r="G46" s="1534"/>
      <c r="H46" s="2959" t="s">
        <v>156</v>
      </c>
      <c r="I46" s="4139"/>
      <c r="J46" s="2222">
        <f>FIXED((1000+J45)*((1.00130346-0.000134722124*(((J44+40)*9/5)-40)+0.00000204052596*(((J44+40)*9/5)-40)^2-0.00000000232820948*(((J44+40)*9/5)-40)^3)/(1.00130346-0.000134722124*(((J43+40)*9/5)-40)+0.00000204052596*(((J43+40)*9/5)-40)^2-0.00000000232820948*(((J43+40)*9/5)-40)^3)),1)-1000</f>
        <v>79.900000000000091</v>
      </c>
      <c r="K46" s="2221">
        <f>FIXED((1000+K45)*((1.00130346-0.000134722124*K44+0.00000204052596*POWER(K44,2)-0.00000000232820948*POWER(K44,3))/(1.00130346-0.000134722124*K43+0.00000204052596*POWER(K43,2)-0.00000000232820948*POWER(K43,3))),1)-1000</f>
        <v>79.900000000000091</v>
      </c>
      <c r="L46" s="4149"/>
      <c r="M46" s="112"/>
      <c r="N46" s="63"/>
      <c r="O46" s="67"/>
      <c r="P46" s="67"/>
      <c r="Q46" s="67"/>
      <c r="R46" s="67"/>
      <c r="S46" s="67"/>
      <c r="T46" s="112"/>
    </row>
    <row r="47" spans="1:20" ht="15" customHeight="1">
      <c r="A47" s="114"/>
      <c r="B47" s="114"/>
      <c r="C47" s="1535"/>
      <c r="D47" s="1535"/>
      <c r="E47" s="3031" t="s">
        <v>157</v>
      </c>
      <c r="F47" s="3031"/>
      <c r="G47" s="1536"/>
      <c r="H47" s="4122" t="s">
        <v>158</v>
      </c>
      <c r="I47" s="4122"/>
      <c r="J47" s="4122"/>
      <c r="K47" s="1536"/>
      <c r="L47" s="1534"/>
      <c r="M47" s="112"/>
      <c r="N47" s="63"/>
      <c r="O47" s="67"/>
      <c r="P47" s="67"/>
      <c r="Q47" s="67"/>
      <c r="R47" s="67"/>
      <c r="S47" s="67"/>
      <c r="T47" s="112"/>
    </row>
    <row r="48" spans="1:20" ht="15" customHeight="1">
      <c r="A48" s="1535"/>
      <c r="B48" s="1535"/>
      <c r="C48" s="1535"/>
      <c r="D48" s="1535"/>
      <c r="E48" s="1535"/>
      <c r="F48" s="67"/>
      <c r="G48" s="67"/>
      <c r="H48" s="67"/>
      <c r="I48" s="1535"/>
      <c r="J48" s="1535"/>
      <c r="K48" s="1535"/>
      <c r="L48" s="1546"/>
      <c r="M48" s="1547"/>
      <c r="N48" s="1547"/>
      <c r="O48" s="1547"/>
      <c r="P48" s="1547"/>
      <c r="Q48" s="1547"/>
      <c r="R48" s="1547"/>
      <c r="S48" s="1547"/>
      <c r="T48" s="112"/>
    </row>
    <row r="49" spans="1:20" ht="15" customHeight="1">
      <c r="A49" s="118"/>
      <c r="B49" s="118"/>
      <c r="C49" s="118"/>
      <c r="D49" s="118"/>
      <c r="E49" s="118"/>
      <c r="F49" s="118"/>
      <c r="G49" s="118"/>
      <c r="H49" s="118"/>
      <c r="I49" s="118"/>
      <c r="J49" s="118"/>
      <c r="K49" s="118"/>
      <c r="L49" s="118"/>
      <c r="M49" s="118"/>
      <c r="N49" s="118"/>
      <c r="O49" s="118"/>
      <c r="P49" s="118"/>
      <c r="Q49" s="118"/>
      <c r="R49" s="112"/>
      <c r="S49" s="112"/>
      <c r="T49" s="112"/>
    </row>
    <row r="50" spans="1:20" ht="15" customHeight="1">
      <c r="A50" s="2938" t="s">
        <v>159</v>
      </c>
      <c r="B50" s="2938"/>
      <c r="C50" s="3017" t="s">
        <v>160</v>
      </c>
      <c r="D50" s="3017"/>
      <c r="E50" s="3017"/>
      <c r="F50" s="1537"/>
      <c r="G50" s="154"/>
      <c r="H50" s="154"/>
      <c r="I50" s="154"/>
      <c r="J50" s="2223" t="s">
        <v>149</v>
      </c>
      <c r="K50" s="3018" t="s">
        <v>161</v>
      </c>
      <c r="L50" s="4139"/>
      <c r="M50" s="2217" t="s">
        <v>150</v>
      </c>
      <c r="N50" s="4158"/>
      <c r="O50" s="2151"/>
      <c r="P50" s="2151"/>
      <c r="Q50" s="112"/>
      <c r="R50" s="112"/>
      <c r="S50" s="112"/>
      <c r="T50" s="112"/>
    </row>
    <row r="51" spans="1:20" ht="15" customHeight="1">
      <c r="A51" s="118"/>
      <c r="B51" s="118"/>
      <c r="C51" s="3025" t="s">
        <v>162</v>
      </c>
      <c r="D51" s="3026"/>
      <c r="E51" s="2224">
        <v>1040</v>
      </c>
      <c r="F51" s="4159" t="s">
        <v>163</v>
      </c>
      <c r="G51" s="4160"/>
      <c r="H51" s="4160"/>
      <c r="I51" s="154"/>
      <c r="J51" s="1730">
        <v>20</v>
      </c>
      <c r="K51" s="3019" t="s">
        <v>152</v>
      </c>
      <c r="L51" s="4139"/>
      <c r="M51" s="2225">
        <v>68</v>
      </c>
      <c r="N51" s="4161" t="s">
        <v>164</v>
      </c>
      <c r="O51" s="4160"/>
      <c r="P51" s="4160"/>
      <c r="Q51" s="4160"/>
      <c r="R51" s="112"/>
      <c r="S51" s="112"/>
      <c r="T51" s="112"/>
    </row>
    <row r="52" spans="1:20" ht="15" customHeight="1">
      <c r="A52" s="118"/>
      <c r="B52" s="118"/>
      <c r="C52" s="3027" t="s">
        <v>165</v>
      </c>
      <c r="D52" s="3028"/>
      <c r="E52" s="4162">
        <v>1011</v>
      </c>
      <c r="F52" s="4163"/>
      <c r="G52" s="4160"/>
      <c r="H52" s="4160"/>
      <c r="I52" s="154"/>
      <c r="J52" s="2226">
        <v>20</v>
      </c>
      <c r="K52" s="3012" t="s">
        <v>154</v>
      </c>
      <c r="L52" s="4164"/>
      <c r="M52" s="2227">
        <v>68</v>
      </c>
      <c r="N52" s="4163"/>
      <c r="O52" s="4160"/>
      <c r="P52" s="4160"/>
      <c r="Q52" s="4160"/>
      <c r="R52" s="112"/>
      <c r="S52" s="112"/>
      <c r="T52" s="112"/>
    </row>
    <row r="53" spans="1:20" ht="15" customHeight="1">
      <c r="A53" s="118"/>
      <c r="B53" s="118"/>
      <c r="C53" s="3013" t="s">
        <v>166</v>
      </c>
      <c r="D53" s="3014"/>
      <c r="E53" s="2779">
        <f>(E51-E52)/(7.75-3*(E51-1000)/800)</f>
        <v>3.8157894736842106</v>
      </c>
      <c r="F53" s="4163"/>
      <c r="G53" s="4160"/>
      <c r="H53" s="4160"/>
      <c r="I53" s="2152"/>
      <c r="J53" s="1548">
        <v>1040</v>
      </c>
      <c r="K53" s="3015" t="s">
        <v>167</v>
      </c>
      <c r="L53" s="4165"/>
      <c r="M53" s="1549">
        <v>1040</v>
      </c>
      <c r="N53" s="4163"/>
      <c r="O53" s="4160"/>
      <c r="P53" s="4160"/>
      <c r="Q53" s="4160"/>
      <c r="R53" s="112"/>
      <c r="S53" s="112"/>
      <c r="T53" s="112"/>
    </row>
    <row r="54" spans="1:20" ht="15" customHeight="1">
      <c r="A54" s="118"/>
      <c r="B54" s="118"/>
      <c r="C54" s="118"/>
      <c r="D54" s="118"/>
      <c r="E54" s="118"/>
      <c r="F54" s="118"/>
      <c r="G54" s="118"/>
      <c r="H54" s="2153"/>
      <c r="I54" s="2153"/>
      <c r="J54" s="2228">
        <f>1*FIXED(J53*((1.00130346-0.000134722124*(((J52+40)*9/5)-40)+0.00000204052596*(((J52+40)*9/5)-40)^2-0.00000000232820948*(((J52+40)*9/5)-40)^3)/(1.00130346-0.000134722124*(((J51+40)*9/5)-40)+0.00000204052596*(((J51+40)*9/5)-40)^2-0.00000000232820948*(((J51+40)*9/5)-40)^3)),1)</f>
        <v>1040</v>
      </c>
      <c r="K54" s="3016" t="s">
        <v>168</v>
      </c>
      <c r="L54" s="4166"/>
      <c r="M54" s="2229">
        <f>1*FIXED(M53*((1.00130346-0.000134722124*M52+0.00000204052596*M52^2-0.00000000232820948*M52^3)/(1.00130346-0.000134722124*M51+0.00000204052596*M51^2-0.00000000232820948*M51^3)),1)</f>
        <v>1040</v>
      </c>
      <c r="N54" s="4167"/>
      <c r="O54" s="1537"/>
      <c r="P54" s="1537"/>
      <c r="Q54" s="2154"/>
      <c r="R54" s="112"/>
      <c r="S54" s="112"/>
      <c r="T54" s="112"/>
    </row>
    <row r="55" spans="1:20" ht="15" customHeight="1">
      <c r="A55" s="118"/>
      <c r="B55" s="118"/>
      <c r="C55" s="3032" t="s">
        <v>169</v>
      </c>
      <c r="D55" s="3032"/>
      <c r="E55" s="3032"/>
      <c r="F55" s="3032"/>
      <c r="G55" s="118"/>
      <c r="H55" s="2155"/>
      <c r="I55" s="154"/>
      <c r="J55" s="2223" t="s">
        <v>149</v>
      </c>
      <c r="K55" s="3033" t="s">
        <v>165</v>
      </c>
      <c r="L55" s="4168"/>
      <c r="M55" s="2217" t="s">
        <v>150</v>
      </c>
      <c r="N55" s="4167"/>
      <c r="O55" s="1537"/>
      <c r="P55" s="1537"/>
      <c r="Q55" s="112"/>
      <c r="R55" s="112"/>
      <c r="S55" s="112"/>
      <c r="T55" s="112"/>
    </row>
    <row r="56" spans="1:20" ht="15" customHeight="1">
      <c r="A56" s="118"/>
      <c r="B56" s="118"/>
      <c r="C56" s="1538" t="s">
        <v>162</v>
      </c>
      <c r="D56" s="2136"/>
      <c r="E56" s="2224">
        <v>79</v>
      </c>
      <c r="F56" s="3024" t="s">
        <v>170</v>
      </c>
      <c r="G56" s="3024"/>
      <c r="H56" s="3024"/>
      <c r="I56" s="2156"/>
      <c r="J56" s="1730">
        <f>J51</f>
        <v>20</v>
      </c>
      <c r="K56" s="3019" t="s">
        <v>171</v>
      </c>
      <c r="L56" s="4139"/>
      <c r="M56" s="2225">
        <f>M51</f>
        <v>68</v>
      </c>
      <c r="N56" s="4167"/>
      <c r="O56" s="1537"/>
      <c r="P56" s="1537"/>
      <c r="Q56" s="1552"/>
      <c r="R56" s="112"/>
      <c r="S56" s="112"/>
      <c r="T56" s="112"/>
    </row>
    <row r="57" spans="1:20" ht="15" customHeight="1">
      <c r="A57" s="118"/>
      <c r="B57" s="118"/>
      <c r="C57" s="2137" t="s">
        <v>165</v>
      </c>
      <c r="D57" s="1888"/>
      <c r="E57" s="1539">
        <v>-7</v>
      </c>
      <c r="F57" s="3024"/>
      <c r="G57" s="3024"/>
      <c r="H57" s="3024"/>
      <c r="I57" s="2156"/>
      <c r="J57" s="2226">
        <v>20</v>
      </c>
      <c r="K57" s="3012" t="s">
        <v>154</v>
      </c>
      <c r="L57" s="4164"/>
      <c r="M57" s="2227">
        <v>70</v>
      </c>
      <c r="N57" s="4167"/>
      <c r="O57" s="1537"/>
      <c r="P57" s="1537"/>
      <c r="Q57" s="1552"/>
      <c r="R57" s="112"/>
      <c r="S57" s="112"/>
      <c r="T57" s="112"/>
    </row>
    <row r="58" spans="1:20" ht="15" customHeight="1">
      <c r="A58" s="118"/>
      <c r="B58" s="118"/>
      <c r="C58" s="3013" t="s">
        <v>166</v>
      </c>
      <c r="D58" s="3014"/>
      <c r="E58" s="1735">
        <f>(E56-E57)/(7.75-3*E56/800)</f>
        <v>11.537816535301022</v>
      </c>
      <c r="F58" s="3024"/>
      <c r="G58" s="3024"/>
      <c r="H58" s="3024"/>
      <c r="I58" s="2156"/>
      <c r="J58" s="1548">
        <v>1010</v>
      </c>
      <c r="K58" s="3015" t="s">
        <v>172</v>
      </c>
      <c r="L58" s="4165"/>
      <c r="M58" s="1549">
        <v>1010</v>
      </c>
      <c r="N58" s="4167"/>
      <c r="O58" s="1537"/>
      <c r="P58" s="1537"/>
      <c r="Q58" s="1552"/>
      <c r="R58" s="112"/>
      <c r="S58" s="112"/>
      <c r="T58" s="112"/>
    </row>
    <row r="59" spans="1:20" ht="15" customHeight="1">
      <c r="A59" s="118"/>
      <c r="B59" s="118"/>
      <c r="C59" s="118"/>
      <c r="D59" s="118"/>
      <c r="E59" s="118"/>
      <c r="F59" s="3024"/>
      <c r="G59" s="3024"/>
      <c r="H59" s="3024"/>
      <c r="I59" s="1537"/>
      <c r="J59" s="2230">
        <f>1*FIXED(J58*((1.00130346-0.000134722124*(((J57+40)*9/5)-40)+0.00000204052596*(((J57+40)*9/5)-40)^2-0.00000000232820948*(((J57+40)*9/5)-40)^3)/(1.00130346-0.000134722124*(((J56+40)*9/5)-40)+0.00000204052596*(((J56+40)*9/5)-40)^2-0.00000000232820948*(((J56+40)*9/5)-40)^3)),1)</f>
        <v>1010</v>
      </c>
      <c r="K59" s="3016" t="s">
        <v>173</v>
      </c>
      <c r="L59" s="4166"/>
      <c r="M59" s="2231">
        <f>1*FIXED(M58*((1.00130346-0.000134722124*M57+0.00000204052596*M57^2-0.00000000232820948*M57^3)/(1.00130346-0.000134722124*M56+0.00000204052596*M56^2-0.00000000232820948*M56^3)),1)</f>
        <v>1010.2</v>
      </c>
      <c r="N59" s="4167"/>
      <c r="O59" s="1537"/>
      <c r="P59" s="1537"/>
      <c r="Q59" s="112"/>
      <c r="R59" s="112"/>
      <c r="S59" s="1866"/>
      <c r="T59" s="112"/>
    </row>
    <row r="60" spans="1:20" ht="15" customHeight="1">
      <c r="A60" s="118"/>
      <c r="B60" s="118"/>
      <c r="C60" s="118"/>
      <c r="D60" s="118"/>
      <c r="E60" s="118"/>
      <c r="F60" s="118"/>
      <c r="G60" s="118"/>
      <c r="H60" s="118"/>
      <c r="I60" s="1537"/>
      <c r="J60" s="1550" t="str">
        <f>FIXED((J54-J59)/(7.75-3*(J54-1000)/800),2)&amp;"%"</f>
        <v>3.95%</v>
      </c>
      <c r="K60" s="3023" t="s">
        <v>174</v>
      </c>
      <c r="L60" s="4168"/>
      <c r="M60" s="1551" t="str">
        <f>FIXED((M54-M59)/(7.75-3*(M54-1000)/800),2)&amp;"%"</f>
        <v>3.92%</v>
      </c>
      <c r="N60" s="4167"/>
      <c r="O60" s="1537"/>
      <c r="P60" s="1537"/>
      <c r="Q60" s="112"/>
      <c r="R60" s="112"/>
      <c r="S60" s="1866"/>
      <c r="T60" s="112"/>
    </row>
    <row r="61" spans="1:20" ht="15" customHeight="1">
      <c r="A61" s="118"/>
      <c r="B61" s="118"/>
      <c r="C61" s="118"/>
      <c r="D61" s="118"/>
      <c r="E61" s="118"/>
      <c r="F61" s="118"/>
      <c r="G61" s="118"/>
      <c r="H61" s="118"/>
      <c r="I61" s="118"/>
      <c r="J61" s="118"/>
      <c r="K61" s="118"/>
      <c r="L61" s="118"/>
      <c r="M61" s="1934"/>
      <c r="N61" s="2157"/>
      <c r="O61" s="1537"/>
      <c r="P61" s="1537"/>
      <c r="Q61" s="112"/>
      <c r="R61" s="112"/>
      <c r="S61" s="1866"/>
      <c r="T61" s="112"/>
    </row>
    <row r="62" spans="1:20" ht="15" customHeight="1">
      <c r="A62" s="2939" t="s">
        <v>175</v>
      </c>
      <c r="B62" s="2939"/>
      <c r="C62" s="1540"/>
      <c r="D62" s="1540"/>
      <c r="E62" s="1540"/>
      <c r="F62" s="1540"/>
      <c r="G62" s="1540"/>
      <c r="H62" s="1540"/>
      <c r="I62" s="1540"/>
      <c r="J62" s="1540"/>
      <c r="K62" s="1540"/>
      <c r="L62" s="1540"/>
      <c r="M62" s="1540"/>
      <c r="N62" s="1540"/>
      <c r="O62" s="1540"/>
      <c r="P62" s="1540"/>
      <c r="Q62" s="1540"/>
      <c r="R62" s="1933"/>
      <c r="S62" s="1866"/>
      <c r="T62" s="112"/>
    </row>
    <row r="63" spans="1:20" ht="15" customHeight="1">
      <c r="A63" s="134"/>
      <c r="B63" s="1870" t="s">
        <v>176</v>
      </c>
      <c r="C63" s="2232" t="s">
        <v>177</v>
      </c>
      <c r="D63" s="2233" t="s">
        <v>178</v>
      </c>
      <c r="E63" s="3020" t="s">
        <v>179</v>
      </c>
      <c r="F63" s="3021"/>
      <c r="G63" s="3022" t="s">
        <v>180</v>
      </c>
      <c r="H63" s="3022"/>
      <c r="I63" s="3022" t="s">
        <v>181</v>
      </c>
      <c r="J63" s="3022"/>
      <c r="K63" s="4169" t="s">
        <v>182</v>
      </c>
      <c r="L63" s="2989"/>
      <c r="M63" s="2989"/>
      <c r="N63" s="2989"/>
      <c r="O63" s="118"/>
      <c r="P63" s="118"/>
      <c r="Q63" s="118"/>
      <c r="R63" s="118"/>
      <c r="S63" s="1866"/>
      <c r="T63" s="112"/>
    </row>
    <row r="64" spans="1:20" ht="15" customHeight="1">
      <c r="A64" s="63"/>
      <c r="B64" s="134"/>
      <c r="C64" s="2234">
        <v>1080</v>
      </c>
      <c r="D64" s="2234">
        <v>1070</v>
      </c>
      <c r="E64" s="2985">
        <v>4.3</v>
      </c>
      <c r="F64" s="2986"/>
      <c r="G64" s="2987">
        <f>I64-E64</f>
        <v>0.61428571428571477</v>
      </c>
      <c r="H64" s="2987"/>
      <c r="I64" s="2988">
        <f>E64*(C64-1000)/(D64-1000)</f>
        <v>4.9142857142857146</v>
      </c>
      <c r="J64" s="2988"/>
      <c r="K64" s="4169"/>
      <c r="L64" s="2989"/>
      <c r="M64" s="2989"/>
      <c r="N64" s="2989"/>
      <c r="O64" s="118"/>
      <c r="P64" s="118"/>
      <c r="Q64" s="118"/>
      <c r="R64" s="118"/>
      <c r="S64" s="118"/>
      <c r="T64" s="112"/>
    </row>
    <row r="65" spans="1:20" ht="15" customHeight="1">
      <c r="A65" s="63"/>
      <c r="B65" s="1866"/>
      <c r="C65" s="2990" t="s">
        <v>183</v>
      </c>
      <c r="D65" s="2990"/>
      <c r="E65" s="2990"/>
      <c r="F65" s="2990"/>
      <c r="G65" s="2990"/>
      <c r="H65" s="2990"/>
      <c r="I65" s="1866"/>
      <c r="J65" s="1866"/>
      <c r="K65" s="1866"/>
      <c r="L65" s="1866"/>
      <c r="M65" s="1866"/>
      <c r="N65" s="1866"/>
      <c r="O65" s="63"/>
      <c r="P65" s="63"/>
      <c r="Q65" s="63"/>
      <c r="R65" s="63"/>
      <c r="S65" s="1870"/>
      <c r="T65" s="112"/>
    </row>
    <row r="66" spans="1:20" ht="15" customHeight="1">
      <c r="A66" s="63"/>
      <c r="B66" s="118"/>
      <c r="C66" s="2991"/>
      <c r="D66" s="2991"/>
      <c r="E66" s="2991"/>
      <c r="F66" s="2991"/>
      <c r="G66" s="2991"/>
      <c r="H66" s="2991"/>
      <c r="I66" s="63"/>
      <c r="J66" s="63"/>
      <c r="K66" s="63"/>
      <c r="L66" s="63"/>
      <c r="M66" s="63"/>
      <c r="N66" s="63"/>
      <c r="O66" s="63"/>
      <c r="P66" s="63"/>
      <c r="Q66" s="63"/>
      <c r="R66" s="63"/>
      <c r="S66" s="1870"/>
      <c r="T66" s="112"/>
    </row>
    <row r="67" spans="1:20" ht="15" customHeight="1">
      <c r="A67" s="1871"/>
      <c r="B67" s="1762" t="s">
        <v>184</v>
      </c>
      <c r="C67" s="1932" t="s">
        <v>177</v>
      </c>
      <c r="D67" s="1673">
        <v>1080</v>
      </c>
      <c r="E67" s="2992" t="s">
        <v>185</v>
      </c>
      <c r="F67" s="2992"/>
      <c r="G67" s="1673">
        <v>4.3</v>
      </c>
      <c r="H67" s="2993" t="str">
        <f>"litres, is eqiuvalent to SG "&amp;FIXED((1+(D67-1000)/1000*G67/K67),4)*1000&amp;" for"</f>
        <v>litres, is eqiuvalent to SG 1036 for</v>
      </c>
      <c r="I67" s="2994"/>
      <c r="J67" s="2995"/>
      <c r="K67" s="1673">
        <v>9.56</v>
      </c>
      <c r="L67" s="2996" t="s">
        <v>186</v>
      </c>
      <c r="M67" s="2997"/>
      <c r="N67" s="70"/>
      <c r="O67" s="112"/>
      <c r="P67" s="112"/>
      <c r="Q67" s="112"/>
      <c r="R67" s="1871"/>
      <c r="S67" s="1870"/>
      <c r="T67" s="112"/>
    </row>
    <row r="68" spans="1:20" ht="15" customHeight="1">
      <c r="A68" s="134"/>
      <c r="B68" s="1762"/>
      <c r="C68" s="1762"/>
      <c r="D68" s="1762"/>
      <c r="E68" s="1762"/>
      <c r="F68" s="1762"/>
      <c r="G68" s="1762"/>
      <c r="H68" s="1762"/>
      <c r="I68" s="1762"/>
      <c r="J68" s="1762"/>
      <c r="K68" s="1762"/>
      <c r="L68" s="1762"/>
      <c r="M68" s="1762"/>
      <c r="N68" s="1762"/>
      <c r="O68" s="1762"/>
      <c r="P68" s="112"/>
      <c r="Q68" s="112"/>
      <c r="R68" s="70"/>
      <c r="S68" s="1870"/>
      <c r="T68" s="112"/>
    </row>
    <row r="69" spans="1:20" ht="15" customHeight="1">
      <c r="A69" s="118"/>
      <c r="B69" s="1762" t="s">
        <v>187</v>
      </c>
      <c r="C69" s="1932" t="s">
        <v>177</v>
      </c>
      <c r="D69" s="2158">
        <v>1080</v>
      </c>
      <c r="E69" s="2998" t="s">
        <v>185</v>
      </c>
      <c r="F69" s="2999"/>
      <c r="G69" s="2159">
        <v>4.3</v>
      </c>
      <c r="H69" s="3000" t="str">
        <f>"litres, is eqiuv. to a vol of  "&amp;FIXED((1000*(D69-1000)/1000*G69/(K69-1000)),2)&amp;" for SG"</f>
        <v>litres, is eqiuv. to a vol of  9.56 for SG</v>
      </c>
      <c r="I69" s="3001"/>
      <c r="J69" s="3002"/>
      <c r="K69" s="2159">
        <v>1036</v>
      </c>
      <c r="L69" s="3003" t="s">
        <v>188</v>
      </c>
      <c r="M69" s="2997"/>
      <c r="N69" s="4170" t="s">
        <v>189</v>
      </c>
      <c r="O69" s="3004"/>
      <c r="P69" s="70"/>
      <c r="Q69" s="112"/>
      <c r="R69" s="112"/>
      <c r="S69" s="1870"/>
      <c r="T69" s="112"/>
    </row>
    <row r="70" spans="1:20" ht="15" customHeight="1">
      <c r="A70" s="1540"/>
      <c r="B70" s="63"/>
      <c r="C70" s="63"/>
      <c r="D70" s="63"/>
      <c r="E70" s="63"/>
      <c r="F70" s="63"/>
      <c r="G70" s="63"/>
      <c r="H70" s="63"/>
      <c r="I70" s="63"/>
      <c r="J70" s="63"/>
      <c r="K70" s="63"/>
      <c r="L70" s="63"/>
      <c r="M70" s="63"/>
      <c r="N70" s="63"/>
      <c r="O70" s="63"/>
      <c r="P70" s="63"/>
      <c r="Q70" s="63"/>
      <c r="R70" s="1540"/>
      <c r="S70" s="1540"/>
      <c r="T70" s="112"/>
    </row>
    <row r="71" spans="1:20" ht="15" customHeight="1">
      <c r="A71" s="886"/>
      <c r="B71" s="67"/>
      <c r="C71" s="63"/>
      <c r="D71" s="63"/>
      <c r="E71" s="63"/>
      <c r="F71" s="63"/>
      <c r="G71" s="63"/>
      <c r="H71" s="63"/>
      <c r="I71" s="63"/>
      <c r="J71" s="63"/>
      <c r="K71" s="63"/>
      <c r="L71" s="63"/>
      <c r="M71" s="63"/>
      <c r="N71" s="63"/>
      <c r="O71" s="63"/>
      <c r="P71" s="63"/>
      <c r="Q71" s="63"/>
      <c r="R71" s="112"/>
      <c r="S71" s="1540"/>
      <c r="T71" s="112"/>
    </row>
    <row r="72" spans="1:20" ht="15" customHeight="1">
      <c r="A72" s="2939" t="s">
        <v>13</v>
      </c>
      <c r="B72" s="2969"/>
      <c r="C72" s="1732" t="s">
        <v>190</v>
      </c>
      <c r="D72" s="2844" t="s">
        <v>191</v>
      </c>
      <c r="E72" s="2845"/>
      <c r="F72" s="2236" t="s">
        <v>192</v>
      </c>
      <c r="G72" s="1553"/>
      <c r="H72" s="1554" t="s">
        <v>146</v>
      </c>
      <c r="I72" s="1732" t="s">
        <v>190</v>
      </c>
      <c r="J72" s="2844" t="s">
        <v>191</v>
      </c>
      <c r="K72" s="4139"/>
      <c r="L72" s="2236" t="s">
        <v>192</v>
      </c>
      <c r="M72" s="4171"/>
      <c r="N72" s="2970" t="s">
        <v>193</v>
      </c>
      <c r="O72" s="4172"/>
      <c r="P72" s="4172"/>
      <c r="Q72" s="4172"/>
      <c r="R72" s="1569"/>
      <c r="S72" s="1540"/>
      <c r="T72" s="112"/>
    </row>
    <row r="73" spans="1:20" ht="15" customHeight="1">
      <c r="A73" s="2960" t="s">
        <v>194</v>
      </c>
      <c r="B73" s="2961"/>
      <c r="C73" s="1734">
        <v>1088</v>
      </c>
      <c r="D73" s="2935">
        <f>(-616.868)+(1111.14*(C73/1000))-(630.272*POWER((C73/1000),2))+(135.997*POWER((C73/1000),3))</f>
        <v>21.123990083584005</v>
      </c>
      <c r="E73" s="2936"/>
      <c r="F73" s="2237">
        <f>145.14-(145140/C73)</f>
        <v>11.739264705882334</v>
      </c>
      <c r="G73" s="4173" t="s">
        <v>195</v>
      </c>
      <c r="H73" s="3009"/>
      <c r="I73" s="4174">
        <v>17</v>
      </c>
      <c r="J73" s="2971">
        <f>(-616.868)+(1111.14*((I73+1000)/1000))-(630.272*POWER(((I73+1000)/1000),2))+(135.997*POWER(((I73+1000)/1000),3))</f>
        <v>4.3294079442609643</v>
      </c>
      <c r="K73" s="2972"/>
      <c r="L73" s="4175">
        <f>145.14-((145140/(I73+1000)))</f>
        <v>2.4261356932153149</v>
      </c>
      <c r="M73" s="4171"/>
      <c r="N73" s="2973" t="s">
        <v>196</v>
      </c>
      <c r="O73" s="4176"/>
      <c r="P73" s="4150"/>
      <c r="Q73" s="2238">
        <v>1088</v>
      </c>
      <c r="R73" s="1553"/>
      <c r="S73" s="1540"/>
      <c r="T73" s="112"/>
    </row>
    <row r="74" spans="1:20" ht="15" customHeight="1">
      <c r="A74" s="112"/>
      <c r="B74" s="112"/>
      <c r="C74" s="1735">
        <f>1000*(1+(D74/(258.6-((D74/258.2)*227.1))))</f>
        <v>1049.2194519053937</v>
      </c>
      <c r="D74" s="2974">
        <v>12.2</v>
      </c>
      <c r="E74" s="2975"/>
      <c r="F74" s="1735">
        <f>145.14-(145140/C74)</f>
        <v>6.8085958915227707</v>
      </c>
      <c r="G74" s="4173"/>
      <c r="H74" s="3009"/>
      <c r="I74" s="1735">
        <f>1000*((J74/(258.6-((J74/258.2)*227.1))))</f>
        <v>20.069709479821693</v>
      </c>
      <c r="J74" s="2974">
        <v>5.0999999999999996</v>
      </c>
      <c r="K74" s="2975"/>
      <c r="L74" s="4177">
        <f>145.14-((145140/(I74+1000)))</f>
        <v>2.8556064422172938</v>
      </c>
      <c r="M74" s="4171"/>
      <c r="N74" s="2976" t="s">
        <v>197</v>
      </c>
      <c r="O74" s="4172"/>
      <c r="P74" s="4156"/>
      <c r="Q74" s="4178">
        <v>21.2</v>
      </c>
      <c r="R74" s="1553"/>
      <c r="S74" s="1540"/>
      <c r="T74" s="112"/>
    </row>
    <row r="75" spans="1:20" ht="15" customHeight="1">
      <c r="A75" s="112"/>
      <c r="B75" s="112"/>
      <c r="C75" s="1735">
        <f>1000*145.14/(145.14-F75)</f>
        <v>1063.7642919964819</v>
      </c>
      <c r="D75" s="2935">
        <f>(-616.868)+(1111.14*(C75/1000))-(630.272*POWER((C75/1000),2))+(135.997*POWER((C75/1000),3))</f>
        <v>15.617106353030067</v>
      </c>
      <c r="E75" s="2936"/>
      <c r="F75" s="1734">
        <v>8.6999999999999993</v>
      </c>
      <c r="G75" s="4173"/>
      <c r="H75" s="3009"/>
      <c r="I75" s="1735">
        <f>1000*(145.14/(145.14-L75)-1)</f>
        <v>63.764291996481816</v>
      </c>
      <c r="J75" s="2971">
        <f>(-616.868)+(1111.14*((I75+1000)/1000))-(630.272*POWER(((I75+1000)/1000),2))+(135.997*POWER(((I75+1000)/1000),3))</f>
        <v>15.617106353030067</v>
      </c>
      <c r="K75" s="2972"/>
      <c r="L75" s="1734">
        <v>8.6999999999999993</v>
      </c>
      <c r="M75" s="4171"/>
      <c r="N75" s="3010" t="s">
        <v>198</v>
      </c>
      <c r="O75" s="4141"/>
      <c r="P75" s="4139"/>
      <c r="Q75" s="2239">
        <f>Q74*Q74/((0.66872*Q73)-463.37-(205.347*((Q73/1000)^2)))</f>
        <v>21.281229215193925</v>
      </c>
      <c r="R75" s="4179"/>
      <c r="S75" s="1871"/>
      <c r="T75" s="112"/>
    </row>
    <row r="76" spans="1:20" ht="15" customHeight="1">
      <c r="A76" s="112"/>
      <c r="B76" s="70"/>
      <c r="C76" s="3008" t="s">
        <v>199</v>
      </c>
      <c r="D76" s="3008"/>
      <c r="E76" s="3008"/>
      <c r="F76" s="3008"/>
      <c r="G76" s="3008"/>
      <c r="H76" s="3008"/>
      <c r="I76" s="3008"/>
      <c r="J76" s="3008"/>
      <c r="K76" s="3008"/>
      <c r="L76" s="3008"/>
      <c r="M76" s="1560"/>
      <c r="N76" s="1553"/>
      <c r="O76" s="1553"/>
      <c r="P76" s="1553"/>
      <c r="Q76" s="1553"/>
      <c r="R76" s="1553"/>
      <c r="S76" s="134"/>
      <c r="T76" s="112"/>
    </row>
    <row r="77" spans="1:20" ht="15" customHeight="1">
      <c r="A77" s="112"/>
      <c r="B77" s="1532"/>
      <c r="C77" s="3008"/>
      <c r="D77" s="3008"/>
      <c r="E77" s="3008"/>
      <c r="F77" s="3008"/>
      <c r="G77" s="3008"/>
      <c r="H77" s="3008"/>
      <c r="I77" s="3008"/>
      <c r="J77" s="3008"/>
      <c r="K77" s="3008"/>
      <c r="L77" s="3008"/>
      <c r="M77" s="1560"/>
      <c r="N77" s="1553"/>
      <c r="O77" s="1553"/>
      <c r="P77" s="1553"/>
      <c r="Q77" s="1553"/>
      <c r="R77" s="1553"/>
      <c r="S77" s="118"/>
      <c r="T77" s="112"/>
    </row>
    <row r="78" spans="1:20" ht="15" customHeight="1">
      <c r="A78" s="112"/>
      <c r="B78" s="1532"/>
      <c r="C78" s="3008"/>
      <c r="D78" s="3008"/>
      <c r="E78" s="3008"/>
      <c r="F78" s="3008"/>
      <c r="G78" s="3008"/>
      <c r="H78" s="3008"/>
      <c r="I78" s="3008"/>
      <c r="J78" s="3008"/>
      <c r="K78" s="3008"/>
      <c r="L78" s="3008"/>
      <c r="M78" s="1560"/>
      <c r="N78" s="1553"/>
      <c r="O78" s="1553"/>
      <c r="P78" s="1553"/>
      <c r="Q78" s="1553"/>
      <c r="R78" s="1553"/>
      <c r="S78" s="1540"/>
      <c r="T78" s="112"/>
    </row>
    <row r="79" spans="1:20" ht="15" customHeight="1">
      <c r="A79" s="112"/>
      <c r="B79" s="1532"/>
      <c r="C79" s="2977" t="s">
        <v>200</v>
      </c>
      <c r="D79" s="2977"/>
      <c r="E79" s="2977"/>
      <c r="F79" s="2977"/>
      <c r="G79" s="2977"/>
      <c r="H79" s="2977"/>
      <c r="I79" s="2977"/>
      <c r="J79" s="2977"/>
      <c r="K79" s="2977"/>
      <c r="L79" s="2977"/>
      <c r="M79" s="1560"/>
      <c r="N79" s="1561"/>
      <c r="O79" s="1560"/>
      <c r="P79" s="1560"/>
      <c r="Q79" s="1560"/>
      <c r="R79" s="1553"/>
      <c r="S79" s="1570"/>
      <c r="T79" s="112"/>
    </row>
    <row r="80" spans="1:20" ht="15" customHeight="1">
      <c r="A80" s="112"/>
      <c r="B80" s="1532"/>
      <c r="C80" s="1532"/>
      <c r="D80" s="1532"/>
      <c r="E80" s="1532"/>
      <c r="F80" s="70"/>
      <c r="G80" s="1532"/>
      <c r="H80" s="1532"/>
      <c r="I80" s="1532"/>
      <c r="J80" s="1532"/>
      <c r="K80" s="1532"/>
      <c r="L80" s="1532"/>
      <c r="M80" s="1532"/>
      <c r="N80" s="1532"/>
      <c r="O80" s="1532"/>
      <c r="P80" s="1532"/>
      <c r="Q80" s="1532"/>
      <c r="R80" s="1553"/>
      <c r="S80" s="548"/>
      <c r="T80" s="112"/>
    </row>
    <row r="81" spans="1:20" ht="15" customHeight="1">
      <c r="A81" s="112"/>
      <c r="B81" s="112"/>
      <c r="C81" s="1544"/>
      <c r="D81" s="1544"/>
      <c r="E81" s="1544"/>
      <c r="F81" s="1532"/>
      <c r="G81" s="1544"/>
      <c r="H81" s="1544"/>
      <c r="I81" s="70"/>
      <c r="J81" s="1544"/>
      <c r="K81" s="1544"/>
      <c r="L81" s="1544"/>
      <c r="M81" s="1560"/>
      <c r="N81" s="1560"/>
      <c r="O81" s="1560"/>
      <c r="P81" s="1560"/>
      <c r="Q81" s="1560"/>
      <c r="R81" s="70"/>
      <c r="S81" s="114"/>
      <c r="T81" s="112"/>
    </row>
    <row r="82" spans="1:20" ht="15" customHeight="1">
      <c r="A82" s="2978" t="s">
        <v>201</v>
      </c>
      <c r="B82" s="2979"/>
      <c r="C82" s="2201" t="s">
        <v>202</v>
      </c>
      <c r="D82" s="2240" t="s">
        <v>203</v>
      </c>
      <c r="E82" s="2201" t="s">
        <v>204</v>
      </c>
      <c r="F82" s="112"/>
      <c r="G82" s="1613" t="s">
        <v>205</v>
      </c>
      <c r="H82" s="2241" t="s">
        <v>202</v>
      </c>
      <c r="I82" s="2242" t="s">
        <v>206</v>
      </c>
      <c r="J82" s="2201" t="s">
        <v>204</v>
      </c>
      <c r="K82" s="112"/>
      <c r="L82" s="2980" t="s">
        <v>207</v>
      </c>
      <c r="M82" s="2980"/>
      <c r="N82" s="2981"/>
      <c r="O82" s="2240" t="s">
        <v>208</v>
      </c>
      <c r="P82" s="2243" t="s">
        <v>209</v>
      </c>
      <c r="Q82" s="2242" t="s">
        <v>210</v>
      </c>
      <c r="R82" s="1553"/>
      <c r="S82" s="114"/>
      <c r="T82" s="112"/>
    </row>
    <row r="83" spans="1:20" ht="15" customHeight="1">
      <c r="A83" s="112"/>
      <c r="B83" s="112"/>
      <c r="C83" s="2244">
        <f>D83*4/7</f>
        <v>40</v>
      </c>
      <c r="D83" s="4134">
        <v>70</v>
      </c>
      <c r="E83" s="2244">
        <f>100*G213/H213</f>
        <v>34.480649951952479</v>
      </c>
      <c r="F83" s="112"/>
      <c r="G83" s="1544"/>
      <c r="H83" s="2244">
        <f>I83/2</f>
        <v>40</v>
      </c>
      <c r="I83" s="4134">
        <v>80</v>
      </c>
      <c r="J83" s="4180">
        <f>100*G214/H214</f>
        <v>34.480649951952479</v>
      </c>
      <c r="K83" s="112"/>
      <c r="L83" s="112"/>
      <c r="M83" s="112"/>
      <c r="N83" s="112"/>
      <c r="O83" s="2244">
        <f>P83*7/8</f>
        <v>82.25</v>
      </c>
      <c r="P83" s="2245">
        <v>94</v>
      </c>
      <c r="Q83" s="1735">
        <f>P83*8/7</f>
        <v>107.42857142857143</v>
      </c>
      <c r="R83" s="114"/>
      <c r="S83" s="114"/>
      <c r="T83" s="112"/>
    </row>
    <row r="84" spans="1:20" ht="15" customHeight="1">
      <c r="A84" s="112"/>
      <c r="B84" s="112"/>
      <c r="C84" s="114"/>
      <c r="D84" s="114"/>
      <c r="E84" s="114"/>
      <c r="F84" s="114"/>
      <c r="G84" s="112"/>
      <c r="H84" s="858"/>
      <c r="I84" s="858"/>
      <c r="J84" s="858"/>
      <c r="K84" s="112"/>
      <c r="L84" s="112"/>
      <c r="M84" s="112"/>
      <c r="N84" s="63"/>
      <c r="O84" s="63"/>
      <c r="P84" s="63"/>
      <c r="Q84" s="63"/>
      <c r="R84" s="63"/>
      <c r="S84" s="63"/>
      <c r="T84" s="112"/>
    </row>
    <row r="85" spans="1:20" ht="15" customHeight="1">
      <c r="A85" s="112"/>
      <c r="B85" s="2141" t="s">
        <v>211</v>
      </c>
      <c r="C85" s="2201" t="s">
        <v>202</v>
      </c>
      <c r="D85" s="2201" t="s">
        <v>204</v>
      </c>
      <c r="E85" s="2240" t="s">
        <v>203</v>
      </c>
      <c r="F85" s="2242" t="s">
        <v>212</v>
      </c>
      <c r="G85" s="4181" t="s">
        <v>213</v>
      </c>
      <c r="H85" s="2982"/>
      <c r="I85" s="2983"/>
      <c r="J85" s="4132" t="s">
        <v>204</v>
      </c>
      <c r="K85" s="4132" t="s">
        <v>202</v>
      </c>
      <c r="L85" s="2240" t="s">
        <v>203</v>
      </c>
      <c r="M85" s="2242" t="s">
        <v>212</v>
      </c>
      <c r="N85" s="70"/>
      <c r="O85" s="3007" t="s">
        <v>214</v>
      </c>
      <c r="P85" s="3007"/>
      <c r="Q85" s="3007"/>
      <c r="R85" s="1411"/>
      <c r="S85" s="1536"/>
      <c r="T85" s="112"/>
    </row>
    <row r="86" spans="1:20" ht="15" customHeight="1">
      <c r="A86" s="112"/>
      <c r="B86" s="112"/>
      <c r="C86" s="2245">
        <v>42</v>
      </c>
      <c r="D86" s="2244">
        <f>100*G215/H215</f>
        <v>36.37197382913461</v>
      </c>
      <c r="E86" s="2246">
        <f>C86*7/4</f>
        <v>73.5</v>
      </c>
      <c r="F86" s="2244">
        <f>E86*8/7</f>
        <v>84</v>
      </c>
      <c r="G86" s="1555"/>
      <c r="H86" s="1555"/>
      <c r="I86" s="1555"/>
      <c r="J86" s="1730">
        <v>5.6</v>
      </c>
      <c r="K86" s="2220">
        <f>J86/(I216+0.00000001)</f>
        <v>7.0103316197181629</v>
      </c>
      <c r="L86" s="2246">
        <f>K86*7/4</f>
        <v>12.268080334506784</v>
      </c>
      <c r="M86" s="2244">
        <f>L86*8/7</f>
        <v>14.020663239436326</v>
      </c>
      <c r="N86" s="4182"/>
      <c r="O86" s="3007"/>
      <c r="P86" s="3007"/>
      <c r="Q86" s="3007"/>
      <c r="R86" s="1411"/>
      <c r="S86" s="63"/>
      <c r="T86" s="112"/>
    </row>
    <row r="87" spans="1:20" ht="15" customHeight="1">
      <c r="A87" s="1556"/>
      <c r="B87" s="1556"/>
      <c r="C87" s="1556"/>
      <c r="D87" s="1556"/>
      <c r="E87" s="1556"/>
      <c r="F87" s="1556"/>
      <c r="G87" s="1556"/>
      <c r="H87" s="1556"/>
      <c r="I87" s="1556"/>
      <c r="J87" s="1556"/>
      <c r="K87" s="1556"/>
      <c r="L87" s="1556"/>
      <c r="M87" s="1556"/>
      <c r="N87" s="63"/>
      <c r="O87" s="63"/>
      <c r="P87" s="63"/>
      <c r="Q87" s="63"/>
      <c r="R87" s="63"/>
      <c r="S87" s="63"/>
      <c r="T87" s="112"/>
    </row>
    <row r="88" spans="1:20" ht="15" customHeight="1">
      <c r="A88" s="63"/>
      <c r="B88" s="70"/>
      <c r="C88" s="2923" t="s">
        <v>215</v>
      </c>
      <c r="D88" s="2923"/>
      <c r="E88" s="2923"/>
      <c r="F88" s="2923"/>
      <c r="G88" s="2923"/>
      <c r="H88" s="2923"/>
      <c r="I88" s="2923"/>
      <c r="J88" s="2923"/>
      <c r="K88" s="2923"/>
      <c r="L88" s="2923"/>
      <c r="M88" s="2923"/>
      <c r="N88" s="2923"/>
      <c r="O88" s="2923"/>
      <c r="P88" s="2923"/>
      <c r="Q88" s="2923"/>
      <c r="R88" s="2923"/>
      <c r="S88" s="114"/>
      <c r="T88" s="112"/>
    </row>
    <row r="89" spans="1:20" ht="15" customHeight="1">
      <c r="A89" s="63"/>
      <c r="B89" s="63"/>
      <c r="C89" s="63"/>
      <c r="D89" s="63"/>
      <c r="E89" s="63"/>
      <c r="F89" s="63"/>
      <c r="G89" s="63"/>
      <c r="H89" s="63"/>
      <c r="I89" s="63"/>
      <c r="J89" s="63"/>
      <c r="K89" s="63"/>
      <c r="L89" s="63"/>
      <c r="M89" s="63"/>
      <c r="N89" s="63"/>
      <c r="O89" s="63"/>
      <c r="P89" s="63"/>
      <c r="Q89" s="63"/>
      <c r="R89" s="63"/>
      <c r="S89" s="63"/>
      <c r="T89" s="112"/>
    </row>
    <row r="90" spans="1:20" ht="15" customHeight="1">
      <c r="A90" s="2139"/>
      <c r="B90" s="2139"/>
      <c r="C90" s="622"/>
      <c r="D90" s="622"/>
      <c r="E90" s="622"/>
      <c r="F90" s="622"/>
      <c r="G90" s="622"/>
      <c r="H90" s="622"/>
      <c r="I90" s="622"/>
      <c r="J90" s="1049"/>
      <c r="K90" s="1049"/>
      <c r="L90" s="1049"/>
      <c r="M90" s="1049"/>
      <c r="N90" s="1049"/>
      <c r="O90" s="1049"/>
      <c r="P90" s="1049"/>
      <c r="Q90" s="63"/>
      <c r="R90" s="63"/>
      <c r="S90" s="63"/>
      <c r="T90" s="112"/>
    </row>
    <row r="91" spans="1:20" ht="15" customHeight="1">
      <c r="A91" s="4183" t="s">
        <v>216</v>
      </c>
      <c r="B91" s="4183"/>
      <c r="C91" s="2984" t="s">
        <v>217</v>
      </c>
      <c r="D91" s="2846" t="s">
        <v>218</v>
      </c>
      <c r="E91" s="2847"/>
      <c r="F91" s="2841" t="s">
        <v>219</v>
      </c>
      <c r="G91" s="4184" t="s">
        <v>220</v>
      </c>
      <c r="H91" s="3011"/>
      <c r="I91" s="2195" t="s">
        <v>219</v>
      </c>
      <c r="J91" s="1730">
        <v>44</v>
      </c>
      <c r="K91" s="3005" t="s">
        <v>221</v>
      </c>
      <c r="L91" s="3006"/>
      <c r="M91" s="1730">
        <v>76</v>
      </c>
      <c r="N91" s="1049"/>
      <c r="O91" s="1049"/>
      <c r="P91" s="1049"/>
      <c r="Q91" s="63"/>
      <c r="R91" s="63"/>
      <c r="S91" s="63"/>
      <c r="T91" s="112"/>
    </row>
    <row r="92" spans="1:20" ht="15" customHeight="1">
      <c r="A92" s="63"/>
      <c r="B92" s="63"/>
      <c r="C92" s="4185"/>
      <c r="D92" s="2848"/>
      <c r="E92" s="2849"/>
      <c r="F92" s="4186"/>
      <c r="G92" s="67"/>
      <c r="H92" s="67"/>
      <c r="I92" s="2195" t="s">
        <v>222</v>
      </c>
      <c r="J92" s="1730">
        <v>23</v>
      </c>
      <c r="K92" s="3005" t="s">
        <v>223</v>
      </c>
      <c r="L92" s="3006"/>
      <c r="M92" s="2247">
        <f>J91*J92/(0.003*M91)</f>
        <v>4438.5964912280697</v>
      </c>
      <c r="N92" s="1049"/>
      <c r="O92" s="1049"/>
      <c r="P92" s="1049"/>
      <c r="Q92" s="63"/>
      <c r="R92" s="63"/>
      <c r="S92" s="63"/>
      <c r="T92" s="112"/>
    </row>
    <row r="93" spans="1:20" ht="15" customHeight="1">
      <c r="A93" s="63"/>
      <c r="B93" s="63"/>
      <c r="C93" s="2059">
        <v>20</v>
      </c>
      <c r="D93" s="2966">
        <v>76</v>
      </c>
      <c r="E93" s="2967"/>
      <c r="F93" s="1884">
        <f>C93/(1-D93/100)</f>
        <v>83.333333333333343</v>
      </c>
      <c r="G93" s="67"/>
      <c r="H93" s="67"/>
      <c r="I93" s="67"/>
      <c r="J93" s="67"/>
      <c r="K93" s="1562"/>
      <c r="L93" s="1562"/>
      <c r="M93" s="63"/>
      <c r="N93" s="63"/>
      <c r="O93" s="63"/>
      <c r="P93" s="63"/>
      <c r="Q93" s="63"/>
      <c r="R93" s="63"/>
      <c r="S93" s="63"/>
      <c r="T93" s="112"/>
    </row>
    <row r="94" spans="1:20" ht="15" customHeight="1">
      <c r="A94" s="63"/>
      <c r="B94" s="63"/>
      <c r="C94" s="134"/>
      <c r="D94" s="2839" t="s">
        <v>224</v>
      </c>
      <c r="E94" s="2839"/>
      <c r="F94" s="2839"/>
      <c r="G94" s="67"/>
      <c r="H94" s="67"/>
      <c r="I94" s="67"/>
      <c r="J94" s="67"/>
      <c r="K94" s="63"/>
      <c r="L94" s="63"/>
      <c r="M94" s="63"/>
      <c r="N94" s="63"/>
      <c r="O94" s="63"/>
      <c r="P94" s="63"/>
      <c r="Q94" s="63"/>
      <c r="R94" s="71"/>
      <c r="S94" s="63"/>
      <c r="T94" s="112"/>
    </row>
    <row r="95" spans="1:20" ht="15" customHeight="1">
      <c r="A95" s="63"/>
      <c r="B95" s="63"/>
      <c r="C95" s="63"/>
      <c r="D95" s="2839"/>
      <c r="E95" s="2839"/>
      <c r="F95" s="2839"/>
      <c r="G95" s="67"/>
      <c r="H95" s="67"/>
      <c r="I95" s="67"/>
      <c r="J95" s="67"/>
      <c r="K95" s="63"/>
      <c r="L95" s="63"/>
      <c r="M95" s="63"/>
      <c r="N95" s="63"/>
      <c r="O95" s="63"/>
      <c r="P95" s="63"/>
      <c r="Q95" s="63"/>
      <c r="R95" s="71"/>
      <c r="S95" s="63"/>
      <c r="T95" s="112"/>
    </row>
    <row r="96" spans="1:20" ht="15" customHeight="1">
      <c r="A96" s="63"/>
      <c r="B96" s="63"/>
      <c r="C96" s="2841" t="s">
        <v>219</v>
      </c>
      <c r="D96" s="2846" t="s">
        <v>218</v>
      </c>
      <c r="E96" s="2847"/>
      <c r="F96" s="2842" t="s">
        <v>217</v>
      </c>
      <c r="G96" s="67"/>
      <c r="H96" s="67"/>
      <c r="I96" s="1869" t="s">
        <v>225</v>
      </c>
      <c r="J96" s="1869"/>
      <c r="K96" s="71"/>
      <c r="L96" s="71"/>
      <c r="M96" s="71"/>
      <c r="N96" s="71"/>
      <c r="O96" s="63"/>
      <c r="P96" s="63"/>
      <c r="Q96" s="63"/>
      <c r="R96" s="63"/>
      <c r="S96" s="63"/>
      <c r="T96" s="112"/>
    </row>
    <row r="97" spans="1:20" ht="15" customHeight="1">
      <c r="A97" s="63"/>
      <c r="B97" s="63"/>
      <c r="C97" s="4186"/>
      <c r="D97" s="2848"/>
      <c r="E97" s="2849"/>
      <c r="F97" s="4187"/>
      <c r="G97" s="67"/>
      <c r="H97" s="67"/>
      <c r="I97" s="1732" t="s">
        <v>219</v>
      </c>
      <c r="J97" s="1732" t="s">
        <v>217</v>
      </c>
      <c r="K97" s="2881" t="s">
        <v>226</v>
      </c>
      <c r="L97" s="2882"/>
      <c r="M97" s="2844" t="s">
        <v>227</v>
      </c>
      <c r="N97" s="2845"/>
      <c r="O97" s="63"/>
      <c r="P97" s="63"/>
      <c r="Q97" s="63"/>
      <c r="R97" s="63"/>
      <c r="S97" s="63"/>
      <c r="T97" s="112"/>
    </row>
    <row r="98" spans="1:20" ht="15" customHeight="1">
      <c r="A98" s="63"/>
      <c r="B98" s="63"/>
      <c r="C98" s="2059">
        <v>10</v>
      </c>
      <c r="D98" s="2966">
        <v>76</v>
      </c>
      <c r="E98" s="2967"/>
      <c r="F98" s="1884">
        <f>C98*(1-D98/100)</f>
        <v>2.4</v>
      </c>
      <c r="G98" s="67"/>
      <c r="H98" s="67"/>
      <c r="I98" s="2248">
        <v>44</v>
      </c>
      <c r="J98" s="2248">
        <v>11</v>
      </c>
      <c r="K98" s="2884">
        <f>(1-(J98/I98))</f>
        <v>0.75</v>
      </c>
      <c r="L98" s="2885"/>
      <c r="M98" s="2884">
        <f>(1-(((0.1808*I98)+(0.8192*J98))/I98))</f>
        <v>0.61440000000000006</v>
      </c>
      <c r="N98" s="2885"/>
      <c r="O98" s="63"/>
      <c r="P98" s="63"/>
      <c r="Q98" s="63"/>
      <c r="R98" s="1563"/>
      <c r="S98" s="63"/>
      <c r="T98" s="112"/>
    </row>
    <row r="99" spans="1:20" ht="15" customHeight="1">
      <c r="A99" s="67"/>
      <c r="B99" s="67"/>
      <c r="C99" s="2968" t="s">
        <v>228</v>
      </c>
      <c r="D99" s="2968"/>
      <c r="E99" s="2968"/>
      <c r="F99" s="2968"/>
      <c r="G99" s="2968"/>
      <c r="H99" s="2968"/>
      <c r="I99" s="1956" t="s">
        <v>229</v>
      </c>
      <c r="J99" s="1956"/>
      <c r="K99" s="63"/>
      <c r="L99" s="67"/>
      <c r="M99" s="63"/>
      <c r="N99" s="67"/>
      <c r="O99" s="63"/>
      <c r="P99" s="63"/>
      <c r="Q99" s="63"/>
      <c r="R99" s="67"/>
      <c r="S99" s="63"/>
      <c r="T99" s="112"/>
    </row>
    <row r="100" spans="1:20" ht="15" customHeight="1">
      <c r="A100" s="63"/>
      <c r="B100" s="67"/>
      <c r="C100" s="3075" t="s">
        <v>230</v>
      </c>
      <c r="D100" s="3075"/>
      <c r="E100" s="3075"/>
      <c r="F100" s="3075"/>
      <c r="G100" s="3075"/>
      <c r="H100" s="3075"/>
      <c r="I100" s="67"/>
      <c r="J100" s="67"/>
      <c r="K100" s="67"/>
      <c r="L100" s="67"/>
      <c r="M100" s="67"/>
      <c r="N100" s="67"/>
      <c r="O100" s="63"/>
      <c r="P100" s="63"/>
      <c r="Q100" s="67"/>
      <c r="R100" s="67"/>
      <c r="S100" s="63"/>
      <c r="T100" s="112"/>
    </row>
    <row r="101" spans="1:20" ht="15" customHeight="1">
      <c r="A101" s="63"/>
      <c r="B101" s="67"/>
      <c r="C101" s="67"/>
      <c r="D101" s="67"/>
      <c r="E101" s="67"/>
      <c r="F101" s="67"/>
      <c r="G101" s="67"/>
      <c r="H101" s="67"/>
      <c r="I101" s="67"/>
      <c r="J101" s="67"/>
      <c r="K101" s="67"/>
      <c r="L101" s="67"/>
      <c r="M101" s="67"/>
      <c r="N101" s="67"/>
      <c r="O101" s="67"/>
      <c r="P101" s="67"/>
      <c r="Q101" s="67"/>
      <c r="R101" s="63"/>
      <c r="S101" s="63"/>
      <c r="T101" s="112"/>
    </row>
    <row r="102" spans="1:20" ht="15" customHeight="1">
      <c r="A102" s="4188" t="s">
        <v>231</v>
      </c>
      <c r="B102" s="4188"/>
      <c r="C102" s="73"/>
      <c r="D102" s="70"/>
      <c r="E102" s="73"/>
      <c r="F102" s="63"/>
      <c r="G102" s="63"/>
      <c r="H102" s="63"/>
      <c r="I102" s="63"/>
      <c r="J102" s="63"/>
      <c r="K102" s="2939" t="s">
        <v>232</v>
      </c>
      <c r="L102" s="2939"/>
      <c r="M102" s="2939"/>
      <c r="N102" s="2939"/>
      <c r="O102" s="2939"/>
      <c r="P102" s="2939"/>
      <c r="Q102" s="63"/>
      <c r="R102" s="63"/>
      <c r="S102" s="63"/>
      <c r="T102" s="112"/>
    </row>
    <row r="103" spans="1:20" ht="15" customHeight="1">
      <c r="A103" s="112"/>
      <c r="B103" s="3077" t="s">
        <v>233</v>
      </c>
      <c r="C103" s="3077"/>
      <c r="D103" s="3077"/>
      <c r="E103" s="3077"/>
      <c r="F103" s="3077"/>
      <c r="G103" s="3077"/>
      <c r="H103" s="3077"/>
      <c r="I103" s="1564"/>
      <c r="J103" s="112"/>
      <c r="K103" s="2249" t="s">
        <v>234</v>
      </c>
      <c r="L103" s="2250"/>
      <c r="M103" s="2251">
        <v>5</v>
      </c>
      <c r="N103" s="2252">
        <v>5.3</v>
      </c>
      <c r="O103" s="2253" t="s">
        <v>235</v>
      </c>
      <c r="P103" s="2254"/>
      <c r="Q103" s="112"/>
      <c r="R103" s="112"/>
      <c r="S103" s="112"/>
      <c r="T103" s="112"/>
    </row>
    <row r="104" spans="1:20" ht="15" customHeight="1">
      <c r="A104" s="112"/>
      <c r="B104" s="2255" t="s">
        <v>236</v>
      </c>
      <c r="C104" s="1734">
        <v>12.3</v>
      </c>
      <c r="D104" s="3068" t="s">
        <v>237</v>
      </c>
      <c r="E104" s="3056"/>
      <c r="F104" s="3056"/>
      <c r="G104" s="3056"/>
      <c r="H104" s="3057"/>
      <c r="I104" s="4189"/>
      <c r="J104" s="112"/>
      <c r="K104" s="2249" t="s">
        <v>238</v>
      </c>
      <c r="L104" s="2250"/>
      <c r="M104" s="2257">
        <v>34</v>
      </c>
      <c r="N104" s="2258">
        <f>(M104*M103)/N103</f>
        <v>32.075471698113212</v>
      </c>
      <c r="O104" s="2253" t="s">
        <v>239</v>
      </c>
      <c r="P104" s="2254"/>
      <c r="Q104" s="112"/>
      <c r="R104" s="112"/>
      <c r="S104" s="112"/>
      <c r="T104" s="112"/>
    </row>
    <row r="105" spans="1:20" ht="15" customHeight="1">
      <c r="A105" s="112"/>
      <c r="B105" s="2255" t="s">
        <v>240</v>
      </c>
      <c r="C105" s="1734">
        <v>375</v>
      </c>
      <c r="D105" s="3068" t="s">
        <v>241</v>
      </c>
      <c r="E105" s="3056"/>
      <c r="F105" s="3057"/>
      <c r="G105" s="1734">
        <v>80</v>
      </c>
      <c r="H105" s="2259" t="s">
        <v>242</v>
      </c>
      <c r="I105" s="4189"/>
      <c r="J105" s="112"/>
      <c r="K105" s="114"/>
      <c r="L105" s="114"/>
      <c r="M105" s="114"/>
      <c r="N105" s="114"/>
      <c r="O105" s="114"/>
      <c r="P105" s="114"/>
      <c r="Q105" s="112"/>
      <c r="R105" s="112"/>
      <c r="S105" s="114"/>
      <c r="T105" s="112"/>
    </row>
    <row r="106" spans="1:20" ht="15" customHeight="1">
      <c r="A106" s="112"/>
      <c r="B106" s="2255" t="s">
        <v>243</v>
      </c>
      <c r="C106" s="1734">
        <v>10</v>
      </c>
      <c r="D106" s="3069" t="s">
        <v>244</v>
      </c>
      <c r="E106" s="3070"/>
      <c r="F106" s="3070"/>
      <c r="G106" s="3070"/>
      <c r="H106" s="3071"/>
      <c r="I106" s="4189"/>
      <c r="J106" s="112"/>
      <c r="K106" s="4183" t="s">
        <v>245</v>
      </c>
      <c r="L106" s="4183"/>
      <c r="M106" s="4183"/>
      <c r="N106" s="4183"/>
      <c r="O106" s="4183"/>
      <c r="P106" s="4183"/>
      <c r="Q106" s="114"/>
      <c r="R106" s="114"/>
      <c r="S106" s="114"/>
      <c r="T106" s="112"/>
    </row>
    <row r="107" spans="1:20" ht="15" customHeight="1">
      <c r="A107" s="112"/>
      <c r="B107" s="2260" t="s">
        <v>246</v>
      </c>
      <c r="C107" s="2201" t="str">
        <f>FIXED((C125/(1-(C106/100)))+C104,1)</f>
        <v>92.9</v>
      </c>
      <c r="D107" s="3072" t="s">
        <v>247</v>
      </c>
      <c r="E107" s="3073"/>
      <c r="F107" s="3073"/>
      <c r="G107" s="3073"/>
      <c r="H107" s="3074"/>
      <c r="I107" s="4189"/>
      <c r="J107" s="112"/>
      <c r="K107" s="2959" t="s">
        <v>248</v>
      </c>
      <c r="L107" s="4139"/>
      <c r="M107" s="1730">
        <v>30</v>
      </c>
      <c r="N107" s="2959" t="s">
        <v>249</v>
      </c>
      <c r="O107" s="4139"/>
      <c r="P107" s="1730">
        <v>5.3</v>
      </c>
      <c r="Q107" s="114"/>
      <c r="R107" s="114"/>
      <c r="S107" s="114"/>
      <c r="T107" s="112"/>
    </row>
    <row r="108" spans="1:20" ht="15" customHeight="1">
      <c r="A108" s="112"/>
      <c r="B108" s="2262" t="s">
        <v>250</v>
      </c>
      <c r="C108" s="2263">
        <f>(C125/(1-(C106/100)))</f>
        <v>80.59999999999998</v>
      </c>
      <c r="D108" s="3068" t="s">
        <v>82</v>
      </c>
      <c r="E108" s="3056"/>
      <c r="F108" s="3056"/>
      <c r="G108" s="3056"/>
      <c r="H108" s="3057"/>
      <c r="I108" s="4189"/>
      <c r="J108" s="112"/>
      <c r="K108" s="3076" t="s">
        <v>222</v>
      </c>
      <c r="L108" s="4139"/>
      <c r="M108" s="1730">
        <v>23</v>
      </c>
      <c r="N108" s="2959" t="s">
        <v>251</v>
      </c>
      <c r="O108" s="4139"/>
      <c r="P108" s="1730">
        <v>20</v>
      </c>
      <c r="Q108" s="114"/>
      <c r="R108" s="114"/>
      <c r="S108" s="114"/>
      <c r="T108" s="112"/>
    </row>
    <row r="109" spans="1:20" ht="15" customHeight="1">
      <c r="A109" s="112"/>
      <c r="B109" s="112"/>
      <c r="C109" s="114"/>
      <c r="D109" s="114"/>
      <c r="E109" s="114"/>
      <c r="F109" s="114"/>
      <c r="G109" s="114"/>
      <c r="H109" s="114"/>
      <c r="I109" s="114"/>
      <c r="J109" s="112"/>
      <c r="K109" s="2959" t="s">
        <v>252</v>
      </c>
      <c r="L109" s="4139"/>
      <c r="M109" s="2247">
        <f>10*M108*M107/(P107*P108)</f>
        <v>65.094339622641513</v>
      </c>
      <c r="N109" s="3078" t="s">
        <v>253</v>
      </c>
      <c r="O109" s="3079"/>
      <c r="P109" s="3080"/>
      <c r="Q109" s="114"/>
      <c r="R109" s="114"/>
      <c r="S109" s="114"/>
      <c r="T109" s="112"/>
    </row>
    <row r="110" spans="1:20" ht="15" customHeight="1">
      <c r="A110" s="112"/>
      <c r="B110" s="112"/>
      <c r="C110" s="114"/>
      <c r="D110" s="114"/>
      <c r="E110" s="114"/>
      <c r="F110" s="114"/>
      <c r="G110" s="114"/>
      <c r="H110" s="114"/>
      <c r="I110" s="114"/>
      <c r="J110" s="112"/>
      <c r="K110" s="112"/>
      <c r="L110" s="112"/>
      <c r="M110" s="112"/>
      <c r="N110" s="112"/>
      <c r="O110" s="112"/>
      <c r="P110" s="112"/>
      <c r="Q110" s="114"/>
      <c r="R110" s="114"/>
      <c r="S110" s="114"/>
      <c r="T110" s="112"/>
    </row>
    <row r="111" spans="1:20" ht="15" customHeight="1">
      <c r="A111" s="112"/>
      <c r="B111" s="885" t="s">
        <v>254</v>
      </c>
      <c r="C111" s="114"/>
      <c r="D111" s="114"/>
      <c r="E111" s="114"/>
      <c r="F111" s="114"/>
      <c r="G111" s="114"/>
      <c r="H111" s="114"/>
      <c r="I111" s="114"/>
      <c r="J111" s="114"/>
      <c r="K111" s="2143"/>
      <c r="L111" s="2143"/>
      <c r="M111" s="1565"/>
      <c r="N111" s="1566"/>
      <c r="O111" s="1567"/>
      <c r="P111" s="1567"/>
      <c r="Q111" s="114"/>
      <c r="R111" s="114"/>
      <c r="S111" s="114"/>
      <c r="T111" s="112"/>
    </row>
    <row r="112" spans="1:20" ht="15" customHeight="1">
      <c r="A112" s="112"/>
      <c r="B112" s="2140"/>
      <c r="C112" s="2264">
        <v>1</v>
      </c>
      <c r="D112" s="3081" t="s">
        <v>255</v>
      </c>
      <c r="E112" s="3082"/>
      <c r="F112" s="2264">
        <v>1</v>
      </c>
      <c r="G112" s="3081" t="s">
        <v>256</v>
      </c>
      <c r="H112" s="3082"/>
      <c r="I112" s="2264">
        <v>69</v>
      </c>
      <c r="J112" s="2265" t="s">
        <v>257</v>
      </c>
      <c r="K112" s="4190" t="s">
        <v>258</v>
      </c>
      <c r="L112" s="4191"/>
      <c r="M112" s="4191"/>
      <c r="N112" s="4191"/>
      <c r="O112" s="4191"/>
      <c r="P112" s="4191"/>
      <c r="Q112" s="1446"/>
      <c r="R112" s="1446"/>
      <c r="S112" s="1571"/>
      <c r="T112" s="112"/>
    </row>
    <row r="113" spans="1:20" ht="15" customHeight="1">
      <c r="A113" s="112"/>
      <c r="B113" s="885" t="s">
        <v>146</v>
      </c>
      <c r="C113" s="114"/>
      <c r="D113" s="114"/>
      <c r="E113" s="114"/>
      <c r="F113" s="114"/>
      <c r="G113" s="114"/>
      <c r="H113" s="114"/>
      <c r="I113" s="114"/>
      <c r="J113" s="114"/>
      <c r="K113" s="70"/>
      <c r="L113" s="73"/>
      <c r="M113" s="63"/>
      <c r="N113" s="112"/>
      <c r="O113" s="112"/>
      <c r="P113" s="112"/>
      <c r="Q113" s="114"/>
      <c r="R113" s="114"/>
      <c r="S113" s="114"/>
      <c r="T113" s="112"/>
    </row>
    <row r="114" spans="1:20" ht="15" customHeight="1">
      <c r="A114" s="112"/>
      <c r="B114" s="112"/>
      <c r="C114" s="2264">
        <v>1</v>
      </c>
      <c r="D114" s="3081" t="s">
        <v>255</v>
      </c>
      <c r="E114" s="3082"/>
      <c r="F114" s="2264">
        <v>23</v>
      </c>
      <c r="G114" s="3081" t="s">
        <v>256</v>
      </c>
      <c r="H114" s="3082"/>
      <c r="I114" s="2266">
        <f>C114/F114*I112</f>
        <v>3</v>
      </c>
      <c r="J114" s="2265" t="s">
        <v>257</v>
      </c>
      <c r="K114" s="114"/>
      <c r="L114" s="114"/>
      <c r="M114" s="112"/>
      <c r="N114" s="112"/>
      <c r="O114" s="112"/>
      <c r="P114" s="112"/>
      <c r="Q114" s="114"/>
      <c r="R114" s="114"/>
      <c r="S114" s="114"/>
      <c r="T114" s="112"/>
    </row>
    <row r="115" spans="1:20" s="134" customFormat="1" ht="15" customHeight="1">
      <c r="A115" s="112"/>
      <c r="B115" s="885" t="s">
        <v>146</v>
      </c>
      <c r="C115" s="112"/>
      <c r="D115" s="112"/>
      <c r="E115" s="112"/>
      <c r="F115" s="112"/>
      <c r="G115" s="112"/>
      <c r="H115" s="112"/>
      <c r="I115" s="112"/>
      <c r="J115" s="112"/>
      <c r="K115" s="112"/>
      <c r="L115" s="114"/>
      <c r="M115" s="112"/>
      <c r="N115" s="112"/>
      <c r="O115" s="112"/>
      <c r="P115" s="112"/>
      <c r="Q115" s="114"/>
      <c r="R115" s="114"/>
      <c r="S115" s="114"/>
      <c r="T115" s="112"/>
    </row>
    <row r="116" spans="1:20" s="134" customFormat="1" ht="15" customHeight="1">
      <c r="A116" s="112"/>
      <c r="B116" s="112"/>
      <c r="C116" s="2264">
        <v>1</v>
      </c>
      <c r="D116" s="2915" t="s">
        <v>259</v>
      </c>
      <c r="E116" s="2930"/>
      <c r="F116" s="2264">
        <v>23</v>
      </c>
      <c r="G116" s="3081" t="s">
        <v>256</v>
      </c>
      <c r="H116" s="3082"/>
      <c r="I116" s="2266">
        <f>5*C116/F116*I112</f>
        <v>15</v>
      </c>
      <c r="J116" s="2265" t="s">
        <v>257</v>
      </c>
      <c r="K116" s="73"/>
      <c r="L116" s="114"/>
      <c r="M116" s="114"/>
      <c r="N116" s="114"/>
      <c r="O116" s="114"/>
      <c r="P116" s="114"/>
      <c r="Q116" s="114"/>
      <c r="R116" s="114"/>
      <c r="S116" s="114"/>
      <c r="T116" s="112"/>
    </row>
    <row r="117" spans="1:20" s="134" customFormat="1" ht="15" customHeight="1">
      <c r="A117" s="112"/>
      <c r="B117" s="112"/>
      <c r="C117" s="112"/>
      <c r="D117" s="112"/>
      <c r="E117" s="112"/>
      <c r="F117" s="112"/>
      <c r="G117" s="112"/>
      <c r="H117" s="112"/>
      <c r="I117" s="112"/>
      <c r="J117" s="112"/>
      <c r="K117" s="112"/>
      <c r="L117" s="112"/>
      <c r="M117" s="114"/>
      <c r="N117" s="114"/>
      <c r="O117" s="114"/>
      <c r="P117" s="114"/>
      <c r="Q117" s="114"/>
      <c r="R117" s="114"/>
      <c r="S117" s="114"/>
      <c r="T117" s="112"/>
    </row>
    <row r="118" spans="1:20" s="134" customFormat="1" ht="15" customHeight="1">
      <c r="A118" s="3083" t="s">
        <v>22</v>
      </c>
      <c r="B118" s="3083"/>
      <c r="C118" s="1446"/>
      <c r="D118" s="1446"/>
      <c r="E118" s="1446"/>
      <c r="F118" s="114"/>
      <c r="G118" s="114"/>
      <c r="H118" s="114"/>
      <c r="I118" s="1532"/>
      <c r="J118" s="112"/>
      <c r="K118" s="112"/>
      <c r="L118" s="112"/>
      <c r="M118" s="112"/>
      <c r="N118" s="112"/>
      <c r="O118" s="112"/>
      <c r="P118" s="112"/>
      <c r="Q118" s="63"/>
      <c r="R118" s="63"/>
      <c r="S118" s="114"/>
      <c r="T118" s="112"/>
    </row>
    <row r="119" spans="1:20" ht="15" customHeight="1">
      <c r="A119" s="112"/>
      <c r="B119" s="112"/>
      <c r="C119" s="2960" t="s">
        <v>260</v>
      </c>
      <c r="D119" s="2961"/>
      <c r="E119" s="1557" t="s">
        <v>261</v>
      </c>
      <c r="F119" s="1557" t="s">
        <v>262</v>
      </c>
      <c r="G119" s="2268" t="s">
        <v>263</v>
      </c>
      <c r="H119" s="67"/>
      <c r="I119" s="67"/>
      <c r="J119" s="1568" t="s">
        <v>146</v>
      </c>
      <c r="K119" s="1557" t="s">
        <v>261</v>
      </c>
      <c r="L119" s="1557" t="s">
        <v>262</v>
      </c>
      <c r="M119" s="1557" t="s">
        <v>263</v>
      </c>
      <c r="N119" s="2207" t="s">
        <v>264</v>
      </c>
      <c r="O119" s="112"/>
      <c r="P119" s="112"/>
      <c r="Q119" s="63"/>
      <c r="R119" s="63"/>
      <c r="S119" s="114"/>
      <c r="T119" s="112"/>
    </row>
    <row r="120" spans="1:20" ht="15" customHeight="1">
      <c r="A120" s="112"/>
      <c r="B120" s="112"/>
      <c r="C120" s="112"/>
      <c r="D120" s="112"/>
      <c r="E120" s="2142" t="s">
        <v>82</v>
      </c>
      <c r="F120" s="2142" t="s">
        <v>100</v>
      </c>
      <c r="G120" s="2755" t="s">
        <v>100</v>
      </c>
      <c r="H120" s="4192" t="s">
        <v>265</v>
      </c>
      <c r="I120" s="4160"/>
      <c r="J120" s="4153"/>
      <c r="K120" s="2142" t="s">
        <v>82</v>
      </c>
      <c r="L120" s="2142" t="s">
        <v>100</v>
      </c>
      <c r="M120" s="2142" t="s">
        <v>100</v>
      </c>
      <c r="N120" s="2755"/>
      <c r="O120" s="112"/>
      <c r="P120" s="112"/>
      <c r="Q120" s="63"/>
      <c r="R120" s="63"/>
      <c r="S120" s="114"/>
      <c r="T120" s="112"/>
    </row>
    <row r="121" spans="1:20" ht="15" customHeight="1">
      <c r="A121" s="112"/>
      <c r="B121" s="112"/>
      <c r="C121" s="112"/>
      <c r="D121" s="112"/>
      <c r="E121" s="2269">
        <v>200</v>
      </c>
      <c r="F121" s="2270">
        <f>0.671*E121</f>
        <v>134.20000000000002</v>
      </c>
      <c r="G121" s="2271">
        <f>F121+(0.58*E121)</f>
        <v>250.2</v>
      </c>
      <c r="H121" s="4163"/>
      <c r="I121" s="4160"/>
      <c r="J121" s="4153"/>
      <c r="K121" s="2269">
        <v>600</v>
      </c>
      <c r="L121" s="2269">
        <v>200</v>
      </c>
      <c r="M121" s="2235">
        <f>L121+(0.58*K121)</f>
        <v>548</v>
      </c>
      <c r="N121" s="2220">
        <f>1000+375*K121/M121</f>
        <v>1410.5839416058393</v>
      </c>
      <c r="O121" s="112"/>
      <c r="P121" s="112"/>
      <c r="Q121" s="63"/>
      <c r="R121" s="63"/>
      <c r="S121" s="114"/>
      <c r="T121" s="112"/>
    </row>
    <row r="122" spans="1:20" ht="15" customHeight="1">
      <c r="A122" s="112"/>
      <c r="B122" s="112"/>
      <c r="C122" s="112"/>
      <c r="D122" s="112"/>
      <c r="E122" s="112"/>
      <c r="F122" s="112"/>
      <c r="G122" s="114"/>
      <c r="H122" s="114"/>
      <c r="I122" s="112"/>
      <c r="J122" s="112"/>
      <c r="K122" s="112"/>
      <c r="L122" s="112"/>
      <c r="M122" s="112"/>
      <c r="N122" s="112"/>
      <c r="O122" s="112"/>
      <c r="P122" s="112"/>
      <c r="Q122" s="63"/>
      <c r="R122" s="63"/>
      <c r="S122" s="114"/>
      <c r="T122" s="112"/>
    </row>
    <row r="123" spans="1:20" ht="15" customHeight="1">
      <c r="A123" s="4193" t="s">
        <v>266</v>
      </c>
      <c r="B123" s="4193"/>
      <c r="C123" s="73"/>
      <c r="D123" s="73"/>
      <c r="E123" s="114"/>
      <c r="F123" s="114"/>
      <c r="G123" s="114"/>
      <c r="H123" s="114"/>
      <c r="I123" s="114"/>
      <c r="J123" s="114"/>
      <c r="K123" s="70"/>
      <c r="L123" s="114"/>
      <c r="M123" s="114"/>
      <c r="N123" s="73"/>
      <c r="O123" s="140"/>
      <c r="P123" s="112"/>
      <c r="Q123" s="63"/>
      <c r="R123" s="63"/>
      <c r="S123" s="114"/>
      <c r="T123" s="112"/>
    </row>
    <row r="124" spans="1:20" ht="15" customHeight="1">
      <c r="A124" s="63"/>
      <c r="B124" s="1558" t="s">
        <v>267</v>
      </c>
      <c r="C124" s="1219">
        <f>C105-C104</f>
        <v>362.7</v>
      </c>
      <c r="D124" s="118" t="s">
        <v>82</v>
      </c>
      <c r="E124" s="114"/>
      <c r="F124" s="114"/>
      <c r="G124" s="114"/>
      <c r="H124" s="114"/>
      <c r="I124" s="114"/>
      <c r="J124" s="114"/>
      <c r="K124" s="114"/>
      <c r="L124" s="114"/>
      <c r="M124" s="2962" t="s">
        <v>268</v>
      </c>
      <c r="N124" s="2962"/>
      <c r="O124" s="2962"/>
      <c r="P124" s="114"/>
      <c r="Q124" s="114"/>
      <c r="R124" s="114"/>
      <c r="S124" s="114"/>
      <c r="T124" s="112"/>
    </row>
    <row r="125" spans="1:20" ht="15" customHeight="1">
      <c r="A125" s="63"/>
      <c r="B125" s="1559" t="s">
        <v>269</v>
      </c>
      <c r="C125" s="1411">
        <f>C124*(1-(G105/100))</f>
        <v>72.539999999999978</v>
      </c>
      <c r="D125" s="118" t="s">
        <v>82</v>
      </c>
      <c r="E125" s="114"/>
      <c r="F125" s="114"/>
      <c r="G125" s="114"/>
      <c r="H125" s="114"/>
      <c r="I125" s="114"/>
      <c r="J125" s="114"/>
      <c r="K125" s="114"/>
      <c r="L125" s="114"/>
      <c r="M125" s="1732" t="s">
        <v>270</v>
      </c>
      <c r="N125" s="1732" t="s">
        <v>271</v>
      </c>
      <c r="O125" s="1732" t="s">
        <v>272</v>
      </c>
      <c r="P125" s="112"/>
      <c r="Q125" s="63"/>
      <c r="R125" s="63"/>
      <c r="S125" s="114"/>
      <c r="T125" s="112"/>
    </row>
    <row r="126" spans="1:20" ht="15" customHeight="1">
      <c r="A126" s="63"/>
      <c r="B126" s="63"/>
      <c r="C126" s="73"/>
      <c r="D126" s="73"/>
      <c r="E126" s="114"/>
      <c r="F126" s="114"/>
      <c r="G126" s="114"/>
      <c r="H126" s="114"/>
      <c r="I126" s="114"/>
      <c r="J126" s="114"/>
      <c r="K126" s="114"/>
      <c r="L126" s="114"/>
      <c r="M126" s="2220">
        <f>N126/0.508</f>
        <v>80.70866141732283</v>
      </c>
      <c r="N126" s="4134">
        <v>41</v>
      </c>
      <c r="O126" s="2220">
        <f>0.508*N126</f>
        <v>20.827999999999999</v>
      </c>
      <c r="P126" s="114"/>
      <c r="Q126" s="114"/>
      <c r="R126" s="114"/>
      <c r="S126" s="114"/>
      <c r="T126" s="112"/>
    </row>
    <row r="127" spans="1:20" ht="15" customHeight="1">
      <c r="A127" s="112"/>
      <c r="B127" s="112"/>
      <c r="C127" s="114"/>
      <c r="D127" s="114"/>
      <c r="E127" s="114"/>
      <c r="F127" s="114"/>
      <c r="G127" s="114"/>
      <c r="H127" s="114"/>
      <c r="I127" s="114"/>
      <c r="J127" s="114"/>
      <c r="K127" s="114"/>
      <c r="L127" s="114"/>
      <c r="M127" s="2878" t="str">
        <f>1*FIXED(N126)&amp;" EBC = "&amp;1*FIXED(O126,1)&amp;" SRM"</f>
        <v>41 EBC = 20.8 SRM</v>
      </c>
      <c r="N127" s="2878"/>
      <c r="O127" s="2878"/>
      <c r="P127" s="112"/>
      <c r="Q127" s="63"/>
      <c r="R127" s="63"/>
      <c r="S127" s="114"/>
      <c r="T127" s="112"/>
    </row>
    <row r="128" spans="1:20" ht="15" customHeight="1">
      <c r="A128" s="112"/>
      <c r="B128" s="112"/>
      <c r="C128" s="114"/>
      <c r="D128" s="114"/>
      <c r="E128" s="114"/>
      <c r="F128" s="114"/>
      <c r="G128" s="114"/>
      <c r="H128" s="114"/>
      <c r="I128" s="114"/>
      <c r="J128" s="114"/>
      <c r="K128" s="114"/>
      <c r="L128" s="114"/>
      <c r="M128" s="2942" t="str">
        <f>1*FIXED(N126)&amp;" SRM = "&amp;1*FIXED(M126,1)&amp;" EBC"</f>
        <v>41 SRM = 80.7 EBC</v>
      </c>
      <c r="N128" s="2942"/>
      <c r="O128" s="2942"/>
      <c r="P128" s="114"/>
      <c r="Q128" s="114"/>
      <c r="R128" s="114"/>
      <c r="S128" s="114"/>
      <c r="T128" s="112"/>
    </row>
    <row r="129" spans="1:20" ht="15" customHeight="1">
      <c r="A129" s="112"/>
      <c r="B129" s="112"/>
      <c r="C129" s="114"/>
      <c r="D129" s="114"/>
      <c r="E129" s="114"/>
      <c r="F129" s="114"/>
      <c r="G129" s="114"/>
      <c r="H129" s="114"/>
      <c r="I129" s="114"/>
      <c r="J129" s="114"/>
      <c r="K129" s="114"/>
      <c r="L129" s="114"/>
      <c r="M129" s="114"/>
      <c r="N129" s="114"/>
      <c r="O129" s="114"/>
      <c r="P129" s="114"/>
      <c r="Q129" s="114"/>
      <c r="R129" s="114"/>
      <c r="S129" s="114"/>
      <c r="T129" s="112"/>
    </row>
    <row r="130" spans="1:20" ht="15" customHeight="1">
      <c r="A130" s="2877" t="s">
        <v>273</v>
      </c>
      <c r="B130" s="2877"/>
      <c r="C130" s="2877"/>
      <c r="D130" s="2877"/>
      <c r="E130" s="2877"/>
      <c r="F130" s="2877"/>
      <c r="G130" s="2877"/>
      <c r="H130" s="2877"/>
      <c r="I130" s="2877"/>
      <c r="J130" s="2877"/>
      <c r="K130" s="2877"/>
      <c r="L130" s="114"/>
      <c r="M130" s="114"/>
      <c r="N130" s="1532"/>
      <c r="O130" s="1532"/>
      <c r="P130" s="1532"/>
      <c r="Q130" s="1532"/>
      <c r="R130" s="114"/>
      <c r="S130" s="114"/>
      <c r="T130" s="112"/>
    </row>
    <row r="131" spans="1:20" ht="15" customHeight="1">
      <c r="A131" s="2864" t="s">
        <v>274</v>
      </c>
      <c r="B131" s="2864"/>
      <c r="C131" s="2864"/>
      <c r="D131" s="2864"/>
      <c r="E131" s="2864"/>
      <c r="F131" s="2864"/>
      <c r="G131" s="2864"/>
      <c r="H131" s="2864"/>
      <c r="I131" s="2864"/>
      <c r="J131" s="2864"/>
      <c r="K131" s="2864"/>
      <c r="L131" s="2864"/>
      <c r="M131" s="2864"/>
      <c r="N131" s="2864"/>
      <c r="O131" s="2864"/>
      <c r="P131" s="2864"/>
      <c r="Q131" s="2864"/>
      <c r="R131" s="2864"/>
      <c r="S131" s="1605"/>
      <c r="T131" s="112"/>
    </row>
    <row r="132" spans="1:20" ht="15" customHeight="1">
      <c r="A132" s="2864"/>
      <c r="B132" s="2864"/>
      <c r="C132" s="2864"/>
      <c r="D132" s="2864"/>
      <c r="E132" s="2864"/>
      <c r="F132" s="2864"/>
      <c r="G132" s="2864"/>
      <c r="H132" s="2864"/>
      <c r="I132" s="2864"/>
      <c r="J132" s="2864"/>
      <c r="K132" s="2864"/>
      <c r="L132" s="2864"/>
      <c r="M132" s="2864"/>
      <c r="N132" s="2864"/>
      <c r="O132" s="2864"/>
      <c r="P132" s="2864"/>
      <c r="Q132" s="2864"/>
      <c r="R132" s="2864"/>
      <c r="S132" s="1605"/>
      <c r="T132" s="112"/>
    </row>
    <row r="133" spans="1:20" ht="15" customHeight="1">
      <c r="A133" s="1572"/>
      <c r="B133" s="1572"/>
      <c r="C133" s="1572"/>
      <c r="D133" s="1572"/>
      <c r="E133" s="1572"/>
      <c r="F133" s="1572"/>
      <c r="G133" s="1572"/>
      <c r="H133" s="1572"/>
      <c r="I133" s="1572"/>
      <c r="J133" s="1572"/>
      <c r="K133" s="1572"/>
      <c r="L133" s="1572"/>
      <c r="M133" s="1572"/>
      <c r="N133" s="1572"/>
      <c r="O133" s="1572"/>
      <c r="P133" s="1572"/>
      <c r="Q133" s="1572"/>
      <c r="R133" s="1572"/>
      <c r="S133" s="1535"/>
      <c r="T133" s="112"/>
    </row>
    <row r="134" spans="1:20" ht="15" customHeight="1">
      <c r="A134" s="1572"/>
      <c r="B134" s="1572"/>
      <c r="C134" s="1572"/>
      <c r="D134" s="1572"/>
      <c r="E134" s="1572"/>
      <c r="F134" s="1572"/>
      <c r="G134" s="1572"/>
      <c r="H134" s="1572"/>
      <c r="I134" s="1572"/>
      <c r="J134" s="1572"/>
      <c r="K134" s="1572"/>
      <c r="L134" s="1572"/>
      <c r="M134" s="1572"/>
      <c r="N134" s="1572"/>
      <c r="O134" s="1572"/>
      <c r="P134" s="1572"/>
      <c r="Q134" s="1572"/>
      <c r="R134" s="1572"/>
      <c r="S134" s="1535"/>
      <c r="T134" s="112"/>
    </row>
    <row r="135" spans="1:20" ht="15" customHeight="1">
      <c r="A135" s="2963" t="s">
        <v>24</v>
      </c>
      <c r="B135" s="2963"/>
      <c r="C135" s="1573"/>
      <c r="D135" s="1573"/>
      <c r="E135" s="1573"/>
      <c r="F135" s="1573"/>
      <c r="G135" s="1573"/>
      <c r="H135" s="1573"/>
      <c r="I135" s="1573"/>
      <c r="J135" s="1573"/>
      <c r="K135" s="1535"/>
      <c r="L135" s="1573"/>
      <c r="M135" s="1535"/>
      <c r="N135" s="114"/>
      <c r="O135" s="114"/>
      <c r="P135" s="114"/>
      <c r="Q135" s="114"/>
      <c r="R135" s="114"/>
      <c r="S135" s="1606"/>
      <c r="T135" s="112"/>
    </row>
    <row r="136" spans="1:20" ht="15" customHeight="1">
      <c r="A136" s="2964" t="s">
        <v>275</v>
      </c>
      <c r="B136" s="2964"/>
      <c r="C136" s="70"/>
      <c r="D136" s="1574"/>
      <c r="E136" s="1574"/>
      <c r="F136" s="1574"/>
      <c r="G136" s="1441"/>
      <c r="H136" s="1441"/>
      <c r="I136" s="1441"/>
      <c r="J136" s="1441"/>
      <c r="K136" s="1535"/>
      <c r="L136" s="1441"/>
      <c r="M136" s="1441"/>
      <c r="N136" s="1441"/>
      <c r="O136" s="2965" t="s">
        <v>276</v>
      </c>
      <c r="P136" s="2965"/>
      <c r="Q136" s="2965"/>
      <c r="R136" s="2965"/>
      <c r="S136" s="1441"/>
      <c r="T136" s="112"/>
    </row>
    <row r="137" spans="1:20" ht="15" customHeight="1">
      <c r="A137" s="1575"/>
      <c r="B137" s="2272" t="s">
        <v>277</v>
      </c>
      <c r="C137" s="1576" t="s">
        <v>278</v>
      </c>
      <c r="D137" s="2273" t="s">
        <v>279</v>
      </c>
      <c r="E137" s="1576" t="s">
        <v>280</v>
      </c>
      <c r="F137" s="2273" t="s">
        <v>281</v>
      </c>
      <c r="G137" s="1576" t="s">
        <v>282</v>
      </c>
      <c r="H137" s="2273" t="s">
        <v>283</v>
      </c>
      <c r="I137" s="1576" t="s">
        <v>284</v>
      </c>
      <c r="J137" s="2273" t="s">
        <v>284</v>
      </c>
      <c r="K137" s="2273" t="s">
        <v>284</v>
      </c>
      <c r="L137" s="2273" t="s">
        <v>285</v>
      </c>
      <c r="M137" s="1589" t="s">
        <v>286</v>
      </c>
      <c r="N137" s="1441"/>
      <c r="O137" s="2876" t="s">
        <v>287</v>
      </c>
      <c r="P137" s="2876"/>
      <c r="Q137" s="2876"/>
      <c r="R137" s="70"/>
      <c r="S137" s="1910"/>
      <c r="T137" s="112"/>
    </row>
    <row r="138" spans="1:20" ht="15" customHeight="1">
      <c r="A138" s="1575"/>
      <c r="B138" s="4194"/>
      <c r="C138" s="1577" t="s">
        <v>288</v>
      </c>
      <c r="D138" s="4195" t="s">
        <v>288</v>
      </c>
      <c r="E138" s="1577" t="s">
        <v>288</v>
      </c>
      <c r="F138" s="4195" t="s">
        <v>288</v>
      </c>
      <c r="G138" s="1577"/>
      <c r="H138" s="4195"/>
      <c r="I138" s="1577" t="s">
        <v>289</v>
      </c>
      <c r="J138" s="4195" t="s">
        <v>290</v>
      </c>
      <c r="K138" s="4195" t="s">
        <v>291</v>
      </c>
      <c r="L138" s="4195" t="s">
        <v>292</v>
      </c>
      <c r="M138" s="2274" t="s">
        <v>293</v>
      </c>
      <c r="N138" s="1441"/>
      <c r="O138" s="1732" t="s">
        <v>270</v>
      </c>
      <c r="P138" s="1732" t="s">
        <v>271</v>
      </c>
      <c r="Q138" s="1732" t="s">
        <v>294</v>
      </c>
      <c r="R138" s="1441"/>
      <c r="S138" s="1607"/>
      <c r="T138" s="112"/>
    </row>
    <row r="139" spans="1:20" ht="15" customHeight="1">
      <c r="A139" s="1575"/>
      <c r="B139" s="4194" t="s">
        <v>295</v>
      </c>
      <c r="C139" s="1578">
        <v>2.8</v>
      </c>
      <c r="D139" s="1578">
        <v>3.5</v>
      </c>
      <c r="E139" s="1579">
        <v>5</v>
      </c>
      <c r="F139" s="1579">
        <v>9</v>
      </c>
      <c r="G139" s="1579">
        <v>10</v>
      </c>
      <c r="H139" s="1579">
        <v>25</v>
      </c>
      <c r="I139" s="1579">
        <v>105</v>
      </c>
      <c r="J139" s="1579">
        <v>140</v>
      </c>
      <c r="K139" s="1579">
        <v>200</v>
      </c>
      <c r="L139" s="1579">
        <v>1220</v>
      </c>
      <c r="M139" s="4196">
        <v>1280</v>
      </c>
      <c r="N139" s="1441"/>
      <c r="O139" s="2220">
        <f>P139*2.65-1.4</f>
        <v>116.25999999999999</v>
      </c>
      <c r="P139" s="4134">
        <v>44.4</v>
      </c>
      <c r="Q139" s="2220">
        <f>0.552+0.375*P139</f>
        <v>17.201999999999998</v>
      </c>
      <c r="R139" s="1441"/>
      <c r="S139" s="1441"/>
      <c r="T139" s="112"/>
    </row>
    <row r="140" spans="1:20" ht="15" customHeight="1">
      <c r="A140" s="1575"/>
      <c r="B140" s="2275" t="s">
        <v>296</v>
      </c>
      <c r="C140" s="2276">
        <f t="shared" ref="C140:M140" si="0">0.552+0.375*C139</f>
        <v>1.6019999999999999</v>
      </c>
      <c r="D140" s="2276">
        <f t="shared" si="0"/>
        <v>1.8645</v>
      </c>
      <c r="E140" s="2276">
        <f t="shared" si="0"/>
        <v>2.427</v>
      </c>
      <c r="F140" s="2276">
        <f t="shared" si="0"/>
        <v>3.927</v>
      </c>
      <c r="G140" s="2276">
        <f t="shared" si="0"/>
        <v>4.3019999999999996</v>
      </c>
      <c r="H140" s="2276">
        <f t="shared" si="0"/>
        <v>9.9269999999999996</v>
      </c>
      <c r="I140" s="2277">
        <f t="shared" si="0"/>
        <v>39.927</v>
      </c>
      <c r="J140" s="2277">
        <f t="shared" si="0"/>
        <v>53.052</v>
      </c>
      <c r="K140" s="2277">
        <f t="shared" si="0"/>
        <v>75.552000000000007</v>
      </c>
      <c r="L140" s="2277">
        <f t="shared" si="0"/>
        <v>458.05200000000002</v>
      </c>
      <c r="M140" s="2277">
        <f t="shared" si="0"/>
        <v>480.55200000000002</v>
      </c>
      <c r="N140" s="1441"/>
      <c r="O140" s="2878" t="str">
        <f>1*FIXED(P139)&amp;" EBC = "&amp;1*FIXED(Q139,1)&amp;" Lovibond"</f>
        <v>44.4 EBC = 17.2 Lovibond</v>
      </c>
      <c r="P140" s="2878"/>
      <c r="Q140" s="2878"/>
      <c r="R140" s="70"/>
      <c r="S140" s="1441"/>
      <c r="T140" s="112"/>
    </row>
    <row r="141" spans="1:20" ht="15" customHeight="1">
      <c r="A141" s="1575"/>
      <c r="B141" s="2941" t="s">
        <v>297</v>
      </c>
      <c r="C141" s="2941"/>
      <c r="D141" s="2941"/>
      <c r="E141" s="2941"/>
      <c r="F141" s="2941"/>
      <c r="G141" s="1580"/>
      <c r="H141" s="1580"/>
      <c r="I141" s="1580"/>
      <c r="J141" s="1580"/>
      <c r="K141" s="1580"/>
      <c r="L141" s="1580"/>
      <c r="M141" s="67"/>
      <c r="N141" s="1535"/>
      <c r="O141" s="2942" t="str">
        <f>1*FIXED(P139)&amp;" Lovibond = "&amp;1*FIXED(O139,1)&amp;" SRM"</f>
        <v>44.4 Lovibond = 116.3 SRM</v>
      </c>
      <c r="P141" s="2942"/>
      <c r="Q141" s="2942"/>
      <c r="R141" s="1608"/>
      <c r="S141" s="1609"/>
      <c r="T141" s="112"/>
    </row>
    <row r="142" spans="1:20" ht="15" customHeight="1">
      <c r="A142" s="1575"/>
      <c r="B142" s="1535"/>
      <c r="C142" s="1535"/>
      <c r="D142" s="1535"/>
      <c r="E142" s="1535"/>
      <c r="F142" s="1535"/>
      <c r="G142" s="1535"/>
      <c r="H142" s="1535"/>
      <c r="I142" s="1535"/>
      <c r="J142" s="1535"/>
      <c r="K142" s="1535"/>
      <c r="L142" s="1535"/>
      <c r="M142" s="1535"/>
      <c r="N142" s="1535"/>
      <c r="O142" s="2943" t="s">
        <v>298</v>
      </c>
      <c r="P142" s="2943"/>
      <c r="Q142" s="2943"/>
      <c r="R142" s="2943"/>
      <c r="S142" s="1535"/>
      <c r="T142" s="112"/>
    </row>
    <row r="143" spans="1:20" ht="15" customHeight="1">
      <c r="A143" s="1575"/>
      <c r="B143" s="1535"/>
      <c r="C143" s="1535"/>
      <c r="D143" s="1535"/>
      <c r="E143" s="1535"/>
      <c r="F143" s="1535"/>
      <c r="G143" s="1535"/>
      <c r="H143" s="1535"/>
      <c r="I143" s="1535"/>
      <c r="J143" s="1535"/>
      <c r="K143" s="1535"/>
      <c r="L143" s="1535"/>
      <c r="M143" s="1535"/>
      <c r="N143" s="1535"/>
      <c r="O143" s="67"/>
      <c r="P143" s="1535"/>
      <c r="Q143" s="1535"/>
      <c r="R143" s="1535"/>
      <c r="S143" s="1535"/>
      <c r="T143" s="112"/>
    </row>
    <row r="144" spans="1:20" ht="15" customHeight="1">
      <c r="A144" s="2939" t="s">
        <v>25</v>
      </c>
      <c r="B144" s="2939"/>
      <c r="C144" s="2944" t="s">
        <v>299</v>
      </c>
      <c r="D144" s="2944"/>
      <c r="E144" s="2944"/>
      <c r="F144" s="2944"/>
      <c r="G144" s="2944"/>
      <c r="H144" s="2944"/>
      <c r="I144" s="1590"/>
      <c r="J144" s="1535"/>
      <c r="K144" s="1535"/>
      <c r="L144" s="1535"/>
      <c r="M144" s="1535"/>
      <c r="N144" s="1535"/>
      <c r="O144" s="1535"/>
      <c r="P144" s="1535"/>
      <c r="Q144" s="1535"/>
      <c r="R144" s="1535"/>
      <c r="S144" s="1535"/>
      <c r="T144" s="112"/>
    </row>
    <row r="145" spans="1:20" ht="15" customHeight="1">
      <c r="A145" s="112"/>
      <c r="B145" s="2042" t="s">
        <v>300</v>
      </c>
      <c r="C145" s="2278">
        <v>1070</v>
      </c>
      <c r="D145" s="4197"/>
      <c r="E145" s="4198"/>
      <c r="F145" s="1581"/>
      <c r="G145" s="2945" t="s">
        <v>301</v>
      </c>
      <c r="H145" s="2946"/>
      <c r="I145" s="2946"/>
      <c r="J145" s="1591">
        <f>C145+F146-C146+F147-C147</f>
        <v>1086</v>
      </c>
      <c r="K145" s="4199" t="s">
        <v>302</v>
      </c>
      <c r="L145" s="4160"/>
      <c r="M145" s="4160"/>
      <c r="N145" s="4160"/>
      <c r="O145" s="4160"/>
      <c r="P145" s="4160"/>
      <c r="Q145" s="4160"/>
      <c r="R145" s="4160"/>
      <c r="S145" s="1535"/>
      <c r="T145" s="112"/>
    </row>
    <row r="146" spans="1:20" ht="15" customHeight="1">
      <c r="A146" s="112"/>
      <c r="B146" s="4200" t="s">
        <v>303</v>
      </c>
      <c r="C146" s="4201">
        <v>1004</v>
      </c>
      <c r="D146" s="4202" t="s">
        <v>304</v>
      </c>
      <c r="E146" s="2865"/>
      <c r="F146" s="1582">
        <v>1020</v>
      </c>
      <c r="G146" s="4203" t="s">
        <v>305</v>
      </c>
      <c r="H146" s="2866"/>
      <c r="I146" s="2866"/>
      <c r="J146" s="1592">
        <f>J145-((C145-C146)+(F146-C147)+(F147-C148))</f>
        <v>994</v>
      </c>
      <c r="K146" s="4163"/>
      <c r="L146" s="4160"/>
      <c r="M146" s="4160"/>
      <c r="N146" s="4160"/>
      <c r="O146" s="4160"/>
      <c r="P146" s="4160"/>
      <c r="Q146" s="4160"/>
      <c r="R146" s="4160"/>
      <c r="S146" s="1535"/>
      <c r="T146" s="112"/>
    </row>
    <row r="147" spans="1:20" ht="15" customHeight="1">
      <c r="A147" s="112"/>
      <c r="B147" s="4200" t="s">
        <v>306</v>
      </c>
      <c r="C147" s="4201"/>
      <c r="D147" s="2867" t="s">
        <v>304</v>
      </c>
      <c r="E147" s="2868"/>
      <c r="F147" s="4204"/>
      <c r="G147" s="2869" t="s">
        <v>307</v>
      </c>
      <c r="H147" s="2870"/>
      <c r="I147" s="2870"/>
      <c r="J147" s="2279" t="str">
        <f>FIXED(((J145-J146)/(7.75-(3*(J145-1000)/800))),1)&amp;"%"</f>
        <v>12.4%</v>
      </c>
      <c r="K147" s="4163"/>
      <c r="L147" s="4160"/>
      <c r="M147" s="4160"/>
      <c r="N147" s="4160"/>
      <c r="O147" s="4160"/>
      <c r="P147" s="4160"/>
      <c r="Q147" s="4160"/>
      <c r="R147" s="4160"/>
      <c r="S147" s="1535"/>
      <c r="T147" s="112"/>
    </row>
    <row r="148" spans="1:20" ht="15" customHeight="1">
      <c r="A148" s="112"/>
      <c r="B148" s="1583" t="s">
        <v>308</v>
      </c>
      <c r="C148" s="4205">
        <v>994</v>
      </c>
      <c r="D148" s="2871" t="s">
        <v>309</v>
      </c>
      <c r="E148" s="2872"/>
      <c r="F148" s="2872"/>
      <c r="G148" s="2872"/>
      <c r="H148" s="2872"/>
      <c r="I148" s="2872"/>
      <c r="J148" s="2873"/>
      <c r="K148" s="112"/>
      <c r="L148" s="112"/>
      <c r="M148" s="112"/>
      <c r="N148" s="112"/>
      <c r="O148" s="112"/>
      <c r="P148" s="112"/>
      <c r="Q148" s="112"/>
      <c r="R148" s="112"/>
      <c r="S148" s="1535"/>
      <c r="T148" s="112"/>
    </row>
    <row r="149" spans="1:20" ht="15" customHeight="1">
      <c r="A149" s="112"/>
      <c r="B149" s="112"/>
      <c r="C149" s="112"/>
      <c r="D149" s="112"/>
      <c r="E149" s="112"/>
      <c r="F149" s="112"/>
      <c r="G149" s="112"/>
      <c r="H149" s="112"/>
      <c r="I149" s="112"/>
      <c r="J149" s="112"/>
      <c r="K149" s="112"/>
      <c r="L149" s="112"/>
      <c r="M149" s="112"/>
      <c r="N149" s="112"/>
      <c r="O149" s="112"/>
      <c r="P149" s="112"/>
      <c r="Q149" s="112"/>
      <c r="R149" s="112"/>
      <c r="S149" s="112"/>
      <c r="T149" s="112"/>
    </row>
    <row r="150" spans="1:20" ht="15" customHeight="1">
      <c r="A150" s="1584"/>
      <c r="B150" s="1584"/>
      <c r="C150" s="1584"/>
      <c r="D150" s="1584"/>
      <c r="E150" s="1584"/>
      <c r="F150" s="1584"/>
      <c r="G150" s="1584"/>
      <c r="H150" s="1584"/>
      <c r="I150" s="1584"/>
      <c r="J150" s="1584"/>
      <c r="K150" s="1584"/>
      <c r="L150" s="1584"/>
      <c r="M150" s="1584"/>
      <c r="N150" s="1584"/>
      <c r="O150" s="1584"/>
      <c r="P150" s="1584"/>
      <c r="Q150" s="1584"/>
      <c r="R150" s="1810"/>
      <c r="S150" s="1810"/>
      <c r="T150" s="112"/>
    </row>
    <row r="151" spans="1:20" ht="15" customHeight="1">
      <c r="A151" s="2874" t="s">
        <v>26</v>
      </c>
      <c r="B151" s="2874"/>
      <c r="C151" s="2875" t="s">
        <v>310</v>
      </c>
      <c r="D151" s="2875"/>
      <c r="E151" s="2875"/>
      <c r="F151" s="2875"/>
      <c r="G151" s="2875"/>
      <c r="H151" s="2875"/>
      <c r="I151" s="2875"/>
      <c r="J151" s="1593"/>
      <c r="K151" s="1584"/>
      <c r="L151" s="1584"/>
      <c r="M151" s="1584"/>
      <c r="N151" s="1584"/>
      <c r="O151" s="1584"/>
      <c r="P151" s="1584"/>
      <c r="Q151" s="1584"/>
      <c r="R151" s="112"/>
      <c r="S151" s="112"/>
      <c r="T151" s="112"/>
    </row>
    <row r="152" spans="1:20" ht="15" customHeight="1">
      <c r="A152" s="112"/>
      <c r="B152" s="4206" t="s">
        <v>311</v>
      </c>
      <c r="C152" s="4207"/>
      <c r="D152" s="4208"/>
      <c r="E152" s="2280" t="s">
        <v>115</v>
      </c>
      <c r="F152" s="2280" t="s">
        <v>117</v>
      </c>
      <c r="G152" s="2280" t="s">
        <v>312</v>
      </c>
      <c r="H152" s="4209" t="s">
        <v>313</v>
      </c>
      <c r="I152" s="4210"/>
      <c r="J152" s="4211"/>
      <c r="K152" s="4212" t="s">
        <v>314</v>
      </c>
      <c r="L152" s="4176"/>
      <c r="M152" s="4176"/>
      <c r="N152" s="4176"/>
      <c r="O152" s="4176"/>
      <c r="P152" s="4176"/>
      <c r="Q152" s="4150"/>
      <c r="R152" s="1810"/>
      <c r="S152" s="1810"/>
      <c r="T152" s="112"/>
    </row>
    <row r="153" spans="1:20" ht="15" customHeight="1">
      <c r="A153" s="112"/>
      <c r="B153" s="4213" t="s">
        <v>315</v>
      </c>
      <c r="C153" s="4214"/>
      <c r="D153" s="4215"/>
      <c r="E153" s="4216"/>
      <c r="F153" s="1585" t="s">
        <v>316</v>
      </c>
      <c r="G153" s="4216" t="s">
        <v>317</v>
      </c>
      <c r="H153" s="4217"/>
      <c r="I153" s="4218"/>
      <c r="J153" s="4219"/>
      <c r="K153" s="4220"/>
      <c r="L153" s="4172"/>
      <c r="M153" s="4172"/>
      <c r="N153" s="4172"/>
      <c r="O153" s="4172"/>
      <c r="P153" s="4172"/>
      <c r="Q153" s="4156"/>
      <c r="R153" s="112"/>
      <c r="S153" s="112"/>
      <c r="T153" s="112"/>
    </row>
    <row r="154" spans="1:20" ht="15" customHeight="1">
      <c r="A154" s="112"/>
      <c r="B154" s="4221" t="s">
        <v>318</v>
      </c>
      <c r="C154" s="2278">
        <v>21</v>
      </c>
      <c r="D154" s="1444" t="s">
        <v>319</v>
      </c>
      <c r="E154" s="4222">
        <f>C154-F154</f>
        <v>10.5</v>
      </c>
      <c r="F154" s="2278">
        <v>10.5</v>
      </c>
      <c r="G154" s="2278">
        <v>10.5</v>
      </c>
      <c r="H154" s="4223" t="s">
        <v>320</v>
      </c>
      <c r="I154" s="4224"/>
      <c r="J154" s="4225"/>
      <c r="K154" s="4223" t="s">
        <v>321</v>
      </c>
      <c r="L154" s="4224"/>
      <c r="M154" s="4225"/>
      <c r="N154" s="2281">
        <f>E154+G154</f>
        <v>21</v>
      </c>
      <c r="O154" s="4226" t="s">
        <v>322</v>
      </c>
      <c r="P154" s="4227"/>
      <c r="Q154" s="4228"/>
      <c r="R154" s="1810"/>
      <c r="S154" s="1810"/>
      <c r="T154" s="112"/>
    </row>
    <row r="155" spans="1:20" ht="15" customHeight="1">
      <c r="A155" s="112"/>
      <c r="B155" s="4179" t="s">
        <v>162</v>
      </c>
      <c r="C155" s="4229">
        <v>1040</v>
      </c>
      <c r="D155" s="4230" t="s">
        <v>15</v>
      </c>
      <c r="E155" s="1586"/>
      <c r="F155" s="4231"/>
      <c r="G155" s="4232"/>
      <c r="H155" s="4233" t="s">
        <v>323</v>
      </c>
      <c r="I155" s="4234"/>
      <c r="J155" s="4235"/>
      <c r="K155" s="4236" t="s">
        <v>324</v>
      </c>
      <c r="L155" s="4237"/>
      <c r="M155" s="4238"/>
      <c r="N155" s="4239">
        <f>(E156*G154+G156*E154)/(E154+G154)</f>
        <v>1014</v>
      </c>
      <c r="O155" s="4236" t="s">
        <v>325</v>
      </c>
      <c r="P155" s="4237"/>
      <c r="Q155" s="4238"/>
      <c r="R155" s="112"/>
      <c r="S155" s="112"/>
      <c r="T155" s="112"/>
    </row>
    <row r="156" spans="1:20" ht="15" customHeight="1">
      <c r="A156" s="112"/>
      <c r="B156" s="4179" t="s">
        <v>165</v>
      </c>
      <c r="C156" s="4229">
        <v>1014</v>
      </c>
      <c r="D156" s="4240"/>
      <c r="E156" s="4222">
        <f>C156</f>
        <v>1014</v>
      </c>
      <c r="F156" s="4241">
        <f>C156</f>
        <v>1014</v>
      </c>
      <c r="G156" s="4242">
        <f>1000+(C156-1000)*F154/G154</f>
        <v>1014</v>
      </c>
      <c r="H156" s="4243" t="s">
        <v>326</v>
      </c>
      <c r="I156" s="4244"/>
      <c r="J156" s="4245"/>
      <c r="K156" s="2956" t="s">
        <v>327</v>
      </c>
      <c r="L156" s="2957"/>
      <c r="M156" s="2958"/>
      <c r="N156" s="4246">
        <v>3.15</v>
      </c>
      <c r="O156" s="4247" t="str">
        <f>"g ̸ litre, equivalent to "&amp;FIXED(N156/N167)&amp;" tsp"</f>
        <v>g ̸ litre, equivalent to 1.00 tsp</v>
      </c>
      <c r="P156" s="4172"/>
      <c r="Q156" s="4156"/>
      <c r="R156" s="1810"/>
      <c r="S156" s="1810"/>
      <c r="T156" s="112"/>
    </row>
    <row r="157" spans="1:20" ht="15" customHeight="1">
      <c r="A157" s="112"/>
      <c r="B157" s="2256" t="s">
        <v>328</v>
      </c>
      <c r="C157" s="2282">
        <f>(C155-C156)/(7.75-(3*(C155-1000)/800))</f>
        <v>3.4210526315789473</v>
      </c>
      <c r="D157" s="2283" t="s">
        <v>326</v>
      </c>
      <c r="E157" s="2284" t="s">
        <v>84</v>
      </c>
      <c r="F157" s="2285" t="str">
        <f>E157</f>
        <v>lb</v>
      </c>
      <c r="G157" s="1730">
        <v>0</v>
      </c>
      <c r="H157" s="4248" t="s">
        <v>329</v>
      </c>
      <c r="I157" s="4249"/>
      <c r="J157" s="4250"/>
      <c r="K157" s="4251" t="s">
        <v>330</v>
      </c>
      <c r="L157" s="4141"/>
      <c r="M157" s="4139"/>
      <c r="N157" s="2286">
        <f>(C157*E154+G154*G157)/N154+(0.001*N156*365)/(7.75-(3*(C156-1000)/800))</f>
        <v>1.8598929932821662</v>
      </c>
      <c r="O157" s="4248" t="s">
        <v>326</v>
      </c>
      <c r="P157" s="4249"/>
      <c r="Q157" s="4250"/>
      <c r="R157" s="112"/>
      <c r="S157" s="112"/>
      <c r="T157" s="112"/>
    </row>
    <row r="158" spans="1:20" ht="15" customHeight="1">
      <c r="A158" s="67"/>
      <c r="B158" s="2950" t="s">
        <v>331</v>
      </c>
      <c r="C158" s="2950"/>
      <c r="D158" s="2950"/>
      <c r="E158" s="2950"/>
      <c r="F158" s="2950"/>
      <c r="G158" s="2950"/>
      <c r="H158" s="2950"/>
      <c r="I158" s="2950"/>
      <c r="J158" s="2950"/>
      <c r="K158" s="2950"/>
      <c r="L158" s="2950"/>
      <c r="M158" s="2950"/>
      <c r="N158" s="2950"/>
      <c r="O158" s="2950"/>
      <c r="P158" s="2950"/>
      <c r="Q158" s="2950"/>
      <c r="R158" s="1810"/>
      <c r="S158" s="1810"/>
      <c r="T158" s="112"/>
    </row>
    <row r="159" spans="1:20" ht="15" customHeight="1">
      <c r="A159" s="67"/>
      <c r="B159" s="2951"/>
      <c r="C159" s="2951"/>
      <c r="D159" s="2951"/>
      <c r="E159" s="2951"/>
      <c r="F159" s="2951"/>
      <c r="G159" s="2951"/>
      <c r="H159" s="2951"/>
      <c r="I159" s="2951"/>
      <c r="J159" s="2951"/>
      <c r="K159" s="2951"/>
      <c r="L159" s="2951"/>
      <c r="M159" s="2951"/>
      <c r="N159" s="2951"/>
      <c r="O159" s="2951"/>
      <c r="P159" s="2951"/>
      <c r="Q159" s="2951"/>
      <c r="R159" s="112"/>
      <c r="S159" s="112"/>
      <c r="T159" s="112"/>
    </row>
    <row r="160" spans="1:20" ht="15" customHeight="1">
      <c r="A160" s="1584"/>
      <c r="B160" s="1584"/>
      <c r="C160" s="1584"/>
      <c r="D160" s="1584"/>
      <c r="E160" s="1584"/>
      <c r="F160" s="1584"/>
      <c r="G160" s="1584"/>
      <c r="H160" s="1584"/>
      <c r="I160" s="1584"/>
      <c r="J160" s="1584"/>
      <c r="K160" s="1584"/>
      <c r="L160" s="1584"/>
      <c r="M160" s="1584"/>
      <c r="N160" s="1584"/>
      <c r="O160" s="1584"/>
      <c r="P160" s="1584"/>
      <c r="Q160" s="1584"/>
      <c r="R160" s="1810"/>
      <c r="S160" s="1810"/>
      <c r="T160" s="112"/>
    </row>
    <row r="161" spans="1:20" ht="15" customHeight="1">
      <c r="A161" s="1584"/>
      <c r="B161" s="1584"/>
      <c r="C161" s="1584"/>
      <c r="D161" s="1584"/>
      <c r="E161" s="1584"/>
      <c r="F161" s="1584"/>
      <c r="G161" s="1584"/>
      <c r="H161" s="1584"/>
      <c r="I161" s="1584"/>
      <c r="J161" s="1584"/>
      <c r="K161" s="1584"/>
      <c r="L161" s="1584"/>
      <c r="M161" s="1584"/>
      <c r="N161" s="1584"/>
      <c r="O161" s="1584"/>
      <c r="P161" s="1584"/>
      <c r="Q161" s="1584"/>
      <c r="R161" s="1810"/>
      <c r="S161" s="112"/>
      <c r="T161" s="112"/>
    </row>
    <row r="162" spans="1:20" ht="15" customHeight="1">
      <c r="A162" s="2921" t="s">
        <v>27</v>
      </c>
      <c r="B162" s="2921"/>
      <c r="C162" s="1584"/>
      <c r="D162" s="1584"/>
      <c r="E162" s="1584"/>
      <c r="F162" s="1584"/>
      <c r="G162" s="1584"/>
      <c r="H162" s="1584"/>
      <c r="I162" s="1584"/>
      <c r="J162" s="1584"/>
      <c r="K162" s="1584"/>
      <c r="L162" s="1584"/>
      <c r="M162" s="1584"/>
      <c r="N162" s="1584"/>
      <c r="O162" s="1584"/>
      <c r="P162" s="1584"/>
      <c r="Q162" s="1584"/>
      <c r="R162" s="1810"/>
      <c r="S162" s="1810"/>
      <c r="T162" s="112"/>
    </row>
    <row r="163" spans="1:20" ht="15" customHeight="1">
      <c r="A163" s="2922" t="s">
        <v>332</v>
      </c>
      <c r="B163" s="2922"/>
      <c r="C163" s="2923" t="s">
        <v>333</v>
      </c>
      <c r="D163" s="2923"/>
      <c r="E163" s="2923"/>
      <c r="F163" s="2923"/>
      <c r="G163" s="2923"/>
      <c r="H163" s="2924" t="s">
        <v>334</v>
      </c>
      <c r="I163" s="2925"/>
      <c r="J163" s="2287">
        <f>N156</f>
        <v>3.15</v>
      </c>
      <c r="K163" s="2926" t="str">
        <f>"g ̸ litre is equivalent to "&amp;FIXED(N163*J163,1)&amp;"g in"</f>
        <v>g ̸ litre is equivalent to 66.2g in</v>
      </c>
      <c r="L163" s="4252"/>
      <c r="M163" s="4253"/>
      <c r="N163" s="2289">
        <f>N154</f>
        <v>21</v>
      </c>
      <c r="O163" s="2290" t="s">
        <v>335</v>
      </c>
      <c r="P163" s="1584"/>
      <c r="Q163" s="1584"/>
      <c r="R163" s="1810"/>
      <c r="S163" s="112"/>
      <c r="T163" s="112"/>
    </row>
    <row r="164" spans="1:20" ht="15" customHeight="1">
      <c r="A164" s="112"/>
      <c r="B164" s="114"/>
      <c r="C164" s="2923" t="s">
        <v>336</v>
      </c>
      <c r="D164" s="2923"/>
      <c r="E164" s="2923"/>
      <c r="F164" s="2923"/>
      <c r="G164" s="2923"/>
      <c r="H164" s="1909"/>
      <c r="I164" s="1594"/>
      <c r="J164" s="114"/>
      <c r="K164" s="114"/>
      <c r="L164" s="114"/>
      <c r="M164" s="114"/>
      <c r="N164" s="114"/>
      <c r="O164" s="114"/>
      <c r="P164" s="1584"/>
      <c r="Q164" s="1584"/>
      <c r="R164" s="1810"/>
      <c r="S164" s="1810"/>
      <c r="T164" s="112"/>
    </row>
    <row r="165" spans="1:20" ht="15" customHeight="1">
      <c r="A165" s="112"/>
      <c r="B165" s="2043"/>
      <c r="C165" s="2923" t="s">
        <v>337</v>
      </c>
      <c r="D165" s="2923"/>
      <c r="E165" s="2923"/>
      <c r="F165" s="2923"/>
      <c r="G165" s="2923"/>
      <c r="H165" s="1909"/>
      <c r="I165" s="707"/>
      <c r="J165" s="4132" t="s">
        <v>338</v>
      </c>
      <c r="K165" s="2915" t="s">
        <v>339</v>
      </c>
      <c r="L165" s="2929"/>
      <c r="M165" s="2930"/>
      <c r="N165" s="2915" t="s">
        <v>340</v>
      </c>
      <c r="O165" s="2930"/>
      <c r="P165" s="1584"/>
      <c r="Q165" s="1584"/>
      <c r="R165" s="1810"/>
      <c r="S165" s="112"/>
      <c r="T165" s="112"/>
    </row>
    <row r="166" spans="1:20" ht="15" customHeight="1">
      <c r="A166" s="112"/>
      <c r="B166" s="118"/>
      <c r="C166" s="2931" t="s">
        <v>341</v>
      </c>
      <c r="D166" s="2931"/>
      <c r="E166" s="2931"/>
      <c r="F166" s="2931"/>
      <c r="G166" s="2931"/>
      <c r="H166" s="2931"/>
      <c r="I166" s="2931"/>
      <c r="J166" s="1731">
        <f>K166*0.2489/0.262</f>
        <v>2.9925000000000002</v>
      </c>
      <c r="K166" s="2932">
        <v>3.15</v>
      </c>
      <c r="L166" s="2933"/>
      <c r="M166" s="2934"/>
      <c r="N166" s="2935">
        <f>K166*0.262/0.2489</f>
        <v>3.3157894736842106</v>
      </c>
      <c r="O166" s="2936"/>
      <c r="P166" s="1584"/>
      <c r="Q166" s="1584"/>
      <c r="R166" s="1810"/>
      <c r="S166" s="1810"/>
      <c r="T166" s="112"/>
    </row>
    <row r="167" spans="1:20" ht="15" customHeight="1">
      <c r="A167" s="112"/>
      <c r="B167" s="114"/>
      <c r="C167" s="114"/>
      <c r="D167" s="114"/>
      <c r="E167" s="114"/>
      <c r="F167" s="1587"/>
      <c r="G167" s="1587"/>
      <c r="H167" s="1587"/>
      <c r="I167" s="1587"/>
      <c r="J167" s="2937" t="s">
        <v>342</v>
      </c>
      <c r="K167" s="2937"/>
      <c r="L167" s="2937"/>
      <c r="M167" s="2937"/>
      <c r="N167" s="239">
        <v>3.15</v>
      </c>
      <c r="O167" s="114" t="s">
        <v>343</v>
      </c>
      <c r="P167" s="114"/>
      <c r="Q167" s="1587"/>
      <c r="R167" s="112"/>
      <c r="S167" s="112"/>
      <c r="T167" s="112"/>
    </row>
    <row r="168" spans="1:20" ht="15" customHeight="1">
      <c r="A168" s="67"/>
      <c r="B168" s="2862" t="s">
        <v>344</v>
      </c>
      <c r="C168" s="2862"/>
      <c r="D168" s="2862"/>
      <c r="E168" s="2862"/>
      <c r="F168" s="2862"/>
      <c r="G168" s="2862"/>
      <c r="H168" s="67"/>
      <c r="I168" s="67"/>
      <c r="J168" s="67"/>
      <c r="K168" s="67"/>
      <c r="L168" s="67"/>
      <c r="M168" s="67"/>
      <c r="N168" s="67"/>
      <c r="O168" s="67"/>
      <c r="P168" s="67"/>
      <c r="Q168" s="67"/>
      <c r="R168" s="1810"/>
      <c r="S168" s="1810"/>
      <c r="T168" s="112"/>
    </row>
    <row r="169" spans="1:20" ht="15" customHeight="1">
      <c r="A169" s="112"/>
      <c r="B169" s="2862"/>
      <c r="C169" s="2862"/>
      <c r="D169" s="2862"/>
      <c r="E169" s="2862"/>
      <c r="F169" s="2862"/>
      <c r="G169" s="2862"/>
      <c r="H169" s="114"/>
      <c r="I169" s="114"/>
      <c r="J169" s="114"/>
      <c r="K169" s="114"/>
      <c r="L169" s="114"/>
      <c r="M169" s="114"/>
      <c r="N169" s="114"/>
      <c r="O169" s="114"/>
      <c r="P169" s="114"/>
      <c r="Q169" s="114"/>
      <c r="R169" s="2060"/>
      <c r="S169" s="1610"/>
      <c r="T169" s="112"/>
    </row>
    <row r="170" spans="1:20" ht="15" customHeight="1">
      <c r="A170" s="112"/>
      <c r="B170" s="114"/>
      <c r="C170" s="114"/>
      <c r="D170" s="114"/>
      <c r="E170" s="114"/>
      <c r="F170" s="1587"/>
      <c r="G170" s="1587"/>
      <c r="H170" s="1587"/>
      <c r="I170" s="1587"/>
      <c r="J170" s="113"/>
      <c r="K170" s="113"/>
      <c r="L170" s="113"/>
      <c r="M170" s="113"/>
      <c r="N170" s="113"/>
      <c r="O170" s="113"/>
      <c r="P170" s="113"/>
      <c r="Q170" s="1587"/>
      <c r="R170" s="2060"/>
      <c r="S170" s="1610"/>
      <c r="T170" s="112"/>
    </row>
    <row r="171" spans="1:20" ht="15" customHeight="1">
      <c r="A171" s="112"/>
      <c r="B171" s="114"/>
      <c r="C171" s="114"/>
      <c r="D171" s="114"/>
      <c r="E171" s="114"/>
      <c r="F171" s="1587"/>
      <c r="G171" s="1587"/>
      <c r="H171" s="1587"/>
      <c r="I171" s="1587"/>
      <c r="J171" s="113"/>
      <c r="K171" s="113"/>
      <c r="L171" s="113"/>
      <c r="M171" s="113"/>
      <c r="N171" s="113"/>
      <c r="O171" s="113"/>
      <c r="P171" s="113"/>
      <c r="Q171" s="1587"/>
      <c r="R171" s="2060"/>
      <c r="S171" s="1610"/>
      <c r="T171" s="112"/>
    </row>
    <row r="172" spans="1:20" ht="15" customHeight="1">
      <c r="A172" s="2939" t="s">
        <v>345</v>
      </c>
      <c r="B172" s="2939"/>
      <c r="C172" s="2939"/>
      <c r="D172" s="112"/>
      <c r="E172" s="112"/>
      <c r="F172" s="112"/>
      <c r="G172" s="112"/>
      <c r="H172" s="112"/>
      <c r="I172" s="112"/>
      <c r="J172" s="113"/>
      <c r="K172" s="113"/>
      <c r="L172" s="112"/>
      <c r="M172" s="112"/>
      <c r="N172" s="112"/>
      <c r="O172" s="112"/>
      <c r="P172" s="1595"/>
      <c r="Q172" s="1595"/>
      <c r="R172" s="1595"/>
      <c r="S172" s="1595"/>
      <c r="T172" s="112"/>
    </row>
    <row r="173" spans="1:20" ht="15" customHeight="1">
      <c r="A173" s="134"/>
      <c r="B173" s="2940" t="s">
        <v>346</v>
      </c>
      <c r="C173" s="2940"/>
      <c r="D173" s="2940"/>
      <c r="E173" s="239">
        <v>10</v>
      </c>
      <c r="F173" s="4254" t="s">
        <v>347</v>
      </c>
      <c r="G173" s="4254"/>
      <c r="H173" s="936"/>
      <c r="I173" s="936"/>
      <c r="J173" s="113"/>
      <c r="K173" s="113"/>
      <c r="L173" s="134"/>
      <c r="M173" s="114"/>
      <c r="N173" s="4255" t="s">
        <v>348</v>
      </c>
      <c r="O173" s="4150"/>
      <c r="P173" s="2952" t="s">
        <v>349</v>
      </c>
      <c r="Q173" s="2953"/>
      <c r="R173" s="112"/>
      <c r="S173" s="112"/>
      <c r="T173" s="112"/>
    </row>
    <row r="174" spans="1:20" ht="15" customHeight="1">
      <c r="A174" s="112"/>
      <c r="B174" s="2292" t="s">
        <v>350</v>
      </c>
      <c r="C174" s="2293"/>
      <c r="D174" s="2927" t="s">
        <v>351</v>
      </c>
      <c r="E174" s="2928"/>
      <c r="F174" s="2201" t="s">
        <v>202</v>
      </c>
      <c r="G174" s="2294" t="s">
        <v>352</v>
      </c>
      <c r="H174" s="2295" t="s">
        <v>353</v>
      </c>
      <c r="I174" s="112"/>
      <c r="J174" s="112"/>
      <c r="K174" s="112"/>
      <c r="L174" s="112"/>
      <c r="M174" s="1596"/>
      <c r="N174" s="4220"/>
      <c r="O174" s="4156"/>
      <c r="P174" s="2954" t="s">
        <v>354</v>
      </c>
      <c r="Q174" s="2955"/>
      <c r="R174" s="112"/>
      <c r="S174" s="112"/>
      <c r="T174" s="112"/>
    </row>
    <row r="175" spans="1:20" ht="15" customHeight="1">
      <c r="A175" s="112"/>
      <c r="B175" s="1588">
        <v>500</v>
      </c>
      <c r="C175" s="2205" t="s">
        <v>355</v>
      </c>
      <c r="D175" s="2886">
        <v>1</v>
      </c>
      <c r="E175" s="2887"/>
      <c r="F175" s="4134">
        <v>3.8</v>
      </c>
      <c r="G175" s="4256">
        <f>(B175*F175*D175)/(100*E$173)</f>
        <v>1.9</v>
      </c>
      <c r="H175" s="2295" t="str">
        <f>D175*B175&amp;"ml"</f>
        <v>500ml</v>
      </c>
      <c r="I175" s="112"/>
      <c r="J175" s="112"/>
      <c r="K175" s="112"/>
      <c r="L175" s="112"/>
      <c r="M175" s="1596"/>
      <c r="N175" s="4257" t="s">
        <v>356</v>
      </c>
      <c r="O175" s="4258"/>
      <c r="P175" s="1887">
        <v>12.7</v>
      </c>
      <c r="Q175" s="1885">
        <f t="shared" ref="Q175:Q205" si="1">P175*P$207/1000</f>
        <v>10.025379999999998</v>
      </c>
      <c r="R175" s="112"/>
      <c r="S175" s="112"/>
      <c r="T175" s="112"/>
    </row>
    <row r="176" spans="1:20" ht="15" customHeight="1">
      <c r="A176" s="112"/>
      <c r="B176" s="2296">
        <v>1</v>
      </c>
      <c r="C176" s="2297" t="s">
        <v>357</v>
      </c>
      <c r="D176" s="2886">
        <v>2</v>
      </c>
      <c r="E176" s="2887"/>
      <c r="F176" s="4134">
        <v>3.8</v>
      </c>
      <c r="G176" s="2282">
        <f>(B176*568.3*F176*D176)/(100*E$173)</f>
        <v>4.3190799999999987</v>
      </c>
      <c r="H176" s="2298" t="str">
        <f>D176*FIXED(B176*568,0)&amp;"ml"</f>
        <v>1136ml</v>
      </c>
      <c r="I176" s="112"/>
      <c r="J176" s="112"/>
      <c r="K176" s="112"/>
      <c r="L176" s="112"/>
      <c r="M176" s="1596"/>
      <c r="N176" s="4259" t="s">
        <v>358</v>
      </c>
      <c r="O176" s="4260"/>
      <c r="P176" s="1886">
        <v>7.62</v>
      </c>
      <c r="Q176" s="1885">
        <f t="shared" si="1"/>
        <v>6.0152280000000005</v>
      </c>
      <c r="R176" s="112"/>
      <c r="S176" s="112"/>
      <c r="T176" s="112"/>
    </row>
    <row r="177" spans="1:20" ht="15" customHeight="1">
      <c r="A177" s="112"/>
      <c r="B177" s="2212">
        <v>16</v>
      </c>
      <c r="C177" s="2297" t="s">
        <v>359</v>
      </c>
      <c r="D177" s="2886">
        <v>3</v>
      </c>
      <c r="E177" s="2887"/>
      <c r="F177" s="4134">
        <v>3.8</v>
      </c>
      <c r="G177" s="2282">
        <f>(B177*F177*D177/0.0338)/(100*E$173)</f>
        <v>5.3964497041420119</v>
      </c>
      <c r="H177" s="2298" t="str">
        <f>D177*FIXED(B177*29.5735,0)&amp;"ml"</f>
        <v>1419ml</v>
      </c>
      <c r="I177" s="112"/>
      <c r="J177" s="1596"/>
      <c r="K177" s="1596"/>
      <c r="L177" s="1596"/>
      <c r="M177" s="1596"/>
      <c r="N177" s="4259" t="s">
        <v>360</v>
      </c>
      <c r="O177" s="4260"/>
      <c r="P177" s="1886">
        <v>17.2</v>
      </c>
      <c r="Q177" s="1885">
        <f t="shared" si="1"/>
        <v>13.577679999999999</v>
      </c>
      <c r="R177" s="112"/>
      <c r="S177" s="112"/>
      <c r="T177" s="112"/>
    </row>
    <row r="178" spans="1:20" ht="15" customHeight="1">
      <c r="A178" s="63"/>
      <c r="B178" s="2888" t="s">
        <v>361</v>
      </c>
      <c r="C178" s="2888"/>
      <c r="D178" s="2888"/>
      <c r="E178" s="2888"/>
      <c r="F178" s="2888"/>
      <c r="G178" s="2888"/>
      <c r="H178" s="2888"/>
      <c r="I178" s="1597"/>
      <c r="J178" s="1596"/>
      <c r="K178" s="1596"/>
      <c r="L178" s="1596"/>
      <c r="M178" s="1596"/>
      <c r="N178" s="4261" t="s">
        <v>362</v>
      </c>
      <c r="O178" s="4260"/>
      <c r="P178" s="1598">
        <v>15.2</v>
      </c>
      <c r="Q178" s="1885">
        <f t="shared" si="1"/>
        <v>11.99888</v>
      </c>
      <c r="R178" s="112"/>
      <c r="S178" s="112"/>
      <c r="T178" s="112"/>
    </row>
    <row r="179" spans="1:20" ht="15" customHeight="1">
      <c r="A179" s="63"/>
      <c r="B179" s="2889" t="s">
        <v>363</v>
      </c>
      <c r="C179" s="2889"/>
      <c r="D179" s="2889"/>
      <c r="E179" s="2889"/>
      <c r="F179" s="2889"/>
      <c r="G179" s="2889"/>
      <c r="H179" s="2889"/>
      <c r="I179" s="73"/>
      <c r="J179" s="73"/>
      <c r="K179" s="73"/>
      <c r="L179" s="73"/>
      <c r="M179" s="1596"/>
      <c r="N179" s="2890" t="s">
        <v>364</v>
      </c>
      <c r="O179" s="4260"/>
      <c r="P179" s="1598">
        <v>15.2</v>
      </c>
      <c r="Q179" s="1885">
        <f t="shared" si="1"/>
        <v>11.99888</v>
      </c>
      <c r="R179" s="112"/>
      <c r="S179" s="112"/>
      <c r="T179" s="112"/>
    </row>
    <row r="180" spans="1:20" ht="15" customHeight="1">
      <c r="A180" s="63"/>
      <c r="B180" s="73"/>
      <c r="C180" s="73"/>
      <c r="D180" s="73"/>
      <c r="E180" s="73"/>
      <c r="F180" s="73"/>
      <c r="G180" s="73"/>
      <c r="H180" s="73"/>
      <c r="I180" s="73"/>
      <c r="J180" s="73"/>
      <c r="K180" s="73"/>
      <c r="L180" s="73"/>
      <c r="M180" s="1596"/>
      <c r="N180" s="4261" t="s">
        <v>365</v>
      </c>
      <c r="O180" s="4260"/>
      <c r="P180" s="1598">
        <v>12.7</v>
      </c>
      <c r="Q180" s="1885">
        <f t="shared" si="1"/>
        <v>10.025379999999998</v>
      </c>
      <c r="R180" s="112"/>
      <c r="S180" s="112"/>
      <c r="T180" s="112"/>
    </row>
    <row r="181" spans="1:20" ht="15" customHeight="1">
      <c r="A181" s="2938" t="s">
        <v>366</v>
      </c>
      <c r="B181" s="2938"/>
      <c r="C181" s="2938"/>
      <c r="D181" s="2938"/>
      <c r="E181" s="2938"/>
      <c r="F181" s="2938"/>
      <c r="G181" s="2938"/>
      <c r="H181" s="2938"/>
      <c r="I181" s="2938"/>
      <c r="J181" s="2938"/>
      <c r="K181" s="2938"/>
      <c r="L181" s="67"/>
      <c r="M181" s="1596"/>
      <c r="N181" s="4261" t="s">
        <v>367</v>
      </c>
      <c r="O181" s="4260"/>
      <c r="P181" s="1598">
        <v>12.7</v>
      </c>
      <c r="Q181" s="1885">
        <f t="shared" si="1"/>
        <v>10.025379999999998</v>
      </c>
      <c r="R181" s="112"/>
      <c r="S181" s="112"/>
      <c r="T181" s="112"/>
    </row>
    <row r="182" spans="1:20" ht="15" customHeight="1">
      <c r="A182" s="2061"/>
      <c r="B182" s="2299" t="s">
        <v>368</v>
      </c>
      <c r="C182" s="2300" t="s">
        <v>369</v>
      </c>
      <c r="D182" s="2916" t="s">
        <v>370</v>
      </c>
      <c r="E182" s="2917"/>
      <c r="F182" s="2062"/>
      <c r="G182" s="4262">
        <f>(6.141592+((I184+G217*H214)*(I214+1)*(G176^G177))/100)</f>
        <v>29836.113645925296</v>
      </c>
      <c r="H182" s="4263"/>
      <c r="I182" s="1878" t="s">
        <v>369</v>
      </c>
      <c r="J182" s="2918" t="s">
        <v>370</v>
      </c>
      <c r="K182" s="4150"/>
      <c r="L182" s="4264" t="s">
        <v>371</v>
      </c>
      <c r="M182" s="1596"/>
      <c r="N182" s="4261" t="s">
        <v>372</v>
      </c>
      <c r="O182" s="4260"/>
      <c r="P182" s="1598">
        <v>12.7</v>
      </c>
      <c r="Q182" s="1885">
        <f t="shared" si="1"/>
        <v>10.025379999999998</v>
      </c>
      <c r="R182" s="112"/>
      <c r="S182" s="112"/>
      <c r="T182" s="112"/>
    </row>
    <row r="183" spans="1:20" ht="15" customHeight="1">
      <c r="A183" s="2061"/>
      <c r="B183" s="2301" t="s">
        <v>373</v>
      </c>
      <c r="C183" s="4265" t="s">
        <v>374</v>
      </c>
      <c r="D183" s="1931" t="s">
        <v>375</v>
      </c>
      <c r="E183" s="4266" t="s">
        <v>376</v>
      </c>
      <c r="F183" s="2168"/>
      <c r="G183" s="4267"/>
      <c r="H183" s="4268"/>
      <c r="I183" s="4269" t="s">
        <v>377</v>
      </c>
      <c r="J183" s="1599" t="s">
        <v>375</v>
      </c>
      <c r="K183" s="4270" t="s">
        <v>376</v>
      </c>
      <c r="L183" s="4271"/>
      <c r="M183" s="63"/>
      <c r="N183" s="4261" t="s">
        <v>378</v>
      </c>
      <c r="O183" s="4260"/>
      <c r="P183" s="1598">
        <v>21.5</v>
      </c>
      <c r="Q183" s="1885">
        <f t="shared" si="1"/>
        <v>16.972099999999998</v>
      </c>
      <c r="R183" s="112"/>
      <c r="S183" s="112"/>
      <c r="T183" s="112"/>
    </row>
    <row r="184" spans="1:20" ht="15" customHeight="1">
      <c r="A184" s="2061"/>
      <c r="B184" s="4272"/>
      <c r="C184" s="4273">
        <v>1.75</v>
      </c>
      <c r="D184" s="2063">
        <v>5</v>
      </c>
      <c r="E184" s="4274">
        <v>9</v>
      </c>
      <c r="F184" s="4275">
        <f>(D184*12+E184)*0.0254</f>
        <v>1.7525999999999999</v>
      </c>
      <c r="G184" s="4276" t="s">
        <v>379</v>
      </c>
      <c r="H184" s="4277"/>
      <c r="I184" s="1877">
        <v>90</v>
      </c>
      <c r="J184" s="1902" t="s">
        <v>380</v>
      </c>
      <c r="K184" s="1876">
        <v>33</v>
      </c>
      <c r="L184" s="4271"/>
      <c r="M184" s="112"/>
      <c r="N184" s="2890" t="s">
        <v>381</v>
      </c>
      <c r="O184" s="4260"/>
      <c r="P184" s="1598">
        <v>10</v>
      </c>
      <c r="Q184" s="1885">
        <f t="shared" si="1"/>
        <v>7.8940000000000001</v>
      </c>
      <c r="R184" s="112"/>
      <c r="S184" s="112"/>
      <c r="T184" s="112"/>
    </row>
    <row r="185" spans="1:20" ht="15" customHeight="1">
      <c r="A185" s="2061"/>
      <c r="B185" s="2301" t="s">
        <v>382</v>
      </c>
      <c r="C185" s="1874" t="s">
        <v>90</v>
      </c>
      <c r="D185" s="1873" t="s">
        <v>383</v>
      </c>
      <c r="E185" s="1872" t="s">
        <v>84</v>
      </c>
      <c r="F185" s="2169"/>
      <c r="G185" s="4278" t="s">
        <v>373</v>
      </c>
      <c r="H185" s="4279"/>
      <c r="I185" s="1600">
        <v>170</v>
      </c>
      <c r="J185" s="1601">
        <v>5</v>
      </c>
      <c r="K185" s="1602">
        <v>7</v>
      </c>
      <c r="L185" s="4271"/>
      <c r="M185" s="112"/>
      <c r="N185" s="4261" t="s">
        <v>384</v>
      </c>
      <c r="O185" s="4260"/>
      <c r="P185" s="1598">
        <v>12.7</v>
      </c>
      <c r="Q185" s="1885">
        <f t="shared" si="1"/>
        <v>10.025379999999998</v>
      </c>
      <c r="R185" s="112"/>
      <c r="S185" s="112"/>
      <c r="T185" s="112"/>
    </row>
    <row r="186" spans="1:20" ht="15" customHeight="1">
      <c r="A186" s="2061"/>
      <c r="B186" s="4280">
        <f>(D186*14+E186)</f>
        <v>172</v>
      </c>
      <c r="C186" s="4281">
        <v>70</v>
      </c>
      <c r="D186" s="2063">
        <v>12</v>
      </c>
      <c r="E186" s="4282">
        <v>4</v>
      </c>
      <c r="F186" s="2169">
        <f>0.454*(14*D186+E186)</f>
        <v>78.088000000000008</v>
      </c>
      <c r="G186" s="4283" t="s">
        <v>385</v>
      </c>
      <c r="H186" s="4284"/>
      <c r="I186" s="1875">
        <f>100*(I184/I185)</f>
        <v>52.941176470588239</v>
      </c>
      <c r="J186" s="1957"/>
      <c r="K186" s="1958">
        <f>100*K184/(12*J185+K185)</f>
        <v>49.253731343283583</v>
      </c>
      <c r="L186" s="4271"/>
      <c r="M186" s="112"/>
      <c r="N186" s="4261" t="s">
        <v>386</v>
      </c>
      <c r="O186" s="4260"/>
      <c r="P186" s="1598">
        <v>12.7</v>
      </c>
      <c r="Q186" s="1885">
        <f t="shared" si="1"/>
        <v>10.025379999999998</v>
      </c>
      <c r="R186" s="2064"/>
      <c r="S186" s="2064"/>
      <c r="T186" s="112"/>
    </row>
    <row r="187" spans="1:20" ht="15" customHeight="1">
      <c r="A187" s="2061"/>
      <c r="B187" s="1811" t="s">
        <v>387</v>
      </c>
      <c r="C187" s="1930">
        <f>C186/(C184^2)</f>
        <v>22.857142857142858</v>
      </c>
      <c r="D187" s="2901">
        <f>F187</f>
        <v>25.422525115161555</v>
      </c>
      <c r="E187" s="2902"/>
      <c r="F187" s="2169">
        <f>F186/(POWER(F184,2))</f>
        <v>25.422525115161555</v>
      </c>
      <c r="G187" s="4285" t="s">
        <v>388</v>
      </c>
      <c r="H187" s="4286"/>
      <c r="I187" s="1603">
        <f>100*(I184/I185)</f>
        <v>52.941176470588239</v>
      </c>
      <c r="J187" s="1604"/>
      <c r="K187" s="1898">
        <f>100*K184/(12*J185+K185)</f>
        <v>49.253731343283583</v>
      </c>
      <c r="L187" s="4271"/>
      <c r="M187" s="112"/>
      <c r="N187" s="4261" t="s">
        <v>389</v>
      </c>
      <c r="O187" s="4260"/>
      <c r="P187" s="1598">
        <v>25</v>
      </c>
      <c r="Q187" s="1885">
        <f t="shared" si="1"/>
        <v>19.734999999999999</v>
      </c>
      <c r="R187" s="2064"/>
      <c r="S187" s="2064"/>
      <c r="T187" s="112"/>
    </row>
    <row r="188" spans="1:20" ht="15" customHeight="1">
      <c r="A188" s="2061"/>
      <c r="B188" s="4287" t="s">
        <v>390</v>
      </c>
      <c r="C188" s="4288" t="s">
        <v>391</v>
      </c>
      <c r="D188" s="2911"/>
      <c r="E188" s="2912"/>
      <c r="F188" s="2170"/>
      <c r="G188" s="2822"/>
      <c r="H188" s="2891" t="s">
        <v>392</v>
      </c>
      <c r="I188" s="2892"/>
      <c r="J188" s="2893"/>
      <c r="K188" s="2822"/>
      <c r="L188" s="4271"/>
      <c r="M188" s="112"/>
      <c r="N188" s="4261" t="s">
        <v>393</v>
      </c>
      <c r="O188" s="4260"/>
      <c r="P188" s="1598">
        <v>12.5</v>
      </c>
      <c r="Q188" s="1885">
        <f t="shared" si="1"/>
        <v>9.8674999999999997</v>
      </c>
      <c r="R188" s="2064"/>
      <c r="S188" s="2064"/>
      <c r="T188" s="112"/>
    </row>
    <row r="189" spans="1:20" ht="15" customHeight="1">
      <c r="A189" s="2061"/>
      <c r="B189" s="4289" t="s">
        <v>394</v>
      </c>
      <c r="C189" s="4290" t="s">
        <v>395</v>
      </c>
      <c r="D189" s="2913"/>
      <c r="E189" s="2914"/>
      <c r="F189" s="2065"/>
      <c r="G189" s="2823"/>
      <c r="H189" s="2894"/>
      <c r="I189" s="2895"/>
      <c r="J189" s="2896"/>
      <c r="K189" s="4291"/>
      <c r="L189" s="4271"/>
      <c r="M189" s="2066"/>
      <c r="N189" s="2890" t="s">
        <v>396</v>
      </c>
      <c r="O189" s="4260"/>
      <c r="P189" s="1598">
        <v>12.7</v>
      </c>
      <c r="Q189" s="1885">
        <f t="shared" si="1"/>
        <v>10.025379999999998</v>
      </c>
      <c r="R189" s="2064"/>
      <c r="S189" s="2064"/>
      <c r="T189" s="112"/>
    </row>
    <row r="190" spans="1:20" ht="15" customHeight="1">
      <c r="A190" s="2061"/>
      <c r="B190" s="4292" t="s">
        <v>397</v>
      </c>
      <c r="C190" s="2851" t="s">
        <v>398</v>
      </c>
      <c r="D190" s="2852"/>
      <c r="E190" s="2853"/>
      <c r="F190" s="2067"/>
      <c r="G190" s="4293" t="s">
        <v>399</v>
      </c>
      <c r="H190" s="2947" t="s">
        <v>400</v>
      </c>
      <c r="I190" s="2948"/>
      <c r="J190" s="2949"/>
      <c r="K190" s="4293" t="s">
        <v>399</v>
      </c>
      <c r="L190" s="4271"/>
      <c r="M190" s="63"/>
      <c r="N190" s="4261" t="s">
        <v>401</v>
      </c>
      <c r="O190" s="4260"/>
      <c r="P190" s="1598">
        <v>12.7</v>
      </c>
      <c r="Q190" s="1885">
        <f t="shared" si="1"/>
        <v>10.025379999999998</v>
      </c>
      <c r="R190" s="2064"/>
      <c r="S190" s="2064"/>
      <c r="T190" s="112"/>
    </row>
    <row r="191" spans="1:20" ht="15" customHeight="1">
      <c r="A191" s="2061"/>
      <c r="B191" s="4294" t="s">
        <v>402</v>
      </c>
      <c r="C191" s="2905" t="s">
        <v>403</v>
      </c>
      <c r="D191" s="2906"/>
      <c r="E191" s="2907"/>
      <c r="F191" s="63"/>
      <c r="G191" s="4295" t="s">
        <v>404</v>
      </c>
      <c r="H191" s="4296" t="s">
        <v>405</v>
      </c>
      <c r="I191" s="2908"/>
      <c r="J191" s="2909"/>
      <c r="K191" s="4293" t="s">
        <v>406</v>
      </c>
      <c r="L191" s="4271"/>
      <c r="M191" s="63"/>
      <c r="N191" s="4261" t="s">
        <v>407</v>
      </c>
      <c r="O191" s="4260"/>
      <c r="P191" s="1598">
        <v>17.7</v>
      </c>
      <c r="Q191" s="1885">
        <f t="shared" si="1"/>
        <v>13.972379999999999</v>
      </c>
      <c r="R191" s="2064"/>
      <c r="S191" s="2064"/>
      <c r="T191" s="112"/>
    </row>
    <row r="192" spans="1:20" ht="15" customHeight="1">
      <c r="A192" s="2061"/>
      <c r="B192" s="4297" t="s">
        <v>408</v>
      </c>
      <c r="C192" s="4297"/>
      <c r="D192" s="4297"/>
      <c r="E192" s="4297"/>
      <c r="F192" s="2068"/>
      <c r="G192" s="4298" t="s">
        <v>409</v>
      </c>
      <c r="H192" s="4299" t="s">
        <v>410</v>
      </c>
      <c r="I192" s="2897"/>
      <c r="J192" s="2898"/>
      <c r="K192" s="4298" t="s">
        <v>411</v>
      </c>
      <c r="L192" s="4271"/>
      <c r="M192" s="63"/>
      <c r="N192" s="4300" t="s">
        <v>412</v>
      </c>
      <c r="O192" s="4301"/>
      <c r="P192" s="2069">
        <v>10</v>
      </c>
      <c r="Q192" s="1885">
        <f t="shared" si="1"/>
        <v>7.8940000000000001</v>
      </c>
      <c r="R192" s="2064"/>
      <c r="S192" s="2064"/>
      <c r="T192" s="112"/>
    </row>
    <row r="193" spans="1:20" ht="15" customHeight="1">
      <c r="A193" s="112"/>
      <c r="B193" s="1909"/>
      <c r="C193" s="1909"/>
      <c r="D193" s="1909"/>
      <c r="E193" s="1909"/>
      <c r="F193" s="1611"/>
      <c r="G193" s="4298" t="s">
        <v>413</v>
      </c>
      <c r="H193" s="4299" t="s">
        <v>414</v>
      </c>
      <c r="I193" s="2897"/>
      <c r="J193" s="2898"/>
      <c r="K193" s="4298" t="s">
        <v>415</v>
      </c>
      <c r="L193" s="4271"/>
      <c r="M193" s="112"/>
      <c r="N193" s="2910" t="s">
        <v>416</v>
      </c>
      <c r="O193" s="4302"/>
      <c r="P193" s="1865">
        <v>17.7</v>
      </c>
      <c r="Q193" s="1885">
        <f t="shared" si="1"/>
        <v>13.972379999999999</v>
      </c>
      <c r="R193" s="2064"/>
      <c r="S193" s="2064"/>
      <c r="T193" s="112"/>
    </row>
    <row r="194" spans="1:20" ht="15" customHeight="1">
      <c r="A194" s="112"/>
      <c r="B194" s="1612"/>
      <c r="C194" s="1909"/>
      <c r="D194" s="1909"/>
      <c r="E194" s="1909"/>
      <c r="F194" s="1909"/>
      <c r="G194" s="4303" t="s">
        <v>417</v>
      </c>
      <c r="H194" s="4304" t="s">
        <v>418</v>
      </c>
      <c r="I194" s="2899"/>
      <c r="J194" s="2900"/>
      <c r="K194" s="4305" t="s">
        <v>419</v>
      </c>
      <c r="L194" s="4271"/>
      <c r="M194" s="112"/>
      <c r="N194" s="2859" t="s">
        <v>420</v>
      </c>
      <c r="O194" s="2860"/>
      <c r="P194" s="1619">
        <v>0</v>
      </c>
      <c r="Q194" s="1885">
        <f t="shared" si="1"/>
        <v>0</v>
      </c>
      <c r="R194" s="2064"/>
      <c r="S194" s="2064"/>
      <c r="T194" s="112"/>
    </row>
    <row r="195" spans="1:20" ht="15" customHeight="1">
      <c r="A195" s="112"/>
      <c r="B195" s="1532"/>
      <c r="C195" s="1532"/>
      <c r="D195" s="1532"/>
      <c r="E195" s="1532"/>
      <c r="F195" s="1909"/>
      <c r="G195" s="4306" t="s">
        <v>421</v>
      </c>
      <c r="H195" s="4307" t="s">
        <v>422</v>
      </c>
      <c r="I195" s="2854"/>
      <c r="J195" s="2855"/>
      <c r="K195" s="4306" t="s">
        <v>423</v>
      </c>
      <c r="L195" s="4271"/>
      <c r="M195" s="112"/>
      <c r="N195" s="2859" t="s">
        <v>424</v>
      </c>
      <c r="O195" s="2860"/>
      <c r="P195" s="1619">
        <v>0</v>
      </c>
      <c r="Q195" s="1885">
        <f t="shared" si="1"/>
        <v>0</v>
      </c>
      <c r="R195" s="2064"/>
      <c r="S195" s="2064"/>
      <c r="T195" s="112"/>
    </row>
    <row r="196" spans="1:20" ht="15" customHeight="1">
      <c r="A196" s="112"/>
      <c r="B196" s="1532"/>
      <c r="C196" s="1532"/>
      <c r="D196" s="1532"/>
      <c r="E196" s="1532"/>
      <c r="F196" s="1909"/>
      <c r="G196" s="4308" t="s">
        <v>425</v>
      </c>
      <c r="H196" s="2856" t="s">
        <v>426</v>
      </c>
      <c r="I196" s="2857"/>
      <c r="J196" s="2858"/>
      <c r="K196" s="4308" t="s">
        <v>427</v>
      </c>
      <c r="L196" s="4271"/>
      <c r="M196" s="2070"/>
      <c r="N196" s="2859" t="s">
        <v>428</v>
      </c>
      <c r="O196" s="2860"/>
      <c r="P196" s="1619">
        <v>0</v>
      </c>
      <c r="Q196" s="1885">
        <f t="shared" ref="Q196:Q198" si="2">P196*P$207/1000</f>
        <v>0</v>
      </c>
      <c r="R196" s="2064"/>
      <c r="S196" s="2064"/>
      <c r="T196" s="112"/>
    </row>
    <row r="197" spans="1:20" ht="15" customHeight="1">
      <c r="A197" s="112"/>
      <c r="B197" s="1532"/>
      <c r="C197" s="1532"/>
      <c r="D197" s="1532"/>
      <c r="E197" s="1532"/>
      <c r="F197" s="1532"/>
      <c r="G197" s="1532"/>
      <c r="H197" s="1532"/>
      <c r="I197" s="1532"/>
      <c r="J197" s="1532"/>
      <c r="K197" s="1532"/>
      <c r="L197" s="2071"/>
      <c r="M197" s="63"/>
      <c r="N197" s="2859" t="s">
        <v>429</v>
      </c>
      <c r="O197" s="2860"/>
      <c r="P197" s="1619">
        <v>0</v>
      </c>
      <c r="Q197" s="1885">
        <f t="shared" si="2"/>
        <v>0</v>
      </c>
      <c r="R197" s="1622"/>
      <c r="S197" s="1622"/>
      <c r="T197" s="112"/>
    </row>
    <row r="198" spans="1:20" ht="15" customHeight="1">
      <c r="A198" s="112"/>
      <c r="B198" s="1553"/>
      <c r="C198" s="1553"/>
      <c r="D198" s="1553"/>
      <c r="E198" s="1553"/>
      <c r="F198" s="1553"/>
      <c r="G198" s="1553"/>
      <c r="H198" s="1553"/>
      <c r="I198" s="1553"/>
      <c r="J198" s="1553"/>
      <c r="K198" s="1553"/>
      <c r="L198" s="1553"/>
      <c r="M198" s="63"/>
      <c r="N198" s="2859" t="s">
        <v>430</v>
      </c>
      <c r="O198" s="2860"/>
      <c r="P198" s="1619">
        <v>0</v>
      </c>
      <c r="Q198" s="1885">
        <f t="shared" si="2"/>
        <v>0</v>
      </c>
      <c r="R198" s="1622"/>
      <c r="S198" s="1622"/>
      <c r="T198" s="112"/>
    </row>
    <row r="199" spans="1:20" ht="15" customHeight="1">
      <c r="A199" s="112"/>
      <c r="B199" s="1613" t="s">
        <v>431</v>
      </c>
      <c r="C199" s="2207" t="s">
        <v>377</v>
      </c>
      <c r="D199" s="4132" t="s">
        <v>432</v>
      </c>
      <c r="E199" s="4132" t="s">
        <v>433</v>
      </c>
      <c r="F199" s="1553"/>
      <c r="G199" s="1614" t="s">
        <v>146</v>
      </c>
      <c r="H199" s="2199" t="s">
        <v>375</v>
      </c>
      <c r="I199" s="2750" t="s">
        <v>434</v>
      </c>
      <c r="J199" s="4132" t="s">
        <v>432</v>
      </c>
      <c r="K199" s="2302" t="s">
        <v>377</v>
      </c>
      <c r="L199" s="63"/>
      <c r="M199" s="63"/>
      <c r="N199" s="2859" t="s">
        <v>435</v>
      </c>
      <c r="O199" s="2860"/>
      <c r="P199" s="1619">
        <v>0</v>
      </c>
      <c r="Q199" s="1885">
        <f t="shared" si="1"/>
        <v>0</v>
      </c>
      <c r="R199" s="1622"/>
      <c r="S199" s="1622"/>
      <c r="T199" s="112"/>
    </row>
    <row r="200" spans="1:20" ht="15" customHeight="1">
      <c r="A200" s="112"/>
      <c r="B200" s="140"/>
      <c r="C200" s="2303">
        <v>175</v>
      </c>
      <c r="D200" s="2304">
        <f>FIXED(C200*39.37,-1)/100</f>
        <v>68.900000000000006</v>
      </c>
      <c r="E200" s="1732" t="str">
        <f>INT(C200*39.37/1200)&amp;" ft  "&amp;FIXED(MOD(C200*39.37,1200)/100,1)&amp;" in"</f>
        <v>5 ft  8.9 in</v>
      </c>
      <c r="F200" s="1553"/>
      <c r="G200" s="140"/>
      <c r="H200" s="2245">
        <v>5</v>
      </c>
      <c r="I200" s="2751">
        <v>9</v>
      </c>
      <c r="J200" s="4132">
        <f>(H200*12+I200)</f>
        <v>69</v>
      </c>
      <c r="K200" s="2220">
        <f>(H200*12+I200)*2.54</f>
        <v>175.26</v>
      </c>
      <c r="L200" s="63"/>
      <c r="M200" s="140"/>
      <c r="N200" s="2859" t="s">
        <v>436</v>
      </c>
      <c r="O200" s="2860"/>
      <c r="P200" s="1619">
        <v>0</v>
      </c>
      <c r="Q200" s="1885">
        <f t="shared" si="1"/>
        <v>0</v>
      </c>
      <c r="R200" s="1622"/>
      <c r="S200" s="1622"/>
      <c r="T200" s="112"/>
    </row>
    <row r="201" spans="1:20" ht="15" customHeight="1">
      <c r="A201" s="114"/>
      <c r="B201" s="1411"/>
      <c r="C201" s="1411"/>
      <c r="D201" s="1411"/>
      <c r="E201" s="1411"/>
      <c r="F201" s="70"/>
      <c r="G201" s="1411"/>
      <c r="H201" s="1411"/>
      <c r="I201" s="1411"/>
      <c r="J201" s="1411"/>
      <c r="K201" s="1411"/>
      <c r="L201" s="73"/>
      <c r="M201" s="140"/>
      <c r="N201" s="2859" t="s">
        <v>437</v>
      </c>
      <c r="O201" s="2860"/>
      <c r="P201" s="1619">
        <v>0</v>
      </c>
      <c r="Q201" s="1885">
        <f t="shared" si="1"/>
        <v>0</v>
      </c>
      <c r="R201" s="1622"/>
      <c r="S201" s="1622"/>
      <c r="T201" s="112"/>
    </row>
    <row r="202" spans="1:20" ht="15" customHeight="1">
      <c r="A202" s="114"/>
      <c r="B202" s="1615" t="s">
        <v>438</v>
      </c>
      <c r="C202" s="4132" t="s">
        <v>439</v>
      </c>
      <c r="D202" s="2915" t="s">
        <v>92</v>
      </c>
      <c r="E202" s="4141"/>
      <c r="F202" s="4139"/>
      <c r="G202" s="1411"/>
      <c r="H202" s="1726" t="s">
        <v>85</v>
      </c>
      <c r="I202" s="4138" t="s">
        <v>86</v>
      </c>
      <c r="J202" s="2915" t="s">
        <v>87</v>
      </c>
      <c r="K202" s="4139"/>
      <c r="L202" s="73"/>
      <c r="M202" s="1909"/>
      <c r="N202" s="2859" t="s">
        <v>440</v>
      </c>
      <c r="O202" s="2860"/>
      <c r="P202" s="1619">
        <v>0</v>
      </c>
      <c r="Q202" s="1885">
        <f t="shared" si="1"/>
        <v>0</v>
      </c>
      <c r="R202" s="72"/>
      <c r="S202" s="1622"/>
      <c r="T202" s="112"/>
    </row>
    <row r="203" spans="1:20" ht="15" customHeight="1">
      <c r="A203" s="114"/>
      <c r="B203" s="1411"/>
      <c r="C203" s="4134">
        <v>4.423</v>
      </c>
      <c r="D203" s="2282">
        <f>16*E203</f>
        <v>156.01410934744268</v>
      </c>
      <c r="E203" s="1731">
        <f>C203/(0.4536)</f>
        <v>9.7508818342151677</v>
      </c>
      <c r="F203" s="2220" t="str">
        <f>INT(D203/16)&amp;" lb. "&amp;FIXED(D203-16*INT(D203/16))</f>
        <v>9 lb. 12.01</v>
      </c>
      <c r="G203" s="1411"/>
      <c r="H203" s="1728">
        <v>11</v>
      </c>
      <c r="I203" s="4140">
        <v>7</v>
      </c>
      <c r="J203" s="2210">
        <f>1000*(H203+I203/16)*0.4536</f>
        <v>5188.05</v>
      </c>
      <c r="K203" s="4133">
        <f>J203/1000</f>
        <v>5.1880500000000005</v>
      </c>
      <c r="L203" s="73"/>
      <c r="M203" s="1909"/>
      <c r="N203" s="2859" t="s">
        <v>441</v>
      </c>
      <c r="O203" s="2860"/>
      <c r="P203" s="1619">
        <v>0</v>
      </c>
      <c r="Q203" s="1885">
        <f t="shared" si="1"/>
        <v>0</v>
      </c>
      <c r="R203" s="72"/>
      <c r="S203" s="1622"/>
      <c r="T203" s="112"/>
    </row>
    <row r="204" spans="1:20" ht="15" customHeight="1">
      <c r="A204" s="114"/>
      <c r="B204" s="1411"/>
      <c r="C204" s="1411"/>
      <c r="D204" s="1411"/>
      <c r="E204" s="1411"/>
      <c r="F204" s="1411"/>
      <c r="G204" s="1411"/>
      <c r="H204" s="1411"/>
      <c r="I204" s="1411"/>
      <c r="J204" s="1411"/>
      <c r="K204" s="1411"/>
      <c r="L204" s="1411"/>
      <c r="M204" s="1909"/>
      <c r="N204" s="2859" t="s">
        <v>442</v>
      </c>
      <c r="O204" s="2860"/>
      <c r="P204" s="1619">
        <v>0</v>
      </c>
      <c r="Q204" s="1885">
        <f t="shared" si="1"/>
        <v>0</v>
      </c>
      <c r="R204" s="72"/>
      <c r="S204" s="1622"/>
      <c r="T204" s="112"/>
    </row>
    <row r="205" spans="1:20" ht="15" customHeight="1">
      <c r="A205" s="2843" t="s">
        <v>30</v>
      </c>
      <c r="B205" s="2843"/>
      <c r="C205" s="1616"/>
      <c r="D205" s="1616"/>
      <c r="E205" s="1616"/>
      <c r="F205" s="1616"/>
      <c r="G205" s="73"/>
      <c r="H205" s="1616"/>
      <c r="I205" s="73"/>
      <c r="J205" s="1616"/>
      <c r="K205" s="73"/>
      <c r="L205" s="1616"/>
      <c r="M205" s="1909"/>
      <c r="N205" s="4309" t="s">
        <v>443</v>
      </c>
      <c r="O205" s="4310"/>
      <c r="P205" s="1620">
        <v>0</v>
      </c>
      <c r="Q205" s="1885">
        <f t="shared" si="1"/>
        <v>0</v>
      </c>
      <c r="R205" s="72"/>
      <c r="S205" s="1622"/>
      <c r="T205" s="112"/>
    </row>
    <row r="206" spans="1:20" ht="15" customHeight="1">
      <c r="A206" s="73"/>
      <c r="B206" s="73"/>
      <c r="C206" s="2235" t="s">
        <v>202</v>
      </c>
      <c r="D206" s="2844" t="s">
        <v>444</v>
      </c>
      <c r="E206" s="2845"/>
      <c r="F206" s="73"/>
      <c r="G206" s="73"/>
      <c r="H206" s="73"/>
      <c r="I206" s="73"/>
      <c r="J206" s="73"/>
      <c r="K206" s="73"/>
      <c r="L206" s="73"/>
      <c r="M206" s="1909"/>
      <c r="N206" s="2840" t="s">
        <v>445</v>
      </c>
      <c r="O206" s="4150"/>
      <c r="P206" s="1899" t="s">
        <v>446</v>
      </c>
      <c r="Q206" s="2041"/>
      <c r="R206" s="1623"/>
      <c r="S206" s="1622"/>
      <c r="T206" s="112"/>
    </row>
    <row r="207" spans="1:20" ht="15" customHeight="1">
      <c r="A207" s="63"/>
      <c r="B207" s="63"/>
      <c r="C207" s="2245">
        <v>3.6</v>
      </c>
      <c r="D207" s="2879" t="str">
        <f>FIXED((-0.00074*(2*C207)^2.1-0.182*C207*2),2)&amp;" °C ("&amp;FIXED(((((-0.00074*(2*C207)^2.1-0.182*C207*2)+40)*9/5)-40),1)&amp;"°F)"</f>
        <v>-1.36 °C (29.6°F)</v>
      </c>
      <c r="E207" s="2880"/>
      <c r="F207" s="4311" t="s">
        <v>447</v>
      </c>
      <c r="G207" s="2850"/>
      <c r="H207" s="2850"/>
      <c r="I207" s="2850"/>
      <c r="J207" s="2850"/>
      <c r="K207" s="73"/>
      <c r="L207" s="73"/>
      <c r="M207" s="1909"/>
      <c r="N207" s="4220"/>
      <c r="O207" s="4312"/>
      <c r="P207" s="1889">
        <v>789.4</v>
      </c>
      <c r="Q207" s="2138" t="s">
        <v>448</v>
      </c>
      <c r="R207" s="1624"/>
      <c r="S207" s="1622"/>
      <c r="T207" s="112"/>
    </row>
    <row r="208" spans="1:20" ht="15" customHeight="1">
      <c r="A208" s="1624"/>
      <c r="B208" s="1624"/>
      <c r="C208" s="1624"/>
      <c r="D208" s="1624"/>
      <c r="E208" s="1624"/>
      <c r="F208" s="1624"/>
      <c r="G208" s="1624"/>
      <c r="H208" s="1624"/>
      <c r="I208" s="1624"/>
      <c r="J208" s="1624"/>
      <c r="K208" s="1624"/>
      <c r="L208" s="1624"/>
      <c r="M208" s="1624"/>
      <c r="N208" s="1624"/>
      <c r="O208" s="1624"/>
      <c r="P208" s="1624"/>
      <c r="Q208" s="1624"/>
      <c r="R208" s="1624"/>
      <c r="S208" s="1622"/>
      <c r="T208" s="112"/>
    </row>
    <row r="209" spans="1:20" ht="15" customHeight="1">
      <c r="A209" s="112"/>
      <c r="B209" s="112"/>
      <c r="C209" s="114"/>
      <c r="D209" s="114"/>
      <c r="E209" s="114"/>
      <c r="F209" s="114"/>
      <c r="G209" s="114"/>
      <c r="H209" s="114"/>
      <c r="I209" s="114"/>
      <c r="J209" s="73"/>
      <c r="K209" s="73"/>
      <c r="L209" s="73"/>
      <c r="M209" s="1900"/>
      <c r="N209" s="2072"/>
      <c r="O209" s="1621"/>
      <c r="P209" s="1621"/>
      <c r="Q209" s="1623"/>
      <c r="R209" s="1625"/>
      <c r="S209" s="1622"/>
      <c r="T209" s="112"/>
    </row>
    <row r="210" spans="1:20" ht="15" customHeight="1">
      <c r="A210" s="2883" t="s">
        <v>449</v>
      </c>
      <c r="B210" s="2883"/>
      <c r="C210" s="2883"/>
      <c r="D210" s="2883"/>
      <c r="E210" s="70"/>
      <c r="F210" s="2040" t="s">
        <v>450</v>
      </c>
      <c r="G210" s="1533"/>
      <c r="H210" s="114"/>
      <c r="I210" s="114"/>
      <c r="J210" s="73"/>
      <c r="K210" s="2073"/>
      <c r="L210" s="1597"/>
      <c r="M210" s="1622"/>
      <c r="N210" s="2826"/>
      <c r="O210" s="2826"/>
      <c r="P210" s="2826"/>
      <c r="Q210" s="1623"/>
      <c r="R210" s="1625"/>
      <c r="S210" s="1622"/>
      <c r="T210" s="112"/>
    </row>
    <row r="211" spans="1:20" ht="15" customHeight="1">
      <c r="A211" s="67"/>
      <c r="B211" s="2903" t="s">
        <v>451</v>
      </c>
      <c r="C211" s="2904"/>
      <c r="D211" s="2305" t="s">
        <v>452</v>
      </c>
      <c r="E211" s="2074"/>
      <c r="F211" s="2074"/>
      <c r="G211" s="114"/>
      <c r="H211" s="114"/>
      <c r="I211" s="114"/>
      <c r="J211" s="73"/>
      <c r="K211" s="2074"/>
      <c r="L211" s="1584"/>
      <c r="M211" s="1622"/>
      <c r="N211" s="2826"/>
      <c r="O211" s="2826"/>
      <c r="P211" s="2826"/>
      <c r="Q211" s="1623"/>
      <c r="R211" s="1901"/>
      <c r="S211" s="1622"/>
      <c r="T211" s="112"/>
    </row>
    <row r="212" spans="1:20" ht="15" customHeight="1">
      <c r="A212" s="67"/>
      <c r="B212" s="2919" t="s">
        <v>453</v>
      </c>
      <c r="C212" s="2920"/>
      <c r="D212" s="2306" t="s">
        <v>454</v>
      </c>
      <c r="E212" s="2068"/>
      <c r="F212" s="2075"/>
      <c r="G212" s="2066"/>
      <c r="H212" s="2066"/>
      <c r="I212" s="2066"/>
      <c r="J212" s="2076"/>
      <c r="K212" s="2077"/>
      <c r="L212" s="1584"/>
      <c r="M212" s="1622"/>
      <c r="N212" s="2826"/>
      <c r="O212" s="2826"/>
      <c r="P212" s="2826"/>
      <c r="Q212" s="1623"/>
      <c r="R212" s="1625"/>
      <c r="S212" s="147"/>
      <c r="T212" s="112"/>
    </row>
    <row r="213" spans="1:20" ht="15" customHeight="1">
      <c r="A213" s="112"/>
      <c r="B213" s="2837" t="s">
        <v>455</v>
      </c>
      <c r="C213" s="2838"/>
      <c r="D213" s="1617" t="s">
        <v>456</v>
      </c>
      <c r="E213" s="2068"/>
      <c r="F213" s="2066"/>
      <c r="G213" s="2078">
        <f>C83*P207/1000</f>
        <v>31.576000000000001</v>
      </c>
      <c r="H213" s="2079">
        <f>G213+(100-C83)</f>
        <v>91.575999999999993</v>
      </c>
      <c r="I213" s="2079">
        <f>(E83)/(C83)</f>
        <v>0.862016248798812</v>
      </c>
      <c r="J213" s="2076"/>
      <c r="K213" s="2077"/>
      <c r="L213" s="2080"/>
      <c r="M213" s="1622"/>
      <c r="N213" s="2826"/>
      <c r="O213" s="2826"/>
      <c r="P213" s="2826"/>
      <c r="Q213" s="1623"/>
      <c r="R213" s="1901"/>
      <c r="S213" s="147"/>
      <c r="T213" s="112"/>
    </row>
    <row r="214" spans="1:20" ht="15" customHeight="1">
      <c r="A214" s="112"/>
      <c r="B214" s="2837" t="s">
        <v>457</v>
      </c>
      <c r="C214" s="2838"/>
      <c r="D214" s="1759" t="s">
        <v>458</v>
      </c>
      <c r="E214" s="2068"/>
      <c r="F214" s="2066"/>
      <c r="G214" s="2079">
        <f>H83*P207/1000</f>
        <v>31.576000000000001</v>
      </c>
      <c r="H214" s="2079">
        <f>G214+(100-H83)</f>
        <v>91.575999999999993</v>
      </c>
      <c r="I214" s="2079">
        <f>(J83)/(H83)</f>
        <v>0.862016248798812</v>
      </c>
      <c r="J214" s="2076"/>
      <c r="K214" s="2081"/>
      <c r="L214" s="2080"/>
      <c r="M214" s="1622"/>
      <c r="N214" s="2826"/>
      <c r="O214" s="2826"/>
      <c r="P214" s="2826"/>
      <c r="Q214" s="1623"/>
      <c r="R214" s="1625"/>
      <c r="S214" s="147"/>
      <c r="T214" s="112"/>
    </row>
    <row r="215" spans="1:20" ht="15" customHeight="1">
      <c r="A215" s="112"/>
      <c r="B215" s="2837" t="s">
        <v>459</v>
      </c>
      <c r="C215" s="2838"/>
      <c r="D215" s="1617" t="s">
        <v>460</v>
      </c>
      <c r="E215" s="2068"/>
      <c r="F215" s="2066"/>
      <c r="G215" s="2082">
        <f>C86*P207/1000</f>
        <v>33.154799999999994</v>
      </c>
      <c r="H215" s="2082">
        <f>G215+(100-C86)</f>
        <v>91.154799999999994</v>
      </c>
      <c r="I215" s="2082">
        <f>(D86)/(C86)</f>
        <v>0.8659993768841574</v>
      </c>
      <c r="J215" s="2076"/>
      <c r="K215" s="2083"/>
      <c r="L215" s="2080"/>
      <c r="M215" s="1622"/>
      <c r="N215" s="2826"/>
      <c r="O215" s="2826"/>
      <c r="P215" s="2826"/>
      <c r="Q215" s="1623"/>
      <c r="R215" s="1901"/>
      <c r="S215" s="147"/>
      <c r="T215" s="112"/>
    </row>
    <row r="216" spans="1:20" ht="15" customHeight="1">
      <c r="A216" s="112"/>
      <c r="B216" s="2837" t="s">
        <v>461</v>
      </c>
      <c r="C216" s="2838"/>
      <c r="D216" s="1759" t="s">
        <v>462</v>
      </c>
      <c r="E216" s="2068"/>
      <c r="F216" s="2066"/>
      <c r="G216" s="2082">
        <f>J86*P207/1000</f>
        <v>4.4206399999999997</v>
      </c>
      <c r="H216" s="2082">
        <f>G216+(100-J86)</f>
        <v>98.820640000000012</v>
      </c>
      <c r="I216" s="2082">
        <f>I217/(J86+0.00000001)</f>
        <v>0.79882097362489968</v>
      </c>
      <c r="J216" s="2076"/>
      <c r="K216" s="2083"/>
      <c r="L216" s="2080"/>
      <c r="M216" s="1622"/>
      <c r="N216" s="2826"/>
      <c r="O216" s="2826"/>
      <c r="P216" s="2826"/>
      <c r="Q216" s="1623"/>
      <c r="R216" s="1625"/>
      <c r="S216" s="147"/>
      <c r="T216" s="112"/>
    </row>
    <row r="217" spans="1:20" ht="15" customHeight="1">
      <c r="A217" s="112"/>
      <c r="B217" s="2837" t="s">
        <v>463</v>
      </c>
      <c r="C217" s="2838"/>
      <c r="D217" s="1617" t="s">
        <v>464</v>
      </c>
      <c r="E217" s="2068"/>
      <c r="F217" s="2066"/>
      <c r="G217" s="2082">
        <f>K86*P207/1000</f>
        <v>5.5339557806055168</v>
      </c>
      <c r="H217" s="2082">
        <f>G217+(100-J86)</f>
        <v>99.933955780605515</v>
      </c>
      <c r="I217" s="1815">
        <f>100*G216/H216</f>
        <v>4.4733974602876474</v>
      </c>
      <c r="J217" s="2076"/>
      <c r="K217" s="2083"/>
      <c r="L217" s="2084"/>
      <c r="M217" s="1622"/>
      <c r="N217" s="2826"/>
      <c r="O217" s="2826"/>
      <c r="P217" s="2826"/>
      <c r="Q217" s="1623"/>
      <c r="R217" s="1901"/>
      <c r="S217" s="147"/>
      <c r="T217" s="112"/>
    </row>
    <row r="218" spans="1:20" ht="15" customHeight="1">
      <c r="A218" s="112"/>
      <c r="B218" s="2837" t="s">
        <v>465</v>
      </c>
      <c r="C218" s="2838"/>
      <c r="D218" s="1617">
        <v>10</v>
      </c>
      <c r="E218" s="2068"/>
      <c r="F218" s="112"/>
      <c r="G218" s="1584"/>
      <c r="H218" s="1584"/>
      <c r="I218" s="1814">
        <f>G182</f>
        <v>29836.113645925296</v>
      </c>
      <c r="J218" s="2076"/>
      <c r="K218" s="2083"/>
      <c r="L218" s="2084"/>
      <c r="M218" s="1622"/>
      <c r="N218" s="2826"/>
      <c r="O218" s="2826"/>
      <c r="P218" s="2826"/>
      <c r="Q218" s="1623"/>
      <c r="R218" s="1625"/>
      <c r="S218" s="147"/>
      <c r="T218" s="112"/>
    </row>
    <row r="219" spans="1:20" ht="15" customHeight="1">
      <c r="A219" s="112"/>
      <c r="B219" s="2837" t="s">
        <v>466</v>
      </c>
      <c r="C219" s="2838"/>
      <c r="D219" s="1617" t="s">
        <v>462</v>
      </c>
      <c r="E219" s="2068"/>
      <c r="F219" s="112"/>
      <c r="G219" s="2066"/>
      <c r="H219" s="2066"/>
      <c r="I219" s="2066"/>
      <c r="J219" s="2076"/>
      <c r="K219" s="2083"/>
      <c r="L219" s="2084"/>
      <c r="M219" s="1622"/>
      <c r="N219" s="2826"/>
      <c r="O219" s="2826"/>
      <c r="P219" s="2826"/>
      <c r="Q219" s="1623"/>
      <c r="R219" s="1901"/>
      <c r="S219" s="147"/>
      <c r="T219" s="112"/>
    </row>
    <row r="220" spans="1:20" ht="15" customHeight="1">
      <c r="A220" s="112"/>
      <c r="B220" s="2837" t="s">
        <v>467</v>
      </c>
      <c r="C220" s="2838"/>
      <c r="D220" s="1617" t="s">
        <v>454</v>
      </c>
      <c r="E220" s="2068"/>
      <c r="F220" s="112"/>
      <c r="G220" s="2066"/>
      <c r="H220" s="2066"/>
      <c r="I220" s="2066"/>
      <c r="J220" s="2076"/>
      <c r="K220" s="2083"/>
      <c r="L220" s="2084"/>
      <c r="M220" s="1622"/>
      <c r="N220" s="2826"/>
      <c r="O220" s="2826"/>
      <c r="P220" s="2826"/>
      <c r="Q220" s="1623"/>
      <c r="R220" s="1625"/>
      <c r="S220" s="147"/>
      <c r="T220" s="112"/>
    </row>
    <row r="221" spans="1:20" ht="15" customHeight="1">
      <c r="A221" s="112"/>
      <c r="B221" s="2837" t="s">
        <v>468</v>
      </c>
      <c r="C221" s="2838"/>
      <c r="D221" s="1617">
        <v>9</v>
      </c>
      <c r="E221" s="2068"/>
      <c r="F221" s="112"/>
      <c r="G221" s="2066"/>
      <c r="H221" s="2066"/>
      <c r="I221" s="2066"/>
      <c r="J221" s="2076"/>
      <c r="K221" s="2083"/>
      <c r="L221" s="2084"/>
      <c r="M221" s="1622"/>
      <c r="N221" s="2826"/>
      <c r="O221" s="2826"/>
      <c r="P221" s="2826"/>
      <c r="Q221" s="1623"/>
      <c r="R221" s="1901"/>
      <c r="S221" s="147"/>
      <c r="T221" s="112"/>
    </row>
    <row r="222" spans="1:20" ht="15" customHeight="1">
      <c r="A222" s="112"/>
      <c r="B222" s="2837" t="s">
        <v>469</v>
      </c>
      <c r="C222" s="2838"/>
      <c r="D222" s="1617" t="s">
        <v>462</v>
      </c>
      <c r="E222" s="2068"/>
      <c r="F222" s="112"/>
      <c r="G222" s="114"/>
      <c r="H222" s="2085"/>
      <c r="I222" s="1812"/>
      <c r="J222" s="2086"/>
      <c r="K222" s="2083"/>
      <c r="L222" s="2084"/>
      <c r="M222" s="1622"/>
      <c r="N222" s="2826"/>
      <c r="O222" s="2826"/>
      <c r="P222" s="2826"/>
      <c r="Q222" s="1623"/>
      <c r="R222" s="1625"/>
      <c r="S222" s="147"/>
      <c r="T222" s="112"/>
    </row>
    <row r="223" spans="1:20" ht="15" customHeight="1">
      <c r="A223" s="112"/>
      <c r="B223" s="2837" t="s">
        <v>470</v>
      </c>
      <c r="C223" s="2838"/>
      <c r="D223" s="1617" t="s">
        <v>471</v>
      </c>
      <c r="E223" s="2068"/>
      <c r="F223" s="112"/>
      <c r="G223" s="2087"/>
      <c r="H223" s="2087"/>
      <c r="I223" s="1813"/>
      <c r="J223" s="2086"/>
      <c r="K223" s="2083"/>
      <c r="L223" s="2084"/>
      <c r="M223" s="1622"/>
      <c r="N223" s="2826"/>
      <c r="O223" s="2826"/>
      <c r="P223" s="2826"/>
      <c r="Q223" s="1623"/>
      <c r="R223" s="1901"/>
      <c r="S223" s="147"/>
      <c r="T223" s="112"/>
    </row>
    <row r="224" spans="1:20" ht="15" customHeight="1">
      <c r="A224" s="112"/>
      <c r="B224" s="2837" t="s">
        <v>472</v>
      </c>
      <c r="C224" s="2838"/>
      <c r="D224" s="1617">
        <v>9</v>
      </c>
      <c r="E224" s="2068"/>
      <c r="F224" s="112"/>
      <c r="G224" s="2087"/>
      <c r="H224" s="2087"/>
      <c r="I224" s="70"/>
      <c r="J224" s="2086"/>
      <c r="K224" s="2083"/>
      <c r="L224" s="2084"/>
      <c r="M224" s="1622"/>
      <c r="N224" s="2826"/>
      <c r="O224" s="2826"/>
      <c r="P224" s="2826"/>
      <c r="Q224" s="1623"/>
      <c r="R224" s="1625"/>
      <c r="S224" s="147"/>
      <c r="T224" s="112"/>
    </row>
    <row r="225" spans="1:20" ht="15" customHeight="1">
      <c r="A225" s="112"/>
      <c r="B225" s="2837" t="s">
        <v>473</v>
      </c>
      <c r="C225" s="2838"/>
      <c r="D225" s="1617" t="s">
        <v>474</v>
      </c>
      <c r="E225" s="2068"/>
      <c r="F225" s="112"/>
      <c r="G225" s="2083"/>
      <c r="H225" s="2083"/>
      <c r="I225" s="2083"/>
      <c r="J225" s="2083"/>
      <c r="K225" s="2083"/>
      <c r="L225" s="2084"/>
      <c r="M225" s="1622"/>
      <c r="N225" s="2826"/>
      <c r="O225" s="2826"/>
      <c r="P225" s="2826"/>
      <c r="Q225" s="1623"/>
      <c r="R225" s="1901"/>
      <c r="S225" s="147"/>
      <c r="T225" s="112"/>
    </row>
    <row r="226" spans="1:20" ht="15" customHeight="1">
      <c r="A226" s="112"/>
      <c r="B226" s="2837" t="s">
        <v>475</v>
      </c>
      <c r="C226" s="2838"/>
      <c r="D226" s="1617" t="s">
        <v>476</v>
      </c>
      <c r="E226" s="2068"/>
      <c r="F226" s="112"/>
      <c r="G226" s="2083"/>
      <c r="H226" s="2083"/>
      <c r="I226" s="2083"/>
      <c r="J226" s="2083"/>
      <c r="K226" s="2083"/>
      <c r="L226" s="2088"/>
      <c r="M226" s="1622"/>
      <c r="N226" s="2826"/>
      <c r="O226" s="2826"/>
      <c r="P226" s="2826"/>
      <c r="Q226" s="1623"/>
      <c r="R226" s="1625"/>
      <c r="S226" s="147"/>
      <c r="T226" s="112"/>
    </row>
    <row r="227" spans="1:20" ht="15" customHeight="1">
      <c r="A227" s="112"/>
      <c r="B227" s="2837" t="s">
        <v>477</v>
      </c>
      <c r="C227" s="2838"/>
      <c r="D227" s="1617" t="s">
        <v>460</v>
      </c>
      <c r="E227" s="112"/>
      <c r="F227" s="112"/>
      <c r="G227" s="2083"/>
      <c r="H227" s="2083"/>
      <c r="I227" s="2083"/>
      <c r="J227" s="2083"/>
      <c r="K227" s="2083"/>
      <c r="L227" s="2088"/>
      <c r="M227" s="1622"/>
      <c r="N227" s="2826"/>
      <c r="O227" s="2826"/>
      <c r="P227" s="2826"/>
      <c r="Q227" s="1623"/>
      <c r="R227" s="1901"/>
      <c r="S227" s="147"/>
      <c r="T227" s="112"/>
    </row>
    <row r="228" spans="1:20" ht="15" customHeight="1">
      <c r="A228" s="112"/>
      <c r="B228" s="2837" t="s">
        <v>478</v>
      </c>
      <c r="C228" s="2838"/>
      <c r="D228" s="1617" t="s">
        <v>479</v>
      </c>
      <c r="E228" s="112"/>
      <c r="F228" s="112"/>
      <c r="G228" s="2083"/>
      <c r="H228" s="2083"/>
      <c r="I228" s="2083"/>
      <c r="J228" s="2083"/>
      <c r="K228" s="1796"/>
      <c r="L228" s="2088"/>
      <c r="M228" s="1622"/>
      <c r="N228" s="2826"/>
      <c r="O228" s="2826"/>
      <c r="P228" s="2826"/>
      <c r="Q228" s="1623"/>
      <c r="R228" s="1625"/>
      <c r="S228" s="147"/>
      <c r="T228" s="112"/>
    </row>
    <row r="229" spans="1:20" ht="15" customHeight="1">
      <c r="A229" s="112"/>
      <c r="B229" s="2837" t="s">
        <v>480</v>
      </c>
      <c r="C229" s="2838"/>
      <c r="D229" s="1617">
        <v>9</v>
      </c>
      <c r="E229" s="112"/>
      <c r="F229" s="112"/>
      <c r="G229" s="2083"/>
      <c r="H229" s="2083"/>
      <c r="I229" s="2083"/>
      <c r="J229" s="2083"/>
      <c r="K229" s="1796"/>
      <c r="L229" s="2088"/>
      <c r="M229" s="1622"/>
      <c r="N229" s="2826"/>
      <c r="O229" s="2826"/>
      <c r="P229" s="2826"/>
      <c r="Q229" s="1623"/>
      <c r="R229" s="1901"/>
      <c r="S229" s="147"/>
      <c r="T229" s="112"/>
    </row>
    <row r="230" spans="1:20" ht="15" customHeight="1">
      <c r="A230" s="112"/>
      <c r="B230" s="2827" t="s">
        <v>481</v>
      </c>
      <c r="C230" s="2828"/>
      <c r="D230" s="1617" t="s">
        <v>474</v>
      </c>
      <c r="E230" s="112"/>
      <c r="F230" s="112"/>
      <c r="G230" s="2083"/>
      <c r="H230" s="2083"/>
      <c r="I230" s="2083"/>
      <c r="J230" s="2083"/>
      <c r="K230" s="1796"/>
      <c r="L230" s="2088"/>
      <c r="M230" s="1622"/>
      <c r="N230" s="2826"/>
      <c r="O230" s="2826"/>
      <c r="P230" s="2826"/>
      <c r="Q230" s="1623"/>
      <c r="R230" s="1625"/>
      <c r="S230" s="147"/>
      <c r="T230" s="112"/>
    </row>
    <row r="231" spans="1:20" ht="15" customHeight="1">
      <c r="A231" s="112"/>
      <c r="B231" s="2827" t="s">
        <v>482</v>
      </c>
      <c r="C231" s="2828"/>
      <c r="D231" s="1617">
        <v>9</v>
      </c>
      <c r="E231" s="112"/>
      <c r="F231" s="112"/>
      <c r="G231" s="2083"/>
      <c r="H231" s="2083"/>
      <c r="I231" s="2083"/>
      <c r="J231" s="2083"/>
      <c r="K231" s="1796"/>
      <c r="L231" s="2088"/>
      <c r="M231" s="1622"/>
      <c r="N231" s="2826"/>
      <c r="O231" s="2826"/>
      <c r="P231" s="2826"/>
      <c r="Q231" s="1623"/>
      <c r="R231" s="1901"/>
      <c r="S231" s="147"/>
      <c r="T231" s="112"/>
    </row>
    <row r="232" spans="1:20" ht="15" customHeight="1">
      <c r="A232" s="112"/>
      <c r="B232" s="2827" t="s">
        <v>483</v>
      </c>
      <c r="C232" s="2828"/>
      <c r="D232" s="1617" t="s">
        <v>484</v>
      </c>
      <c r="E232" s="112"/>
      <c r="F232" s="112"/>
      <c r="G232" s="112"/>
      <c r="H232" s="112"/>
      <c r="I232" s="112"/>
      <c r="J232" s="112"/>
      <c r="K232" s="1055"/>
      <c r="L232" s="1584"/>
      <c r="M232" s="1622"/>
      <c r="N232" s="2826"/>
      <c r="O232" s="2826"/>
      <c r="P232" s="2826"/>
      <c r="Q232" s="1623"/>
      <c r="R232" s="1625"/>
      <c r="S232" s="147"/>
      <c r="T232" s="112"/>
    </row>
    <row r="233" spans="1:20" ht="15" customHeight="1">
      <c r="A233" s="112"/>
      <c r="B233" s="2827" t="s">
        <v>485</v>
      </c>
      <c r="C233" s="2828"/>
      <c r="D233" s="1617" t="s">
        <v>474</v>
      </c>
      <c r="E233" s="112"/>
      <c r="F233" s="112"/>
      <c r="G233" s="112"/>
      <c r="H233" s="112"/>
      <c r="I233" s="112"/>
      <c r="J233" s="112"/>
      <c r="K233" s="1055"/>
      <c r="L233" s="1584"/>
      <c r="M233" s="1622"/>
      <c r="N233" s="2826"/>
      <c r="O233" s="2826"/>
      <c r="P233" s="2826"/>
      <c r="Q233" s="1623"/>
      <c r="R233" s="1901"/>
      <c r="S233" s="147"/>
      <c r="T233" s="112"/>
    </row>
    <row r="234" spans="1:20" ht="15" customHeight="1">
      <c r="A234" s="112"/>
      <c r="B234" s="2827" t="s">
        <v>486</v>
      </c>
      <c r="C234" s="2828"/>
      <c r="D234" s="1617">
        <v>9</v>
      </c>
      <c r="E234" s="112"/>
      <c r="F234" s="112"/>
      <c r="G234" s="112"/>
      <c r="H234" s="112"/>
      <c r="I234" s="112"/>
      <c r="J234" s="112"/>
      <c r="K234" s="1055"/>
      <c r="L234" s="1584"/>
      <c r="M234" s="1622"/>
      <c r="N234" s="2826"/>
      <c r="O234" s="2826"/>
      <c r="P234" s="2826"/>
      <c r="Q234" s="1623"/>
      <c r="R234" s="1625"/>
      <c r="S234" s="147"/>
      <c r="T234" s="112"/>
    </row>
    <row r="235" spans="1:20" ht="15" customHeight="1">
      <c r="A235" s="112"/>
      <c r="B235" s="2827" t="s">
        <v>487</v>
      </c>
      <c r="C235" s="2828"/>
      <c r="D235" s="1617" t="s">
        <v>484</v>
      </c>
      <c r="E235" s="112"/>
      <c r="F235" s="112"/>
      <c r="G235" s="112"/>
      <c r="H235" s="112"/>
      <c r="I235" s="112"/>
      <c r="J235" s="112"/>
      <c r="K235" s="1055"/>
      <c r="L235" s="1584"/>
      <c r="M235" s="1622"/>
      <c r="N235" s="2826"/>
      <c r="O235" s="2826"/>
      <c r="P235" s="2826"/>
      <c r="Q235" s="1623"/>
      <c r="R235" s="1901"/>
      <c r="S235" s="147"/>
      <c r="T235" s="112"/>
    </row>
    <row r="236" spans="1:20" ht="15" customHeight="1">
      <c r="A236" s="112"/>
      <c r="B236" s="2827" t="s">
        <v>488</v>
      </c>
      <c r="C236" s="2828"/>
      <c r="D236" s="1617">
        <v>9</v>
      </c>
      <c r="E236" s="112"/>
      <c r="F236" s="112"/>
      <c r="G236" s="112"/>
      <c r="H236" s="112"/>
      <c r="I236" s="112"/>
      <c r="J236" s="112"/>
      <c r="K236" s="1055"/>
      <c r="L236" s="1584"/>
      <c r="M236" s="1622"/>
      <c r="N236" s="2826"/>
      <c r="O236" s="2826"/>
      <c r="P236" s="2826"/>
      <c r="Q236" s="1623"/>
      <c r="R236" s="1625"/>
      <c r="S236" s="147"/>
      <c r="T236" s="112"/>
    </row>
    <row r="237" spans="1:20" ht="15" customHeight="1">
      <c r="A237" s="112"/>
      <c r="B237" s="2827" t="s">
        <v>489</v>
      </c>
      <c r="C237" s="2828"/>
      <c r="D237" s="1617" t="s">
        <v>462</v>
      </c>
      <c r="E237" s="112"/>
      <c r="F237" s="112"/>
      <c r="G237" s="112"/>
      <c r="H237" s="112"/>
      <c r="I237" s="112"/>
      <c r="J237" s="112"/>
      <c r="K237" s="1055"/>
      <c r="L237" s="1584"/>
      <c r="M237" s="1622"/>
      <c r="N237" s="2826"/>
      <c r="O237" s="2826"/>
      <c r="P237" s="2826"/>
      <c r="Q237" s="1623"/>
      <c r="R237" s="1901"/>
      <c r="S237" s="147"/>
      <c r="T237" s="112"/>
    </row>
    <row r="238" spans="1:20" ht="15" customHeight="1">
      <c r="A238" s="112"/>
      <c r="B238" s="2827" t="s">
        <v>490</v>
      </c>
      <c r="C238" s="2828"/>
      <c r="D238" s="1617" t="s">
        <v>462</v>
      </c>
      <c r="E238" s="112"/>
      <c r="F238" s="112"/>
      <c r="G238" s="112"/>
      <c r="H238" s="112"/>
      <c r="I238" s="112"/>
      <c r="J238" s="112"/>
      <c r="K238" s="1055"/>
      <c r="L238" s="1584"/>
      <c r="M238" s="1622"/>
      <c r="N238" s="2826"/>
      <c r="O238" s="2826"/>
      <c r="P238" s="2826"/>
      <c r="Q238" s="1623"/>
      <c r="R238" s="1625"/>
      <c r="S238" s="147"/>
      <c r="T238" s="112"/>
    </row>
    <row r="239" spans="1:20" ht="15" customHeight="1">
      <c r="A239" s="112"/>
      <c r="B239" s="2827" t="s">
        <v>491</v>
      </c>
      <c r="C239" s="2828"/>
      <c r="D239" s="1617" t="s">
        <v>462</v>
      </c>
      <c r="E239" s="112"/>
      <c r="F239" s="112"/>
      <c r="G239" s="112"/>
      <c r="H239" s="112"/>
      <c r="I239" s="112"/>
      <c r="J239" s="112"/>
      <c r="K239" s="1055"/>
      <c r="L239" s="1584"/>
      <c r="M239" s="1622"/>
      <c r="N239" s="2826"/>
      <c r="O239" s="2826"/>
      <c r="P239" s="2826"/>
      <c r="Q239" s="1623"/>
      <c r="R239" s="1901"/>
      <c r="S239" s="147"/>
      <c r="T239" s="112"/>
    </row>
    <row r="240" spans="1:20" ht="15" customHeight="1">
      <c r="A240" s="112"/>
      <c r="B240" s="2827" t="s">
        <v>492</v>
      </c>
      <c r="C240" s="2828"/>
      <c r="D240" s="1617" t="s">
        <v>462</v>
      </c>
      <c r="E240" s="112"/>
      <c r="F240" s="112"/>
      <c r="G240" s="112"/>
      <c r="H240" s="112"/>
      <c r="I240" s="112"/>
      <c r="J240" s="112"/>
      <c r="K240" s="1055"/>
      <c r="L240" s="1584"/>
      <c r="M240" s="1622"/>
      <c r="N240" s="2826"/>
      <c r="O240" s="2826"/>
      <c r="P240" s="2826"/>
      <c r="Q240" s="1623"/>
      <c r="R240" s="1625"/>
      <c r="S240" s="147"/>
      <c r="T240" s="112"/>
    </row>
    <row r="241" spans="1:20" ht="15" customHeight="1">
      <c r="A241" s="112"/>
      <c r="B241" s="2827" t="s">
        <v>493</v>
      </c>
      <c r="C241" s="2828"/>
      <c r="D241" s="1617" t="s">
        <v>494</v>
      </c>
      <c r="E241" s="112"/>
      <c r="F241" s="112"/>
      <c r="G241" s="112"/>
      <c r="H241" s="112"/>
      <c r="I241" s="112"/>
      <c r="J241" s="112"/>
      <c r="K241" s="1055"/>
      <c r="L241" s="1584"/>
      <c r="M241" s="1622"/>
      <c r="N241" s="2826"/>
      <c r="O241" s="2826"/>
      <c r="P241" s="2826"/>
      <c r="Q241" s="1623"/>
      <c r="R241" s="1901"/>
      <c r="S241" s="147"/>
      <c r="T241" s="112"/>
    </row>
    <row r="242" spans="1:20" ht="15" customHeight="1">
      <c r="A242" s="112"/>
      <c r="B242" s="2827" t="s">
        <v>495</v>
      </c>
      <c r="C242" s="2828"/>
      <c r="D242" s="1617" t="s">
        <v>476</v>
      </c>
      <c r="E242" s="112"/>
      <c r="F242" s="112"/>
      <c r="G242" s="112"/>
      <c r="H242" s="112"/>
      <c r="I242" s="112"/>
      <c r="J242" s="112"/>
      <c r="K242" s="1055"/>
      <c r="L242" s="1584"/>
      <c r="M242" s="1622"/>
      <c r="N242" s="2826"/>
      <c r="O242" s="2826"/>
      <c r="P242" s="2826"/>
      <c r="Q242" s="1623"/>
      <c r="R242" s="1625"/>
      <c r="S242" s="147"/>
      <c r="T242" s="112"/>
    </row>
    <row r="243" spans="1:20" ht="15" customHeight="1">
      <c r="A243" s="112"/>
      <c r="B243" s="2827" t="s">
        <v>496</v>
      </c>
      <c r="C243" s="2828"/>
      <c r="D243" s="1617" t="s">
        <v>471</v>
      </c>
      <c r="E243" s="112"/>
      <c r="F243" s="112"/>
      <c r="G243" s="112"/>
      <c r="H243" s="112"/>
      <c r="I243" s="112"/>
      <c r="J243" s="112"/>
      <c r="K243" s="1055"/>
      <c r="L243" s="1584"/>
      <c r="M243" s="1622"/>
      <c r="N243" s="2826"/>
      <c r="O243" s="2826"/>
      <c r="P243" s="2826"/>
      <c r="Q243" s="1623"/>
      <c r="R243" s="1901"/>
      <c r="S243" s="147"/>
      <c r="T243" s="112"/>
    </row>
    <row r="244" spans="1:20" ht="15" customHeight="1">
      <c r="A244" s="112"/>
      <c r="B244" s="2827" t="s">
        <v>497</v>
      </c>
      <c r="C244" s="2828"/>
      <c r="D244" s="1617" t="s">
        <v>479</v>
      </c>
      <c r="E244" s="112"/>
      <c r="F244" s="112"/>
      <c r="G244" s="112"/>
      <c r="H244" s="112"/>
      <c r="I244" s="112"/>
      <c r="J244" s="112"/>
      <c r="K244" s="1055"/>
      <c r="L244" s="1584"/>
      <c r="M244" s="1622"/>
      <c r="N244" s="2826"/>
      <c r="O244" s="2826"/>
      <c r="P244" s="2826"/>
      <c r="Q244" s="1623"/>
      <c r="R244" s="1625"/>
      <c r="S244" s="147"/>
      <c r="T244" s="112"/>
    </row>
    <row r="245" spans="1:20" ht="15" customHeight="1">
      <c r="A245" s="112"/>
      <c r="B245" s="2824" t="s">
        <v>498</v>
      </c>
      <c r="C245" s="2825"/>
      <c r="D245" s="1618" t="s">
        <v>499</v>
      </c>
      <c r="E245" s="112"/>
      <c r="F245" s="112"/>
      <c r="G245" s="112"/>
      <c r="H245" s="112"/>
      <c r="I245" s="112"/>
      <c r="J245" s="112"/>
      <c r="K245" s="1055"/>
      <c r="L245" s="1584"/>
      <c r="M245" s="1622"/>
      <c r="N245" s="2826"/>
      <c r="O245" s="2826"/>
      <c r="P245" s="2826"/>
      <c r="Q245" s="1623"/>
      <c r="R245" s="1901"/>
      <c r="S245" s="147"/>
      <c r="T245" s="112"/>
    </row>
    <row r="246" spans="1:20" ht="15" customHeight="1">
      <c r="A246" s="112"/>
      <c r="B246" s="2829" t="s">
        <v>500</v>
      </c>
      <c r="C246" s="2830"/>
      <c r="D246" s="2831"/>
      <c r="E246" s="63"/>
      <c r="F246" s="112"/>
      <c r="G246" s="112"/>
      <c r="H246" s="112"/>
      <c r="I246" s="112"/>
      <c r="J246" s="112"/>
      <c r="K246" s="1055"/>
      <c r="L246" s="1584"/>
      <c r="M246" s="1622"/>
      <c r="N246" s="2826"/>
      <c r="O246" s="2826"/>
      <c r="P246" s="2826"/>
      <c r="Q246" s="1623"/>
      <c r="R246" s="1625"/>
      <c r="S246" s="147"/>
      <c r="T246" s="112"/>
    </row>
    <row r="247" spans="1:20" ht="15" customHeight="1">
      <c r="A247" s="112"/>
      <c r="B247" s="4313"/>
      <c r="C247" s="2832"/>
      <c r="D247" s="2833"/>
      <c r="E247" s="63"/>
      <c r="F247" s="112"/>
      <c r="G247" s="112"/>
      <c r="H247" s="112"/>
      <c r="I247" s="112"/>
      <c r="J247" s="112"/>
      <c r="K247" s="1055"/>
      <c r="L247" s="1584"/>
      <c r="M247" s="1622"/>
      <c r="N247" s="2826"/>
      <c r="O247" s="2826"/>
      <c r="P247" s="2826"/>
      <c r="Q247" s="1623"/>
      <c r="R247" s="1901"/>
      <c r="S247" s="147"/>
      <c r="T247" s="112"/>
    </row>
    <row r="248" spans="1:20" ht="15" customHeight="1">
      <c r="A248" s="112"/>
      <c r="B248" s="4313"/>
      <c r="C248" s="2832"/>
      <c r="D248" s="2833"/>
      <c r="E248" s="63"/>
      <c r="F248" s="112"/>
      <c r="G248" s="112"/>
      <c r="H248" s="112"/>
      <c r="I248" s="112"/>
      <c r="J248" s="112"/>
      <c r="K248" s="1055"/>
      <c r="L248" s="1584"/>
      <c r="M248" s="1622"/>
      <c r="N248" s="2826"/>
      <c r="O248" s="2826"/>
      <c r="P248" s="2826"/>
      <c r="Q248" s="1623"/>
      <c r="R248" s="1625"/>
      <c r="S248" s="147"/>
      <c r="T248" s="112"/>
    </row>
    <row r="249" spans="1:20" ht="15" customHeight="1">
      <c r="A249" s="112"/>
      <c r="B249" s="4313"/>
      <c r="C249" s="2832"/>
      <c r="D249" s="2833"/>
      <c r="E249" s="63"/>
      <c r="F249" s="112"/>
      <c r="G249" s="112"/>
      <c r="H249" s="112"/>
      <c r="I249" s="112"/>
      <c r="J249" s="112"/>
      <c r="K249" s="1055"/>
      <c r="L249" s="1584"/>
      <c r="M249" s="1622"/>
      <c r="N249" s="2826"/>
      <c r="O249" s="2826"/>
      <c r="P249" s="2826"/>
      <c r="Q249" s="1623"/>
      <c r="R249" s="1901"/>
      <c r="S249" s="147"/>
      <c r="T249" s="112"/>
    </row>
    <row r="250" spans="1:20" ht="15.6" customHeight="1">
      <c r="A250" s="112"/>
      <c r="B250" s="2834"/>
      <c r="C250" s="2835"/>
      <c r="D250" s="2836"/>
      <c r="E250" s="63"/>
      <c r="F250" s="112"/>
      <c r="G250" s="112"/>
      <c r="H250" s="112"/>
      <c r="I250" s="112"/>
      <c r="J250" s="112"/>
      <c r="K250" s="1055"/>
      <c r="L250" s="1584"/>
      <c r="M250" s="1622"/>
      <c r="N250" s="2826"/>
      <c r="O250" s="2826"/>
      <c r="P250" s="2826"/>
      <c r="Q250" s="1623"/>
      <c r="R250" s="1625"/>
      <c r="S250" s="147"/>
      <c r="T250" s="112"/>
    </row>
    <row r="251" spans="1:20" ht="15" customHeight="1">
      <c r="A251" s="112"/>
      <c r="B251" s="165"/>
      <c r="C251" s="165"/>
      <c r="D251" s="165"/>
      <c r="E251" s="63"/>
      <c r="F251" s="112"/>
      <c r="G251" s="112"/>
      <c r="H251" s="112"/>
      <c r="I251" s="112"/>
      <c r="J251" s="112"/>
      <c r="K251" s="112"/>
      <c r="L251" s="112"/>
      <c r="M251" s="112"/>
      <c r="N251" s="112"/>
      <c r="O251" s="112"/>
      <c r="P251" s="112"/>
      <c r="Q251" s="2160"/>
      <c r="R251" s="2819"/>
      <c r="S251" s="2819"/>
      <c r="T251" s="112"/>
    </row>
    <row r="252" spans="1:20" ht="15" customHeight="1">
      <c r="A252" s="3067" t="s">
        <v>501</v>
      </c>
      <c r="B252" s="3067"/>
      <c r="C252" s="3067"/>
      <c r="D252" s="3067"/>
      <c r="E252" s="3067"/>
      <c r="F252" s="3067"/>
      <c r="G252" s="3067"/>
      <c r="H252" s="3067"/>
      <c r="I252" s="67"/>
      <c r="J252" s="67"/>
      <c r="K252" s="67"/>
      <c r="L252" s="67"/>
      <c r="M252" s="67"/>
      <c r="N252" s="67"/>
      <c r="O252" s="67"/>
      <c r="Q252" s="2820" t="s">
        <v>502</v>
      </c>
      <c r="R252" s="2820"/>
      <c r="S252" s="2820"/>
      <c r="T252" s="112"/>
    </row>
    <row r="253" spans="1:20">
      <c r="A253" s="67"/>
      <c r="B253" s="67"/>
      <c r="C253" s="67"/>
      <c r="D253" s="67"/>
      <c r="E253" s="67"/>
      <c r="F253" s="67"/>
      <c r="G253" s="67"/>
      <c r="H253" s="67"/>
      <c r="I253" s="67"/>
      <c r="J253" s="67"/>
      <c r="K253" s="67"/>
      <c r="L253" s="67"/>
      <c r="M253" s="67"/>
      <c r="N253" s="67"/>
      <c r="O253" s="67"/>
      <c r="P253" s="140"/>
      <c r="Q253" s="140"/>
      <c r="R253" s="140"/>
      <c r="S253" s="140"/>
      <c r="T253" s="112"/>
    </row>
  </sheetData>
  <sheetProtection password="FA80" sheet="1" objects="1" scenarios="1"/>
  <mergeCells count="364">
    <mergeCell ref="A252:H252"/>
    <mergeCell ref="D105:F105"/>
    <mergeCell ref="D106:H106"/>
    <mergeCell ref="D107:H107"/>
    <mergeCell ref="K106:P106"/>
    <mergeCell ref="D108:H108"/>
    <mergeCell ref="K107:L107"/>
    <mergeCell ref="N107:O107"/>
    <mergeCell ref="C100:H100"/>
    <mergeCell ref="K108:L108"/>
    <mergeCell ref="N108:O108"/>
    <mergeCell ref="A102:B102"/>
    <mergeCell ref="B103:H103"/>
    <mergeCell ref="K102:P102"/>
    <mergeCell ref="D104:H104"/>
    <mergeCell ref="N109:P109"/>
    <mergeCell ref="D112:E112"/>
    <mergeCell ref="G112:H112"/>
    <mergeCell ref="K112:P112"/>
    <mergeCell ref="D114:E114"/>
    <mergeCell ref="G114:H114"/>
    <mergeCell ref="D116:E116"/>
    <mergeCell ref="G116:H116"/>
    <mergeCell ref="A118:B118"/>
    <mergeCell ref="I39:K39"/>
    <mergeCell ref="H41:K41"/>
    <mergeCell ref="C42:D42"/>
    <mergeCell ref="A31:B31"/>
    <mergeCell ref="N31:O31"/>
    <mergeCell ref="D32:G32"/>
    <mergeCell ref="D33:E33"/>
    <mergeCell ref="F33:G33"/>
    <mergeCell ref="D34:E34"/>
    <mergeCell ref="F34:G34"/>
    <mergeCell ref="I34:K34"/>
    <mergeCell ref="D35:G35"/>
    <mergeCell ref="I35:K35"/>
    <mergeCell ref="H42:I42"/>
    <mergeCell ref="D36:E36"/>
    <mergeCell ref="F36:G36"/>
    <mergeCell ref="I36:K36"/>
    <mergeCell ref="D37:G37"/>
    <mergeCell ref="I37:K37"/>
    <mergeCell ref="D38:G38"/>
    <mergeCell ref="I38:K38"/>
    <mergeCell ref="Q1:S1"/>
    <mergeCell ref="Q2:S2"/>
    <mergeCell ref="E3:I3"/>
    <mergeCell ref="A4:B4"/>
    <mergeCell ref="K12:L12"/>
    <mergeCell ref="J15:L15"/>
    <mergeCell ref="I23:K23"/>
    <mergeCell ref="I24:K24"/>
    <mergeCell ref="B27:C27"/>
    <mergeCell ref="F1:L1"/>
    <mergeCell ref="N51:Q53"/>
    <mergeCell ref="C53:D53"/>
    <mergeCell ref="K53:L53"/>
    <mergeCell ref="F51:H53"/>
    <mergeCell ref="C51:D51"/>
    <mergeCell ref="L42:L46"/>
    <mergeCell ref="C52:D52"/>
    <mergeCell ref="K52:L52"/>
    <mergeCell ref="C43:D43"/>
    <mergeCell ref="H43:I43"/>
    <mergeCell ref="C44:D44"/>
    <mergeCell ref="H44:I44"/>
    <mergeCell ref="C45:D45"/>
    <mergeCell ref="H45:I45"/>
    <mergeCell ref="C46:D46"/>
    <mergeCell ref="H46:I46"/>
    <mergeCell ref="E47:F47"/>
    <mergeCell ref="H47:J47"/>
    <mergeCell ref="C50:E50"/>
    <mergeCell ref="K50:L50"/>
    <mergeCell ref="K51:L51"/>
    <mergeCell ref="E63:F63"/>
    <mergeCell ref="G63:H63"/>
    <mergeCell ref="I63:J63"/>
    <mergeCell ref="K60:L60"/>
    <mergeCell ref="K56:L56"/>
    <mergeCell ref="A62:B62"/>
    <mergeCell ref="F56:H59"/>
    <mergeCell ref="A50:B50"/>
    <mergeCell ref="K54:L54"/>
    <mergeCell ref="C55:F55"/>
    <mergeCell ref="K55:L55"/>
    <mergeCell ref="C76:L78"/>
    <mergeCell ref="G73:H75"/>
    <mergeCell ref="D75:E75"/>
    <mergeCell ref="J75:K75"/>
    <mergeCell ref="N75:P75"/>
    <mergeCell ref="D91:E92"/>
    <mergeCell ref="G91:H91"/>
    <mergeCell ref="K57:L57"/>
    <mergeCell ref="C58:D58"/>
    <mergeCell ref="K58:L58"/>
    <mergeCell ref="K59:L59"/>
    <mergeCell ref="E64:F64"/>
    <mergeCell ref="G64:H64"/>
    <mergeCell ref="I64:J64"/>
    <mergeCell ref="K63:N64"/>
    <mergeCell ref="C65:H66"/>
    <mergeCell ref="E67:F67"/>
    <mergeCell ref="H67:J67"/>
    <mergeCell ref="L67:M67"/>
    <mergeCell ref="E69:F69"/>
    <mergeCell ref="H69:J69"/>
    <mergeCell ref="L69:M69"/>
    <mergeCell ref="N69:O69"/>
    <mergeCell ref="C79:L79"/>
    <mergeCell ref="A82:B82"/>
    <mergeCell ref="L82:N82"/>
    <mergeCell ref="G85:I85"/>
    <mergeCell ref="C88:R88"/>
    <mergeCell ref="D93:E93"/>
    <mergeCell ref="C91:C92"/>
    <mergeCell ref="F91:F92"/>
    <mergeCell ref="A91:B91"/>
    <mergeCell ref="K92:L92"/>
    <mergeCell ref="K91:L91"/>
    <mergeCell ref="O85:Q86"/>
    <mergeCell ref="A72:B72"/>
    <mergeCell ref="D72:E72"/>
    <mergeCell ref="J72:K72"/>
    <mergeCell ref="N72:Q72"/>
    <mergeCell ref="A73:B73"/>
    <mergeCell ref="D73:E73"/>
    <mergeCell ref="J73:K73"/>
    <mergeCell ref="N73:P73"/>
    <mergeCell ref="D74:E74"/>
    <mergeCell ref="J74:K74"/>
    <mergeCell ref="N74:P74"/>
    <mergeCell ref="C119:D119"/>
    <mergeCell ref="A123:B123"/>
    <mergeCell ref="M124:O124"/>
    <mergeCell ref="M127:O127"/>
    <mergeCell ref="M128:O128"/>
    <mergeCell ref="A135:B135"/>
    <mergeCell ref="A136:B136"/>
    <mergeCell ref="O136:R136"/>
    <mergeCell ref="M97:N97"/>
    <mergeCell ref="D98:E98"/>
    <mergeCell ref="M98:N98"/>
    <mergeCell ref="C99:H99"/>
    <mergeCell ref="B168:G169"/>
    <mergeCell ref="B173:D173"/>
    <mergeCell ref="N198:O198"/>
    <mergeCell ref="N199:O199"/>
    <mergeCell ref="N200:O200"/>
    <mergeCell ref="B141:F141"/>
    <mergeCell ref="O141:Q141"/>
    <mergeCell ref="O142:R142"/>
    <mergeCell ref="A144:B144"/>
    <mergeCell ref="C144:H144"/>
    <mergeCell ref="D145:E145"/>
    <mergeCell ref="G145:I145"/>
    <mergeCell ref="H190:J190"/>
    <mergeCell ref="N191:O191"/>
    <mergeCell ref="G185:H185"/>
    <mergeCell ref="N186:O186"/>
    <mergeCell ref="G186:H186"/>
    <mergeCell ref="N187:O187"/>
    <mergeCell ref="B158:Q159"/>
    <mergeCell ref="P173:Q173"/>
    <mergeCell ref="P174:Q174"/>
    <mergeCell ref="O155:Q155"/>
    <mergeCell ref="H156:J156"/>
    <mergeCell ref="K156:M156"/>
    <mergeCell ref="N203:O203"/>
    <mergeCell ref="N180:O180"/>
    <mergeCell ref="A162:B162"/>
    <mergeCell ref="A163:B163"/>
    <mergeCell ref="C163:G163"/>
    <mergeCell ref="H163:I163"/>
    <mergeCell ref="K163:M163"/>
    <mergeCell ref="C164:G164"/>
    <mergeCell ref="N175:O175"/>
    <mergeCell ref="N177:O177"/>
    <mergeCell ref="D174:E174"/>
    <mergeCell ref="C165:G165"/>
    <mergeCell ref="K165:M165"/>
    <mergeCell ref="N165:O165"/>
    <mergeCell ref="C166:I166"/>
    <mergeCell ref="K166:M166"/>
    <mergeCell ref="N166:O166"/>
    <mergeCell ref="J167:M167"/>
    <mergeCell ref="N181:O181"/>
    <mergeCell ref="A181:K181"/>
    <mergeCell ref="D175:E175"/>
    <mergeCell ref="G182:H183"/>
    <mergeCell ref="N173:O174"/>
    <mergeCell ref="A172:C172"/>
    <mergeCell ref="B215:C215"/>
    <mergeCell ref="N215:P215"/>
    <mergeCell ref="B216:C216"/>
    <mergeCell ref="N216:P216"/>
    <mergeCell ref="B217:C217"/>
    <mergeCell ref="N217:P217"/>
    <mergeCell ref="B218:C218"/>
    <mergeCell ref="N218:P218"/>
    <mergeCell ref="B231:C231"/>
    <mergeCell ref="N231:P231"/>
    <mergeCell ref="B212:C212"/>
    <mergeCell ref="N232:P232"/>
    <mergeCell ref="B233:C233"/>
    <mergeCell ref="N233:P233"/>
    <mergeCell ref="B224:C224"/>
    <mergeCell ref="N224:P224"/>
    <mergeCell ref="B225:C225"/>
    <mergeCell ref="B226:C226"/>
    <mergeCell ref="N226:P226"/>
    <mergeCell ref="B227:C227"/>
    <mergeCell ref="N227:P227"/>
    <mergeCell ref="N228:P228"/>
    <mergeCell ref="B229:C229"/>
    <mergeCell ref="N229:P229"/>
    <mergeCell ref="B230:C230"/>
    <mergeCell ref="N230:P230"/>
    <mergeCell ref="N225:P225"/>
    <mergeCell ref="N212:P212"/>
    <mergeCell ref="B219:C219"/>
    <mergeCell ref="N219:P219"/>
    <mergeCell ref="B223:C223"/>
    <mergeCell ref="N223:P223"/>
    <mergeCell ref="B214:C214"/>
    <mergeCell ref="N214:P214"/>
    <mergeCell ref="B211:C211"/>
    <mergeCell ref="N211:P211"/>
    <mergeCell ref="N204:O204"/>
    <mergeCell ref="N182:O182"/>
    <mergeCell ref="L182:L196"/>
    <mergeCell ref="C191:E191"/>
    <mergeCell ref="H191:J191"/>
    <mergeCell ref="N192:O192"/>
    <mergeCell ref="B192:E192"/>
    <mergeCell ref="H192:J192"/>
    <mergeCell ref="N193:O193"/>
    <mergeCell ref="N188:O188"/>
    <mergeCell ref="C188:E188"/>
    <mergeCell ref="N189:O189"/>
    <mergeCell ref="C189:E189"/>
    <mergeCell ref="N190:O190"/>
    <mergeCell ref="J202:K202"/>
    <mergeCell ref="N201:O201"/>
    <mergeCell ref="N202:O202"/>
    <mergeCell ref="D202:F202"/>
    <mergeCell ref="N197:O197"/>
    <mergeCell ref="D182:E182"/>
    <mergeCell ref="J182:K182"/>
    <mergeCell ref="N183:O183"/>
    <mergeCell ref="D207:E207"/>
    <mergeCell ref="K97:L97"/>
    <mergeCell ref="A210:D210"/>
    <mergeCell ref="N210:P210"/>
    <mergeCell ref="K98:L98"/>
    <mergeCell ref="D176:E176"/>
    <mergeCell ref="N176:O176"/>
    <mergeCell ref="B178:H178"/>
    <mergeCell ref="N178:O178"/>
    <mergeCell ref="B179:H179"/>
    <mergeCell ref="N179:O179"/>
    <mergeCell ref="H188:J189"/>
    <mergeCell ref="H193:J193"/>
    <mergeCell ref="N194:O194"/>
    <mergeCell ref="H194:J194"/>
    <mergeCell ref="N195:O195"/>
    <mergeCell ref="D187:E187"/>
    <mergeCell ref="N184:O184"/>
    <mergeCell ref="D177:E177"/>
    <mergeCell ref="H157:J157"/>
    <mergeCell ref="K157:M157"/>
    <mergeCell ref="O157:Q157"/>
    <mergeCell ref="H155:J155"/>
    <mergeCell ref="K155:M155"/>
    <mergeCell ref="R32:S33"/>
    <mergeCell ref="R35:S36"/>
    <mergeCell ref="R38:S39"/>
    <mergeCell ref="I32:K33"/>
    <mergeCell ref="A131:R132"/>
    <mergeCell ref="H152:J153"/>
    <mergeCell ref="K152:Q153"/>
    <mergeCell ref="K145:R147"/>
    <mergeCell ref="H154:J154"/>
    <mergeCell ref="K154:M154"/>
    <mergeCell ref="O154:Q154"/>
    <mergeCell ref="D146:E146"/>
    <mergeCell ref="G146:I146"/>
    <mergeCell ref="D147:E147"/>
    <mergeCell ref="G147:I147"/>
    <mergeCell ref="D148:J148"/>
    <mergeCell ref="A151:B151"/>
    <mergeCell ref="C151:I151"/>
    <mergeCell ref="B152:D152"/>
    <mergeCell ref="B153:D153"/>
    <mergeCell ref="O137:Q137"/>
    <mergeCell ref="A130:K130"/>
    <mergeCell ref="O140:Q140"/>
    <mergeCell ref="K109:L109"/>
    <mergeCell ref="D94:F95"/>
    <mergeCell ref="H120:J121"/>
    <mergeCell ref="B241:C241"/>
    <mergeCell ref="N241:P241"/>
    <mergeCell ref="N206:O207"/>
    <mergeCell ref="C96:C97"/>
    <mergeCell ref="F96:F97"/>
    <mergeCell ref="B213:C213"/>
    <mergeCell ref="N213:P213"/>
    <mergeCell ref="A205:B205"/>
    <mergeCell ref="N205:O205"/>
    <mergeCell ref="D206:E206"/>
    <mergeCell ref="D96:E97"/>
    <mergeCell ref="F207:J207"/>
    <mergeCell ref="G187:H187"/>
    <mergeCell ref="G184:H184"/>
    <mergeCell ref="N185:O185"/>
    <mergeCell ref="C190:E190"/>
    <mergeCell ref="D155:D156"/>
    <mergeCell ref="H195:J195"/>
    <mergeCell ref="H196:J196"/>
    <mergeCell ref="N196:O196"/>
    <mergeCell ref="F173:G173"/>
    <mergeCell ref="O156:Q156"/>
    <mergeCell ref="N242:P242"/>
    <mergeCell ref="B243:C243"/>
    <mergeCell ref="N243:P243"/>
    <mergeCell ref="B228:C228"/>
    <mergeCell ref="B220:C220"/>
    <mergeCell ref="N220:P220"/>
    <mergeCell ref="B221:C221"/>
    <mergeCell ref="N221:P221"/>
    <mergeCell ref="B222:C222"/>
    <mergeCell ref="N222:P222"/>
    <mergeCell ref="B240:C240"/>
    <mergeCell ref="N240:P240"/>
    <mergeCell ref="B232:C232"/>
    <mergeCell ref="N239:P239"/>
    <mergeCell ref="N237:P237"/>
    <mergeCell ref="B238:C238"/>
    <mergeCell ref="N238:P238"/>
    <mergeCell ref="R251:S251"/>
    <mergeCell ref="Q252:S252"/>
    <mergeCell ref="O43:R45"/>
    <mergeCell ref="G188:G189"/>
    <mergeCell ref="K188:K189"/>
    <mergeCell ref="B245:C245"/>
    <mergeCell ref="N245:P245"/>
    <mergeCell ref="N246:P246"/>
    <mergeCell ref="N247:P247"/>
    <mergeCell ref="N248:P248"/>
    <mergeCell ref="B234:C234"/>
    <mergeCell ref="N234:P234"/>
    <mergeCell ref="B235:C235"/>
    <mergeCell ref="N235:P235"/>
    <mergeCell ref="B236:C236"/>
    <mergeCell ref="N236:P236"/>
    <mergeCell ref="B237:C237"/>
    <mergeCell ref="N249:P249"/>
    <mergeCell ref="N250:P250"/>
    <mergeCell ref="B239:C239"/>
    <mergeCell ref="B246:D250"/>
    <mergeCell ref="B244:C244"/>
    <mergeCell ref="N244:P244"/>
    <mergeCell ref="B242:C242"/>
  </mergeCells>
  <conditionalFormatting sqref="D93 D98 C32">
    <cfRule type="cellIs" dxfId="883" priority="55" operator="notEqual">
      <formula>76</formula>
    </cfRule>
  </conditionalFormatting>
  <conditionalFormatting sqref="E44">
    <cfRule type="cellIs" dxfId="882" priority="81" operator="notEqual">
      <formula>E43</formula>
    </cfRule>
    <cfRule type="cellIs" dxfId="881" priority="97" operator="notEqual">
      <formula>E43</formula>
    </cfRule>
  </conditionalFormatting>
  <conditionalFormatting sqref="F44">
    <cfRule type="cellIs" dxfId="880" priority="82" operator="notEqual">
      <formula>F43</formula>
    </cfRule>
    <cfRule type="cellIs" dxfId="879" priority="83" stopIfTrue="1" operator="notEqual">
      <formula>F43</formula>
    </cfRule>
    <cfRule type="cellIs" dxfId="878" priority="98" operator="notEqual">
      <formula>F43</formula>
    </cfRule>
    <cfRule type="cellIs" dxfId="877" priority="99" stopIfTrue="1" operator="notEqual">
      <formula>F43</formula>
    </cfRule>
  </conditionalFormatting>
  <conditionalFormatting sqref="J44">
    <cfRule type="cellIs" dxfId="876" priority="80" operator="notEqual">
      <formula>J43</formula>
    </cfRule>
    <cfRule type="cellIs" dxfId="875" priority="96" operator="notEqual">
      <formula>J43</formula>
    </cfRule>
  </conditionalFormatting>
  <conditionalFormatting sqref="K44">
    <cfRule type="cellIs" dxfId="874" priority="84" operator="notEqual">
      <formula>K43</formula>
    </cfRule>
    <cfRule type="cellIs" dxfId="873" priority="85" stopIfTrue="1" operator="notEqual">
      <formula>K43</formula>
    </cfRule>
    <cfRule type="cellIs" dxfId="872" priority="100" operator="notEqual">
      <formula>K43</formula>
    </cfRule>
    <cfRule type="cellIs" dxfId="871" priority="101" stopIfTrue="1" operator="notEqual">
      <formula>K43</formula>
    </cfRule>
  </conditionalFormatting>
  <conditionalFormatting sqref="J52">
    <cfRule type="cellIs" dxfId="870" priority="70" operator="notEqual">
      <formula>J51</formula>
    </cfRule>
    <cfRule type="cellIs" dxfId="869" priority="71" operator="notEqual">
      <formula>J51</formula>
    </cfRule>
  </conditionalFormatting>
  <conditionalFormatting sqref="M52">
    <cfRule type="cellIs" dxfId="868" priority="62" operator="notEqual">
      <formula>M51</formula>
    </cfRule>
    <cfRule type="cellIs" dxfId="867" priority="63" stopIfTrue="1" operator="notEqual">
      <formula>M51</formula>
    </cfRule>
    <cfRule type="cellIs" dxfId="866" priority="64" operator="notEqual">
      <formula>M51</formula>
    </cfRule>
    <cfRule type="cellIs" dxfId="865" priority="65" stopIfTrue="1" operator="notEqual">
      <formula>M51</formula>
    </cfRule>
    <cfRule type="cellIs" dxfId="864" priority="66" operator="notEqual">
      <formula>M51</formula>
    </cfRule>
    <cfRule type="cellIs" dxfId="863" priority="67" stopIfTrue="1" operator="notEqual">
      <formula>M51</formula>
    </cfRule>
  </conditionalFormatting>
  <conditionalFormatting sqref="M54">
    <cfRule type="cellIs" dxfId="862" priority="72" operator="notEqual">
      <formula>#REF!</formula>
    </cfRule>
    <cfRule type="cellIs" dxfId="861" priority="73" stopIfTrue="1" operator="notEqual">
      <formula>#REF!</formula>
    </cfRule>
  </conditionalFormatting>
  <conditionalFormatting sqref="E57">
    <cfRule type="cellIs" dxfId="860" priority="95" operator="lessThan">
      <formula>0</formula>
    </cfRule>
  </conditionalFormatting>
  <conditionalFormatting sqref="J57">
    <cfRule type="cellIs" dxfId="859" priority="68" operator="notEqual">
      <formula>J56</formula>
    </cfRule>
    <cfRule type="cellIs" dxfId="858" priority="69" operator="notEqual">
      <formula>J56</formula>
    </cfRule>
  </conditionalFormatting>
  <conditionalFormatting sqref="M57">
    <cfRule type="cellIs" dxfId="857" priority="56" operator="notEqual">
      <formula>M56</formula>
    </cfRule>
    <cfRule type="cellIs" dxfId="856" priority="57" stopIfTrue="1" operator="notEqual">
      <formula>M56</formula>
    </cfRule>
    <cfRule type="cellIs" dxfId="855" priority="58" operator="notEqual">
      <formula>M56</formula>
    </cfRule>
    <cfRule type="cellIs" dxfId="854" priority="59" stopIfTrue="1" operator="notEqual">
      <formula>M56</formula>
    </cfRule>
    <cfRule type="cellIs" dxfId="853" priority="60" operator="notEqual">
      <formula>M56</formula>
    </cfRule>
    <cfRule type="cellIs" dxfId="852" priority="61" stopIfTrue="1" operator="notEqual">
      <formula>M56</formula>
    </cfRule>
  </conditionalFormatting>
  <conditionalFormatting sqref="I186">
    <cfRule type="cellIs" dxfId="851" priority="77" stopIfTrue="1" operator="between">
      <formula>42</formula>
      <formula>49</formula>
    </cfRule>
    <cfRule type="cellIs" dxfId="850" priority="78" stopIfTrue="1" operator="between">
      <formula>49</formula>
      <formula>54</formula>
    </cfRule>
    <cfRule type="cellIs" dxfId="849" priority="79" stopIfTrue="1" operator="greaterThanOrEqual">
      <formula>54</formula>
    </cfRule>
  </conditionalFormatting>
  <conditionalFormatting sqref="C187">
    <cfRule type="cellIs" dxfId="848" priority="74" stopIfTrue="1" operator="between">
      <formula>20</formula>
      <formula>25</formula>
    </cfRule>
    <cfRule type="cellIs" dxfId="847" priority="75" stopIfTrue="1" operator="between">
      <formula>25</formula>
      <formula>30</formula>
    </cfRule>
    <cfRule type="cellIs" dxfId="846" priority="76" stopIfTrue="1" operator="greaterThanOrEqual">
      <formula>30</formula>
    </cfRule>
  </conditionalFormatting>
  <conditionalFormatting sqref="K185:K187">
    <cfRule type="cellIs" dxfId="845" priority="86" stopIfTrue="1" operator="between">
      <formula>43</formula>
      <formula>49</formula>
    </cfRule>
    <cfRule type="cellIs" dxfId="844" priority="87" stopIfTrue="1" operator="between">
      <formula>49</formula>
      <formula>54</formula>
    </cfRule>
    <cfRule type="cellIs" dxfId="843" priority="88" stopIfTrue="1" operator="greaterThanOrEqual">
      <formula>54</formula>
    </cfRule>
  </conditionalFormatting>
  <conditionalFormatting sqref="F73:F74 L73:L74 C75 I75">
    <cfRule type="cellIs" dxfId="842" priority="102" stopIfTrue="1" operator="lessThan">
      <formula>0</formula>
    </cfRule>
  </conditionalFormatting>
  <conditionalFormatting sqref="D83 O83 E86 L86">
    <cfRule type="cellIs" dxfId="841" priority="103" stopIfTrue="1" operator="greaterThan">
      <formula>175</formula>
    </cfRule>
  </conditionalFormatting>
  <conditionalFormatting sqref="N126 I83 Q83 F86 M86">
    <cfRule type="cellIs" dxfId="840" priority="104" stopIfTrue="1" operator="greaterThan">
      <formula>200</formula>
    </cfRule>
  </conditionalFormatting>
  <conditionalFormatting sqref="D186:D187 C187:E187">
    <cfRule type="cellIs" dxfId="839" priority="105" stopIfTrue="1" operator="between">
      <formula>20</formula>
      <formula>25</formula>
    </cfRule>
    <cfRule type="cellIs" dxfId="838" priority="106" stopIfTrue="1" operator="between">
      <formula>25</formula>
      <formula>30</formula>
    </cfRule>
    <cfRule type="cellIs" dxfId="837" priority="107" stopIfTrue="1" operator="greaterThanOrEqual">
      <formula>30</formula>
    </cfRule>
  </conditionalFormatting>
  <conditionalFormatting sqref="D186:E187 C187">
    <cfRule type="cellIs" dxfId="836" priority="92" stopIfTrue="1" operator="between">
      <formula>20</formula>
      <formula>25</formula>
    </cfRule>
    <cfRule type="cellIs" dxfId="835" priority="93" stopIfTrue="1" operator="between">
      <formula>25</formula>
      <formula>30</formula>
    </cfRule>
    <cfRule type="cellIs" dxfId="834" priority="94" stopIfTrue="1" operator="greaterThanOrEqual">
      <formula>30</formula>
    </cfRule>
  </conditionalFormatting>
  <conditionalFormatting sqref="I186:I187 C187 K186:K187">
    <cfRule type="cellIs" dxfId="833" priority="89" stopIfTrue="1" operator="between">
      <formula>43</formula>
      <formula>53</formula>
    </cfRule>
    <cfRule type="cellIs" dxfId="832" priority="90" stopIfTrue="1" operator="between">
      <formula>53</formula>
      <formula>58</formula>
    </cfRule>
    <cfRule type="cellIs" dxfId="831" priority="91" stopIfTrue="1" operator="greaterThanOrEqual">
      <formula>58</formula>
    </cfRule>
  </conditionalFormatting>
  <conditionalFormatting sqref="C187">
    <cfRule type="cellIs" dxfId="830" priority="38" stopIfTrue="1" operator="between">
      <formula>20</formula>
      <formula>25</formula>
    </cfRule>
    <cfRule type="cellIs" dxfId="829" priority="39" stopIfTrue="1" operator="between">
      <formula>25</formula>
      <formula>30</formula>
    </cfRule>
    <cfRule type="cellIs" dxfId="828" priority="40" stopIfTrue="1" operator="greaterThanOrEqual">
      <formula>30</formula>
    </cfRule>
  </conditionalFormatting>
  <conditionalFormatting sqref="K187">
    <cfRule type="cellIs" dxfId="827" priority="10" stopIfTrue="1" operator="between">
      <formula>43</formula>
      <formula>53</formula>
    </cfRule>
    <cfRule type="cellIs" dxfId="826" priority="11" stopIfTrue="1" operator="between">
      <formula>53</formula>
      <formula>58</formula>
    </cfRule>
    <cfRule type="cellIs" dxfId="825" priority="12" stopIfTrue="1" operator="greaterThanOrEqual">
      <formula>58</formula>
    </cfRule>
  </conditionalFormatting>
  <hyperlinks>
    <hyperlink ref="H47" location="'General Calc's'!C24" display="See Temperature Converter" xr:uid="{00000000-0004-0000-0100-000000000000}"/>
    <hyperlink ref="I47" location="'General Calc's'!C24" display="'General Calc's'!C24" xr:uid="{00000000-0004-0000-0100-000001000000}"/>
    <hyperlink ref="J47" location="'General Calc's'!C24" display="'General Calc's'!C24" xr:uid="{00000000-0004-0000-0100-000002000000}"/>
    <hyperlink ref="J154" location="'Beer Data Sheet'!AO4" display="'Beer Data Sheet'!AO4" xr:uid="{00000000-0004-0000-0100-000003000000}"/>
    <hyperlink ref="B72" location="'Beer Kit Calc's'!A90" display="'Beer Kit Calc's'!A90" xr:uid="{00000000-0004-0000-0100-000004000000}"/>
    <hyperlink ref="B73" location="'Beer Kit Calc's'!K23" display="'Beer Kit Calc's'!K23" xr:uid="{00000000-0004-0000-0100-000005000000}"/>
    <hyperlink ref="B141" location="'BJCP'!F1" display="For information about beer styles ̸ colour ̸ hopping rates etc. see &quot;BJCP Beer Styles&quot;." xr:uid="{00000000-0004-0000-0100-000006000000}"/>
    <hyperlink ref="I154" r:id="rId1" display="http://www.petespintpot.co.uk/health.html" xr:uid="{00000000-0004-0000-0100-000007000000}"/>
    <hyperlink ref="I155" r:id="rId2" display="http://www.petespintpot.co.uk/health.html" xr:uid="{00000000-0004-0000-0100-000008000000}"/>
    <hyperlink ref="D102:E102" location="'General Calc''s'!L56" display="'General Calc''s'!L56" xr:uid="{00000000-0004-0000-0100-000009000000}"/>
    <hyperlink ref="C166" location="'Primer'!D1" display="For more information about &quot;carbonation&quot; see &quot;Beer Primer&quot; page." xr:uid="{00000000-0004-0000-0100-00000A000000}"/>
    <hyperlink ref="E192" location="'BJCP'!F1" display="'BJCP'!F1" xr:uid="{00000000-0004-0000-0100-00000B000000}"/>
    <hyperlink ref="E50" location="'Primer'!D1" display="'Primer'!D1" xr:uid="{00000000-0004-0000-0100-00000C000000}"/>
    <hyperlink ref="K156:M156" location="'General Calc''s'!A162" display="Priming sugar added" xr:uid="{00000000-0004-0000-0100-00000D000000}"/>
    <hyperlink ref="C166:I166" location="Primer!F1" display="For more information about &quot;carbonation&quot; see &quot;Beer Primer&quot; page." xr:uid="{00000000-0004-0000-0100-00000E000000}"/>
    <hyperlink ref="G41" location="'General Calc''s'!F59" display="OR" xr:uid="{00000000-0004-0000-0100-00000F000000}"/>
    <hyperlink ref="B38" location="'Wine Calc'!AA7" display="BREWING Sugar" xr:uid="{00000000-0004-0000-0100-000010000000}"/>
    <hyperlink ref="I39" location="'Wine Calc'!AA7" display="BREWING Sugar" xr:uid="{00000000-0004-0000-0100-000011000000}"/>
    <hyperlink ref="H47:J47" location="'General Calc''s'!B24" display="See Temperature Converter" xr:uid="{00000000-0004-0000-0100-000012000000}"/>
    <hyperlink ref="C99:G99" location="'Beer Data Sheet'!AD4" display="Yeast Efficiency is generally assumed to be 76%." xr:uid="{00000000-0004-0000-0100-000013000000}"/>
    <hyperlink ref="L83" location="'Beer Data Sheet'!P20" display="'Beer Data Sheet'!P20" xr:uid="{00000000-0004-0000-0100-000014000000}"/>
    <hyperlink ref="G179" location="'Beer Data Sheet'!N15" display="'Beer Data Sheet'!N15" xr:uid="{00000000-0004-0000-0100-000015000000}"/>
    <hyperlink ref="G91:H91" location="'General Calc''s'!H41" display="Brewers degrees used" xr:uid="{00000000-0004-0000-0100-000016000000}"/>
  </hyperlinks>
  <printOptions horizontalCentered="1"/>
  <pageMargins left="0.511811023622047" right="0.511811023622047" top="0.39370078740157499" bottom="0.70866141732283505" header="0.23622047244094499" footer="0.31496062992126"/>
  <pageSetup paperSize="9" scale="41" fitToHeight="2" orientation="portrait" verticalDpi="3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AJ116"/>
  <sheetViews>
    <sheetView topLeftCell="I24" zoomScale="70" zoomScaleNormal="70" zoomScaleSheetLayoutView="75" zoomScalePageLayoutView="33" workbookViewId="0">
      <selection activeCell="I24" sqref="I24:K24"/>
    </sheetView>
  </sheetViews>
  <sheetFormatPr defaultColWidth="9.42578125" defaultRowHeight="13.9"/>
  <cols>
    <col min="1" max="1" width="1.85546875" style="207" customWidth="1"/>
    <col min="2" max="2" width="46.28515625" style="207" customWidth="1"/>
    <col min="3" max="3" width="11.7109375" style="78" customWidth="1"/>
    <col min="4" max="5" width="11.7109375" style="207" customWidth="1"/>
    <col min="6" max="6" width="8.42578125" style="207" customWidth="1"/>
    <col min="7" max="17" width="8.28515625" style="207" customWidth="1"/>
    <col min="18" max="20" width="8" style="207" customWidth="1"/>
    <col min="21" max="21" width="7.85546875" style="207" customWidth="1"/>
    <col min="22" max="23" width="8" style="207" customWidth="1"/>
    <col min="24" max="24" width="7.28515625" style="207" customWidth="1"/>
    <col min="25" max="25" width="2.42578125" style="207" customWidth="1"/>
    <col min="26" max="26" width="2.28515625" style="207" customWidth="1"/>
    <col min="27" max="27" width="8.140625" style="207" hidden="1" customWidth="1"/>
    <col min="28" max="32" width="9" style="207" hidden="1" customWidth="1"/>
    <col min="33" max="33" width="20.42578125" style="207" hidden="1" customWidth="1"/>
    <col min="34" max="35" width="9.42578125" style="132" hidden="1" customWidth="1"/>
    <col min="36" max="36" width="17.85546875" style="132" hidden="1" customWidth="1"/>
    <col min="37" max="16384" width="9.42578125" style="132"/>
  </cols>
  <sheetData>
    <row r="1" spans="1:36" ht="42" customHeight="1">
      <c r="A1" s="2005"/>
      <c r="B1" s="2005"/>
      <c r="C1" s="177"/>
      <c r="D1" s="177"/>
      <c r="F1" s="3160" t="s">
        <v>503</v>
      </c>
      <c r="G1" s="3160"/>
      <c r="H1" s="3160"/>
      <c r="I1" s="3160"/>
      <c r="J1" s="3160"/>
      <c r="K1" s="3160"/>
      <c r="L1" s="3160"/>
      <c r="M1" s="3160"/>
      <c r="N1" s="3160"/>
      <c r="O1" s="1443"/>
      <c r="P1" s="229"/>
      <c r="Q1" s="1472"/>
      <c r="R1" s="177"/>
      <c r="S1" s="177"/>
      <c r="T1" s="177"/>
      <c r="U1" s="177"/>
      <c r="V1" s="3034" t="s">
        <v>1</v>
      </c>
      <c r="W1" s="3034"/>
      <c r="X1" s="3034"/>
      <c r="Y1" s="3034"/>
      <c r="Z1" s="1490"/>
      <c r="AA1" s="1491"/>
      <c r="AB1" s="1491"/>
      <c r="AC1" s="1491"/>
      <c r="AD1" s="1491"/>
      <c r="AE1" s="1491"/>
      <c r="AF1" s="1491"/>
      <c r="AG1" s="1491"/>
      <c r="AH1" s="134"/>
      <c r="AI1" s="134"/>
      <c r="AJ1" s="134"/>
    </row>
    <row r="2" spans="1:36" ht="14.1" customHeight="1">
      <c r="A2" s="112"/>
      <c r="B2" s="1381"/>
      <c r="C2" s="1382"/>
      <c r="D2" s="422"/>
      <c r="E2" s="422"/>
      <c r="F2" s="80"/>
      <c r="G2" s="3163" t="s">
        <v>504</v>
      </c>
      <c r="H2" s="3163"/>
      <c r="I2" s="3163"/>
      <c r="J2" s="3163"/>
      <c r="K2" s="3163"/>
      <c r="L2" s="3163"/>
      <c r="M2" s="3163"/>
      <c r="N2" s="112"/>
      <c r="O2" s="112"/>
      <c r="P2" s="934"/>
      <c r="Q2" s="934"/>
      <c r="R2" s="112"/>
      <c r="S2" s="112"/>
      <c r="T2" s="112"/>
      <c r="U2" s="112"/>
      <c r="V2" s="3161"/>
      <c r="W2" s="3161"/>
      <c r="X2" s="3161"/>
      <c r="Y2" s="3161"/>
      <c r="Z2" s="121"/>
      <c r="AA2" s="1491"/>
      <c r="AB2" s="1491"/>
      <c r="AC2" s="1491"/>
      <c r="AD2" s="1491"/>
      <c r="AE2" s="1491"/>
      <c r="AF2" s="1491"/>
      <c r="AG2" s="1491"/>
      <c r="AH2" s="134"/>
      <c r="AI2" s="134"/>
      <c r="AJ2" s="134"/>
    </row>
    <row r="3" spans="1:36" ht="10.5" customHeight="1">
      <c r="A3" s="112"/>
      <c r="B3" s="1381"/>
      <c r="C3" s="1382"/>
      <c r="D3" s="422"/>
      <c r="E3" s="422"/>
      <c r="F3" s="80"/>
      <c r="G3" s="80"/>
      <c r="H3" s="1383"/>
      <c r="I3" s="1383"/>
      <c r="J3" s="1383"/>
      <c r="K3" s="1383"/>
      <c r="L3" s="1383"/>
      <c r="M3" s="112"/>
      <c r="N3" s="112"/>
      <c r="O3" s="112"/>
      <c r="P3" s="934"/>
      <c r="Q3" s="934"/>
      <c r="R3" s="112"/>
      <c r="S3" s="112"/>
      <c r="T3" s="112"/>
      <c r="U3" s="112"/>
      <c r="V3" s="112"/>
      <c r="W3" s="112"/>
      <c r="X3" s="112"/>
      <c r="Y3" s="112"/>
      <c r="Z3" s="112"/>
      <c r="AA3" s="1491"/>
      <c r="AB3" s="1491"/>
      <c r="AC3" s="1491"/>
      <c r="AD3" s="1491"/>
      <c r="AE3" s="1491"/>
      <c r="AF3" s="1491"/>
      <c r="AG3" s="1491"/>
      <c r="AH3" s="134"/>
      <c r="AI3" s="134"/>
      <c r="AJ3" s="134"/>
    </row>
    <row r="4" spans="1:36" ht="14.1" customHeight="1">
      <c r="A4" s="112"/>
      <c r="B4" s="2923" t="s">
        <v>505</v>
      </c>
      <c r="C4" s="2923"/>
      <c r="D4" s="2923"/>
      <c r="E4" s="2923"/>
      <c r="F4" s="2923"/>
      <c r="G4" s="2923"/>
      <c r="H4" s="2923"/>
      <c r="I4" s="2923"/>
      <c r="J4" s="2923"/>
      <c r="K4" s="2923"/>
      <c r="L4" s="2923"/>
      <c r="M4" s="2923"/>
      <c r="N4" s="2923"/>
      <c r="O4" s="2923"/>
      <c r="P4" s="2923"/>
      <c r="Q4" s="2923"/>
      <c r="R4" s="2923"/>
      <c r="S4" s="2923"/>
      <c r="T4" s="1909"/>
      <c r="U4" s="1909"/>
      <c r="V4" s="1909"/>
      <c r="W4" s="1909"/>
      <c r="X4" s="1909"/>
      <c r="Y4" s="1909"/>
      <c r="Z4" s="1909"/>
      <c r="AA4" s="1491"/>
      <c r="AB4" s="1491"/>
      <c r="AC4" s="1491"/>
      <c r="AD4" s="1491"/>
      <c r="AE4" s="1491"/>
      <c r="AF4" s="1491"/>
      <c r="AG4" s="1491"/>
      <c r="AH4" s="134"/>
      <c r="AI4" s="134"/>
      <c r="AJ4" s="134"/>
    </row>
    <row r="5" spans="1:36" ht="8.4499999999999993" customHeight="1">
      <c r="A5" s="112"/>
      <c r="B5" s="114"/>
      <c r="C5" s="1382"/>
      <c r="D5" s="422"/>
      <c r="E5" s="422"/>
      <c r="F5" s="422"/>
      <c r="G5" s="422"/>
      <c r="H5" s="1384"/>
      <c r="I5" s="114"/>
      <c r="J5" s="114"/>
      <c r="K5" s="114"/>
      <c r="L5" s="114"/>
      <c r="M5" s="114"/>
      <c r="N5" s="114"/>
      <c r="O5" s="114"/>
      <c r="P5" s="114"/>
      <c r="Q5" s="114"/>
      <c r="R5" s="114"/>
      <c r="S5" s="114"/>
      <c r="T5" s="114"/>
      <c r="U5" s="114"/>
      <c r="V5" s="112"/>
      <c r="W5" s="112"/>
      <c r="X5" s="112"/>
      <c r="Y5" s="112"/>
      <c r="Z5" s="112"/>
      <c r="AA5" s="1491"/>
      <c r="AB5" s="1491"/>
      <c r="AC5" s="1491"/>
      <c r="AD5" s="1491"/>
      <c r="AE5" s="1491"/>
      <c r="AF5" s="1491"/>
      <c r="AG5" s="1491"/>
      <c r="AH5" s="134"/>
      <c r="AI5" s="134"/>
      <c r="AJ5" s="134"/>
    </row>
    <row r="6" spans="1:36" ht="15" customHeight="1">
      <c r="A6" s="112"/>
      <c r="B6" s="114"/>
      <c r="C6" s="114"/>
      <c r="D6" s="70"/>
      <c r="E6" s="2307"/>
      <c r="F6" s="4254" t="s">
        <v>67</v>
      </c>
      <c r="G6" s="4254"/>
      <c r="H6" s="4254"/>
      <c r="I6" s="4254"/>
      <c r="J6" s="4254"/>
      <c r="K6" s="4254"/>
      <c r="L6" s="4254"/>
      <c r="M6" s="1446"/>
      <c r="N6" s="1446"/>
      <c r="O6" s="1446"/>
      <c r="P6" s="1446"/>
      <c r="Q6" s="114"/>
      <c r="R6" s="114"/>
      <c r="S6" s="114"/>
      <c r="T6" s="114"/>
      <c r="U6" s="114"/>
      <c r="V6" s="112"/>
      <c r="W6" s="112"/>
      <c r="X6" s="112"/>
      <c r="Y6" s="112"/>
      <c r="Z6" s="112"/>
      <c r="AA6" s="3162" t="s">
        <v>506</v>
      </c>
      <c r="AB6" s="3162"/>
      <c r="AC6" s="3162"/>
      <c r="AD6" s="3162"/>
      <c r="AE6" s="3162"/>
      <c r="AF6" s="3162"/>
      <c r="AG6" s="3162"/>
      <c r="AH6" s="3162"/>
      <c r="AI6" s="3162"/>
      <c r="AJ6" s="3162"/>
    </row>
    <row r="7" spans="1:36" ht="15" customHeight="1">
      <c r="A7" s="2939" t="s">
        <v>33</v>
      </c>
      <c r="B7" s="2939"/>
      <c r="C7" s="114"/>
      <c r="D7" s="1385"/>
      <c r="E7" s="114"/>
      <c r="F7" s="114"/>
      <c r="G7" s="114"/>
      <c r="H7" s="114"/>
      <c r="I7" s="114"/>
      <c r="J7" s="114"/>
      <c r="K7" s="114"/>
      <c r="L7" s="114"/>
      <c r="M7" s="114"/>
      <c r="N7" s="114"/>
      <c r="O7" s="114"/>
      <c r="P7" s="114"/>
      <c r="Q7" s="114"/>
      <c r="R7" s="114"/>
      <c r="S7" s="114"/>
      <c r="T7" s="114"/>
      <c r="U7" s="114"/>
      <c r="V7" s="114"/>
      <c r="W7" s="114"/>
      <c r="X7" s="114"/>
      <c r="Y7" s="114"/>
      <c r="Z7" s="114"/>
      <c r="AA7" s="1491"/>
      <c r="AB7" s="1491"/>
      <c r="AC7" s="1491"/>
      <c r="AD7" s="1491"/>
      <c r="AE7" s="1491"/>
      <c r="AF7" s="1491"/>
      <c r="AG7" s="1491"/>
      <c r="AH7" s="134"/>
      <c r="AI7" s="134"/>
      <c r="AJ7" s="134"/>
    </row>
    <row r="8" spans="1:36" ht="15" customHeight="1">
      <c r="A8" s="112"/>
      <c r="B8" s="2308" t="s">
        <v>507</v>
      </c>
      <c r="C8" s="2309" t="s">
        <v>508</v>
      </c>
      <c r="D8" s="2310" t="s">
        <v>509</v>
      </c>
      <c r="E8" s="2311" t="s">
        <v>510</v>
      </c>
      <c r="F8" s="4314" t="s">
        <v>511</v>
      </c>
      <c r="G8" s="3164"/>
      <c r="H8" s="3164"/>
      <c r="I8" s="3164"/>
      <c r="J8" s="3164"/>
      <c r="K8" s="3164"/>
      <c r="L8" s="3164"/>
      <c r="M8" s="3164"/>
      <c r="N8" s="3164"/>
      <c r="O8" s="3164"/>
      <c r="P8" s="3164"/>
      <c r="Q8" s="3164"/>
      <c r="R8" s="3164"/>
      <c r="S8" s="3164"/>
      <c r="T8" s="3164"/>
      <c r="U8" s="3164"/>
      <c r="V8" s="3164"/>
      <c r="W8" s="3164"/>
      <c r="X8" s="3164"/>
      <c r="Y8" s="112"/>
      <c r="Z8" s="112"/>
      <c r="AA8" s="1491"/>
      <c r="AB8" s="1491"/>
      <c r="AC8" s="1491"/>
      <c r="AD8" s="1491"/>
      <c r="AE8" s="1491"/>
      <c r="AF8" s="1491"/>
      <c r="AG8" s="1491"/>
      <c r="AH8" s="134"/>
      <c r="AI8" s="134"/>
      <c r="AJ8" s="134"/>
    </row>
    <row r="9" spans="1:36" ht="15" customHeight="1">
      <c r="A9" s="112"/>
      <c r="B9" s="2312" t="s">
        <v>512</v>
      </c>
      <c r="C9" s="2313">
        <v>23</v>
      </c>
      <c r="D9" s="2045">
        <f>C9</f>
        <v>23</v>
      </c>
      <c r="E9" s="2314">
        <f>D9</f>
        <v>23</v>
      </c>
      <c r="F9" s="70"/>
      <c r="G9" s="1386"/>
      <c r="H9" s="1386"/>
      <c r="I9" s="1386"/>
      <c r="J9" s="1386"/>
      <c r="K9" s="1386"/>
      <c r="L9" s="1386"/>
      <c r="M9" s="1386"/>
      <c r="N9" s="1386"/>
      <c r="O9" s="1386"/>
      <c r="P9" s="1386"/>
      <c r="Q9" s="1386"/>
      <c r="R9" s="1386"/>
      <c r="S9" s="1386"/>
      <c r="T9" s="1386"/>
      <c r="U9" s="1386"/>
      <c r="V9" s="1386"/>
      <c r="W9" s="1386"/>
      <c r="X9" s="1386"/>
      <c r="Y9" s="1386"/>
      <c r="Z9" s="1911"/>
      <c r="AA9" s="1491"/>
      <c r="AB9" s="1491"/>
      <c r="AC9" s="1491"/>
      <c r="AD9" s="1491"/>
      <c r="AE9" s="1491"/>
      <c r="AF9" s="1491"/>
      <c r="AG9" s="1491"/>
      <c r="AH9" s="134"/>
      <c r="AI9" s="134"/>
      <c r="AJ9" s="134"/>
    </row>
    <row r="10" spans="1:36" ht="15" customHeight="1">
      <c r="A10" s="112"/>
      <c r="B10" s="1387" t="s">
        <v>513</v>
      </c>
      <c r="C10" s="1388">
        <v>23</v>
      </c>
      <c r="D10" s="1389">
        <f t="shared" ref="D10:D19" si="0">C10</f>
        <v>23</v>
      </c>
      <c r="E10" s="1390">
        <f>D10</f>
        <v>23</v>
      </c>
      <c r="F10" s="4315"/>
      <c r="G10" s="1386"/>
      <c r="H10" s="1386"/>
      <c r="I10" s="1386"/>
      <c r="J10" s="1386"/>
      <c r="K10" s="1386"/>
      <c r="L10" s="1386"/>
      <c r="M10" s="1386"/>
      <c r="N10" s="1386"/>
      <c r="O10" s="1386"/>
      <c r="P10" s="1386"/>
      <c r="Q10" s="1386"/>
      <c r="R10" s="1386"/>
      <c r="S10" s="1386"/>
      <c r="T10" s="1386"/>
      <c r="U10" s="1386"/>
      <c r="V10" s="1386"/>
      <c r="W10" s="1386"/>
      <c r="X10" s="1386"/>
      <c r="Y10" s="1386"/>
      <c r="Z10" s="1911"/>
      <c r="AA10" s="213" t="s">
        <v>514</v>
      </c>
      <c r="AB10" s="4316" t="s">
        <v>515</v>
      </c>
      <c r="AC10" s="3165" t="s">
        <v>516</v>
      </c>
      <c r="AD10" s="3166"/>
      <c r="AE10" s="4316"/>
      <c r="AF10" s="3165" t="s">
        <v>517</v>
      </c>
      <c r="AG10" s="3165"/>
      <c r="AH10" s="4316" t="s">
        <v>515</v>
      </c>
      <c r="AI10" s="3165" t="s">
        <v>518</v>
      </c>
      <c r="AJ10" s="3165"/>
    </row>
    <row r="11" spans="1:36" ht="15" customHeight="1">
      <c r="A11" s="112"/>
      <c r="B11" s="4317" t="s">
        <v>519</v>
      </c>
      <c r="C11" s="4318">
        <v>20</v>
      </c>
      <c r="D11" s="4319">
        <f t="shared" si="0"/>
        <v>20</v>
      </c>
      <c r="E11" s="2046">
        <f>D11</f>
        <v>20</v>
      </c>
      <c r="F11" s="3167" t="str">
        <f>"litres ≈ "&amp;FIXED((E11*1.75975),2)&amp;"  UK ̸ "&amp;FIXED((E11*1.75975*6/5),2)&amp;" US pt. to fill, after losses, approx."&amp;FIXED((1000*E11/N11-1),1)&amp;" bottles, sized"</f>
        <v>litres ≈ 35.20  UK ̸ 42.23 US pt. to fill, after losses, approx.29.8 bottles, sized</v>
      </c>
      <c r="G11" s="4320"/>
      <c r="H11" s="4320"/>
      <c r="I11" s="4320"/>
      <c r="J11" s="4320"/>
      <c r="K11" s="4320"/>
      <c r="L11" s="4320"/>
      <c r="M11" s="4320"/>
      <c r="N11" s="2315">
        <v>650</v>
      </c>
      <c r="O11" s="2316" t="s">
        <v>100</v>
      </c>
      <c r="P11" s="1386"/>
      <c r="Q11" s="1386"/>
      <c r="R11" s="1386"/>
      <c r="S11" s="1386"/>
      <c r="T11" s="1386"/>
      <c r="U11" s="1386"/>
      <c r="V11" s="1386"/>
      <c r="W11" s="1386"/>
      <c r="X11" s="1386"/>
      <c r="Y11" s="1386"/>
      <c r="Z11" s="1911"/>
      <c r="AA11" s="213"/>
      <c r="AB11" s="4316"/>
      <c r="AC11" s="213"/>
      <c r="AD11" s="213"/>
      <c r="AE11" s="4316"/>
      <c r="AF11" s="213"/>
      <c r="AG11" s="213"/>
      <c r="AH11" s="4316"/>
      <c r="AI11" s="213"/>
      <c r="AJ11" s="213"/>
    </row>
    <row r="12" spans="1:36" ht="15" customHeight="1">
      <c r="A12" s="112"/>
      <c r="B12" s="1391" t="s">
        <v>520</v>
      </c>
      <c r="C12" s="1392">
        <v>1800</v>
      </c>
      <c r="D12" s="1393">
        <f t="shared" si="0"/>
        <v>1800</v>
      </c>
      <c r="E12" s="1394">
        <f>C12</f>
        <v>1800</v>
      </c>
      <c r="F12" s="4321" t="s">
        <v>521</v>
      </c>
      <c r="G12" s="3173"/>
      <c r="H12" s="3173"/>
      <c r="I12" s="3173"/>
      <c r="J12" s="3173"/>
      <c r="K12" s="3173"/>
      <c r="L12" s="3173"/>
      <c r="M12" s="3173"/>
      <c r="N12" s="3173"/>
      <c r="O12" s="3173"/>
      <c r="P12" s="3173"/>
      <c r="Q12" s="3173"/>
      <c r="R12" s="3173"/>
      <c r="S12" s="3173"/>
      <c r="T12" s="3173"/>
      <c r="U12" s="3173"/>
      <c r="V12" s="3173"/>
      <c r="W12" s="3173"/>
      <c r="X12" s="3173"/>
      <c r="Y12" s="1386"/>
      <c r="Z12" s="1911"/>
      <c r="AA12" s="1015">
        <v>310</v>
      </c>
      <c r="AB12" s="4322">
        <f>C$18/100</f>
        <v>0.76</v>
      </c>
      <c r="AC12" s="1015">
        <f t="shared" ref="AC12:AC17" si="1">$AA12*C12</f>
        <v>558000</v>
      </c>
      <c r="AD12" s="83">
        <f>AB12*$AC12</f>
        <v>424080</v>
      </c>
      <c r="AE12" s="4322">
        <f>D$18/100</f>
        <v>0.76</v>
      </c>
      <c r="AF12" s="1015">
        <f t="shared" ref="AF12:AF17" si="2">$AA12*D12</f>
        <v>558000</v>
      </c>
      <c r="AG12" s="83">
        <f>AE12*$AF12</f>
        <v>424080</v>
      </c>
      <c r="AH12" s="4322">
        <f>E$18/100</f>
        <v>0.76</v>
      </c>
      <c r="AI12" s="1015">
        <f t="shared" ref="AI12:AI17" si="3">$AA12*E12</f>
        <v>558000</v>
      </c>
      <c r="AJ12" s="83">
        <f>AH12*AI12</f>
        <v>424080</v>
      </c>
    </row>
    <row r="13" spans="1:36" ht="15" customHeight="1">
      <c r="A13" s="112"/>
      <c r="B13" s="1395" t="s">
        <v>522</v>
      </c>
      <c r="C13" s="1396">
        <v>0</v>
      </c>
      <c r="D13" s="1397">
        <f t="shared" si="0"/>
        <v>0</v>
      </c>
      <c r="E13" s="1398">
        <f t="shared" ref="E13:E19" si="4">D13</f>
        <v>0</v>
      </c>
      <c r="F13" s="4321"/>
      <c r="G13" s="3173"/>
      <c r="H13" s="3173"/>
      <c r="I13" s="3173"/>
      <c r="J13" s="3173"/>
      <c r="K13" s="3173"/>
      <c r="L13" s="3173"/>
      <c r="M13" s="3173"/>
      <c r="N13" s="3173"/>
      <c r="O13" s="3173"/>
      <c r="P13" s="3173"/>
      <c r="Q13" s="3173"/>
      <c r="R13" s="3173"/>
      <c r="S13" s="3173"/>
      <c r="T13" s="3173"/>
      <c r="U13" s="3173"/>
      <c r="V13" s="3173"/>
      <c r="W13" s="3173"/>
      <c r="X13" s="3173"/>
      <c r="Y13" s="1386"/>
      <c r="Z13" s="1911"/>
      <c r="AA13" s="1015">
        <v>365</v>
      </c>
      <c r="AB13" s="4322">
        <f>C$18/100</f>
        <v>0.76</v>
      </c>
      <c r="AC13" s="1015">
        <f t="shared" si="1"/>
        <v>0</v>
      </c>
      <c r="AD13" s="83">
        <f>AB13*$AC13</f>
        <v>0</v>
      </c>
      <c r="AE13" s="4322">
        <f>D$18/100</f>
        <v>0.76</v>
      </c>
      <c r="AF13" s="1015">
        <f t="shared" si="2"/>
        <v>0</v>
      </c>
      <c r="AG13" s="83">
        <f>AE13*$AF13</f>
        <v>0</v>
      </c>
      <c r="AH13" s="4322">
        <f>E$18/100</f>
        <v>0.76</v>
      </c>
      <c r="AI13" s="1015">
        <f t="shared" si="3"/>
        <v>0</v>
      </c>
      <c r="AJ13" s="83">
        <f>AH13*$AI13</f>
        <v>0</v>
      </c>
    </row>
    <row r="14" spans="1:36" ht="15" customHeight="1">
      <c r="A14" s="112"/>
      <c r="B14" s="4323" t="s">
        <v>523</v>
      </c>
      <c r="C14" s="4324">
        <v>0</v>
      </c>
      <c r="D14" s="4325">
        <f>C14</f>
        <v>0</v>
      </c>
      <c r="E14" s="1399">
        <f>C13</f>
        <v>0</v>
      </c>
      <c r="F14" s="4321"/>
      <c r="G14" s="3173"/>
      <c r="H14" s="3173"/>
      <c r="I14" s="3173"/>
      <c r="J14" s="3173"/>
      <c r="K14" s="3173"/>
      <c r="L14" s="3173"/>
      <c r="M14" s="3173"/>
      <c r="N14" s="3173"/>
      <c r="O14" s="3173"/>
      <c r="P14" s="3173"/>
      <c r="Q14" s="3173"/>
      <c r="R14" s="3173"/>
      <c r="S14" s="3173"/>
      <c r="T14" s="3173"/>
      <c r="U14" s="3173"/>
      <c r="V14" s="3173"/>
      <c r="W14" s="3173"/>
      <c r="X14" s="3173"/>
      <c r="Y14" s="1386"/>
      <c r="Z14" s="1911"/>
      <c r="AA14" s="1015">
        <v>310</v>
      </c>
      <c r="AB14" s="4322">
        <f>C$18/100</f>
        <v>0.76</v>
      </c>
      <c r="AC14" s="1015">
        <f t="shared" si="1"/>
        <v>0</v>
      </c>
      <c r="AD14" s="83">
        <f>AB14*$AC14</f>
        <v>0</v>
      </c>
      <c r="AE14" s="4322">
        <f>D$18/100</f>
        <v>0.76</v>
      </c>
      <c r="AF14" s="1015">
        <f>$AA14*D14</f>
        <v>0</v>
      </c>
      <c r="AG14" s="83">
        <f>AE14*$AF14</f>
        <v>0</v>
      </c>
      <c r="AH14" s="4322">
        <f>E$18/100</f>
        <v>0.76</v>
      </c>
      <c r="AI14" s="1015">
        <f>$AA14*E14</f>
        <v>0</v>
      </c>
      <c r="AJ14" s="83">
        <f>AH14*$AI14</f>
        <v>0</v>
      </c>
    </row>
    <row r="15" spans="1:36" ht="15" customHeight="1">
      <c r="A15" s="112"/>
      <c r="B15" s="4323" t="s">
        <v>524</v>
      </c>
      <c r="C15" s="4324">
        <v>0</v>
      </c>
      <c r="D15" s="4325">
        <v>500</v>
      </c>
      <c r="E15" s="1399">
        <f t="shared" si="4"/>
        <v>500</v>
      </c>
      <c r="F15" s="4321"/>
      <c r="G15" s="3173"/>
      <c r="H15" s="3173"/>
      <c r="I15" s="3173"/>
      <c r="J15" s="3173"/>
      <c r="K15" s="3173"/>
      <c r="L15" s="3173"/>
      <c r="M15" s="3173"/>
      <c r="N15" s="3173"/>
      <c r="O15" s="3173"/>
      <c r="P15" s="3173"/>
      <c r="Q15" s="3173"/>
      <c r="R15" s="3173"/>
      <c r="S15" s="3173"/>
      <c r="T15" s="3173"/>
      <c r="U15" s="3173"/>
      <c r="V15" s="3173"/>
      <c r="W15" s="3173"/>
      <c r="X15" s="3173"/>
      <c r="Y15" s="114"/>
      <c r="Z15" s="114"/>
      <c r="AA15" s="1015">
        <v>365</v>
      </c>
      <c r="AB15" s="4322">
        <f>C$18/100</f>
        <v>0.76</v>
      </c>
      <c r="AC15" s="1015">
        <f t="shared" si="1"/>
        <v>0</v>
      </c>
      <c r="AD15" s="83">
        <f>AB15*$AC15</f>
        <v>0</v>
      </c>
      <c r="AE15" s="4322">
        <f>D$18/100</f>
        <v>0.76</v>
      </c>
      <c r="AF15" s="1015">
        <f t="shared" si="2"/>
        <v>182500</v>
      </c>
      <c r="AG15" s="83">
        <f>AE15*$AF15</f>
        <v>138700</v>
      </c>
      <c r="AH15" s="4322">
        <f>E$18/100</f>
        <v>0.76</v>
      </c>
      <c r="AI15" s="1015">
        <f t="shared" si="3"/>
        <v>182500</v>
      </c>
      <c r="AJ15" s="83">
        <f>AH15*$AI15</f>
        <v>138700</v>
      </c>
    </row>
    <row r="16" spans="1:36" ht="15" customHeight="1">
      <c r="A16" s="112"/>
      <c r="B16" s="4326" t="s">
        <v>525</v>
      </c>
      <c r="C16" s="4324">
        <v>1000</v>
      </c>
      <c r="D16" s="4325">
        <v>300</v>
      </c>
      <c r="E16" s="1399">
        <f t="shared" ref="E16" si="5">D16</f>
        <v>300</v>
      </c>
      <c r="F16" s="4321"/>
      <c r="G16" s="3173"/>
      <c r="H16" s="3173"/>
      <c r="I16" s="3173"/>
      <c r="J16" s="3173"/>
      <c r="K16" s="3173"/>
      <c r="L16" s="3173"/>
      <c r="M16" s="3173"/>
      <c r="N16" s="3173"/>
      <c r="O16" s="3173"/>
      <c r="P16" s="3173"/>
      <c r="Q16" s="3173"/>
      <c r="R16" s="3173"/>
      <c r="S16" s="3173"/>
      <c r="T16" s="3173"/>
      <c r="U16" s="3173"/>
      <c r="V16" s="3173"/>
      <c r="W16" s="3173"/>
      <c r="X16" s="3173"/>
      <c r="Y16" s="114"/>
      <c r="Z16" s="114"/>
      <c r="AA16" s="83">
        <v>375</v>
      </c>
      <c r="AB16" s="4327">
        <v>1</v>
      </c>
      <c r="AC16" s="1015">
        <f t="shared" si="1"/>
        <v>375000</v>
      </c>
      <c r="AD16" s="83">
        <f>AB16*$AC16</f>
        <v>375000</v>
      </c>
      <c r="AE16" s="4327">
        <f>AB16</f>
        <v>1</v>
      </c>
      <c r="AF16" s="1015">
        <f t="shared" si="2"/>
        <v>112500</v>
      </c>
      <c r="AG16" s="83">
        <f>AE16*$AF16</f>
        <v>112500</v>
      </c>
      <c r="AH16" s="4327">
        <f>AB16</f>
        <v>1</v>
      </c>
      <c r="AI16" s="1015">
        <f t="shared" si="3"/>
        <v>112500</v>
      </c>
      <c r="AJ16" s="83">
        <f>AH16*$AI16</f>
        <v>112500</v>
      </c>
    </row>
    <row r="17" spans="1:36" ht="15" customHeight="1">
      <c r="A17" s="112"/>
      <c r="B17" s="4323" t="s">
        <v>526</v>
      </c>
      <c r="C17" s="4324">
        <v>0</v>
      </c>
      <c r="D17" s="4325">
        <f t="shared" si="0"/>
        <v>0</v>
      </c>
      <c r="E17" s="1399">
        <f t="shared" si="4"/>
        <v>0</v>
      </c>
      <c r="F17" s="73"/>
      <c r="G17" s="1400"/>
      <c r="H17" s="1400"/>
      <c r="I17" s="1400"/>
      <c r="J17" s="1400"/>
      <c r="K17" s="1445"/>
      <c r="L17" s="1445"/>
      <c r="M17" s="1445"/>
      <c r="N17" s="1445"/>
      <c r="O17" s="1445"/>
      <c r="P17" s="1445"/>
      <c r="Q17" s="1473"/>
      <c r="R17" s="1473"/>
      <c r="S17" s="1473"/>
      <c r="T17" s="1474"/>
      <c r="U17" s="1474"/>
      <c r="V17" s="118"/>
      <c r="W17" s="118"/>
      <c r="X17" s="118"/>
      <c r="Y17" s="114"/>
      <c r="Z17" s="114"/>
      <c r="AA17" s="1492">
        <f>AA16*0.95</f>
        <v>356.25</v>
      </c>
      <c r="AB17" s="4328">
        <v>0.95</v>
      </c>
      <c r="AC17" s="1493">
        <f t="shared" si="1"/>
        <v>0</v>
      </c>
      <c r="AD17" s="1492"/>
      <c r="AE17" s="4328">
        <f>AB17</f>
        <v>0.95</v>
      </c>
      <c r="AF17" s="1015">
        <f t="shared" si="2"/>
        <v>0</v>
      </c>
      <c r="AG17" s="83"/>
      <c r="AH17" s="4328">
        <f>AB17</f>
        <v>0.95</v>
      </c>
      <c r="AI17" s="1493">
        <f t="shared" si="3"/>
        <v>0</v>
      </c>
      <c r="AJ17" s="1492"/>
    </row>
    <row r="18" spans="1:36" ht="15" customHeight="1">
      <c r="A18" s="112"/>
      <c r="B18" s="1767" t="s">
        <v>527</v>
      </c>
      <c r="C18" s="932">
        <v>76</v>
      </c>
      <c r="D18" s="932">
        <f t="shared" si="0"/>
        <v>76</v>
      </c>
      <c r="E18" s="1401">
        <f t="shared" si="4"/>
        <v>76</v>
      </c>
      <c r="F18" s="3168" t="str">
        <f>"= "&amp;FIXED((100*(1-((C29-1000)/(C28-1000)))),1)&amp;"  /  "&amp;FIXED((100*(1-((D29-1000)/(D28-1000)))),1)&amp;"  /  "&amp;FIXED((100*(1-((E29-1000)/(E28-1000)))),1)&amp;"%  Apparent Attenuation  &amp;  "&amp;FIXED(100*(1-(((0.1808*(C28-1000))+(0.8192*(C29-1000)))/(C28-1000))),1)&amp;"  /  "&amp;FIXED(100*(1-(((0.1808*(D28-1000))+(0.8192*(D29-1000)))/(D28-1000))),1)&amp;"  /  "&amp;FIXED(100*(1-(((0.1808*(E28-1000))+(0.8192*(E29-1000)))/(E28-1000))),1)&amp;"%  Real Attenuation, both unprimed."</f>
        <v>= 85.6  /  79.2  /  79.2%  Apparent Attenuation  &amp;  70.2  /  64.9  /  64.9%  Real Attenuation, both unprimed.</v>
      </c>
      <c r="G18" s="3169"/>
      <c r="H18" s="3169"/>
      <c r="I18" s="3169"/>
      <c r="J18" s="3169"/>
      <c r="K18" s="3169"/>
      <c r="L18" s="3169"/>
      <c r="M18" s="3169"/>
      <c r="N18" s="3169"/>
      <c r="O18" s="3169"/>
      <c r="P18" s="3170"/>
      <c r="Q18" s="1473"/>
      <c r="R18" s="2821" t="s">
        <v>153</v>
      </c>
      <c r="S18" s="2821"/>
      <c r="T18" s="2821"/>
      <c r="U18" s="2821"/>
      <c r="V18" s="2821"/>
      <c r="W18" s="2821"/>
      <c r="X18" s="118"/>
      <c r="Y18" s="114"/>
      <c r="Z18" s="114"/>
      <c r="AA18" s="1015">
        <v>375</v>
      </c>
      <c r="AB18" s="83" t="s">
        <v>528</v>
      </c>
      <c r="AC18" s="1015">
        <f>AA18*C31*C10</f>
        <v>27168.75</v>
      </c>
      <c r="AD18" s="83"/>
      <c r="AE18" s="4329"/>
      <c r="AF18" s="1015">
        <f>AA18*D31*D10</f>
        <v>27168.75</v>
      </c>
      <c r="AG18" s="1015"/>
      <c r="AH18" s="83" t="s">
        <v>528</v>
      </c>
      <c r="AI18" s="1015">
        <f>AA18*E31*E10</f>
        <v>27168.75</v>
      </c>
      <c r="AJ18" s="83"/>
    </row>
    <row r="19" spans="1:36" ht="15" customHeight="1">
      <c r="A19" s="112"/>
      <c r="B19" s="2317" t="s">
        <v>529</v>
      </c>
      <c r="C19" s="2318"/>
      <c r="D19" s="1402">
        <f t="shared" si="0"/>
        <v>0</v>
      </c>
      <c r="E19" s="2319">
        <f t="shared" si="4"/>
        <v>0</v>
      </c>
      <c r="F19" s="4330"/>
      <c r="G19" s="67"/>
      <c r="H19" s="67"/>
      <c r="I19" s="67"/>
      <c r="J19" s="67"/>
      <c r="K19" s="67"/>
      <c r="L19" s="67"/>
      <c r="M19" s="67"/>
      <c r="N19" s="67"/>
      <c r="O19" s="67"/>
      <c r="P19" s="67"/>
      <c r="Q19" s="70"/>
      <c r="R19" s="2821"/>
      <c r="S19" s="2821"/>
      <c r="T19" s="2821"/>
      <c r="U19" s="2821"/>
      <c r="V19" s="2821"/>
      <c r="W19" s="2821"/>
      <c r="X19" s="118"/>
      <c r="Y19" s="114"/>
      <c r="Z19" s="114"/>
      <c r="AA19" s="1015"/>
      <c r="AB19" s="83"/>
      <c r="AC19" s="1015"/>
      <c r="AD19" s="83"/>
      <c r="AE19" s="83"/>
      <c r="AF19" s="1015"/>
      <c r="AG19" s="1015"/>
      <c r="AH19" s="83"/>
      <c r="AI19" s="1015"/>
      <c r="AJ19" s="83"/>
    </row>
    <row r="20" spans="1:36" ht="15" customHeight="1">
      <c r="A20" s="112"/>
      <c r="B20" s="4331" t="str">
        <f>"       For "&amp;FIXED(C11)&amp;" / "&amp;FIXED(D11)&amp;" / "&amp;FIXED(E10)&amp;" litres ( cells C11, D11 &amp; E11)"</f>
        <v xml:space="preserve">       For 20.00 / 20.00 / 23.00 litres ( cells C11, D11 &amp; E11)</v>
      </c>
      <c r="C20" s="4332">
        <f>C19*C9/C10</f>
        <v>0</v>
      </c>
      <c r="D20" s="4332">
        <f>D19*D9/D10</f>
        <v>0</v>
      </c>
      <c r="E20" s="1403">
        <f>E19*E9/E10</f>
        <v>0</v>
      </c>
      <c r="F20" s="4333"/>
      <c r="G20" s="1404"/>
      <c r="H20" s="1404"/>
      <c r="I20" s="1404"/>
      <c r="J20" s="1404"/>
      <c r="K20" s="1446"/>
      <c r="L20" s="1446"/>
      <c r="M20" s="114"/>
      <c r="N20" s="114"/>
      <c r="O20" s="114"/>
      <c r="P20" s="114"/>
      <c r="Q20" s="67"/>
      <c r="R20" s="2821"/>
      <c r="S20" s="2821"/>
      <c r="T20" s="2821"/>
      <c r="U20" s="2821"/>
      <c r="V20" s="2821"/>
      <c r="W20" s="2821"/>
      <c r="X20" s="118"/>
      <c r="Y20" s="114"/>
      <c r="Z20" s="114"/>
      <c r="AA20" s="906"/>
      <c r="AB20" s="906"/>
      <c r="AC20" s="906"/>
      <c r="AD20" s="906"/>
      <c r="AE20" s="3171" t="s">
        <v>530</v>
      </c>
      <c r="AF20" s="3171"/>
      <c r="AG20" s="3171"/>
      <c r="AH20" s="906"/>
      <c r="AI20" s="906"/>
      <c r="AJ20" s="906"/>
    </row>
    <row r="21" spans="1:36" ht="15" customHeight="1">
      <c r="A21" s="112"/>
      <c r="B21" s="4334" t="s">
        <v>531</v>
      </c>
      <c r="C21" s="4335">
        <v>0</v>
      </c>
      <c r="D21" s="4325">
        <f>C21</f>
        <v>0</v>
      </c>
      <c r="E21" s="1399">
        <f>D21</f>
        <v>0</v>
      </c>
      <c r="F21" s="4336" t="s">
        <v>532</v>
      </c>
      <c r="G21" s="3172"/>
      <c r="H21" s="3172"/>
      <c r="I21" s="3172"/>
      <c r="J21" s="3172"/>
      <c r="K21" s="3172"/>
      <c r="L21" s="3172"/>
      <c r="M21" s="3172"/>
      <c r="N21" s="3172"/>
      <c r="O21" s="3172"/>
      <c r="P21" s="3172"/>
      <c r="Q21" s="3172"/>
      <c r="R21" s="1475"/>
      <c r="S21" s="1475"/>
      <c r="T21" s="1475"/>
      <c r="U21" s="1475"/>
      <c r="V21" s="118"/>
      <c r="W21" s="118"/>
      <c r="X21" s="118"/>
      <c r="Y21" s="114"/>
      <c r="Z21" s="114"/>
      <c r="AA21" s="906"/>
      <c r="AB21" s="906"/>
      <c r="AC21" s="1494" t="s">
        <v>533</v>
      </c>
      <c r="AD21" s="1494"/>
      <c r="AE21" s="1494"/>
      <c r="AF21" s="1494"/>
      <c r="AG21" s="1494"/>
      <c r="AH21" s="1494"/>
      <c r="AI21" s="1494"/>
      <c r="AJ21" s="1494"/>
    </row>
    <row r="22" spans="1:36" ht="15" customHeight="1">
      <c r="A22" s="112"/>
      <c r="B22" s="1405" t="str">
        <f>"       For "&amp;FIXED(C11)&amp;" / "&amp;FIXED(D11)&amp;" / "&amp;FIXED(E11)&amp;" litres (cells C11, D11 &amp; E11)"</f>
        <v xml:space="preserve">       For 20.00 / 20.00 / 20.00 litres (cells C11, D11 &amp; E11)</v>
      </c>
      <c r="C22" s="1406">
        <f>C21*C9/C11</f>
        <v>0</v>
      </c>
      <c r="D22" s="1407">
        <f>D21*D9/D11</f>
        <v>0</v>
      </c>
      <c r="E22" s="1408">
        <f>E21*E9/E11</f>
        <v>0</v>
      </c>
      <c r="F22" s="4337"/>
      <c r="G22" s="1409"/>
      <c r="H22" s="1409"/>
      <c r="I22" s="67"/>
      <c r="J22" s="140"/>
      <c r="K22" s="140"/>
      <c r="L22" s="140"/>
      <c r="M22" s="1447"/>
      <c r="N22" s="1447"/>
      <c r="O22" s="1446"/>
      <c r="P22" s="114"/>
      <c r="Q22" s="114"/>
      <c r="R22" s="1476"/>
      <c r="S22" s="1476"/>
      <c r="T22" s="1475"/>
      <c r="U22" s="1475"/>
      <c r="V22" s="118"/>
      <c r="W22" s="118"/>
      <c r="X22" s="118"/>
      <c r="Y22" s="114"/>
      <c r="Z22" s="114"/>
      <c r="AA22" s="514" t="s">
        <v>534</v>
      </c>
      <c r="AB22" s="1495">
        <f>89.6/342</f>
        <v>0.26198830409356721</v>
      </c>
      <c r="AC22" s="1496" t="s">
        <v>535</v>
      </c>
      <c r="AD22" s="1497">
        <f>AD32</f>
        <v>18.438260869565216</v>
      </c>
      <c r="AE22" s="1498"/>
      <c r="AF22" s="1498" t="s">
        <v>535</v>
      </c>
      <c r="AG22" s="522">
        <f>AG32</f>
        <v>24.468695652173913</v>
      </c>
      <c r="AH22" s="906"/>
      <c r="AI22" s="1496" t="s">
        <v>535</v>
      </c>
      <c r="AJ22" s="522">
        <f>AJ32</f>
        <v>24.468695652173913</v>
      </c>
    </row>
    <row r="23" spans="1:36" ht="15" customHeight="1">
      <c r="A23" s="112"/>
      <c r="B23" s="1410" t="s">
        <v>536</v>
      </c>
      <c r="C23" s="4338">
        <v>0</v>
      </c>
      <c r="D23" s="4325">
        <f>C23</f>
        <v>0</v>
      </c>
      <c r="E23" s="1399">
        <f>D23</f>
        <v>0</v>
      </c>
      <c r="F23" s="3174" t="str">
        <f>"ml = "&amp;FIXED(C23/5)&amp;"  ̸  "&amp;FIXED(D23/5)&amp;"  ̸  "&amp;FIXED(E23/5)&amp;" tsp."</f>
        <v>ml = 0.00  ̸  0.00  ̸  0.00 tsp.</v>
      </c>
      <c r="G23" s="3175"/>
      <c r="H23" s="3176"/>
      <c r="I23" s="3177" t="s">
        <v>537</v>
      </c>
      <c r="J23" s="3178"/>
      <c r="K23" s="3178"/>
      <c r="L23" s="1448"/>
      <c r="M23" s="1449"/>
      <c r="N23" s="1449"/>
      <c r="O23" s="118"/>
      <c r="P23" s="118"/>
      <c r="Q23" s="114"/>
      <c r="R23" s="1477"/>
      <c r="S23" s="1219"/>
      <c r="T23" s="118"/>
      <c r="U23" s="118"/>
      <c r="V23" s="118"/>
      <c r="W23" s="118"/>
      <c r="X23" s="118"/>
      <c r="Y23" s="114"/>
      <c r="Z23" s="114"/>
      <c r="AA23" s="518" t="s">
        <v>538</v>
      </c>
      <c r="AB23" s="519" t="s">
        <v>539</v>
      </c>
      <c r="AC23" s="521" t="s">
        <v>540</v>
      </c>
      <c r="AD23" s="1499">
        <f>(0.375*(C16+0.95*C17)/C10)</f>
        <v>16.304347826086957</v>
      </c>
      <c r="AE23" s="1498"/>
      <c r="AF23" s="1498" t="s">
        <v>540</v>
      </c>
      <c r="AG23" s="1499">
        <f>((0.375*(D16+0.95*D17)/D10))</f>
        <v>4.8913043478260869</v>
      </c>
      <c r="AH23" s="906"/>
      <c r="AI23" s="521" t="s">
        <v>540</v>
      </c>
      <c r="AJ23" s="1512">
        <f>(0.375*(E16+0.95*E17)/E10)</f>
        <v>4.8913043478260869</v>
      </c>
    </row>
    <row r="24" spans="1:36" ht="15" customHeight="1">
      <c r="A24" s="112"/>
      <c r="B24" s="4339" t="s">
        <v>541</v>
      </c>
      <c r="C24" s="4340" t="str">
        <f>(FIXED(C23*O24*L24/(L24*C10),1))</f>
        <v>0.0</v>
      </c>
      <c r="D24" s="4325" t="str">
        <f t="shared" ref="D24" si="6">C24</f>
        <v>0.0</v>
      </c>
      <c r="E24" s="1399" t="str">
        <f t="shared" ref="E24" si="7">D24</f>
        <v>0.0</v>
      </c>
      <c r="F24" s="2915" t="s">
        <v>542</v>
      </c>
      <c r="G24" s="2930"/>
      <c r="H24" s="1727">
        <v>1</v>
      </c>
      <c r="I24" s="2915" t="s">
        <v>255</v>
      </c>
      <c r="J24" s="2929"/>
      <c r="K24" s="2930"/>
      <c r="L24" s="1727">
        <v>1</v>
      </c>
      <c r="M24" s="2915" t="s">
        <v>543</v>
      </c>
      <c r="N24" s="2930"/>
      <c r="O24" s="1727">
        <v>69</v>
      </c>
      <c r="P24" s="1729" t="s">
        <v>257</v>
      </c>
      <c r="Q24" s="4341">
        <f>C23*O24*L24/(H24*C10)</f>
        <v>0</v>
      </c>
      <c r="R24" s="1477"/>
      <c r="S24" s="1219"/>
      <c r="T24" s="118"/>
      <c r="U24" s="118"/>
      <c r="V24" s="118"/>
      <c r="W24" s="118"/>
      <c r="X24" s="118"/>
      <c r="Y24" s="114"/>
      <c r="Z24" s="114"/>
      <c r="AA24" s="2320" t="s">
        <v>544</v>
      </c>
      <c r="AB24" s="2321" t="s">
        <v>545</v>
      </c>
      <c r="AC24" s="1500" t="s">
        <v>546</v>
      </c>
      <c r="AD24" s="1497">
        <f>1000+((C16+C17*319/375)*375+SUM(AC12:AC16)-AC16)/(1000*C10)</f>
        <v>1040.5652173913043</v>
      </c>
      <c r="AE24" s="1498"/>
      <c r="AF24" s="1498" t="s">
        <v>546</v>
      </c>
      <c r="AG24" s="1497">
        <f>1000+((D16+D17*319/375)*375+SUM(AF12:AF16)-AF16)/(1000*D10)</f>
        <v>1037.0869565217392</v>
      </c>
      <c r="AH24" s="906"/>
      <c r="AI24" s="1500" t="s">
        <v>546</v>
      </c>
      <c r="AJ24" s="522">
        <f>1000+((E16+E17*319/375)*375+SUM(AI12:AI16)-AI16)/(1000*E10)</f>
        <v>1037.0869565217392</v>
      </c>
    </row>
    <row r="25" spans="1:36" ht="15" customHeight="1">
      <c r="A25" s="112"/>
      <c r="B25" s="4342" t="s">
        <v>547</v>
      </c>
      <c r="C25" s="4343">
        <f>(C22+Q24)/(C36-1000)</f>
        <v>0</v>
      </c>
      <c r="D25" s="4344">
        <f>(D22+Q25)/(D36-1000)</f>
        <v>0</v>
      </c>
      <c r="E25" s="1959">
        <f>(E22+Q26)/(E36-1000)</f>
        <v>0</v>
      </c>
      <c r="F25" s="3179" t="s">
        <v>548</v>
      </c>
      <c r="G25" s="3180"/>
      <c r="H25" s="3180"/>
      <c r="I25" s="3180"/>
      <c r="J25" s="3180"/>
      <c r="K25" s="3180"/>
      <c r="L25" s="3180"/>
      <c r="M25" s="3180"/>
      <c r="N25" s="3180"/>
      <c r="O25" s="3180"/>
      <c r="P25" s="3180"/>
      <c r="Q25" s="1478">
        <f>D23*O24*L24/(H24*D10)</f>
        <v>0</v>
      </c>
      <c r="R25" s="1477"/>
      <c r="S25" s="1219"/>
      <c r="T25" s="118"/>
      <c r="U25" s="118"/>
      <c r="V25" s="118"/>
      <c r="W25" s="118"/>
      <c r="X25" s="118"/>
      <c r="Y25" s="114"/>
      <c r="Z25" s="114"/>
      <c r="AA25" s="4345">
        <v>0</v>
      </c>
      <c r="AB25" s="4346">
        <v>1.7130000000000001</v>
      </c>
      <c r="AC25" s="1500" t="s">
        <v>549</v>
      </c>
      <c r="AD25" s="1497">
        <f>(AD24-AD22-AD23)</f>
        <v>1005.8226086956521</v>
      </c>
      <c r="AE25" s="1501"/>
      <c r="AF25" s="1498" t="s">
        <v>549</v>
      </c>
      <c r="AG25" s="522">
        <f>(AG24-AG22-AG23)</f>
        <v>1007.7269565217392</v>
      </c>
      <c r="AH25" s="906"/>
      <c r="AI25" s="1500" t="s">
        <v>549</v>
      </c>
      <c r="AJ25" s="522">
        <f>(AJ24-AJ22-AJ23)</f>
        <v>1007.7269565217392</v>
      </c>
    </row>
    <row r="26" spans="1:36" ht="15" customHeight="1">
      <c r="A26" s="112"/>
      <c r="B26" s="4347" t="s">
        <v>550</v>
      </c>
      <c r="C26" s="4348" t="str">
        <f>IF(C21=0,"Cell C21 is Empty",IF(C25&gt;0.81,"Too Hoppy?",IF(C25&gt;0.65,"Very Hoppy",IF(C25&gt;0.55,"Slightly Hoppy",IF(C25&gt;0.45,"Balanced",IF(C25&gt;0.35,"Slightly Malty",IF(C25&gt;0.25,"Very Malty",IF(C25&gt;0,"Too Malty?"))))))))</f>
        <v>Cell C21 is Empty</v>
      </c>
      <c r="D26" s="4349" t="str">
        <f>IF(D21=0,"Cell D21 is Empty",IF(D25&gt;0.81,"Too Hoppy?",IF(D25&gt;0.65,"Very Hoppy",IF(D25&gt;0.55,"Slightly Hoppy",IF(D25&gt;0.45,"Balanced",IF(D25&gt;0.35,"Slightly Malty",IF(D25&gt;0.25,"Very Malty",IF(D25&gt;0,"Too Malty?"))))))))</f>
        <v>Cell D21 is Empty</v>
      </c>
      <c r="E26" s="3088" t="str">
        <f>IF(E21=0,"Cell E21 is Empty",IF(E25&gt;0.81,"Too Hoppy?",IF(E25&gt;0.65,"Very Hoppy",IF(E25&gt;0.55,"Slightly Hoppy",IF(E25&gt;0.45,"Balanced",IF(E25&gt;0.35,"Slightly Malty",IF(E25&gt;0.25,"Very Malty",IF(E25&gt;0,"Too Malty?"))))))))</f>
        <v>Cell E21 is Empty</v>
      </c>
      <c r="F26" s="4350"/>
      <c r="G26" s="1411"/>
      <c r="H26" s="1412"/>
      <c r="I26" s="1450"/>
      <c r="J26" s="1450"/>
      <c r="K26" s="1450"/>
      <c r="L26" s="1450"/>
      <c r="M26" s="1450"/>
      <c r="N26" s="1450"/>
      <c r="O26" s="1450"/>
      <c r="P26" s="1450"/>
      <c r="Q26" s="1478">
        <f>E23*O24*L24/(H24*E10)</f>
        <v>0</v>
      </c>
      <c r="R26" s="1477"/>
      <c r="S26" s="1219"/>
      <c r="T26" s="118"/>
      <c r="U26" s="118"/>
      <c r="V26" s="118"/>
      <c r="W26" s="118"/>
      <c r="X26" s="118"/>
      <c r="Y26" s="114"/>
      <c r="Z26" s="114"/>
      <c r="AA26" s="4345">
        <v>1</v>
      </c>
      <c r="AB26" s="4346">
        <v>1.6459999999999999</v>
      </c>
      <c r="AC26" s="1502" t="s">
        <v>551</v>
      </c>
      <c r="AD26" s="522" t="s">
        <v>552</v>
      </c>
      <c r="AE26" s="1503"/>
      <c r="AF26" s="1504"/>
      <c r="AG26" s="1508"/>
      <c r="AH26" s="906"/>
      <c r="AI26" s="1502" t="s">
        <v>551</v>
      </c>
      <c r="AJ26" s="522" t="s">
        <v>552</v>
      </c>
    </row>
    <row r="27" spans="1:36" ht="15" customHeight="1">
      <c r="A27" s="112"/>
      <c r="B27" s="4351" t="s">
        <v>553</v>
      </c>
      <c r="C27" s="3086"/>
      <c r="D27" s="3087"/>
      <c r="E27" s="3088"/>
      <c r="F27" s="4350"/>
      <c r="G27" s="1411"/>
      <c r="H27" s="1412"/>
      <c r="I27" s="1450"/>
      <c r="J27" s="1450"/>
      <c r="K27" s="1450"/>
      <c r="L27" s="1450"/>
      <c r="M27" s="1450"/>
      <c r="N27" s="1450"/>
      <c r="O27" s="1451"/>
      <c r="P27" s="1451"/>
      <c r="Q27" s="118"/>
      <c r="R27" s="1479"/>
      <c r="S27" s="1451"/>
      <c r="T27" s="1451"/>
      <c r="U27" s="118"/>
      <c r="V27" s="118"/>
      <c r="W27" s="118"/>
      <c r="X27" s="118"/>
      <c r="Y27" s="114"/>
      <c r="Z27" s="114"/>
      <c r="AA27" s="4345">
        <v>2</v>
      </c>
      <c r="AB27" s="4352">
        <v>1.5840000000000001</v>
      </c>
      <c r="AC27" s="70"/>
      <c r="AD27" s="70"/>
      <c r="AE27" s="70"/>
      <c r="AF27" s="70"/>
      <c r="AG27" s="70"/>
      <c r="AH27" s="134"/>
      <c r="AI27" s="134"/>
      <c r="AJ27" s="134"/>
    </row>
    <row r="28" spans="1:36" ht="15" customHeight="1">
      <c r="A28" s="112"/>
      <c r="B28" s="1391" t="s">
        <v>554</v>
      </c>
      <c r="C28" s="4353">
        <f>AD24</f>
        <v>1040.5652173913043</v>
      </c>
      <c r="D28" s="4354">
        <f>AG24</f>
        <v>1037.0869565217392</v>
      </c>
      <c r="E28" s="1413">
        <f>AJ24</f>
        <v>1037.0869565217392</v>
      </c>
      <c r="F28" s="4355" t="s">
        <v>555</v>
      </c>
      <c r="G28" s="3089"/>
      <c r="H28" s="3089"/>
      <c r="I28" s="3089"/>
      <c r="J28" s="3089"/>
      <c r="K28" s="3089"/>
      <c r="L28" s="3089"/>
      <c r="M28" s="3089"/>
      <c r="N28" s="3089"/>
      <c r="O28" s="3089"/>
      <c r="P28" s="3089"/>
      <c r="Q28" s="3089"/>
      <c r="R28" s="3089"/>
      <c r="S28" s="3089"/>
      <c r="T28" s="3089"/>
      <c r="U28" s="3089"/>
      <c r="V28" s="3089"/>
      <c r="W28" s="3089"/>
      <c r="X28" s="3089"/>
      <c r="Y28" s="3089"/>
      <c r="Z28" s="114"/>
      <c r="AA28" s="4345">
        <v>3</v>
      </c>
      <c r="AB28" s="4352">
        <v>1.53</v>
      </c>
      <c r="AC28" s="70"/>
      <c r="AD28" s="70"/>
      <c r="AE28" s="70"/>
      <c r="AF28" s="70"/>
      <c r="AG28" s="70"/>
      <c r="AH28" s="134"/>
      <c r="AI28" s="134"/>
      <c r="AJ28" s="134"/>
    </row>
    <row r="29" spans="1:36" ht="15" customHeight="1">
      <c r="A29" s="112"/>
      <c r="B29" s="4326" t="s">
        <v>556</v>
      </c>
      <c r="C29" s="4356">
        <f>AD25</f>
        <v>1005.8226086956521</v>
      </c>
      <c r="D29" s="4354">
        <f>AG25</f>
        <v>1007.7269565217392</v>
      </c>
      <c r="E29" s="1414">
        <f>AJ25</f>
        <v>1007.7269565217392</v>
      </c>
      <c r="F29" s="4355"/>
      <c r="G29" s="3089"/>
      <c r="H29" s="3089"/>
      <c r="I29" s="3089"/>
      <c r="J29" s="3089"/>
      <c r="K29" s="3089"/>
      <c r="L29" s="3089"/>
      <c r="M29" s="3089"/>
      <c r="N29" s="3089"/>
      <c r="O29" s="3089"/>
      <c r="P29" s="3089"/>
      <c r="Q29" s="3089"/>
      <c r="R29" s="3089"/>
      <c r="S29" s="3089"/>
      <c r="T29" s="3089"/>
      <c r="U29" s="3089"/>
      <c r="V29" s="3089"/>
      <c r="W29" s="3089"/>
      <c r="X29" s="3089"/>
      <c r="Y29" s="3089"/>
      <c r="Z29" s="114"/>
      <c r="AA29" s="4345">
        <v>4</v>
      </c>
      <c r="AB29" s="4352">
        <v>1.4730000000000001</v>
      </c>
      <c r="AC29" s="70"/>
      <c r="AD29" s="70"/>
      <c r="AE29" s="70"/>
      <c r="AF29" s="70"/>
      <c r="AG29" s="70"/>
      <c r="AH29" s="134"/>
      <c r="AI29" s="134"/>
      <c r="AJ29" s="134"/>
    </row>
    <row r="30" spans="1:36" ht="15" customHeight="1">
      <c r="A30" s="112"/>
      <c r="B30" s="1395" t="s">
        <v>557</v>
      </c>
      <c r="C30" s="4357">
        <f>(C28-C29)/(7.75-3*(C28-1000)/800)</f>
        <v>4.5726711539974669</v>
      </c>
      <c r="D30" s="4357">
        <f>(D28-D29)/(7.75-3*(D28-1000)/800)</f>
        <v>3.8576131275840666</v>
      </c>
      <c r="E30" s="1415">
        <f>(E28-E29)/(7.75-3*(E28-1000)/800)</f>
        <v>3.8576131275840666</v>
      </c>
      <c r="F30" s="4355"/>
      <c r="G30" s="3089"/>
      <c r="H30" s="3089"/>
      <c r="I30" s="3089"/>
      <c r="J30" s="3089"/>
      <c r="K30" s="3089"/>
      <c r="L30" s="3089"/>
      <c r="M30" s="3089"/>
      <c r="N30" s="3089"/>
      <c r="O30" s="3089"/>
      <c r="P30" s="3089"/>
      <c r="Q30" s="3089"/>
      <c r="R30" s="3089"/>
      <c r="S30" s="3089"/>
      <c r="T30" s="3089"/>
      <c r="U30" s="3089"/>
      <c r="V30" s="3089"/>
      <c r="W30" s="3089"/>
      <c r="X30" s="3089"/>
      <c r="Y30" s="3089"/>
      <c r="Z30" s="114"/>
      <c r="AA30" s="4345">
        <v>5</v>
      </c>
      <c r="AB30" s="4352">
        <v>1.4239999999999999</v>
      </c>
      <c r="AC30" s="70"/>
      <c r="AD30" s="70"/>
      <c r="AE30" s="70"/>
      <c r="AF30" s="70"/>
      <c r="AG30" s="70"/>
      <c r="AH30" s="134"/>
      <c r="AI30" s="134" t="s">
        <v>558</v>
      </c>
      <c r="AJ30" s="134"/>
    </row>
    <row r="31" spans="1:36" ht="15" customHeight="1">
      <c r="A31" s="112"/>
      <c r="B31" s="1416" t="str">
        <f>"Priming sugar g ̸ litre (1 level tsp = "&amp;R$62&amp;"g )"</f>
        <v>Priming sugar g ̸ litre (1 level tsp = 3.15g )</v>
      </c>
      <c r="C31" s="1714">
        <v>3.15</v>
      </c>
      <c r="D31" s="1713">
        <f>C31</f>
        <v>3.15</v>
      </c>
      <c r="E31" s="1712">
        <f>C31</f>
        <v>3.15</v>
      </c>
      <c r="F31" s="3143" t="str">
        <f>"g = "&amp;FIXED(C31/R62)&amp;"  ̸  "&amp;FIXED(D31/R62)&amp;" / "&amp;FIXED(E31/R62)&amp;" level 5ml tsp sucrose"</f>
        <v>g = 1.00  ̸  1.00 / 1.00 level 5ml tsp sucrose</v>
      </c>
      <c r="G31" s="3144"/>
      <c r="H31" s="3144"/>
      <c r="I31" s="3144"/>
      <c r="J31" s="3145"/>
      <c r="K31" s="140"/>
      <c r="L31" s="1452"/>
      <c r="M31" s="1452"/>
      <c r="N31" s="67"/>
      <c r="O31" s="3146" t="s">
        <v>559</v>
      </c>
      <c r="P31" s="3147"/>
      <c r="Q31" s="3147"/>
      <c r="R31" s="3147"/>
      <c r="S31" s="3147"/>
      <c r="T31" s="3147"/>
      <c r="U31" s="3147"/>
      <c r="V31" s="3147"/>
      <c r="W31" s="3148"/>
      <c r="X31" s="1454"/>
      <c r="Y31" s="1454"/>
      <c r="Z31" s="1454"/>
      <c r="AA31" s="4345">
        <v>6</v>
      </c>
      <c r="AB31" s="4352">
        <v>1.377</v>
      </c>
      <c r="AC31" s="1494" t="s">
        <v>560</v>
      </c>
      <c r="AD31" s="1505"/>
      <c r="AE31" s="1505"/>
      <c r="AF31" s="1505"/>
      <c r="AG31" s="1505"/>
      <c r="AH31" s="1505"/>
      <c r="AI31" s="1505"/>
      <c r="AJ31" s="1505"/>
    </row>
    <row r="32" spans="1:36" ht="15" customHeight="1">
      <c r="A32" s="112"/>
      <c r="B32" s="4358" t="s">
        <v>561</v>
      </c>
      <c r="C32" s="4359">
        <v>20</v>
      </c>
      <c r="D32" s="1417">
        <f>C32</f>
        <v>20</v>
      </c>
      <c r="E32" s="1418">
        <f>D32</f>
        <v>20</v>
      </c>
      <c r="F32" s="2322" t="s">
        <v>562</v>
      </c>
      <c r="G32" s="140"/>
      <c r="H32" s="140"/>
      <c r="I32" s="140"/>
      <c r="J32" s="140"/>
      <c r="K32" s="140"/>
      <c r="L32" s="67"/>
      <c r="M32" s="67"/>
      <c r="N32" s="67"/>
      <c r="O32" s="1453"/>
      <c r="P32" s="1454"/>
      <c r="Q32" s="1454"/>
      <c r="R32" s="1454"/>
      <c r="S32" s="1454"/>
      <c r="T32" s="1454"/>
      <c r="U32" s="1454"/>
      <c r="V32" s="1454"/>
      <c r="W32" s="1480"/>
      <c r="X32" s="1454"/>
      <c r="Y32" s="1454"/>
      <c r="Z32" s="1454"/>
      <c r="AA32" s="4345">
        <v>7</v>
      </c>
      <c r="AB32" s="4352">
        <v>1.331</v>
      </c>
      <c r="AC32" s="521" t="s">
        <v>535</v>
      </c>
      <c r="AD32" s="522">
        <f>(SUM(AD12:AD15))/(1000*C10)</f>
        <v>18.438260869565216</v>
      </c>
      <c r="AE32" s="4360"/>
      <c r="AF32" s="1506" t="s">
        <v>535</v>
      </c>
      <c r="AG32" s="522">
        <f>(SUM(AG12:AG15))/(1000*D10)</f>
        <v>24.468695652173913</v>
      </c>
      <c r="AH32" s="906"/>
      <c r="AI32" s="521" t="s">
        <v>535</v>
      </c>
      <c r="AJ32" s="522">
        <f>(SUM(AJ12:AJ15))/(1000*E10)</f>
        <v>24.468695652173913</v>
      </c>
    </row>
    <row r="33" spans="1:36" ht="15" customHeight="1">
      <c r="A33" s="112"/>
      <c r="B33" s="2047" t="s">
        <v>563</v>
      </c>
      <c r="C33" s="2048" t="str">
        <f>1000*FIXED((C16+0.95*C17+C31*C11),0)/1000&amp;"g ="</f>
        <v>1063g =</v>
      </c>
      <c r="D33" s="2049" t="str">
        <f>1000*FIXED((D16+0.95*D17+D31*D11),0)/1000&amp;"g ="</f>
        <v>363g =</v>
      </c>
      <c r="E33" s="2050" t="str">
        <f>1000*FIXED((E16+0.95*E17+E31*E11),0)/1000&amp;"g ="</f>
        <v>363g =</v>
      </c>
      <c r="F33" s="1919"/>
      <c r="G33" s="140"/>
      <c r="H33" s="140"/>
      <c r="I33" s="1455"/>
      <c r="J33" s="140"/>
      <c r="K33" s="140"/>
      <c r="L33" s="67"/>
      <c r="M33" s="67"/>
      <c r="N33" s="67"/>
      <c r="O33" s="3149" t="s">
        <v>564</v>
      </c>
      <c r="P33" s="3150"/>
      <c r="Q33" s="3150"/>
      <c r="R33" s="3150"/>
      <c r="S33" s="3150"/>
      <c r="T33" s="3150"/>
      <c r="U33" s="3150"/>
      <c r="V33" s="1049"/>
      <c r="W33" s="1481"/>
      <c r="X33" s="1454"/>
      <c r="Y33" s="1454"/>
      <c r="Z33" s="1454"/>
      <c r="AA33" s="4345">
        <v>8</v>
      </c>
      <c r="AB33" s="4352">
        <v>1.282</v>
      </c>
      <c r="AC33" s="521" t="s">
        <v>540</v>
      </c>
      <c r="AD33" s="1507">
        <f>((0.375*(C16+0.95*C17+C31*C10)/C10))</f>
        <v>17.485597826086959</v>
      </c>
      <c r="AE33" s="4360"/>
      <c r="AF33" s="1506" t="s">
        <v>540</v>
      </c>
      <c r="AG33" s="1512">
        <f>(0.375*(D16+D17*0.95+D31*D10)/D10)</f>
        <v>6.0725543478260864</v>
      </c>
      <c r="AH33" s="906"/>
      <c r="AI33" s="521" t="s">
        <v>540</v>
      </c>
      <c r="AJ33" s="1507">
        <f>((0.375*(E16+0.95*E17+E31*E10)/E10))</f>
        <v>6.0725543478260864</v>
      </c>
    </row>
    <row r="34" spans="1:36" ht="15" customHeight="1">
      <c r="A34" s="112"/>
      <c r="B34" s="2051"/>
      <c r="C34" s="1419" t="str">
        <f>FIXED((((C16+0.95*C17))/C11+C31),1)&amp;" sugar/l"</f>
        <v>53.2 sugar/l</v>
      </c>
      <c r="D34" s="1420" t="str">
        <f>FIXED((((D16+0.95*D17))/D11+D31),1)&amp;" sugar/l"</f>
        <v>18.2 sugar/l</v>
      </c>
      <c r="E34" s="1421" t="str">
        <f>FIXED((((E16+0.95*E17))/E11+E31),1)&amp;" sugar/l"</f>
        <v>18.2 sugar/l</v>
      </c>
      <c r="F34" s="1919"/>
      <c r="G34" s="140"/>
      <c r="H34" s="140"/>
      <c r="I34" s="140"/>
      <c r="J34" s="140"/>
      <c r="K34" s="140"/>
      <c r="L34" s="67"/>
      <c r="M34" s="67"/>
      <c r="N34" s="67"/>
      <c r="O34" s="3149" t="s">
        <v>565</v>
      </c>
      <c r="P34" s="3150"/>
      <c r="Q34" s="3150"/>
      <c r="R34" s="3150"/>
      <c r="S34" s="3150"/>
      <c r="T34" s="3150"/>
      <c r="U34" s="3150"/>
      <c r="V34" s="1049"/>
      <c r="W34" s="1481"/>
      <c r="X34" s="1454"/>
      <c r="Y34" s="1454"/>
      <c r="Z34" s="1454"/>
      <c r="AA34" s="4345">
        <v>9</v>
      </c>
      <c r="AB34" s="4352">
        <v>1.2370000000000001</v>
      </c>
      <c r="AC34" s="1500" t="s">
        <v>546</v>
      </c>
      <c r="AD34" s="522">
        <f>1000+(C16*375+SUM(AC12:AC18)-AC16)/(1000*C10)</f>
        <v>1041.7464673913043</v>
      </c>
      <c r="AE34" s="4360"/>
      <c r="AF34" s="1506" t="s">
        <v>546</v>
      </c>
      <c r="AG34" s="522">
        <f>1000+(D16*375+SUM(AF12:AF18)-AF16)/(1000*D10)</f>
        <v>1038.2682065217391</v>
      </c>
      <c r="AH34" s="906"/>
      <c r="AI34" s="1500" t="s">
        <v>546</v>
      </c>
      <c r="AJ34" s="522">
        <f>1000+(E16*375+SUM(AI12:AI18)-AI16)/(1000*E10)</f>
        <v>1038.2682065217391</v>
      </c>
    </row>
    <row r="35" spans="1:36" ht="15" customHeight="1">
      <c r="A35" s="112"/>
      <c r="B35" s="3151" t="s">
        <v>566</v>
      </c>
      <c r="C35" s="3152"/>
      <c r="D35" s="3152"/>
      <c r="E35" s="3153"/>
      <c r="F35" s="1919"/>
      <c r="G35" s="140"/>
      <c r="H35" s="140"/>
      <c r="I35" s="140"/>
      <c r="J35" s="140"/>
      <c r="K35" s="140"/>
      <c r="L35" s="67"/>
      <c r="M35" s="67"/>
      <c r="N35" s="67"/>
      <c r="O35" s="3154" t="s">
        <v>567</v>
      </c>
      <c r="P35" s="2839"/>
      <c r="Q35" s="2839"/>
      <c r="R35" s="2839"/>
      <c r="S35" s="2839"/>
      <c r="T35" s="2839"/>
      <c r="U35" s="2839"/>
      <c r="V35" s="73"/>
      <c r="W35" s="1481"/>
      <c r="X35" s="1454"/>
      <c r="Y35" s="1454"/>
      <c r="Z35" s="1454"/>
      <c r="AA35" s="4345">
        <v>10</v>
      </c>
      <c r="AB35" s="4352">
        <v>1.194</v>
      </c>
      <c r="AC35" s="1500" t="s">
        <v>549</v>
      </c>
      <c r="AD35" s="522">
        <f>(AD34-AD32-AD33)</f>
        <v>1005.8226086956522</v>
      </c>
      <c r="AE35" s="4360"/>
      <c r="AF35" s="1506" t="s">
        <v>549</v>
      </c>
      <c r="AG35" s="522">
        <f>(AG34-AG32-AG33)</f>
        <v>1007.7269565217391</v>
      </c>
      <c r="AH35" s="906"/>
      <c r="AI35" s="1500" t="s">
        <v>549</v>
      </c>
      <c r="AJ35" s="522">
        <f>(AJ34-AJ32-AJ33)</f>
        <v>1007.7269565217391</v>
      </c>
    </row>
    <row r="36" spans="1:36" ht="15" customHeight="1">
      <c r="A36" s="112"/>
      <c r="B36" s="4326" t="s">
        <v>568</v>
      </c>
      <c r="C36" s="4361">
        <f>AD34</f>
        <v>1041.7464673913043</v>
      </c>
      <c r="D36" s="4362">
        <f>AG34</f>
        <v>1038.2682065217391</v>
      </c>
      <c r="E36" s="2323">
        <f>AJ34</f>
        <v>1038.2682065217391</v>
      </c>
      <c r="F36" s="4363" t="s">
        <v>569</v>
      </c>
      <c r="G36" s="3007"/>
      <c r="H36" s="3007"/>
      <c r="I36" s="3007"/>
      <c r="J36" s="3007"/>
      <c r="K36" s="3007"/>
      <c r="L36" s="3007"/>
      <c r="M36" s="1456"/>
      <c r="N36" s="67"/>
      <c r="O36" s="1457"/>
      <c r="P36" s="67"/>
      <c r="Q36" s="67"/>
      <c r="R36" s="67"/>
      <c r="S36" s="67"/>
      <c r="T36" s="67"/>
      <c r="U36" s="67"/>
      <c r="V36" s="67"/>
      <c r="W36" s="1481"/>
      <c r="X36" s="1454"/>
      <c r="Y36" s="1454"/>
      <c r="Z36" s="1454"/>
      <c r="AA36" s="4345">
        <v>11</v>
      </c>
      <c r="AB36" s="4352">
        <v>1.1539999999999999</v>
      </c>
      <c r="AC36" s="213" t="s">
        <v>570</v>
      </c>
      <c r="AD36" s="213"/>
      <c r="AE36" s="213"/>
      <c r="AF36" s="83"/>
      <c r="AG36" s="83"/>
      <c r="AH36" s="906"/>
      <c r="AI36" s="4316" t="s">
        <v>570</v>
      </c>
      <c r="AJ36" s="213"/>
    </row>
    <row r="37" spans="1:36" ht="15" customHeight="1">
      <c r="A37" s="112"/>
      <c r="B37" s="4326" t="s">
        <v>571</v>
      </c>
      <c r="C37" s="4361">
        <f>AD35</f>
        <v>1005.8226086956522</v>
      </c>
      <c r="D37" s="4362">
        <f>AG35</f>
        <v>1007.7269565217391</v>
      </c>
      <c r="E37" s="1422">
        <f>AJ35</f>
        <v>1007.7269565217391</v>
      </c>
      <c r="F37" s="4364" t="s">
        <v>572</v>
      </c>
      <c r="G37" s="3090"/>
      <c r="H37" s="3090"/>
      <c r="I37" s="3090"/>
      <c r="J37" s="3090"/>
      <c r="K37" s="3090"/>
      <c r="L37" s="3090"/>
      <c r="M37" s="3090"/>
      <c r="N37" s="1458"/>
      <c r="O37" s="1459"/>
      <c r="P37" s="328"/>
      <c r="Q37" s="3155" t="s">
        <v>573</v>
      </c>
      <c r="R37" s="3155"/>
      <c r="S37" s="3155"/>
      <c r="T37" s="3155"/>
      <c r="U37" s="3155"/>
      <c r="V37" s="3155"/>
      <c r="W37" s="3156"/>
      <c r="X37" s="1454"/>
      <c r="Y37" s="1454"/>
      <c r="Z37" s="1454"/>
      <c r="AA37" s="4345">
        <v>12</v>
      </c>
      <c r="AB37" s="4352">
        <v>1.117</v>
      </c>
      <c r="AC37" s="70"/>
      <c r="AD37" s="70"/>
      <c r="AE37" s="70"/>
      <c r="AF37" s="70"/>
      <c r="AG37" s="70"/>
      <c r="AH37" s="134"/>
      <c r="AI37" s="134"/>
      <c r="AJ37" s="134"/>
    </row>
    <row r="38" spans="1:36" ht="15" customHeight="1">
      <c r="A38" s="112"/>
      <c r="B38" s="4326" t="s">
        <v>574</v>
      </c>
      <c r="C38" s="4365">
        <f>(C36-C37)/(7.75-3*(C36-1000)/800)</f>
        <v>4.7309003365179985</v>
      </c>
      <c r="D38" s="4366">
        <f>(D36-D37)/(7.75-3*(D36-1000)/800)</f>
        <v>4.0151545632466235</v>
      </c>
      <c r="E38" s="1423">
        <f>(E36-E37)/(7.75-3*(E36-1000)/800)</f>
        <v>4.0151545632466235</v>
      </c>
      <c r="F38" s="4364"/>
      <c r="G38" s="3090"/>
      <c r="H38" s="3090"/>
      <c r="I38" s="3090"/>
      <c r="J38" s="3090"/>
      <c r="K38" s="3090"/>
      <c r="L38" s="3090"/>
      <c r="M38" s="3090"/>
      <c r="N38" s="1458"/>
      <c r="O38" s="1460"/>
      <c r="P38" s="1461"/>
      <c r="Q38" s="3157" t="s">
        <v>575</v>
      </c>
      <c r="R38" s="3158"/>
      <c r="S38" s="3158"/>
      <c r="T38" s="3159"/>
      <c r="U38" s="2324">
        <f>C28</f>
        <v>1040.5652173913043</v>
      </c>
      <c r="V38" s="1482"/>
      <c r="W38" s="1481"/>
      <c r="X38" s="1454"/>
      <c r="Y38" s="1454"/>
      <c r="Z38" s="1454"/>
      <c r="AA38" s="4345">
        <v>13</v>
      </c>
      <c r="AB38" s="4352">
        <v>1.083</v>
      </c>
      <c r="AC38" s="83"/>
      <c r="AD38" s="70"/>
      <c r="AE38" s="70"/>
      <c r="AF38" s="70"/>
      <c r="AG38" s="70"/>
      <c r="AH38" s="906"/>
      <c r="AI38" s="134"/>
      <c r="AJ38" s="134"/>
    </row>
    <row r="39" spans="1:36" ht="15" customHeight="1">
      <c r="A39" s="112"/>
      <c r="B39" s="4326" t="s">
        <v>576</v>
      </c>
      <c r="C39" s="4365">
        <f>C31*$AB$22+VLOOKUP($C$32,$AA$25:$AB$67,2)</f>
        <v>1.7022631578947367</v>
      </c>
      <c r="D39" s="4367">
        <f>D31*$AB$22+VLOOKUP($D$32,$AA$25:$AB$67,2)</f>
        <v>1.7022631578947367</v>
      </c>
      <c r="E39" s="1423">
        <f>E31*$AB$22+VLOOKUP($E$32,$AA$25:$AB$67,2)</f>
        <v>1.7022631578947367</v>
      </c>
      <c r="F39" s="4364"/>
      <c r="G39" s="3090"/>
      <c r="H39" s="3090"/>
      <c r="I39" s="3090"/>
      <c r="J39" s="3090"/>
      <c r="K39" s="3090"/>
      <c r="L39" s="3090"/>
      <c r="M39" s="3090"/>
      <c r="N39" s="1458"/>
      <c r="O39" s="1460"/>
      <c r="P39" s="1461"/>
      <c r="Q39" s="4368" t="s">
        <v>577</v>
      </c>
      <c r="R39" s="1483"/>
      <c r="S39" s="1483"/>
      <c r="T39" s="1484"/>
      <c r="U39" s="4369">
        <f>C29</f>
        <v>1005.8226086956521</v>
      </c>
      <c r="V39" s="1482"/>
      <c r="W39" s="1481"/>
      <c r="X39" s="1454"/>
      <c r="Y39" s="1454"/>
      <c r="Z39" s="1454"/>
      <c r="AA39" s="4345">
        <f>(AA38+AA40)/2</f>
        <v>13.5</v>
      </c>
      <c r="AB39" s="4345">
        <f>(AB38+AB40)/2</f>
        <v>1.0665</v>
      </c>
      <c r="AC39" s="70"/>
      <c r="AD39" s="412" t="s">
        <v>516</v>
      </c>
      <c r="AE39" s="83" t="s">
        <v>517</v>
      </c>
      <c r="AF39" s="83" t="s">
        <v>518</v>
      </c>
      <c r="AG39" s="70"/>
      <c r="AH39" s="906"/>
      <c r="AI39" s="134"/>
      <c r="AJ39" s="134"/>
    </row>
    <row r="40" spans="1:36" ht="15" customHeight="1">
      <c r="A40" s="114"/>
      <c r="B40" s="2752" t="s">
        <v>578</v>
      </c>
      <c r="C40" s="2044">
        <v>500</v>
      </c>
      <c r="D40" s="2044">
        <v>500</v>
      </c>
      <c r="E40" s="2325">
        <f>C40</f>
        <v>500</v>
      </c>
      <c r="F40" s="4370" t="s">
        <v>579</v>
      </c>
      <c r="G40" s="4371"/>
      <c r="H40" s="4371"/>
      <c r="I40" s="4371"/>
      <c r="J40" s="4371"/>
      <c r="K40" s="4371"/>
      <c r="L40" s="4371"/>
      <c r="M40" s="1461"/>
      <c r="N40" s="67"/>
      <c r="O40" s="1462"/>
      <c r="P40" s="1463">
        <f>U38+P41</f>
        <v>1041.7464673913043</v>
      </c>
      <c r="Q40" s="4363" t="s">
        <v>561</v>
      </c>
      <c r="R40" s="3007"/>
      <c r="S40" s="3007"/>
      <c r="T40" s="3121"/>
      <c r="U40" s="4372">
        <f>C32</f>
        <v>20</v>
      </c>
      <c r="V40" s="1482"/>
      <c r="W40" s="1481"/>
      <c r="X40" s="1454"/>
      <c r="Y40" s="1454"/>
      <c r="Z40" s="1454"/>
      <c r="AA40" s="4345">
        <v>14</v>
      </c>
      <c r="AB40" s="4352">
        <v>1.05</v>
      </c>
      <c r="AC40" s="70"/>
      <c r="AD40" s="1732" t="s">
        <v>580</v>
      </c>
      <c r="AE40" s="1732" t="s">
        <v>581</v>
      </c>
      <c r="AF40" s="1732" t="s">
        <v>582</v>
      </c>
      <c r="AG40" s="70"/>
      <c r="AH40" s="906"/>
      <c r="AI40" s="83"/>
      <c r="AJ40" s="134"/>
    </row>
    <row r="41" spans="1:36" ht="15" customHeight="1">
      <c r="A41" s="114"/>
      <c r="B41" s="4373" t="s">
        <v>583</v>
      </c>
      <c r="C41" s="4374">
        <f>AD42*C40</f>
        <v>130.89677403393816</v>
      </c>
      <c r="D41" s="4375">
        <f>AE42*D40</f>
        <v>111.09318357855231</v>
      </c>
      <c r="E41" s="1424">
        <f>AF42*E40</f>
        <v>111.09318357855231</v>
      </c>
      <c r="F41" s="4376"/>
      <c r="G41" s="4371"/>
      <c r="H41" s="4371"/>
      <c r="I41" s="4371"/>
      <c r="J41" s="4371"/>
      <c r="K41" s="4371"/>
      <c r="L41" s="4371"/>
      <c r="M41" s="1461"/>
      <c r="N41" s="67"/>
      <c r="O41" s="1462"/>
      <c r="P41" s="1464">
        <f>0.375*U41</f>
        <v>1.1812499999999999</v>
      </c>
      <c r="Q41" s="3122" t="s">
        <v>584</v>
      </c>
      <c r="R41" s="3123"/>
      <c r="S41" s="3123"/>
      <c r="T41" s="3124"/>
      <c r="U41" s="1485">
        <f>C31</f>
        <v>3.15</v>
      </c>
      <c r="V41" s="4377" t="str">
        <f>FIXED(U41/R62)&amp;" level 5ml tsp."</f>
        <v>1.00 level 5ml tsp.</v>
      </c>
      <c r="W41" s="3132"/>
      <c r="X41" s="1454"/>
      <c r="Y41" s="1454"/>
      <c r="Z41" s="1454"/>
      <c r="AA41" s="4345">
        <f>(AA40+AA42)/2</f>
        <v>14.5</v>
      </c>
      <c r="AB41" s="4345">
        <f>(AB40+AB42)/2</f>
        <v>1.034</v>
      </c>
      <c r="AC41" s="83"/>
      <c r="AD41" s="1732">
        <v>789.4</v>
      </c>
      <c r="AE41" s="1732">
        <v>7.01</v>
      </c>
      <c r="AF41" s="1732">
        <v>3.85</v>
      </c>
      <c r="AG41" s="70"/>
      <c r="AH41" s="906"/>
      <c r="AI41" s="83"/>
      <c r="AJ41" s="83"/>
    </row>
    <row r="42" spans="1:36" ht="15" customHeight="1">
      <c r="A42" s="114"/>
      <c r="B42" s="2052" t="s">
        <v>585</v>
      </c>
      <c r="C42" s="1425">
        <f>AD43*C40</f>
        <v>59.469484537627025</v>
      </c>
      <c r="D42" s="1426">
        <f>AE43*D40</f>
        <v>64.275473839933923</v>
      </c>
      <c r="E42" s="1427">
        <f>AF43*E40</f>
        <v>64.275473839933923</v>
      </c>
      <c r="F42" s="4376"/>
      <c r="G42" s="4371"/>
      <c r="H42" s="4371"/>
      <c r="I42" s="4371"/>
      <c r="J42" s="4371"/>
      <c r="K42" s="4371"/>
      <c r="L42" s="4371"/>
      <c r="M42" s="1465"/>
      <c r="N42" s="67"/>
      <c r="O42" s="1462"/>
      <c r="P42" s="1466"/>
      <c r="Q42" s="3133" t="s">
        <v>586</v>
      </c>
      <c r="R42" s="3134"/>
      <c r="S42" s="3134"/>
      <c r="T42" s="3135"/>
      <c r="U42" s="4378">
        <f>U41*$AB$22+VLOOKUP(U40,$AA$25:$AB$67,2)</f>
        <v>1.7022631578947367</v>
      </c>
      <c r="V42" s="1482"/>
      <c r="W42" s="1486"/>
      <c r="X42" s="1454"/>
      <c r="Y42" s="1454"/>
      <c r="Z42" s="1454"/>
      <c r="AA42" s="4345">
        <v>15</v>
      </c>
      <c r="AB42" s="4352">
        <v>1.018</v>
      </c>
      <c r="AC42" s="83"/>
      <c r="AD42" s="1508">
        <f>0.01*$AE44*(C36-C37)/(7.75-(3*(C36-1000)/800))</f>
        <v>0.2617935480678763</v>
      </c>
      <c r="AE42" s="1509">
        <f>0.01*$AE44*(D36-D37)/(7.75-(3*(D36-1000)/800))</f>
        <v>0.22218636715710463</v>
      </c>
      <c r="AF42" s="1509">
        <f>0.01*$AE44*(E36-E37)/(7.75-(3*(E36-1000)/800))</f>
        <v>0.22218636715710463</v>
      </c>
      <c r="AG42" s="1510" t="s">
        <v>587</v>
      </c>
      <c r="AH42" s="906"/>
      <c r="AI42" s="83"/>
      <c r="AJ42" s="83"/>
    </row>
    <row r="43" spans="1:36" ht="15" customHeight="1">
      <c r="A43" s="114"/>
      <c r="B43" s="4379" t="s">
        <v>588</v>
      </c>
      <c r="C43" s="4380">
        <f>SUM(C41:C42)</f>
        <v>190.3662585715652</v>
      </c>
      <c r="D43" s="4381">
        <f>SUM(D41:D42)</f>
        <v>175.36865741848624</v>
      </c>
      <c r="E43" s="1428">
        <f>SUM(E41:E42)</f>
        <v>175.36865741848624</v>
      </c>
      <c r="F43" s="4382"/>
      <c r="G43" s="1429"/>
      <c r="H43" s="1429"/>
      <c r="I43" s="1429"/>
      <c r="J43" s="140"/>
      <c r="K43" s="140"/>
      <c r="L43" s="1047"/>
      <c r="M43" s="1465"/>
      <c r="N43" s="67"/>
      <c r="O43" s="1467"/>
      <c r="P43" s="1047"/>
      <c r="Q43" s="3136" t="s">
        <v>589</v>
      </c>
      <c r="R43" s="3137"/>
      <c r="S43" s="3137"/>
      <c r="T43" s="3138"/>
      <c r="U43" s="4332" t="str">
        <f>FIXED((P40-U39)/(7.75-3*(U38-1000)/800),2)&amp;"%"</f>
        <v>4.73%</v>
      </c>
      <c r="V43" s="1487"/>
      <c r="W43" s="1488"/>
      <c r="X43" s="1454"/>
      <c r="Y43" s="1454"/>
      <c r="Z43" s="1454"/>
      <c r="AA43" s="4345">
        <f>(AA42+AA44)/2</f>
        <v>15.5</v>
      </c>
      <c r="AB43" s="4345">
        <f>(AB42+AB44)/2</f>
        <v>1.0015000000000001</v>
      </c>
      <c r="AC43" s="83"/>
      <c r="AD43" s="1508">
        <f>0.00000001*C37*((1000*C36)/$AE44+(819.2*C37)-1000400)</f>
        <v>0.11893896907525404</v>
      </c>
      <c r="AE43" s="4383">
        <f>0.00000001*D37*((1000*D36)/$AE44+(819.2*D37)-1000400)</f>
        <v>0.12855094767986786</v>
      </c>
      <c r="AF43" s="4383">
        <f>0.00000001*E37*((1000*E36)/$AE44+(819.2*E37)-1000400)</f>
        <v>0.12855094767986786</v>
      </c>
      <c r="AG43" s="1510" t="s">
        <v>587</v>
      </c>
      <c r="AH43" s="134"/>
      <c r="AI43" s="83"/>
      <c r="AJ43" s="83"/>
    </row>
    <row r="44" spans="1:36" ht="15" customHeight="1">
      <c r="A44" s="114"/>
      <c r="B44" s="4384" t="s">
        <v>590</v>
      </c>
      <c r="C44" s="4385">
        <f>C42/AF41</f>
        <v>15.446619360422604</v>
      </c>
      <c r="D44" s="4386">
        <f>D42/AF41</f>
        <v>16.694928270112708</v>
      </c>
      <c r="E44" s="1430">
        <f>E42/AF41</f>
        <v>16.694928270112708</v>
      </c>
      <c r="F44" s="67"/>
      <c r="G44" s="1429"/>
      <c r="H44" s="1431"/>
      <c r="I44" s="1431"/>
      <c r="J44" s="1431"/>
      <c r="K44" s="1431"/>
      <c r="L44" s="1431"/>
      <c r="M44" s="1465"/>
      <c r="N44" s="67"/>
      <c r="O44" s="1467"/>
      <c r="P44" s="1047"/>
      <c r="Q44" s="3139" t="s">
        <v>591</v>
      </c>
      <c r="R44" s="3139"/>
      <c r="S44" s="3139"/>
      <c r="T44" s="3139"/>
      <c r="U44" s="3139"/>
      <c r="V44" s="1482"/>
      <c r="W44" s="1486"/>
      <c r="X44" s="1454"/>
      <c r="Y44" s="1454"/>
      <c r="Z44" s="1454"/>
      <c r="AA44" s="4345">
        <v>16</v>
      </c>
      <c r="AB44" s="4352">
        <v>0.98499999999999999</v>
      </c>
      <c r="AC44" s="70"/>
      <c r="AD44" s="70"/>
      <c r="AE44" s="1508">
        <f>AD41*AE41/1000</f>
        <v>5.5336939999999997</v>
      </c>
      <c r="AF44" s="1510"/>
      <c r="AG44" s="1006"/>
      <c r="AH44" s="134"/>
      <c r="AI44" s="134"/>
      <c r="AJ44" s="134"/>
    </row>
    <row r="45" spans="1:36" ht="15" customHeight="1">
      <c r="A45" s="114"/>
      <c r="B45" s="4387" t="str">
        <f>"Units of alcohol (UK) for  "&amp;C40&amp;" / "&amp;C40&amp;" / "&amp;E40&amp;"ml"</f>
        <v>Units of alcohol (UK) for  500 / 500 / 500ml</v>
      </c>
      <c r="C45" s="4388">
        <f>C38*C40/1000</f>
        <v>2.3654501682589992</v>
      </c>
      <c r="D45" s="1432">
        <f>D38*D40/1000</f>
        <v>2.0075772816233117</v>
      </c>
      <c r="E45" s="1433">
        <f>E38*E40/1000</f>
        <v>2.0075772816233117</v>
      </c>
      <c r="F45" s="67"/>
      <c r="G45" s="1429"/>
      <c r="H45" s="1431"/>
      <c r="I45" s="1431"/>
      <c r="J45" s="1431"/>
      <c r="K45" s="1431"/>
      <c r="L45" s="1431"/>
      <c r="M45" s="1047"/>
      <c r="N45" s="67"/>
      <c r="O45" s="1468"/>
      <c r="P45" s="1469"/>
      <c r="Q45" s="1469"/>
      <c r="R45" s="1469"/>
      <c r="S45" s="1469"/>
      <c r="T45" s="1469"/>
      <c r="U45" s="1469"/>
      <c r="V45" s="1469"/>
      <c r="W45" s="1489"/>
      <c r="X45" s="1454"/>
      <c r="Y45" s="1454"/>
      <c r="Z45" s="1454"/>
      <c r="AA45" s="4345">
        <v>17</v>
      </c>
      <c r="AB45" s="4352">
        <v>0.95599999999999996</v>
      </c>
      <c r="AC45" s="70"/>
      <c r="AD45" s="1511"/>
      <c r="AE45" s="70"/>
      <c r="AF45" s="70"/>
      <c r="AG45" s="70"/>
      <c r="AH45" s="134"/>
      <c r="AI45" s="134"/>
      <c r="AJ45" s="134"/>
    </row>
    <row r="46" spans="1:36" ht="15" customHeight="1">
      <c r="A46" s="114"/>
      <c r="B46" s="114"/>
      <c r="C46" s="114"/>
      <c r="D46" s="114"/>
      <c r="E46" s="114"/>
      <c r="F46" s="548"/>
      <c r="G46" s="1047"/>
      <c r="H46" s="1047"/>
      <c r="I46" s="1047"/>
      <c r="J46" s="1047"/>
      <c r="K46" s="67"/>
      <c r="L46" s="1047"/>
      <c r="M46" s="1047"/>
      <c r="N46" s="140"/>
      <c r="O46" s="1062"/>
      <c r="P46" s="1062"/>
      <c r="Q46" s="1062"/>
      <c r="R46" s="1062"/>
      <c r="S46" s="1062"/>
      <c r="T46" s="1062"/>
      <c r="U46" s="1062"/>
      <c r="V46" s="1062"/>
      <c r="W46" s="1062"/>
      <c r="X46" s="1062"/>
      <c r="Y46" s="112"/>
      <c r="Z46" s="112"/>
      <c r="AA46" s="4345">
        <f>(AA45+AA47)/2</f>
        <v>17.5</v>
      </c>
      <c r="AB46" s="4345">
        <f>(AB45+AB47)/2</f>
        <v>0.94199999999999995</v>
      </c>
      <c r="AC46" s="70"/>
      <c r="AD46" s="70"/>
      <c r="AE46" s="70"/>
      <c r="AF46" s="70"/>
      <c r="AG46" s="70"/>
      <c r="AH46" s="134"/>
      <c r="AI46" s="134"/>
      <c r="AJ46" s="134"/>
    </row>
    <row r="47" spans="1:36" ht="15" customHeight="1">
      <c r="A47" s="114"/>
      <c r="B47" s="1434"/>
      <c r="C47" s="1434"/>
      <c r="D47" s="1435" t="s">
        <v>592</v>
      </c>
      <c r="E47" s="1434"/>
      <c r="F47" s="1434"/>
      <c r="G47" s="1434"/>
      <c r="H47" s="1434"/>
      <c r="I47" s="1434"/>
      <c r="J47" s="1047"/>
      <c r="K47" s="622"/>
      <c r="L47" s="622"/>
      <c r="M47" s="622"/>
      <c r="N47" s="1047"/>
      <c r="O47" s="1062"/>
      <c r="P47" s="1062"/>
      <c r="Q47" s="1062"/>
      <c r="R47" s="1062"/>
      <c r="S47" s="1062"/>
      <c r="T47" s="1062"/>
      <c r="U47" s="1062"/>
      <c r="V47" s="1062"/>
      <c r="W47" s="1062"/>
      <c r="X47" s="1062"/>
      <c r="Y47" s="112"/>
      <c r="Z47" s="112"/>
      <c r="AA47" s="4345">
        <v>18</v>
      </c>
      <c r="AB47" s="4352">
        <v>0.92800000000000005</v>
      </c>
      <c r="AC47" s="70"/>
      <c r="AD47" s="70"/>
      <c r="AE47" s="70"/>
      <c r="AF47" s="70"/>
      <c r="AG47" s="70"/>
      <c r="AH47" s="134"/>
      <c r="AI47" s="134"/>
      <c r="AJ47" s="134"/>
    </row>
    <row r="48" spans="1:36" ht="15" customHeight="1">
      <c r="A48" s="3140" t="s">
        <v>34</v>
      </c>
      <c r="B48" s="3140"/>
      <c r="C48" s="3140"/>
      <c r="D48" s="3140"/>
      <c r="E48" s="3140"/>
      <c r="F48" s="1436"/>
      <c r="G48" s="70"/>
      <c r="H48" s="1062"/>
      <c r="I48" s="1062"/>
      <c r="J48" s="1062"/>
      <c r="K48" s="1062"/>
      <c r="L48" s="1062"/>
      <c r="M48" s="1062"/>
      <c r="N48" s="1062"/>
      <c r="O48" s="1062"/>
      <c r="P48" s="1062"/>
      <c r="Q48" s="1062"/>
      <c r="R48" s="1062"/>
      <c r="S48" s="1062"/>
      <c r="T48" s="1062"/>
      <c r="U48" s="1062"/>
      <c r="V48" s="1062"/>
      <c r="W48" s="1062"/>
      <c r="X48" s="1062"/>
      <c r="Y48" s="112"/>
      <c r="Z48" s="112"/>
      <c r="AA48" s="4345">
        <f>(AA47+AA49)/2</f>
        <v>18.5</v>
      </c>
      <c r="AB48" s="4345">
        <f>(AB47+AB49)/2</f>
        <v>0.91500000000000004</v>
      </c>
      <c r="AC48" s="70"/>
      <c r="AD48" s="70"/>
      <c r="AE48" s="70"/>
      <c r="AF48" s="70"/>
      <c r="AG48" s="70"/>
      <c r="AH48" s="134"/>
      <c r="AI48" s="134"/>
      <c r="AJ48" s="134"/>
    </row>
    <row r="49" spans="1:36" ht="15" customHeight="1">
      <c r="A49" s="112"/>
      <c r="B49" s="2326" t="s">
        <v>451</v>
      </c>
      <c r="C49" s="3141" t="s">
        <v>593</v>
      </c>
      <c r="D49" s="3141"/>
      <c r="E49" s="1437" t="s">
        <v>594</v>
      </c>
      <c r="F49" s="1436"/>
      <c r="G49" s="3091" t="s">
        <v>595</v>
      </c>
      <c r="H49" s="3091"/>
      <c r="I49" s="3091"/>
      <c r="J49" s="3091"/>
      <c r="K49" s="3091"/>
      <c r="L49" s="3091"/>
      <c r="M49" s="3091"/>
      <c r="N49" s="3091"/>
      <c r="O49" s="3091"/>
      <c r="P49" s="3091"/>
      <c r="Q49" s="3091"/>
      <c r="R49" s="3091"/>
      <c r="S49" s="3091"/>
      <c r="T49" s="3091"/>
      <c r="U49" s="3091"/>
      <c r="V49" s="3091"/>
      <c r="W49" s="3091"/>
      <c r="X49" s="3091"/>
      <c r="Y49" s="3091"/>
      <c r="Z49" s="1912"/>
      <c r="AA49" s="4345">
        <v>19</v>
      </c>
      <c r="AB49" s="4352">
        <v>0.90200000000000002</v>
      </c>
      <c r="AC49" s="70"/>
      <c r="AD49" s="70"/>
      <c r="AE49" s="70"/>
      <c r="AF49" s="70"/>
      <c r="AG49" s="70"/>
      <c r="AH49" s="134"/>
      <c r="AI49" s="134"/>
      <c r="AJ49" s="134"/>
    </row>
    <row r="50" spans="1:36" ht="15" customHeight="1">
      <c r="A50" s="112"/>
      <c r="B50" s="4389"/>
      <c r="C50" s="4390" t="s">
        <v>596</v>
      </c>
      <c r="D50" s="1438" t="s">
        <v>597</v>
      </c>
      <c r="E50" s="1438" t="s">
        <v>598</v>
      </c>
      <c r="F50" s="1436"/>
      <c r="G50" s="3091"/>
      <c r="H50" s="3091"/>
      <c r="I50" s="3091"/>
      <c r="J50" s="3091"/>
      <c r="K50" s="3091"/>
      <c r="L50" s="3091"/>
      <c r="M50" s="3091"/>
      <c r="N50" s="3091"/>
      <c r="O50" s="3091"/>
      <c r="P50" s="3091"/>
      <c r="Q50" s="3091"/>
      <c r="R50" s="3091"/>
      <c r="S50" s="3091"/>
      <c r="T50" s="3091"/>
      <c r="U50" s="3091"/>
      <c r="V50" s="3091"/>
      <c r="W50" s="3091"/>
      <c r="X50" s="3091"/>
      <c r="Y50" s="3091"/>
      <c r="Z50" s="1912"/>
      <c r="AA50" s="4345">
        <f>(AA49+AA51)/2</f>
        <v>19.5</v>
      </c>
      <c r="AB50" s="4345">
        <f>(AB49+AB51)/2</f>
        <v>0.88949999999999996</v>
      </c>
      <c r="AC50" s="70"/>
      <c r="AD50" s="70"/>
      <c r="AE50" s="70"/>
      <c r="AF50" s="70"/>
      <c r="AG50" s="70"/>
      <c r="AH50" s="134"/>
      <c r="AI50" s="134"/>
      <c r="AJ50" s="134"/>
    </row>
    <row r="51" spans="1:36" ht="15" customHeight="1">
      <c r="A51" s="112"/>
      <c r="B51" s="1439" t="s">
        <v>599</v>
      </c>
      <c r="C51" s="2753">
        <v>2.2000000000000002</v>
      </c>
      <c r="D51" s="2327">
        <v>2.8</v>
      </c>
      <c r="E51" s="2328">
        <f t="shared" ref="E51:E58" si="8">(C51+D51)/2</f>
        <v>2.5</v>
      </c>
      <c r="F51" s="1436"/>
      <c r="G51" s="3091"/>
      <c r="H51" s="3091"/>
      <c r="I51" s="3091"/>
      <c r="J51" s="3091"/>
      <c r="K51" s="3091"/>
      <c r="L51" s="3091"/>
      <c r="M51" s="3091"/>
      <c r="N51" s="3091"/>
      <c r="O51" s="3091"/>
      <c r="P51" s="3091"/>
      <c r="Q51" s="3091"/>
      <c r="R51" s="3091"/>
      <c r="S51" s="3091"/>
      <c r="T51" s="3091"/>
      <c r="U51" s="3091"/>
      <c r="V51" s="3091"/>
      <c r="W51" s="3091"/>
      <c r="X51" s="3091"/>
      <c r="Y51" s="3091"/>
      <c r="Z51" s="1912"/>
      <c r="AA51" s="4345">
        <v>20</v>
      </c>
      <c r="AB51" s="4352">
        <v>0.877</v>
      </c>
      <c r="AC51" s="70"/>
      <c r="AD51" s="70"/>
      <c r="AE51" s="70"/>
      <c r="AF51" s="70"/>
      <c r="AG51" s="70"/>
      <c r="AH51" s="134"/>
      <c r="AI51" s="134"/>
      <c r="AJ51" s="134"/>
    </row>
    <row r="52" spans="1:36" ht="15" customHeight="1">
      <c r="A52" s="112"/>
      <c r="B52" s="2329" t="s">
        <v>600</v>
      </c>
      <c r="C52" s="2753">
        <v>1.9</v>
      </c>
      <c r="D52" s="2327">
        <v>2.5</v>
      </c>
      <c r="E52" s="2328">
        <f t="shared" si="8"/>
        <v>2.2000000000000002</v>
      </c>
      <c r="F52" s="1436"/>
      <c r="G52" s="3091"/>
      <c r="H52" s="3091"/>
      <c r="I52" s="3091"/>
      <c r="J52" s="3091"/>
      <c r="K52" s="3091"/>
      <c r="L52" s="3091"/>
      <c r="M52" s="3091"/>
      <c r="N52" s="3091"/>
      <c r="O52" s="3091"/>
      <c r="P52" s="3091"/>
      <c r="Q52" s="3091"/>
      <c r="R52" s="3091"/>
      <c r="S52" s="3091"/>
      <c r="T52" s="3091"/>
      <c r="U52" s="3091"/>
      <c r="V52" s="3091"/>
      <c r="W52" s="3091"/>
      <c r="X52" s="3091"/>
      <c r="Y52" s="3091"/>
      <c r="Z52" s="1912"/>
      <c r="AA52" s="4345">
        <f>(AA51+AA53)/2</f>
        <v>20.5</v>
      </c>
      <c r="AB52" s="4345">
        <f>(AB51+AB53)/2</f>
        <v>0.86450000000000005</v>
      </c>
      <c r="AC52" s="70"/>
      <c r="AD52" s="134"/>
      <c r="AE52" s="134"/>
      <c r="AF52" s="134"/>
      <c r="AG52" s="134"/>
      <c r="AH52" s="134"/>
      <c r="AI52" s="134"/>
      <c r="AJ52" s="134"/>
    </row>
    <row r="53" spans="1:36" ht="15" customHeight="1">
      <c r="A53" s="112"/>
      <c r="B53" s="2329" t="s">
        <v>601</v>
      </c>
      <c r="C53" s="2753">
        <v>1.5</v>
      </c>
      <c r="D53" s="2330">
        <v>2</v>
      </c>
      <c r="E53" s="2331">
        <f t="shared" si="8"/>
        <v>1.75</v>
      </c>
      <c r="F53" s="1436"/>
      <c r="G53" s="3091"/>
      <c r="H53" s="3091"/>
      <c r="I53" s="3091"/>
      <c r="J53" s="3091"/>
      <c r="K53" s="3091"/>
      <c r="L53" s="3091"/>
      <c r="M53" s="3091"/>
      <c r="N53" s="3091"/>
      <c r="O53" s="3091"/>
      <c r="P53" s="3091"/>
      <c r="Q53" s="3091"/>
      <c r="R53" s="3091"/>
      <c r="S53" s="3091"/>
      <c r="T53" s="3091"/>
      <c r="U53" s="3091"/>
      <c r="V53" s="3091"/>
      <c r="W53" s="3091"/>
      <c r="X53" s="3091"/>
      <c r="Y53" s="3091"/>
      <c r="Z53" s="1912"/>
      <c r="AA53" s="4345">
        <v>21</v>
      </c>
      <c r="AB53" s="4352">
        <v>0.85199999999999998</v>
      </c>
      <c r="AC53" s="70"/>
      <c r="AD53" s="134"/>
      <c r="AE53" s="134"/>
      <c r="AF53" s="134"/>
      <c r="AG53" s="134"/>
      <c r="AH53" s="134"/>
      <c r="AI53" s="134"/>
      <c r="AJ53" s="134"/>
    </row>
    <row r="54" spans="1:36" ht="15" customHeight="1">
      <c r="A54" s="112"/>
      <c r="B54" s="2329" t="s">
        <v>602</v>
      </c>
      <c r="C54" s="2753">
        <v>2.4</v>
      </c>
      <c r="D54" s="2330">
        <v>2.7</v>
      </c>
      <c r="E54" s="1732">
        <f t="shared" si="8"/>
        <v>2.5499999999999998</v>
      </c>
      <c r="F54" s="1436"/>
      <c r="G54" s="3091"/>
      <c r="H54" s="3091"/>
      <c r="I54" s="3091"/>
      <c r="J54" s="3091"/>
      <c r="K54" s="3091"/>
      <c r="L54" s="3091"/>
      <c r="M54" s="3091"/>
      <c r="N54" s="3091"/>
      <c r="O54" s="3091"/>
      <c r="P54" s="3091"/>
      <c r="Q54" s="3091"/>
      <c r="R54" s="3091"/>
      <c r="S54" s="3091"/>
      <c r="T54" s="3091"/>
      <c r="U54" s="3091"/>
      <c r="V54" s="3091"/>
      <c r="W54" s="3091"/>
      <c r="X54" s="3091"/>
      <c r="Y54" s="3091"/>
      <c r="Z54" s="1912"/>
      <c r="AA54" s="4345">
        <f>(AA53+AA55)/2</f>
        <v>21.5</v>
      </c>
      <c r="AB54" s="4345">
        <f>(AB53+AB55)/2</f>
        <v>0.83949999999999991</v>
      </c>
      <c r="AC54" s="83"/>
      <c r="AD54" s="134"/>
      <c r="AE54" s="134"/>
      <c r="AF54" s="134"/>
      <c r="AG54" s="134"/>
      <c r="AH54" s="134"/>
      <c r="AI54" s="134"/>
      <c r="AJ54" s="134"/>
    </row>
    <row r="55" spans="1:36" ht="15" customHeight="1">
      <c r="A55" s="112"/>
      <c r="B55" s="2329" t="s">
        <v>603</v>
      </c>
      <c r="C55" s="2753">
        <v>2.5</v>
      </c>
      <c r="D55" s="2327">
        <v>2.8</v>
      </c>
      <c r="E55" s="2328">
        <f t="shared" si="8"/>
        <v>2.65</v>
      </c>
      <c r="F55" s="1436"/>
      <c r="G55" s="3091"/>
      <c r="H55" s="3091"/>
      <c r="I55" s="3091"/>
      <c r="J55" s="3091"/>
      <c r="K55" s="3091"/>
      <c r="L55" s="3091"/>
      <c r="M55" s="3091"/>
      <c r="N55" s="3091"/>
      <c r="O55" s="3091"/>
      <c r="P55" s="3091"/>
      <c r="Q55" s="3091"/>
      <c r="R55" s="3091"/>
      <c r="S55" s="3091"/>
      <c r="T55" s="3091"/>
      <c r="U55" s="3091"/>
      <c r="V55" s="3091"/>
      <c r="W55" s="3091"/>
      <c r="X55" s="3091"/>
      <c r="Y55" s="3091"/>
      <c r="Z55" s="1912"/>
      <c r="AA55" s="4345">
        <v>22</v>
      </c>
      <c r="AB55" s="4352">
        <v>0.82699999999999996</v>
      </c>
      <c r="AC55" s="70"/>
      <c r="AD55" s="134"/>
      <c r="AE55" s="134"/>
      <c r="AF55" s="134"/>
      <c r="AG55" s="134"/>
      <c r="AH55" s="134"/>
      <c r="AI55" s="134"/>
      <c r="AJ55" s="134"/>
    </row>
    <row r="56" spans="1:36" ht="15" customHeight="1">
      <c r="A56" s="112"/>
      <c r="B56" s="2329" t="s">
        <v>485</v>
      </c>
      <c r="C56" s="2753">
        <v>2.2000000000000002</v>
      </c>
      <c r="D56" s="2327">
        <v>3</v>
      </c>
      <c r="E56" s="2328">
        <f t="shared" si="8"/>
        <v>2.6</v>
      </c>
      <c r="F56" s="1436"/>
      <c r="G56" s="3091"/>
      <c r="H56" s="3091"/>
      <c r="I56" s="3091"/>
      <c r="J56" s="3091"/>
      <c r="K56" s="3091"/>
      <c r="L56" s="3091"/>
      <c r="M56" s="3091"/>
      <c r="N56" s="3091"/>
      <c r="O56" s="3091"/>
      <c r="P56" s="3091"/>
      <c r="Q56" s="3091"/>
      <c r="R56" s="3091"/>
      <c r="S56" s="3091"/>
      <c r="T56" s="3091"/>
      <c r="U56" s="3091"/>
      <c r="V56" s="3091"/>
      <c r="W56" s="3091"/>
      <c r="X56" s="3091"/>
      <c r="Y56" s="3091"/>
      <c r="Z56" s="1912"/>
      <c r="AA56" s="4345">
        <f>(AA55+AA57)/2</f>
        <v>22.5</v>
      </c>
      <c r="AB56" s="4345">
        <f>(AB55+AB57)/2</f>
        <v>0.8145</v>
      </c>
      <c r="AC56" s="70"/>
      <c r="AD56" s="134"/>
      <c r="AE56" s="134"/>
      <c r="AF56" s="134"/>
      <c r="AG56" s="134"/>
      <c r="AH56" s="134"/>
      <c r="AI56" s="134"/>
      <c r="AJ56" s="134"/>
    </row>
    <row r="57" spans="1:36" ht="15" customHeight="1">
      <c r="A57" s="112"/>
      <c r="B57" s="4391" t="s">
        <v>604</v>
      </c>
      <c r="C57" s="2753">
        <v>1.7</v>
      </c>
      <c r="D57" s="2327">
        <v>2.2999999999999998</v>
      </c>
      <c r="E57" s="2328">
        <f t="shared" si="8"/>
        <v>2</v>
      </c>
      <c r="F57" s="1436"/>
      <c r="G57" s="3142" t="s">
        <v>605</v>
      </c>
      <c r="H57" s="3142"/>
      <c r="I57" s="3142"/>
      <c r="J57" s="3142"/>
      <c r="K57" s="3142"/>
      <c r="L57" s="3142"/>
      <c r="M57" s="1470"/>
      <c r="N57" s="1470"/>
      <c r="O57" s="1470"/>
      <c r="P57" s="1470"/>
      <c r="Q57" s="1470"/>
      <c r="R57" s="1470"/>
      <c r="S57" s="1470"/>
      <c r="T57" s="1470"/>
      <c r="U57" s="1470"/>
      <c r="V57" s="1470"/>
      <c r="W57" s="1470"/>
      <c r="X57" s="1470"/>
      <c r="Y57" s="112"/>
      <c r="Z57" s="112"/>
      <c r="AA57" s="4345">
        <v>23</v>
      </c>
      <c r="AB57" s="4352">
        <v>0.80200000000000005</v>
      </c>
      <c r="AC57" s="83"/>
      <c r="AD57" s="134"/>
      <c r="AE57" s="134"/>
      <c r="AF57" s="134"/>
      <c r="AG57" s="134"/>
      <c r="AH57" s="134"/>
      <c r="AI57" s="134"/>
      <c r="AJ57" s="134"/>
    </row>
    <row r="58" spans="1:36" ht="15" customHeight="1">
      <c r="A58" s="112"/>
      <c r="B58" s="2329" t="s">
        <v>606</v>
      </c>
      <c r="C58" s="2754">
        <v>3.7</v>
      </c>
      <c r="D58" s="2332">
        <v>4.7</v>
      </c>
      <c r="E58" s="2333">
        <f t="shared" si="8"/>
        <v>4.2</v>
      </c>
      <c r="F58" s="1436"/>
      <c r="G58" s="3092" t="s">
        <v>607</v>
      </c>
      <c r="H58" s="3092"/>
      <c r="I58" s="3092"/>
      <c r="J58" s="3092"/>
      <c r="K58" s="3092"/>
      <c r="L58" s="3092"/>
      <c r="M58" s="3092"/>
      <c r="N58" s="3092"/>
      <c r="O58" s="3092"/>
      <c r="P58" s="3092"/>
      <c r="Q58" s="3092"/>
      <c r="R58" s="3092"/>
      <c r="S58" s="3092"/>
      <c r="T58" s="3092"/>
      <c r="U58" s="3092"/>
      <c r="V58" s="3092"/>
      <c r="W58" s="3092"/>
      <c r="X58" s="3092"/>
      <c r="Y58" s="112"/>
      <c r="Z58" s="112"/>
      <c r="AA58" s="4345">
        <f>(AA57+AA59)/2</f>
        <v>23.5</v>
      </c>
      <c r="AB58" s="4345">
        <f>(AB57+AB59)/2</f>
        <v>0.79150000000000009</v>
      </c>
      <c r="AC58" s="83"/>
      <c r="AD58" s="134"/>
      <c r="AE58" s="134"/>
      <c r="AF58" s="134"/>
      <c r="AG58" s="134"/>
      <c r="AH58" s="134"/>
      <c r="AI58" s="134"/>
      <c r="AJ58" s="134"/>
    </row>
    <row r="59" spans="1:36" ht="15" customHeight="1">
      <c r="A59" s="112"/>
      <c r="B59" s="3125" t="str">
        <f>"(Where `"&amp;FIXED(E58)&amp;"` would indicate "&amp;FIXED((C58+D58)/2)&amp;" litres CO2 dissolved per1 litre of beer)."</f>
        <v>(Where `4.20` would indicate 4.20 litres CO2 dissolved per1 litre of beer).</v>
      </c>
      <c r="C59" s="3126"/>
      <c r="D59" s="3126"/>
      <c r="E59" s="3127"/>
      <c r="F59" s="1436"/>
      <c r="G59" s="3092"/>
      <c r="H59" s="3092"/>
      <c r="I59" s="3092"/>
      <c r="J59" s="3092"/>
      <c r="K59" s="3092"/>
      <c r="L59" s="3092"/>
      <c r="M59" s="3092"/>
      <c r="N59" s="3092"/>
      <c r="O59" s="3092"/>
      <c r="P59" s="3092"/>
      <c r="Q59" s="3092"/>
      <c r="R59" s="3092"/>
      <c r="S59" s="3092"/>
      <c r="T59" s="3092"/>
      <c r="U59" s="3092"/>
      <c r="V59" s="3092"/>
      <c r="W59" s="3092"/>
      <c r="X59" s="3092"/>
      <c r="Y59" s="112"/>
      <c r="Z59" s="112"/>
      <c r="AA59" s="4345">
        <v>24</v>
      </c>
      <c r="AB59" s="4352">
        <v>0.78100000000000003</v>
      </c>
      <c r="AC59" s="83"/>
      <c r="AD59" s="134"/>
      <c r="AE59" s="134"/>
      <c r="AF59" s="134"/>
      <c r="AG59" s="134"/>
      <c r="AH59" s="134"/>
      <c r="AI59" s="134"/>
      <c r="AJ59" s="134"/>
    </row>
    <row r="60" spans="1:36" ht="15" customHeight="1">
      <c r="A60" s="112"/>
      <c r="B60" s="1055"/>
      <c r="C60" s="1055"/>
      <c r="D60" s="1055"/>
      <c r="E60" s="1055"/>
      <c r="F60" s="1055"/>
      <c r="G60" s="1055"/>
      <c r="H60" s="1047"/>
      <c r="I60" s="1047"/>
      <c r="J60" s="1047"/>
      <c r="K60" s="1047"/>
      <c r="L60" s="1047"/>
      <c r="M60" s="1047"/>
      <c r="N60" s="1047"/>
      <c r="O60" s="1047"/>
      <c r="P60" s="1047"/>
      <c r="Q60" s="1047"/>
      <c r="R60" s="1047"/>
      <c r="S60" s="1047"/>
      <c r="T60" s="1047"/>
      <c r="U60" s="1047"/>
      <c r="V60" s="1047"/>
      <c r="W60" s="1047"/>
      <c r="X60" s="1047"/>
      <c r="Y60" s="112"/>
      <c r="Z60" s="112"/>
      <c r="AA60" s="4345">
        <f>(AA59+AA61)/2</f>
        <v>24.5</v>
      </c>
      <c r="AB60" s="4345">
        <f>(AB59+AB61)/2</f>
        <v>0.77</v>
      </c>
      <c r="AC60" s="83"/>
      <c r="AD60" s="134"/>
      <c r="AE60" s="134"/>
      <c r="AF60" s="134"/>
      <c r="AG60" s="134"/>
      <c r="AH60" s="134"/>
      <c r="AI60" s="134"/>
      <c r="AJ60" s="134"/>
    </row>
    <row r="61" spans="1:36" ht="15" customHeight="1">
      <c r="A61" s="112"/>
      <c r="B61" s="112"/>
      <c r="C61" s="114"/>
      <c r="D61" s="112"/>
      <c r="E61" s="112"/>
      <c r="F61" s="112"/>
      <c r="G61" s="112"/>
      <c r="H61" s="63"/>
      <c r="I61" s="63"/>
      <c r="J61" s="63"/>
      <c r="K61" s="63"/>
      <c r="L61" s="63"/>
      <c r="M61" s="63"/>
      <c r="N61" s="63"/>
      <c r="O61" s="63"/>
      <c r="P61" s="63"/>
      <c r="Q61" s="63"/>
      <c r="R61" s="63"/>
      <c r="S61" s="63"/>
      <c r="T61" s="63"/>
      <c r="U61" s="63"/>
      <c r="V61" s="63"/>
      <c r="W61" s="63"/>
      <c r="X61" s="1047"/>
      <c r="Y61" s="112"/>
      <c r="Z61" s="112"/>
      <c r="AA61" s="4345">
        <v>25</v>
      </c>
      <c r="AB61" s="4352">
        <v>0.75900000000000001</v>
      </c>
      <c r="AC61" s="83"/>
      <c r="AD61" s="134"/>
      <c r="AE61" s="134"/>
      <c r="AF61" s="134"/>
      <c r="AG61" s="134"/>
      <c r="AH61" s="134"/>
      <c r="AI61" s="134"/>
      <c r="AJ61" s="134"/>
    </row>
    <row r="62" spans="1:36" ht="15" customHeight="1">
      <c r="A62" s="2053"/>
      <c r="B62" s="1440" t="s">
        <v>608</v>
      </c>
      <c r="C62" s="612">
        <v>3.15</v>
      </c>
      <c r="D62" s="3128" t="str">
        <f>"g, this is equal to "&amp;FIXED(C62/R62)&amp;"  level 5ml tsp (1 tsp holds "&amp;R62&amp;"g sugar)"</f>
        <v>g, this is equal to 1.00  level 5ml tsp (1 tsp holds 3.15g sugar)</v>
      </c>
      <c r="E62" s="3128"/>
      <c r="F62" s="3128"/>
      <c r="G62" s="3128"/>
      <c r="H62" s="3128"/>
      <c r="I62" s="3128"/>
      <c r="J62" s="3128"/>
      <c r="K62" s="3128"/>
      <c r="L62" s="3128"/>
      <c r="M62" s="3128"/>
      <c r="N62" s="3128"/>
      <c r="O62" s="328"/>
      <c r="P62" s="3129" t="s">
        <v>609</v>
      </c>
      <c r="Q62" s="3129"/>
      <c r="R62" s="612">
        <v>3.15</v>
      </c>
      <c r="S62" s="114" t="s">
        <v>82</v>
      </c>
      <c r="T62" s="70"/>
      <c r="U62" s="67"/>
      <c r="V62" s="2054"/>
      <c r="W62" s="2054"/>
      <c r="X62" s="1047"/>
      <c r="Y62" s="112"/>
      <c r="Z62" s="112"/>
      <c r="AA62" s="4345">
        <f>(AA61+AA63)/2</f>
        <v>25.5</v>
      </c>
      <c r="AB62" s="4345">
        <f>(AB61+AB63)/2</f>
        <v>0.74849999999999994</v>
      </c>
      <c r="AC62" s="83"/>
      <c r="AD62" s="134"/>
      <c r="AE62" s="134"/>
      <c r="AF62" s="134"/>
      <c r="AG62" s="134"/>
      <c r="AH62" s="134"/>
      <c r="AI62" s="134"/>
      <c r="AJ62" s="134"/>
    </row>
    <row r="63" spans="1:36" ht="15" customHeight="1">
      <c r="A63" s="112"/>
      <c r="B63" s="114"/>
      <c r="C63" s="3130" t="s">
        <v>610</v>
      </c>
      <c r="D63" s="4150"/>
      <c r="E63" s="3131" t="s">
        <v>611</v>
      </c>
      <c r="F63" s="4150"/>
      <c r="G63" s="3131" t="s">
        <v>612</v>
      </c>
      <c r="H63" s="4150"/>
      <c r="I63" s="3131" t="s">
        <v>613</v>
      </c>
      <c r="J63" s="4150"/>
      <c r="K63" s="3131" t="s">
        <v>614</v>
      </c>
      <c r="L63" s="4150"/>
      <c r="M63" s="1471">
        <v>1.25</v>
      </c>
      <c r="N63" s="2055" t="s">
        <v>615</v>
      </c>
      <c r="O63" s="63"/>
      <c r="P63" s="3097" t="s">
        <v>616</v>
      </c>
      <c r="Q63" s="3097"/>
      <c r="R63" s="3097"/>
      <c r="S63" s="3097"/>
      <c r="T63" s="3097"/>
      <c r="U63" s="4392" t="s">
        <v>617</v>
      </c>
      <c r="V63" s="4160"/>
      <c r="W63" s="4160"/>
      <c r="X63" s="1047"/>
      <c r="Y63" s="112"/>
      <c r="Z63" s="112"/>
      <c r="AA63" s="4345">
        <v>26</v>
      </c>
      <c r="AB63" s="4352">
        <v>0.73799999999999999</v>
      </c>
      <c r="AC63" s="83"/>
      <c r="AD63" s="70"/>
      <c r="AE63" s="70"/>
      <c r="AF63" s="70"/>
      <c r="AG63" s="70"/>
      <c r="AH63" s="134"/>
      <c r="AI63" s="134"/>
      <c r="AJ63" s="134"/>
    </row>
    <row r="64" spans="1:36" ht="15" customHeight="1">
      <c r="A64" s="1441"/>
      <c r="B64" s="1442"/>
      <c r="C64" s="3118" t="s">
        <v>618</v>
      </c>
      <c r="D64" s="4312"/>
      <c r="E64" s="3120" t="s">
        <v>619</v>
      </c>
      <c r="F64" s="4312"/>
      <c r="G64" s="3120" t="s">
        <v>620</v>
      </c>
      <c r="H64" s="4312"/>
      <c r="I64" s="3120" t="s">
        <v>621</v>
      </c>
      <c r="J64" s="4312"/>
      <c r="K64" s="3120" t="s">
        <v>619</v>
      </c>
      <c r="L64" s="4312"/>
      <c r="M64" s="3120" t="str">
        <f>1000*M63&amp;" ml"</f>
        <v>1250 ml</v>
      </c>
      <c r="N64" s="4312"/>
      <c r="O64" s="63"/>
      <c r="P64" s="3097" t="s">
        <v>91</v>
      </c>
      <c r="Q64" s="3097"/>
      <c r="R64" s="1731" t="s">
        <v>622</v>
      </c>
      <c r="S64" s="3117" t="s">
        <v>623</v>
      </c>
      <c r="T64" s="3117"/>
      <c r="U64" s="4393"/>
      <c r="V64" s="4160"/>
      <c r="W64" s="4160"/>
      <c r="X64" s="1047"/>
      <c r="Y64" s="112"/>
      <c r="Z64" s="112"/>
      <c r="AA64" s="4345">
        <v>27</v>
      </c>
      <c r="AB64" s="4352">
        <v>0.71799999999999997</v>
      </c>
      <c r="AC64" s="83"/>
      <c r="AD64" s="70"/>
      <c r="AE64" s="70"/>
      <c r="AF64" s="70"/>
      <c r="AG64" s="70"/>
      <c r="AH64" s="134"/>
      <c r="AI64" s="134"/>
      <c r="AJ64" s="134"/>
    </row>
    <row r="65" spans="1:36" ht="15" customHeight="1">
      <c r="A65" s="1441"/>
      <c r="B65" s="1574"/>
      <c r="C65" s="3114" t="s">
        <v>624</v>
      </c>
      <c r="D65" s="4150"/>
      <c r="E65" s="3115" t="str">
        <f>FIXED(2*$C62,3)&amp;" g"</f>
        <v>6.300 g</v>
      </c>
      <c r="F65" s="4150"/>
      <c r="G65" s="3115" t="str">
        <f>FIXED(1*$C62,3)&amp;" g"</f>
        <v>3.150 g</v>
      </c>
      <c r="H65" s="4150"/>
      <c r="I65" s="3115" t="str">
        <f>FIXED(0.5*$C62,3)&amp;" g"</f>
        <v>1.575 g</v>
      </c>
      <c r="J65" s="4150"/>
      <c r="K65" s="3115" t="str">
        <f>FIXED(0.25*$C62,3)&amp;" g"</f>
        <v>0.788 g</v>
      </c>
      <c r="L65" s="4150"/>
      <c r="M65" s="3115" t="str">
        <f>FIXED(M63*$C62,3)&amp;" g"</f>
        <v>3.938 g</v>
      </c>
      <c r="N65" s="4150"/>
      <c r="O65" s="63"/>
      <c r="P65" s="3116">
        <f>R65*R62</f>
        <v>236.25</v>
      </c>
      <c r="Q65" s="3116"/>
      <c r="R65" s="1727">
        <v>75</v>
      </c>
      <c r="S65" s="3097">
        <f>R65/R62</f>
        <v>23.80952380952381</v>
      </c>
      <c r="T65" s="3097"/>
      <c r="U65" s="4394"/>
      <c r="V65" s="2056"/>
      <c r="W65" s="2056"/>
      <c r="X65" s="1047"/>
      <c r="Y65" s="112"/>
      <c r="Z65" s="112"/>
      <c r="AA65" s="4345">
        <v>28</v>
      </c>
      <c r="AB65" s="4352">
        <v>0.69899999999999995</v>
      </c>
      <c r="AC65" s="83"/>
      <c r="AD65" s="70"/>
      <c r="AE65" s="70"/>
      <c r="AF65" s="70"/>
      <c r="AG65" s="70"/>
      <c r="AH65" s="134"/>
      <c r="AI65" s="134"/>
      <c r="AJ65" s="134"/>
    </row>
    <row r="66" spans="1:36" ht="15" customHeight="1">
      <c r="A66" s="1441"/>
      <c r="B66" s="1574"/>
      <c r="C66" s="3118" t="s">
        <v>618</v>
      </c>
      <c r="D66" s="4312"/>
      <c r="E66" s="3119" t="str">
        <f>FIXED((2*$C62/R62),3)&amp;" tsp"</f>
        <v>2.000 tsp</v>
      </c>
      <c r="F66" s="4312"/>
      <c r="G66" s="3120" t="str">
        <f>FIXED((1*$C62/R62),3)&amp;" tsp"</f>
        <v>1.000 tsp</v>
      </c>
      <c r="H66" s="4312"/>
      <c r="I66" s="3120" t="str">
        <f>FIXED((0.5*$C62/R62),3)&amp;" tsp"</f>
        <v>0.500 tsp</v>
      </c>
      <c r="J66" s="4312"/>
      <c r="K66" s="3120" t="str">
        <f>FIXED((0.25*$C62/R62),3)&amp;" tsp"</f>
        <v>0.250 tsp</v>
      </c>
      <c r="L66" s="4312"/>
      <c r="M66" s="3120" t="str">
        <f>FIXED((M63*$C62/R62),3)&amp;" tsp"</f>
        <v>1.250 tsp</v>
      </c>
      <c r="N66" s="4312"/>
      <c r="O66" s="63"/>
      <c r="P66" s="1574"/>
      <c r="Q66" s="1574"/>
      <c r="R66" s="1574"/>
      <c r="S66" s="1574"/>
      <c r="T66" s="1574"/>
      <c r="U66" s="1574"/>
      <c r="V66" s="1574"/>
      <c r="W66" s="112"/>
      <c r="X66" s="1047"/>
      <c r="Y66" s="112"/>
      <c r="Z66" s="112"/>
      <c r="AA66" s="4345">
        <v>29</v>
      </c>
      <c r="AB66" s="4346">
        <v>0.68200000000000005</v>
      </c>
      <c r="AC66" s="83"/>
      <c r="AD66" s="70"/>
      <c r="AE66" s="70"/>
      <c r="AF66" s="70"/>
      <c r="AG66" s="70"/>
      <c r="AH66" s="134"/>
      <c r="AI66" s="134"/>
      <c r="AJ66" s="134"/>
    </row>
    <row r="67" spans="1:36" ht="15" customHeight="1">
      <c r="A67" s="1441"/>
      <c r="B67" s="1441"/>
      <c r="C67" s="1441"/>
      <c r="D67" s="1441"/>
      <c r="E67" s="1441"/>
      <c r="F67" s="1441"/>
      <c r="G67" s="1441"/>
      <c r="H67" s="1441"/>
      <c r="I67" s="1441"/>
      <c r="J67" s="1515"/>
      <c r="K67" s="1515"/>
      <c r="L67" s="1515"/>
      <c r="M67" s="1515"/>
      <c r="N67" s="1515"/>
      <c r="O67" s="63"/>
      <c r="P67" s="3117" t="s">
        <v>338</v>
      </c>
      <c r="Q67" s="3117"/>
      <c r="R67" s="3117" t="s">
        <v>625</v>
      </c>
      <c r="S67" s="3117"/>
      <c r="T67" s="3117" t="s">
        <v>340</v>
      </c>
      <c r="U67" s="3117"/>
      <c r="V67" s="1441"/>
      <c r="W67" s="1441"/>
      <c r="X67" s="1047"/>
      <c r="Y67" s="112"/>
      <c r="Z67" s="112"/>
      <c r="AA67" s="4395">
        <v>30</v>
      </c>
      <c r="AB67" s="4396">
        <v>0.66500000000000004</v>
      </c>
      <c r="AC67" s="83"/>
      <c r="AD67" s="70"/>
      <c r="AE67" s="70"/>
      <c r="AF67" s="70"/>
      <c r="AG67" s="70"/>
      <c r="AH67" s="134"/>
      <c r="AI67" s="134"/>
      <c r="AJ67" s="134"/>
    </row>
    <row r="68" spans="1:36" ht="15" customHeight="1">
      <c r="A68" s="1441"/>
      <c r="B68" s="1513" t="s">
        <v>626</v>
      </c>
      <c r="C68" s="2287">
        <v>3.15</v>
      </c>
      <c r="D68" s="3081" t="str">
        <f>"gram ̸ litre is equivalent to "&amp;FIXED(G68*C68,1)&amp;"g in"</f>
        <v>gram ̸ litre is equivalent to 72.5g in</v>
      </c>
      <c r="E68" s="3085"/>
      <c r="F68" s="3082"/>
      <c r="G68" s="2287">
        <v>23</v>
      </c>
      <c r="H68" s="3078" t="s">
        <v>627</v>
      </c>
      <c r="I68" s="3095"/>
      <c r="J68" s="3096"/>
      <c r="K68" s="70"/>
      <c r="L68" s="1515"/>
      <c r="M68" s="1441"/>
      <c r="N68" s="1515"/>
      <c r="O68" s="63"/>
      <c r="P68" s="3097">
        <f>R68*0.2489/0.262</f>
        <v>2.9925000000000002</v>
      </c>
      <c r="Q68" s="3097"/>
      <c r="R68" s="3098">
        <v>3.15</v>
      </c>
      <c r="S68" s="3098"/>
      <c r="T68" s="3099">
        <f>R68*0.262/0.2489</f>
        <v>3.3157894736842106</v>
      </c>
      <c r="U68" s="3099"/>
      <c r="V68" s="1441"/>
      <c r="W68" s="1441"/>
      <c r="X68" s="1047"/>
      <c r="Y68" s="112"/>
      <c r="Z68" s="112"/>
      <c r="AA68" s="134"/>
      <c r="AB68" s="134"/>
      <c r="AC68" s="83"/>
      <c r="AD68" s="70"/>
      <c r="AE68" s="70"/>
      <c r="AF68" s="70"/>
      <c r="AG68" s="70"/>
      <c r="AH68" s="134"/>
      <c r="AI68" s="134"/>
      <c r="AJ68" s="134"/>
    </row>
    <row r="69" spans="1:36" ht="15" customHeight="1">
      <c r="A69" s="1441"/>
      <c r="B69" s="1441"/>
      <c r="C69" s="3113" t="s">
        <v>628</v>
      </c>
      <c r="D69" s="3113"/>
      <c r="E69" s="1441"/>
      <c r="F69" s="1441"/>
      <c r="G69" s="1441"/>
      <c r="H69" s="1441"/>
      <c r="I69" s="1441"/>
      <c r="J69" s="1441"/>
      <c r="K69" s="1441"/>
      <c r="L69" s="1515"/>
      <c r="M69" s="1441"/>
      <c r="N69" s="67"/>
      <c r="O69" s="63"/>
      <c r="P69" s="2878" t="str">
        <f>1*FIXED(R68)&amp;" unit(s) of sucrose = "&amp;1*FIXED(T68)&amp;" units of brewing"</f>
        <v>3.15 unit(s) of sucrose = 3.32 units of brewing</v>
      </c>
      <c r="Q69" s="2878"/>
      <c r="R69" s="2878"/>
      <c r="S69" s="2878"/>
      <c r="T69" s="2878"/>
      <c r="U69" s="2878"/>
      <c r="V69" s="1441"/>
      <c r="W69" s="1441"/>
      <c r="X69" s="1047"/>
      <c r="Y69" s="112"/>
      <c r="Z69" s="112"/>
      <c r="AA69" s="70"/>
      <c r="AB69" s="70"/>
      <c r="AC69" s="83"/>
      <c r="AD69" s="70"/>
      <c r="AE69" s="70"/>
      <c r="AF69" s="70"/>
      <c r="AG69" s="70"/>
      <c r="AH69" s="134"/>
      <c r="AI69" s="134"/>
      <c r="AJ69" s="134"/>
    </row>
    <row r="70" spans="1:36" ht="15" customHeight="1">
      <c r="A70" s="1441"/>
      <c r="B70" s="1441"/>
      <c r="C70" s="1441"/>
      <c r="D70" s="1441"/>
      <c r="E70" s="1441"/>
      <c r="F70" s="1441"/>
      <c r="G70" s="1441"/>
      <c r="H70" s="1441"/>
      <c r="I70" s="1441"/>
      <c r="J70" s="1441"/>
      <c r="K70" s="1441"/>
      <c r="L70" s="1441"/>
      <c r="M70" s="1441"/>
      <c r="N70" s="67"/>
      <c r="O70" s="63"/>
      <c r="P70" s="2942" t="str">
        <f>1*FIXED(R68)&amp;" unit(s) of brewing = "&amp;1*FIXED(P68)&amp;" units of sucrose"</f>
        <v>3.15 unit(s) of brewing = 2.99 units of sucrose</v>
      </c>
      <c r="Q70" s="2942"/>
      <c r="R70" s="2942"/>
      <c r="S70" s="2942"/>
      <c r="T70" s="2942"/>
      <c r="U70" s="2942"/>
      <c r="V70" s="1441"/>
      <c r="W70" s="1441"/>
      <c r="X70" s="1047"/>
      <c r="Y70" s="112"/>
      <c r="Z70" s="112"/>
      <c r="AA70" s="1516"/>
      <c r="AB70" s="1516"/>
      <c r="AC70" s="83"/>
      <c r="AD70" s="70"/>
      <c r="AE70" s="70"/>
      <c r="AF70" s="70"/>
      <c r="AG70" s="70"/>
      <c r="AH70" s="134"/>
      <c r="AI70" s="134"/>
      <c r="AJ70" s="134"/>
    </row>
    <row r="71" spans="1:36" ht="15" customHeight="1">
      <c r="A71" s="3102"/>
      <c r="B71" s="3102"/>
      <c r="C71" s="2057"/>
      <c r="D71" s="2057"/>
      <c r="E71" s="2057"/>
      <c r="F71" s="2057"/>
      <c r="G71" s="2057"/>
      <c r="H71" s="2057"/>
      <c r="I71" s="2057"/>
      <c r="J71" s="2057"/>
      <c r="K71" s="2057"/>
      <c r="L71" s="2057"/>
      <c r="M71" s="2057"/>
      <c r="N71" s="2057"/>
      <c r="O71" s="2057"/>
      <c r="P71" s="2057"/>
      <c r="Q71" s="2057"/>
      <c r="R71" s="2057"/>
      <c r="S71" s="2057"/>
      <c r="T71" s="2057"/>
      <c r="U71" s="2057"/>
      <c r="V71" s="2057"/>
      <c r="W71" s="112"/>
      <c r="X71" s="1047"/>
      <c r="Y71" s="112"/>
      <c r="Z71" s="112"/>
      <c r="AA71" s="70"/>
      <c r="AB71" s="70"/>
      <c r="AC71" s="83"/>
      <c r="AD71" s="70"/>
      <c r="AE71" s="70"/>
      <c r="AF71" s="70"/>
      <c r="AG71" s="70"/>
      <c r="AH71" s="134"/>
      <c r="AI71" s="134"/>
      <c r="AJ71" s="134"/>
    </row>
    <row r="72" spans="1:36" ht="15" customHeight="1">
      <c r="A72" s="3102" t="s">
        <v>22</v>
      </c>
      <c r="B72" s="3102"/>
      <c r="C72" s="1514"/>
      <c r="D72" s="1514"/>
      <c r="E72" s="1514"/>
      <c r="F72" s="1514"/>
      <c r="G72" s="1514"/>
      <c r="H72" s="1514"/>
      <c r="I72" s="2057"/>
      <c r="J72" s="1574"/>
      <c r="K72" s="1574"/>
      <c r="L72" s="1574"/>
      <c r="M72" s="1574"/>
      <c r="N72" s="73"/>
      <c r="O72" s="73"/>
      <c r="P72" s="73"/>
      <c r="Q72" s="1574"/>
      <c r="R72" s="1574"/>
      <c r="S72" s="1574"/>
      <c r="T72" s="1574"/>
      <c r="U72" s="1574"/>
      <c r="V72" s="1574"/>
      <c r="W72" s="1574"/>
      <c r="X72" s="1047"/>
      <c r="Y72" s="112"/>
      <c r="Z72" s="112"/>
      <c r="AA72" s="70"/>
      <c r="AB72" s="70"/>
      <c r="AC72" s="83"/>
      <c r="AD72" s="70"/>
      <c r="AE72" s="70"/>
      <c r="AF72" s="70"/>
      <c r="AG72" s="70"/>
      <c r="AH72" s="134"/>
      <c r="AI72" s="134"/>
      <c r="AJ72" s="134"/>
    </row>
    <row r="73" spans="1:36" ht="15" customHeight="1">
      <c r="A73" s="1441"/>
      <c r="B73" s="2058" t="s">
        <v>629</v>
      </c>
      <c r="C73" s="3108" t="s">
        <v>261</v>
      </c>
      <c r="D73" s="3108"/>
      <c r="E73" s="3108" t="s">
        <v>262</v>
      </c>
      <c r="F73" s="3108"/>
      <c r="G73" s="3108" t="s">
        <v>263</v>
      </c>
      <c r="H73" s="3108"/>
      <c r="I73" s="4397" t="s">
        <v>630</v>
      </c>
      <c r="J73" s="3109"/>
      <c r="K73" s="3109"/>
      <c r="L73" s="3109"/>
      <c r="M73" s="3109"/>
      <c r="N73" s="3109"/>
      <c r="O73" s="3110"/>
      <c r="P73" s="3111" t="s">
        <v>631</v>
      </c>
      <c r="Q73" s="3112"/>
      <c r="R73" s="3108" t="s">
        <v>632</v>
      </c>
      <c r="S73" s="3108"/>
      <c r="T73" s="3108" t="s">
        <v>263</v>
      </c>
      <c r="U73" s="3108"/>
      <c r="V73" s="3093" t="s">
        <v>264</v>
      </c>
      <c r="W73" s="3093"/>
      <c r="X73" s="1047"/>
      <c r="Y73" s="112"/>
      <c r="Z73" s="112"/>
      <c r="AA73" s="1516"/>
      <c r="AB73" s="1516"/>
      <c r="AC73" s="83"/>
      <c r="AD73" s="70"/>
      <c r="AE73" s="70"/>
      <c r="AF73" s="70"/>
      <c r="AG73" s="70"/>
      <c r="AH73" s="134"/>
      <c r="AI73" s="134"/>
      <c r="AJ73" s="134"/>
    </row>
    <row r="74" spans="1:36" ht="15" customHeight="1">
      <c r="A74" s="112"/>
      <c r="B74" s="112"/>
      <c r="C74" s="4398" t="s">
        <v>82</v>
      </c>
      <c r="D74" s="4398"/>
      <c r="E74" s="4398" t="s">
        <v>100</v>
      </c>
      <c r="F74" s="4398"/>
      <c r="G74" s="4398" t="s">
        <v>100</v>
      </c>
      <c r="H74" s="4398"/>
      <c r="I74" s="67"/>
      <c r="J74" s="67"/>
      <c r="K74" s="67"/>
      <c r="L74" s="67"/>
      <c r="M74" s="67"/>
      <c r="N74" s="67"/>
      <c r="O74" s="67"/>
      <c r="P74" s="4398" t="s">
        <v>82</v>
      </c>
      <c r="Q74" s="4398"/>
      <c r="R74" s="4398" t="s">
        <v>100</v>
      </c>
      <c r="S74" s="4398"/>
      <c r="T74" s="4398" t="s">
        <v>100</v>
      </c>
      <c r="U74" s="4398"/>
      <c r="V74" s="4398"/>
      <c r="W74" s="4398"/>
      <c r="X74" s="1047"/>
      <c r="Y74" s="112"/>
      <c r="Z74" s="112"/>
      <c r="AA74" s="1516"/>
      <c r="AB74" s="1516"/>
      <c r="AC74" s="83"/>
      <c r="AD74" s="70"/>
      <c r="AE74" s="70"/>
      <c r="AF74" s="70"/>
      <c r="AG74" s="70"/>
      <c r="AH74" s="134"/>
      <c r="AI74" s="134"/>
      <c r="AJ74" s="134"/>
    </row>
    <row r="75" spans="1:36" ht="15" customHeight="1">
      <c r="A75" s="112"/>
      <c r="B75" s="112"/>
      <c r="C75" s="3103">
        <v>600</v>
      </c>
      <c r="D75" s="3103"/>
      <c r="E75" s="3104">
        <f>0.671*C75</f>
        <v>402.6</v>
      </c>
      <c r="F75" s="3104"/>
      <c r="G75" s="3105">
        <f>E75+(0.58*C75)</f>
        <v>750.6</v>
      </c>
      <c r="H75" s="3105"/>
      <c r="I75" s="4399"/>
      <c r="J75" s="1049"/>
      <c r="K75" s="1049"/>
      <c r="L75" s="1049"/>
      <c r="M75" s="67"/>
      <c r="N75" s="67"/>
      <c r="O75" s="67"/>
      <c r="P75" s="3106">
        <v>600</v>
      </c>
      <c r="Q75" s="3107"/>
      <c r="R75" s="3106">
        <v>500</v>
      </c>
      <c r="S75" s="3107"/>
      <c r="T75" s="3105">
        <f>R75+(0.58*P75)</f>
        <v>848</v>
      </c>
      <c r="U75" s="3105"/>
      <c r="V75" s="3094">
        <f>1000+375*P75/T75</f>
        <v>1265.3301886792453</v>
      </c>
      <c r="W75" s="3094"/>
      <c r="X75" s="1047"/>
      <c r="Y75" s="112"/>
      <c r="Z75" s="112"/>
      <c r="AA75" s="1516"/>
      <c r="AB75" s="1516"/>
      <c r="AC75" s="83"/>
      <c r="AD75" s="70"/>
      <c r="AE75" s="70"/>
      <c r="AF75" s="70"/>
      <c r="AG75" s="70"/>
      <c r="AH75" s="134"/>
      <c r="AI75" s="134"/>
      <c r="AJ75" s="134"/>
    </row>
    <row r="76" spans="1:36" ht="15" customHeight="1">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047"/>
      <c r="Y76" s="112"/>
      <c r="Z76" s="112"/>
      <c r="AA76" s="1516"/>
      <c r="AB76" s="1516"/>
      <c r="AC76" s="83"/>
      <c r="AD76" s="70"/>
      <c r="AE76" s="70"/>
      <c r="AF76" s="70"/>
      <c r="AG76" s="70"/>
      <c r="AH76" s="134"/>
      <c r="AI76" s="134"/>
      <c r="AJ76" s="134"/>
    </row>
    <row r="77" spans="1:36" ht="15.75" customHeight="1">
      <c r="A77" s="3100" t="s">
        <v>633</v>
      </c>
      <c r="B77" s="3100"/>
      <c r="C77" s="3101" t="s">
        <v>634</v>
      </c>
      <c r="D77" s="3101"/>
      <c r="E77" s="112"/>
      <c r="F77" s="112"/>
      <c r="G77" s="112"/>
      <c r="H77" s="112"/>
      <c r="I77" s="112"/>
      <c r="J77" s="112"/>
      <c r="K77" s="112"/>
      <c r="L77" s="112"/>
      <c r="M77" s="112"/>
      <c r="N77" s="112"/>
      <c r="O77" s="112"/>
      <c r="P77" s="112"/>
      <c r="Q77" s="112"/>
      <c r="R77" s="112"/>
      <c r="S77" s="112"/>
      <c r="T77" s="112"/>
      <c r="U77" s="112"/>
      <c r="V77" s="112"/>
      <c r="W77" s="112"/>
      <c r="X77" s="112"/>
      <c r="Y77" s="112"/>
      <c r="Z77" s="112"/>
      <c r="AA77" s="1516"/>
      <c r="AB77" s="1516"/>
      <c r="AC77" s="83"/>
      <c r="AD77" s="70"/>
      <c r="AE77" s="70"/>
      <c r="AF77" s="70"/>
      <c r="AG77" s="70"/>
      <c r="AH77" s="134"/>
      <c r="AI77" s="134"/>
      <c r="AJ77" s="134"/>
    </row>
    <row r="78" spans="1:36" ht="15" customHeight="1">
      <c r="A78" s="1533"/>
      <c r="B78" s="1828"/>
      <c r="C78" s="1828"/>
      <c r="D78" s="1828"/>
      <c r="E78" s="1828"/>
      <c r="F78" s="70"/>
      <c r="G78" s="1828"/>
      <c r="H78" s="1828"/>
      <c r="I78" s="1828"/>
      <c r="J78" s="1828"/>
      <c r="K78" s="1828"/>
      <c r="L78" s="1828"/>
      <c r="M78" s="1828"/>
      <c r="N78" s="1828"/>
      <c r="O78" s="1828"/>
      <c r="P78" s="1828"/>
      <c r="Q78" s="1828"/>
      <c r="R78" s="1828"/>
      <c r="S78" s="1828"/>
      <c r="T78" s="1828"/>
      <c r="U78" s="1828"/>
      <c r="V78" s="1828"/>
      <c r="W78" s="1828"/>
      <c r="X78" s="1828"/>
      <c r="Y78" s="1828"/>
      <c r="Z78" s="1517"/>
      <c r="AA78" s="1516"/>
      <c r="AB78" s="1516"/>
      <c r="AC78" s="83"/>
      <c r="AD78" s="70"/>
      <c r="AE78" s="70"/>
      <c r="AF78" s="70"/>
      <c r="AG78" s="83"/>
      <c r="AH78" s="134"/>
      <c r="AI78" s="134"/>
      <c r="AJ78" s="134"/>
    </row>
    <row r="79" spans="1:36" ht="15" customHeight="1">
      <c r="A79" s="112"/>
      <c r="B79" s="1828"/>
      <c r="C79" s="1828"/>
      <c r="D79" s="1828"/>
      <c r="E79" s="1828"/>
      <c r="F79" s="1828"/>
      <c r="G79" s="1828"/>
      <c r="H79" s="1828"/>
      <c r="I79" s="1828"/>
      <c r="J79" s="1828"/>
      <c r="K79" s="1828"/>
      <c r="L79" s="1828"/>
      <c r="M79" s="1828"/>
      <c r="N79" s="1828"/>
      <c r="O79" s="1828"/>
      <c r="P79" s="1828"/>
      <c r="Q79" s="1828"/>
      <c r="R79" s="1828"/>
      <c r="S79" s="1828"/>
      <c r="T79" s="1828"/>
      <c r="U79" s="1828"/>
      <c r="V79" s="1828"/>
      <c r="W79" s="1828"/>
      <c r="X79" s="1828"/>
      <c r="Y79" s="1828"/>
      <c r="Z79" s="1517"/>
      <c r="AA79" s="70"/>
      <c r="AB79" s="70"/>
      <c r="AC79" s="83"/>
      <c r="AD79" s="70"/>
      <c r="AE79" s="70"/>
      <c r="AF79" s="70"/>
      <c r="AG79" s="83"/>
      <c r="AH79" s="134"/>
      <c r="AI79" s="134"/>
      <c r="AJ79" s="134"/>
    </row>
    <row r="80" spans="1:36" ht="15" customHeight="1">
      <c r="A80" s="112"/>
      <c r="B80" s="1828"/>
      <c r="C80" s="1828"/>
      <c r="D80" s="1828"/>
      <c r="E80" s="1828"/>
      <c r="F80" s="1828"/>
      <c r="G80" s="1828"/>
      <c r="H80" s="1828"/>
      <c r="I80" s="1828"/>
      <c r="J80" s="1828"/>
      <c r="K80" s="1828"/>
      <c r="L80" s="1828"/>
      <c r="M80" s="1828"/>
      <c r="N80" s="1828"/>
      <c r="O80" s="1828"/>
      <c r="P80" s="1828"/>
      <c r="Q80" s="1828"/>
      <c r="R80" s="1828"/>
      <c r="S80" s="1828"/>
      <c r="T80" s="1828"/>
      <c r="U80" s="1828"/>
      <c r="V80" s="1828"/>
      <c r="W80" s="1828"/>
      <c r="X80" s="1828"/>
      <c r="Y80" s="1828"/>
      <c r="Z80" s="1517"/>
      <c r="AA80" s="70"/>
      <c r="AB80" s="70"/>
      <c r="AC80" s="83"/>
      <c r="AD80" s="70"/>
      <c r="AE80" s="70"/>
      <c r="AF80" s="70"/>
      <c r="AG80" s="83"/>
      <c r="AH80" s="134"/>
      <c r="AI80" s="134"/>
      <c r="AJ80" s="134"/>
    </row>
    <row r="81" spans="1:36" ht="15" customHeight="1">
      <c r="A81" s="112"/>
      <c r="B81" s="1828"/>
      <c r="C81" s="1828"/>
      <c r="D81" s="1828"/>
      <c r="E81" s="1828"/>
      <c r="F81" s="1828"/>
      <c r="G81" s="1828"/>
      <c r="H81" s="1828"/>
      <c r="I81" s="1828"/>
      <c r="J81" s="1828"/>
      <c r="K81" s="1828"/>
      <c r="L81" s="1828"/>
      <c r="M81" s="1828"/>
      <c r="N81" s="1828"/>
      <c r="O81" s="1828"/>
      <c r="P81" s="1828"/>
      <c r="Q81" s="1828"/>
      <c r="R81" s="1828"/>
      <c r="S81" s="1828"/>
      <c r="T81" s="1828"/>
      <c r="U81" s="1828"/>
      <c r="V81" s="1828"/>
      <c r="W81" s="1828"/>
      <c r="X81" s="1828"/>
      <c r="Y81" s="1828"/>
      <c r="Z81" s="1517"/>
      <c r="AA81" s="70"/>
      <c r="AB81" s="70"/>
      <c r="AC81" s="83"/>
      <c r="AD81" s="70"/>
      <c r="AE81" s="70"/>
      <c r="AF81" s="70"/>
      <c r="AG81" s="83"/>
      <c r="AH81" s="134"/>
      <c r="AI81" s="134"/>
      <c r="AJ81" s="134"/>
    </row>
    <row r="82" spans="1:36" ht="15" customHeight="1">
      <c r="A82" s="112"/>
      <c r="B82" s="1828"/>
      <c r="C82" s="1828"/>
      <c r="D82" s="1828"/>
      <c r="E82" s="1828"/>
      <c r="F82" s="1828"/>
      <c r="G82" s="1828"/>
      <c r="H82" s="1828"/>
      <c r="I82" s="1828"/>
      <c r="J82" s="1828"/>
      <c r="K82" s="1828"/>
      <c r="L82" s="1828"/>
      <c r="M82" s="1828"/>
      <c r="N82" s="1828"/>
      <c r="O82" s="1828"/>
      <c r="P82" s="1828"/>
      <c r="Q82" s="1828"/>
      <c r="R82" s="1828"/>
      <c r="S82" s="1828"/>
      <c r="T82" s="1828"/>
      <c r="U82" s="1828"/>
      <c r="V82" s="1828"/>
      <c r="W82" s="1828"/>
      <c r="X82" s="1828"/>
      <c r="Y82" s="1828"/>
      <c r="Z82" s="1517"/>
      <c r="AA82" s="70"/>
      <c r="AB82" s="70"/>
      <c r="AC82" s="83"/>
      <c r="AD82" s="70"/>
      <c r="AE82" s="70"/>
      <c r="AF82" s="70"/>
      <c r="AG82" s="83"/>
      <c r="AH82" s="134"/>
      <c r="AI82" s="134"/>
      <c r="AJ82" s="134"/>
    </row>
    <row r="83" spans="1:36" ht="15" customHeight="1">
      <c r="A83" s="112"/>
      <c r="B83" s="1828"/>
      <c r="C83" s="1828"/>
      <c r="D83" s="1828"/>
      <c r="E83" s="1828"/>
      <c r="F83" s="1828"/>
      <c r="G83" s="1828"/>
      <c r="H83" s="1828"/>
      <c r="I83" s="1828"/>
      <c r="J83" s="1828"/>
      <c r="K83" s="1828"/>
      <c r="L83" s="1828"/>
      <c r="M83" s="1828"/>
      <c r="N83" s="1828"/>
      <c r="O83" s="1828"/>
      <c r="P83" s="1828"/>
      <c r="Q83" s="1828"/>
      <c r="R83" s="1828"/>
      <c r="S83" s="1828"/>
      <c r="T83" s="1828"/>
      <c r="U83" s="1828"/>
      <c r="V83" s="1828"/>
      <c r="W83" s="1828"/>
      <c r="X83" s="1828"/>
      <c r="Y83" s="1828"/>
      <c r="Z83" s="1517"/>
      <c r="AA83" s="70"/>
      <c r="AB83" s="70"/>
      <c r="AC83" s="83"/>
      <c r="AD83" s="70"/>
      <c r="AE83" s="70"/>
      <c r="AF83" s="70"/>
      <c r="AG83" s="83"/>
      <c r="AH83" s="134"/>
      <c r="AI83" s="134"/>
      <c r="AJ83" s="134"/>
    </row>
    <row r="84" spans="1:36" ht="15" customHeight="1">
      <c r="A84" s="112"/>
      <c r="B84" s="1828"/>
      <c r="C84" s="1828"/>
      <c r="D84" s="1828"/>
      <c r="E84" s="1828"/>
      <c r="F84" s="1828"/>
      <c r="G84" s="1828"/>
      <c r="H84" s="1828"/>
      <c r="I84" s="1828"/>
      <c r="J84" s="1828"/>
      <c r="K84" s="1828"/>
      <c r="L84" s="1828"/>
      <c r="M84" s="1828"/>
      <c r="N84" s="1828"/>
      <c r="O84" s="1828"/>
      <c r="P84" s="1828"/>
      <c r="Q84" s="1828"/>
      <c r="R84" s="1828"/>
      <c r="S84" s="1828"/>
      <c r="T84" s="1828"/>
      <c r="U84" s="1828"/>
      <c r="V84" s="1828"/>
      <c r="W84" s="1828"/>
      <c r="X84" s="1828"/>
      <c r="Y84" s="1828"/>
      <c r="Z84" s="1517"/>
      <c r="AA84" s="70"/>
      <c r="AB84" s="70"/>
      <c r="AC84" s="83"/>
      <c r="AD84" s="70"/>
      <c r="AE84" s="70"/>
      <c r="AF84" s="70"/>
      <c r="AG84" s="83"/>
      <c r="AH84" s="134"/>
      <c r="AI84" s="134"/>
      <c r="AJ84" s="134"/>
    </row>
    <row r="85" spans="1:36" ht="15" customHeight="1">
      <c r="A85" s="112"/>
      <c r="B85" s="1828"/>
      <c r="C85" s="1828"/>
      <c r="D85" s="1828"/>
      <c r="E85" s="1828"/>
      <c r="F85" s="1828"/>
      <c r="G85" s="1828"/>
      <c r="H85" s="1828"/>
      <c r="I85" s="1828"/>
      <c r="J85" s="1828"/>
      <c r="K85" s="1828"/>
      <c r="L85" s="1828"/>
      <c r="M85" s="1828"/>
      <c r="N85" s="1828"/>
      <c r="O85" s="1828"/>
      <c r="P85" s="1828"/>
      <c r="Q85" s="1828"/>
      <c r="R85" s="1828"/>
      <c r="S85" s="1828"/>
      <c r="T85" s="1828"/>
      <c r="U85" s="1828"/>
      <c r="V85" s="1828"/>
      <c r="W85" s="1828"/>
      <c r="X85" s="1828"/>
      <c r="Y85" s="1828"/>
      <c r="Z85" s="1517"/>
      <c r="AA85" s="70"/>
      <c r="AB85" s="70"/>
      <c r="AC85" s="83"/>
      <c r="AD85" s="70"/>
      <c r="AE85" s="70"/>
      <c r="AF85" s="70"/>
      <c r="AG85" s="83"/>
      <c r="AH85" s="134"/>
      <c r="AI85" s="134"/>
      <c r="AJ85" s="134"/>
    </row>
    <row r="86" spans="1:36" ht="15" customHeight="1">
      <c r="A86" s="112"/>
      <c r="B86" s="1828"/>
      <c r="C86" s="1828"/>
      <c r="D86" s="1828"/>
      <c r="E86" s="1828"/>
      <c r="F86" s="1828"/>
      <c r="G86" s="1828"/>
      <c r="H86" s="1828"/>
      <c r="I86" s="1828"/>
      <c r="J86" s="1828"/>
      <c r="K86" s="1828"/>
      <c r="L86" s="1828"/>
      <c r="M86" s="1828"/>
      <c r="N86" s="1828"/>
      <c r="O86" s="1828"/>
      <c r="P86" s="1828"/>
      <c r="Q86" s="1828"/>
      <c r="R86" s="1828"/>
      <c r="S86" s="1828"/>
      <c r="T86" s="1828"/>
      <c r="U86" s="1828"/>
      <c r="V86" s="1828"/>
      <c r="W86" s="1828"/>
      <c r="X86" s="1828"/>
      <c r="Y86" s="1828"/>
      <c r="Z86" s="1517"/>
      <c r="AA86" s="70"/>
      <c r="AB86" s="70"/>
      <c r="AC86" s="83"/>
      <c r="AD86" s="70"/>
      <c r="AE86" s="70"/>
      <c r="AF86" s="70"/>
      <c r="AG86" s="83"/>
      <c r="AH86" s="134"/>
      <c r="AI86" s="134"/>
      <c r="AJ86" s="134"/>
    </row>
    <row r="87" spans="1:36" ht="15" customHeight="1">
      <c r="A87" s="112"/>
      <c r="B87" s="1828"/>
      <c r="C87" s="1828"/>
      <c r="D87" s="1828"/>
      <c r="E87" s="1828"/>
      <c r="F87" s="1828"/>
      <c r="G87" s="1828"/>
      <c r="H87" s="1828"/>
      <c r="I87" s="1828"/>
      <c r="J87" s="1828"/>
      <c r="K87" s="1828"/>
      <c r="L87" s="1828"/>
      <c r="M87" s="1828"/>
      <c r="N87" s="1828"/>
      <c r="O87" s="1828"/>
      <c r="P87" s="1828"/>
      <c r="Q87" s="1828"/>
      <c r="R87" s="1828"/>
      <c r="S87" s="1828"/>
      <c r="T87" s="1828"/>
      <c r="U87" s="1828"/>
      <c r="V87" s="1828"/>
      <c r="W87" s="1828"/>
      <c r="X87" s="1828"/>
      <c r="Y87" s="1828"/>
      <c r="Z87" s="1517"/>
      <c r="AA87" s="70"/>
      <c r="AB87" s="70"/>
      <c r="AC87" s="83"/>
      <c r="AD87" s="70"/>
      <c r="AE87" s="70"/>
      <c r="AF87" s="70"/>
      <c r="AG87" s="83"/>
      <c r="AH87" s="134"/>
      <c r="AI87" s="134"/>
      <c r="AJ87" s="134"/>
    </row>
    <row r="88" spans="1:36" ht="15" customHeight="1">
      <c r="A88" s="112"/>
      <c r="B88" s="1828"/>
      <c r="C88" s="1828"/>
      <c r="D88" s="1828"/>
      <c r="E88" s="1828"/>
      <c r="F88" s="1828"/>
      <c r="G88" s="1828"/>
      <c r="H88" s="1828"/>
      <c r="I88" s="1828"/>
      <c r="J88" s="1828"/>
      <c r="K88" s="1828"/>
      <c r="L88" s="1828"/>
      <c r="M88" s="1828"/>
      <c r="N88" s="1828"/>
      <c r="O88" s="1828"/>
      <c r="P88" s="1828"/>
      <c r="Q88" s="1828"/>
      <c r="R88" s="1828"/>
      <c r="S88" s="1828"/>
      <c r="T88" s="1828"/>
      <c r="U88" s="1828"/>
      <c r="V88" s="1828"/>
      <c r="W88" s="1828"/>
      <c r="X88" s="1828"/>
      <c r="Y88" s="1828"/>
      <c r="Z88" s="1517"/>
      <c r="AA88" s="70"/>
      <c r="AB88" s="70"/>
      <c r="AC88" s="83"/>
      <c r="AD88" s="70"/>
      <c r="AE88" s="70"/>
      <c r="AF88" s="70"/>
      <c r="AG88" s="83"/>
      <c r="AH88" s="134"/>
      <c r="AI88" s="134"/>
      <c r="AJ88" s="134"/>
    </row>
    <row r="89" spans="1:36" ht="15" customHeight="1">
      <c r="A89" s="112"/>
      <c r="B89" s="1828"/>
      <c r="C89" s="1828"/>
      <c r="D89" s="1828"/>
      <c r="E89" s="1828"/>
      <c r="F89" s="1828"/>
      <c r="G89" s="1828"/>
      <c r="H89" s="1828"/>
      <c r="I89" s="1828"/>
      <c r="J89" s="1828"/>
      <c r="K89" s="1828"/>
      <c r="L89" s="1828"/>
      <c r="M89" s="1828"/>
      <c r="N89" s="1828"/>
      <c r="O89" s="1828"/>
      <c r="P89" s="1828"/>
      <c r="Q89" s="1828"/>
      <c r="R89" s="1828"/>
      <c r="S89" s="1828"/>
      <c r="T89" s="1828"/>
      <c r="U89" s="1828"/>
      <c r="V89" s="1828"/>
      <c r="W89" s="1828"/>
      <c r="X89" s="1828"/>
      <c r="Y89" s="1828"/>
      <c r="Z89" s="1517"/>
      <c r="AA89" s="70"/>
      <c r="AB89" s="70"/>
      <c r="AC89" s="83"/>
      <c r="AD89" s="70"/>
      <c r="AE89" s="70"/>
      <c r="AF89" s="70"/>
      <c r="AG89" s="83"/>
      <c r="AH89" s="134"/>
      <c r="AI89" s="134"/>
      <c r="AJ89" s="134"/>
    </row>
    <row r="90" spans="1:36" ht="15" customHeight="1">
      <c r="A90" s="112"/>
      <c r="B90" s="1828"/>
      <c r="C90" s="1828"/>
      <c r="D90" s="1828"/>
      <c r="E90" s="1828"/>
      <c r="F90" s="1828"/>
      <c r="G90" s="1828"/>
      <c r="H90" s="1828"/>
      <c r="I90" s="1828"/>
      <c r="J90" s="1828"/>
      <c r="K90" s="1828"/>
      <c r="L90" s="1828"/>
      <c r="M90" s="1828"/>
      <c r="N90" s="1828"/>
      <c r="O90" s="1828"/>
      <c r="P90" s="1828"/>
      <c r="Q90" s="1828"/>
      <c r="R90" s="1828"/>
      <c r="S90" s="1828"/>
      <c r="T90" s="1828"/>
      <c r="U90" s="1828"/>
      <c r="V90" s="1828"/>
      <c r="W90" s="1828"/>
      <c r="X90" s="1828"/>
      <c r="Y90" s="1828"/>
      <c r="Z90" s="1517"/>
      <c r="AA90" s="70"/>
      <c r="AB90" s="70"/>
      <c r="AC90" s="83"/>
      <c r="AD90" s="70"/>
      <c r="AE90" s="70"/>
      <c r="AF90" s="70"/>
      <c r="AG90" s="83"/>
      <c r="AH90" s="134"/>
      <c r="AI90" s="134"/>
      <c r="AJ90" s="134"/>
    </row>
    <row r="91" spans="1:36" ht="15" customHeight="1">
      <c r="A91" s="112"/>
      <c r="B91" s="1828"/>
      <c r="C91" s="1828"/>
      <c r="D91" s="1828"/>
      <c r="E91" s="1828"/>
      <c r="F91" s="1828"/>
      <c r="G91" s="1828"/>
      <c r="H91" s="1828"/>
      <c r="I91" s="1828"/>
      <c r="J91" s="1828"/>
      <c r="K91" s="1828"/>
      <c r="L91" s="1828"/>
      <c r="M91" s="1828"/>
      <c r="N91" s="1828"/>
      <c r="O91" s="1828"/>
      <c r="P91" s="1828"/>
      <c r="Q91" s="1828"/>
      <c r="R91" s="1828"/>
      <c r="S91" s="1828"/>
      <c r="T91" s="1828"/>
      <c r="U91" s="1828"/>
      <c r="V91" s="1828"/>
      <c r="W91" s="1828"/>
      <c r="X91" s="1828"/>
      <c r="Y91" s="1828"/>
      <c r="Z91" s="1517"/>
      <c r="AA91" s="70"/>
      <c r="AB91" s="70"/>
      <c r="AC91" s="83"/>
      <c r="AD91" s="70"/>
      <c r="AE91" s="70"/>
      <c r="AF91" s="70"/>
      <c r="AG91" s="83"/>
      <c r="AH91" s="134"/>
      <c r="AI91" s="134"/>
      <c r="AJ91" s="134"/>
    </row>
    <row r="92" spans="1:36" ht="15" customHeight="1">
      <c r="A92" s="112"/>
      <c r="B92" s="1828"/>
      <c r="C92" s="1828"/>
      <c r="D92" s="1828"/>
      <c r="E92" s="1828"/>
      <c r="F92" s="1828"/>
      <c r="G92" s="1828"/>
      <c r="H92" s="1828"/>
      <c r="I92" s="1828"/>
      <c r="J92" s="1828"/>
      <c r="K92" s="1828"/>
      <c r="L92" s="1828"/>
      <c r="M92" s="1828"/>
      <c r="N92" s="1828"/>
      <c r="O92" s="1828"/>
      <c r="P92" s="1828"/>
      <c r="Q92" s="1828"/>
      <c r="R92" s="1828"/>
      <c r="S92" s="1828"/>
      <c r="T92" s="1828"/>
      <c r="U92" s="1828"/>
      <c r="V92" s="1828"/>
      <c r="W92" s="1828"/>
      <c r="X92" s="1828"/>
      <c r="Y92" s="1828"/>
      <c r="Z92" s="1517"/>
      <c r="AA92" s="70"/>
      <c r="AB92" s="70"/>
      <c r="AC92" s="83"/>
      <c r="AD92" s="70"/>
      <c r="AE92" s="70"/>
      <c r="AF92" s="70"/>
      <c r="AG92" s="83"/>
      <c r="AH92" s="134"/>
      <c r="AI92" s="134"/>
      <c r="AJ92" s="134"/>
    </row>
    <row r="93" spans="1:36" ht="15" customHeight="1">
      <c r="A93" s="112"/>
      <c r="B93" s="1828"/>
      <c r="C93" s="1828"/>
      <c r="D93" s="1828"/>
      <c r="E93" s="1828"/>
      <c r="F93" s="1828"/>
      <c r="G93" s="1828"/>
      <c r="H93" s="1828"/>
      <c r="I93" s="1828"/>
      <c r="J93" s="1828"/>
      <c r="K93" s="1828"/>
      <c r="L93" s="1828"/>
      <c r="M93" s="1828"/>
      <c r="N93" s="1828"/>
      <c r="O93" s="1828"/>
      <c r="P93" s="1828"/>
      <c r="Q93" s="1828"/>
      <c r="R93" s="1828"/>
      <c r="S93" s="1828"/>
      <c r="T93" s="1828"/>
      <c r="U93" s="1828"/>
      <c r="V93" s="1828"/>
      <c r="W93" s="1828"/>
      <c r="X93" s="1828"/>
      <c r="Y93" s="1828"/>
      <c r="Z93" s="1517"/>
      <c r="AA93" s="70"/>
      <c r="AB93" s="70"/>
      <c r="AC93" s="83"/>
      <c r="AD93" s="70"/>
      <c r="AE93" s="70"/>
      <c r="AF93" s="70"/>
      <c r="AG93" s="83"/>
      <c r="AH93" s="134"/>
      <c r="AI93" s="134"/>
      <c r="AJ93" s="134"/>
    </row>
    <row r="94" spans="1:36" ht="15" customHeight="1">
      <c r="A94" s="112"/>
      <c r="B94" s="1828"/>
      <c r="C94" s="1828"/>
      <c r="D94" s="1828"/>
      <c r="E94" s="1828"/>
      <c r="F94" s="1828"/>
      <c r="G94" s="1828"/>
      <c r="H94" s="1828"/>
      <c r="I94" s="1828"/>
      <c r="J94" s="1828"/>
      <c r="K94" s="1828"/>
      <c r="L94" s="1828"/>
      <c r="M94" s="1828"/>
      <c r="N94" s="1828"/>
      <c r="O94" s="1828"/>
      <c r="P94" s="1828"/>
      <c r="Q94" s="1828"/>
      <c r="R94" s="1828"/>
      <c r="S94" s="1828"/>
      <c r="T94" s="1828"/>
      <c r="U94" s="1828"/>
      <c r="V94" s="1828"/>
      <c r="W94" s="1828"/>
      <c r="X94" s="1828"/>
      <c r="Y94" s="1828"/>
      <c r="Z94" s="1517"/>
      <c r="AA94" s="70"/>
      <c r="AB94" s="70"/>
      <c r="AC94" s="83"/>
      <c r="AD94" s="70"/>
      <c r="AE94" s="70"/>
      <c r="AF94" s="70"/>
      <c r="AG94" s="83"/>
      <c r="AH94" s="134"/>
      <c r="AI94" s="134"/>
      <c r="AJ94" s="134"/>
    </row>
    <row r="95" spans="1:36" ht="15" customHeight="1">
      <c r="A95" s="112"/>
      <c r="B95" s="1828"/>
      <c r="C95" s="1828"/>
      <c r="D95" s="1828"/>
      <c r="E95" s="1828"/>
      <c r="F95" s="1828"/>
      <c r="G95" s="1828"/>
      <c r="H95" s="1828"/>
      <c r="I95" s="1828"/>
      <c r="J95" s="1828"/>
      <c r="K95" s="1828"/>
      <c r="L95" s="1828"/>
      <c r="M95" s="1828"/>
      <c r="N95" s="1828"/>
      <c r="O95" s="1828"/>
      <c r="P95" s="1828"/>
      <c r="Q95" s="1828"/>
      <c r="R95" s="1828"/>
      <c r="S95" s="1828"/>
      <c r="T95" s="1828"/>
      <c r="U95" s="1828"/>
      <c r="V95" s="1828"/>
      <c r="W95" s="1828"/>
      <c r="X95" s="1828"/>
      <c r="Y95" s="1828"/>
      <c r="Z95" s="1517"/>
      <c r="AA95" s="70"/>
      <c r="AB95" s="70"/>
      <c r="AC95" s="83"/>
      <c r="AD95" s="70"/>
      <c r="AE95" s="70"/>
      <c r="AF95" s="70"/>
      <c r="AG95" s="83"/>
      <c r="AH95" s="134"/>
      <c r="AI95" s="134"/>
      <c r="AJ95" s="134"/>
    </row>
    <row r="96" spans="1:36" ht="15" customHeight="1">
      <c r="A96" s="112"/>
      <c r="B96" s="1828"/>
      <c r="C96" s="1828"/>
      <c r="D96" s="1828"/>
      <c r="E96" s="1828"/>
      <c r="F96" s="1828"/>
      <c r="G96" s="1828"/>
      <c r="H96" s="1828"/>
      <c r="I96" s="1828"/>
      <c r="J96" s="1828"/>
      <c r="K96" s="1828"/>
      <c r="L96" s="1828"/>
      <c r="M96" s="1828"/>
      <c r="N96" s="1828"/>
      <c r="O96" s="1828"/>
      <c r="P96" s="1828"/>
      <c r="Q96" s="1828"/>
      <c r="R96" s="1828"/>
      <c r="S96" s="1828"/>
      <c r="T96" s="1828"/>
      <c r="U96" s="1828"/>
      <c r="V96" s="1828"/>
      <c r="W96" s="1828"/>
      <c r="X96" s="1828"/>
      <c r="Y96" s="1828"/>
      <c r="Z96" s="1517"/>
      <c r="AA96" s="70"/>
      <c r="AB96" s="70"/>
      <c r="AC96" s="83"/>
      <c r="AD96" s="70"/>
      <c r="AE96" s="70"/>
      <c r="AF96" s="70"/>
      <c r="AG96" s="83"/>
      <c r="AH96" s="134"/>
      <c r="AI96" s="134"/>
      <c r="AJ96" s="134"/>
    </row>
    <row r="97" spans="1:36" ht="15" customHeight="1">
      <c r="A97" s="112"/>
      <c r="B97" s="1828"/>
      <c r="C97" s="1828"/>
      <c r="D97" s="1828"/>
      <c r="E97" s="1828"/>
      <c r="F97" s="1828"/>
      <c r="G97" s="1828"/>
      <c r="H97" s="1828"/>
      <c r="I97" s="1828"/>
      <c r="J97" s="1828"/>
      <c r="K97" s="1828"/>
      <c r="L97" s="1828"/>
      <c r="M97" s="1828"/>
      <c r="N97" s="1828"/>
      <c r="O97" s="1828"/>
      <c r="P97" s="1828"/>
      <c r="Q97" s="1828"/>
      <c r="R97" s="1828"/>
      <c r="S97" s="1828"/>
      <c r="T97" s="1828"/>
      <c r="U97" s="1828"/>
      <c r="V97" s="1828"/>
      <c r="W97" s="1828"/>
      <c r="X97" s="1828"/>
      <c r="Y97" s="1828"/>
      <c r="Z97" s="1517"/>
      <c r="AA97" s="70"/>
      <c r="AB97" s="70"/>
      <c r="AC97" s="83"/>
      <c r="AD97" s="70"/>
      <c r="AE97" s="70"/>
      <c r="AF97" s="70"/>
      <c r="AG97" s="83"/>
      <c r="AH97" s="134"/>
      <c r="AI97" s="134"/>
      <c r="AJ97" s="134"/>
    </row>
    <row r="98" spans="1:36" ht="15" customHeight="1">
      <c r="A98" s="112"/>
      <c r="B98" s="1828"/>
      <c r="C98" s="1828"/>
      <c r="D98" s="1828"/>
      <c r="E98" s="1828"/>
      <c r="F98" s="1828"/>
      <c r="G98" s="1828"/>
      <c r="H98" s="1828"/>
      <c r="I98" s="1828"/>
      <c r="J98" s="1828"/>
      <c r="K98" s="1828"/>
      <c r="L98" s="1828"/>
      <c r="M98" s="1828"/>
      <c r="N98" s="1828"/>
      <c r="O98" s="1828"/>
      <c r="P98" s="1828"/>
      <c r="Q98" s="1828"/>
      <c r="R98" s="1828"/>
      <c r="S98" s="1828"/>
      <c r="T98" s="1828"/>
      <c r="U98" s="1828"/>
      <c r="V98" s="1828"/>
      <c r="W98" s="1828"/>
      <c r="X98" s="1828"/>
      <c r="Y98" s="1828"/>
      <c r="Z98" s="1517"/>
      <c r="AA98" s="70"/>
      <c r="AB98" s="70"/>
      <c r="AC98" s="83"/>
      <c r="AD98" s="70"/>
      <c r="AE98" s="70"/>
      <c r="AF98" s="70"/>
      <c r="AG98" s="83"/>
      <c r="AH98" s="134"/>
      <c r="AI98" s="134"/>
      <c r="AJ98" s="134"/>
    </row>
    <row r="99" spans="1:36" ht="15" customHeight="1">
      <c r="A99" s="112"/>
      <c r="B99" s="1828"/>
      <c r="C99" s="1828"/>
      <c r="D99" s="1828"/>
      <c r="E99" s="1828"/>
      <c r="F99" s="1828"/>
      <c r="G99" s="1828"/>
      <c r="H99" s="1828"/>
      <c r="I99" s="1828"/>
      <c r="J99" s="1828"/>
      <c r="K99" s="1828"/>
      <c r="L99" s="1828"/>
      <c r="M99" s="1828"/>
      <c r="N99" s="1828"/>
      <c r="O99" s="1828"/>
      <c r="P99" s="1828"/>
      <c r="Q99" s="1828"/>
      <c r="R99" s="1828"/>
      <c r="S99" s="1828"/>
      <c r="T99" s="1828"/>
      <c r="U99" s="1828"/>
      <c r="V99" s="1828"/>
      <c r="W99" s="1828"/>
      <c r="X99" s="1828"/>
      <c r="Y99" s="1828"/>
      <c r="Z99" s="1517"/>
      <c r="AA99" s="70"/>
      <c r="AB99" s="70"/>
      <c r="AC99" s="83"/>
      <c r="AD99" s="70"/>
      <c r="AE99" s="70"/>
      <c r="AF99" s="70"/>
      <c r="AG99" s="83"/>
      <c r="AH99" s="134"/>
      <c r="AI99" s="134"/>
      <c r="AJ99" s="134"/>
    </row>
    <row r="100" spans="1:36" ht="15" customHeight="1">
      <c r="A100" s="112"/>
      <c r="B100" s="1828"/>
      <c r="C100" s="1828"/>
      <c r="D100" s="1828"/>
      <c r="E100" s="1828"/>
      <c r="F100" s="1828"/>
      <c r="G100" s="1828"/>
      <c r="H100" s="1828"/>
      <c r="I100" s="1828"/>
      <c r="J100" s="1828"/>
      <c r="K100" s="1828"/>
      <c r="L100" s="1828"/>
      <c r="M100" s="1828"/>
      <c r="N100" s="1828"/>
      <c r="O100" s="1828"/>
      <c r="P100" s="1828"/>
      <c r="Q100" s="1828"/>
      <c r="R100" s="1828"/>
      <c r="S100" s="1828"/>
      <c r="T100" s="1828"/>
      <c r="U100" s="1828"/>
      <c r="V100" s="1828"/>
      <c r="W100" s="1828"/>
      <c r="X100" s="1828"/>
      <c r="Y100" s="1828"/>
      <c r="Z100" s="1517"/>
      <c r="AA100" s="70"/>
      <c r="AB100" s="70"/>
      <c r="AC100" s="83"/>
      <c r="AD100" s="70"/>
      <c r="AE100" s="70"/>
      <c r="AF100" s="70"/>
      <c r="AG100" s="83"/>
      <c r="AH100" s="134"/>
      <c r="AI100" s="134"/>
      <c r="AJ100" s="134"/>
    </row>
    <row r="101" spans="1:36" ht="15" customHeight="1">
      <c r="A101" s="112"/>
      <c r="B101" s="1828"/>
      <c r="C101" s="1828"/>
      <c r="D101" s="1828"/>
      <c r="E101" s="1828"/>
      <c r="F101" s="1828"/>
      <c r="G101" s="1828"/>
      <c r="H101" s="1828"/>
      <c r="I101" s="1828"/>
      <c r="J101" s="1828"/>
      <c r="K101" s="1828"/>
      <c r="L101" s="1828"/>
      <c r="M101" s="1828"/>
      <c r="N101" s="1828"/>
      <c r="O101" s="1828"/>
      <c r="P101" s="1828"/>
      <c r="Q101" s="1828"/>
      <c r="R101" s="1828"/>
      <c r="S101" s="1828"/>
      <c r="T101" s="1828"/>
      <c r="U101" s="1828"/>
      <c r="V101" s="1828"/>
      <c r="W101" s="1828"/>
      <c r="X101" s="1828"/>
      <c r="Y101" s="1828"/>
      <c r="Z101" s="1517"/>
      <c r="AA101" s="70"/>
      <c r="AB101" s="70"/>
      <c r="AC101" s="83"/>
      <c r="AD101" s="70"/>
      <c r="AE101" s="70"/>
      <c r="AF101" s="70"/>
      <c r="AG101" s="83"/>
      <c r="AH101" s="134"/>
      <c r="AI101" s="134"/>
      <c r="AJ101" s="134"/>
    </row>
    <row r="102" spans="1:36" ht="15" customHeight="1">
      <c r="A102" s="112"/>
      <c r="B102" s="1828"/>
      <c r="C102" s="1828"/>
      <c r="D102" s="1828"/>
      <c r="E102" s="1828"/>
      <c r="F102" s="1828"/>
      <c r="G102" s="1828"/>
      <c r="H102" s="1828"/>
      <c r="I102" s="1828"/>
      <c r="J102" s="1828"/>
      <c r="K102" s="1828"/>
      <c r="L102" s="1828"/>
      <c r="M102" s="1828"/>
      <c r="N102" s="1828"/>
      <c r="O102" s="1828"/>
      <c r="P102" s="1828"/>
      <c r="Q102" s="1828"/>
      <c r="R102" s="1828"/>
      <c r="S102" s="1828"/>
      <c r="T102" s="1828"/>
      <c r="U102" s="1828"/>
      <c r="V102" s="1828"/>
      <c r="W102" s="1828"/>
      <c r="X102" s="1828"/>
      <c r="Y102" s="1828"/>
      <c r="Z102" s="1517"/>
      <c r="AA102" s="70"/>
      <c r="AB102" s="70"/>
      <c r="AC102" s="83"/>
      <c r="AD102" s="70"/>
      <c r="AE102" s="70"/>
      <c r="AF102" s="70"/>
      <c r="AG102" s="83"/>
      <c r="AH102" s="134"/>
      <c r="AI102" s="134"/>
      <c r="AJ102" s="134"/>
    </row>
    <row r="103" spans="1:36" ht="15" customHeight="1">
      <c r="A103" s="112"/>
      <c r="B103" s="1828"/>
      <c r="C103" s="1828"/>
      <c r="D103" s="1828"/>
      <c r="E103" s="1828"/>
      <c r="F103" s="1828"/>
      <c r="G103" s="1828"/>
      <c r="H103" s="1828"/>
      <c r="I103" s="1828"/>
      <c r="J103" s="1828"/>
      <c r="K103" s="1828"/>
      <c r="L103" s="1828"/>
      <c r="M103" s="1828"/>
      <c r="N103" s="1828"/>
      <c r="O103" s="1828"/>
      <c r="P103" s="1828"/>
      <c r="Q103" s="1828"/>
      <c r="R103" s="1828"/>
      <c r="S103" s="1828"/>
      <c r="T103" s="1828"/>
      <c r="U103" s="1828"/>
      <c r="V103" s="1828"/>
      <c r="W103" s="1828"/>
      <c r="X103" s="1828"/>
      <c r="Y103" s="1828"/>
      <c r="Z103" s="1517"/>
      <c r="AA103" s="70"/>
      <c r="AB103" s="70"/>
      <c r="AC103" s="83"/>
      <c r="AD103" s="70"/>
      <c r="AE103" s="70"/>
      <c r="AF103" s="70"/>
      <c r="AG103" s="83"/>
      <c r="AH103" s="134"/>
      <c r="AI103" s="134"/>
      <c r="AJ103" s="134"/>
    </row>
    <row r="104" spans="1:36" ht="15" customHeight="1">
      <c r="A104" s="112"/>
      <c r="B104" s="1828"/>
      <c r="C104" s="1828"/>
      <c r="D104" s="1828"/>
      <c r="E104" s="1828"/>
      <c r="F104" s="1828"/>
      <c r="G104" s="1828"/>
      <c r="H104" s="1828"/>
      <c r="I104" s="1828"/>
      <c r="J104" s="1828"/>
      <c r="K104" s="1828"/>
      <c r="L104" s="1828"/>
      <c r="M104" s="1828"/>
      <c r="N104" s="1828"/>
      <c r="O104" s="1828"/>
      <c r="P104" s="1828"/>
      <c r="Q104" s="1828"/>
      <c r="R104" s="1828"/>
      <c r="S104" s="1828"/>
      <c r="T104" s="1828"/>
      <c r="U104" s="1828"/>
      <c r="V104" s="1828"/>
      <c r="W104" s="1828"/>
      <c r="X104" s="1828"/>
      <c r="Y104" s="1828"/>
      <c r="Z104" s="1517"/>
      <c r="AA104" s="70"/>
      <c r="AB104" s="70"/>
      <c r="AC104" s="83"/>
      <c r="AD104" s="70"/>
      <c r="AE104" s="70"/>
      <c r="AF104" s="70"/>
      <c r="AG104" s="83"/>
      <c r="AH104" s="134"/>
      <c r="AI104" s="134"/>
      <c r="AJ104" s="134"/>
    </row>
    <row r="105" spans="1:36" ht="15" customHeight="1">
      <c r="A105" s="112"/>
      <c r="B105" s="1828"/>
      <c r="C105" s="1828"/>
      <c r="D105" s="1828"/>
      <c r="E105" s="1828"/>
      <c r="F105" s="1828"/>
      <c r="G105" s="1828"/>
      <c r="H105" s="1828"/>
      <c r="I105" s="1828"/>
      <c r="J105" s="1828"/>
      <c r="K105" s="1828"/>
      <c r="L105" s="1828"/>
      <c r="M105" s="1828"/>
      <c r="N105" s="1828"/>
      <c r="O105" s="1828"/>
      <c r="P105" s="1828"/>
      <c r="Q105" s="1828"/>
      <c r="R105" s="1828"/>
      <c r="S105" s="1828"/>
      <c r="T105" s="1828"/>
      <c r="U105" s="1828"/>
      <c r="V105" s="1828"/>
      <c r="W105" s="1828"/>
      <c r="X105" s="1828"/>
      <c r="Y105" s="1828"/>
      <c r="Z105" s="1517"/>
      <c r="AA105" s="70"/>
      <c r="AB105" s="70"/>
      <c r="AC105" s="83"/>
      <c r="AD105" s="70"/>
      <c r="AE105" s="70"/>
      <c r="AF105" s="70"/>
      <c r="AG105" s="83"/>
      <c r="AH105" s="134"/>
      <c r="AI105" s="134"/>
      <c r="AJ105" s="134"/>
    </row>
    <row r="106" spans="1:36" ht="15" customHeight="1">
      <c r="A106" s="112"/>
      <c r="B106" s="1828"/>
      <c r="C106" s="1828"/>
      <c r="D106" s="1828"/>
      <c r="E106" s="1828"/>
      <c r="F106" s="1828"/>
      <c r="G106" s="1828"/>
      <c r="H106" s="1828"/>
      <c r="I106" s="1828"/>
      <c r="J106" s="1828"/>
      <c r="K106" s="1828"/>
      <c r="L106" s="1828"/>
      <c r="M106" s="1828"/>
      <c r="N106" s="1828"/>
      <c r="O106" s="1828"/>
      <c r="P106" s="1828"/>
      <c r="Q106" s="1828"/>
      <c r="R106" s="1828"/>
      <c r="S106" s="1828"/>
      <c r="T106" s="1828"/>
      <c r="U106" s="1828"/>
      <c r="V106" s="1828"/>
      <c r="W106" s="1828"/>
      <c r="X106" s="1828"/>
      <c r="Y106" s="1828"/>
      <c r="Z106" s="1517"/>
      <c r="AA106" s="70"/>
      <c r="AB106" s="70"/>
      <c r="AC106" s="83"/>
      <c r="AD106" s="70"/>
      <c r="AE106" s="70"/>
      <c r="AF106" s="70"/>
      <c r="AG106" s="83"/>
      <c r="AH106" s="134"/>
      <c r="AI106" s="134"/>
      <c r="AJ106" s="134"/>
    </row>
    <row r="107" spans="1:36" ht="15" customHeight="1">
      <c r="A107" s="112"/>
      <c r="B107" s="1828"/>
      <c r="C107" s="1828"/>
      <c r="D107" s="1828"/>
      <c r="E107" s="1828"/>
      <c r="F107" s="1828"/>
      <c r="G107" s="1828"/>
      <c r="H107" s="1828"/>
      <c r="I107" s="1828"/>
      <c r="J107" s="1828"/>
      <c r="K107" s="1828"/>
      <c r="L107" s="1828"/>
      <c r="M107" s="1828"/>
      <c r="N107" s="1828"/>
      <c r="O107" s="1828"/>
      <c r="P107" s="1828"/>
      <c r="Q107" s="1828"/>
      <c r="R107" s="1828"/>
      <c r="S107" s="1828"/>
      <c r="T107" s="1828"/>
      <c r="U107" s="1828"/>
      <c r="V107" s="1828"/>
      <c r="W107" s="1828"/>
      <c r="X107" s="1828"/>
      <c r="Y107" s="1828"/>
      <c r="Z107" s="1517"/>
      <c r="AA107" s="70"/>
      <c r="AB107" s="70"/>
      <c r="AC107" s="83"/>
      <c r="AD107" s="70"/>
      <c r="AE107" s="70"/>
      <c r="AF107" s="70"/>
      <c r="AG107" s="83"/>
      <c r="AH107" s="134"/>
      <c r="AI107" s="134"/>
      <c r="AJ107" s="134"/>
    </row>
    <row r="108" spans="1:36" ht="15" customHeight="1">
      <c r="A108" s="112"/>
      <c r="B108" s="1828"/>
      <c r="C108" s="1828"/>
      <c r="D108" s="1828"/>
      <c r="E108" s="1828"/>
      <c r="F108" s="1828"/>
      <c r="G108" s="1828"/>
      <c r="H108" s="1828"/>
      <c r="I108" s="1828"/>
      <c r="J108" s="1828"/>
      <c r="K108" s="1828"/>
      <c r="L108" s="1828"/>
      <c r="M108" s="1828"/>
      <c r="N108" s="1828"/>
      <c r="O108" s="1828"/>
      <c r="P108" s="1828"/>
      <c r="Q108" s="1828"/>
      <c r="R108" s="1828"/>
      <c r="S108" s="1828"/>
      <c r="T108" s="1828"/>
      <c r="U108" s="1828"/>
      <c r="V108" s="1828"/>
      <c r="W108" s="1828"/>
      <c r="X108" s="1828"/>
      <c r="Y108" s="1828"/>
      <c r="Z108" s="1517"/>
      <c r="AA108" s="70"/>
      <c r="AB108" s="70"/>
      <c r="AC108" s="83"/>
      <c r="AD108" s="70"/>
      <c r="AE108" s="70"/>
      <c r="AF108" s="70"/>
      <c r="AG108" s="83"/>
      <c r="AH108" s="134"/>
      <c r="AI108" s="134"/>
      <c r="AJ108" s="134"/>
    </row>
    <row r="109" spans="1:36" ht="15" customHeight="1">
      <c r="A109" s="112"/>
      <c r="B109" s="1828"/>
      <c r="C109" s="1828"/>
      <c r="D109" s="1828"/>
      <c r="E109" s="1828"/>
      <c r="F109" s="1828"/>
      <c r="G109" s="1828"/>
      <c r="H109" s="1828"/>
      <c r="I109" s="1828"/>
      <c r="J109" s="1828"/>
      <c r="K109" s="1828"/>
      <c r="L109" s="1828"/>
      <c r="M109" s="1828"/>
      <c r="N109" s="1828"/>
      <c r="O109" s="1828"/>
      <c r="P109" s="1828"/>
      <c r="Q109" s="1828"/>
      <c r="R109" s="1828"/>
      <c r="S109" s="1828"/>
      <c r="T109" s="1828"/>
      <c r="U109" s="1828"/>
      <c r="V109" s="1828"/>
      <c r="W109" s="1828"/>
      <c r="X109" s="1828"/>
      <c r="Y109" s="1828"/>
      <c r="Z109" s="1517"/>
      <c r="AA109" s="70"/>
      <c r="AB109" s="70"/>
      <c r="AC109" s="83"/>
      <c r="AD109" s="70"/>
      <c r="AE109" s="70"/>
      <c r="AF109" s="70"/>
      <c r="AG109" s="83"/>
      <c r="AH109" s="134"/>
      <c r="AI109" s="134"/>
      <c r="AJ109" s="134"/>
    </row>
    <row r="110" spans="1:36" ht="15" customHeight="1">
      <c r="A110" s="112"/>
      <c r="B110" s="1828"/>
      <c r="C110" s="1828"/>
      <c r="D110" s="1828"/>
      <c r="E110" s="1828"/>
      <c r="F110" s="1828"/>
      <c r="G110" s="1828"/>
      <c r="H110" s="1828"/>
      <c r="I110" s="1828"/>
      <c r="J110" s="1828"/>
      <c r="K110" s="1828"/>
      <c r="L110" s="1828"/>
      <c r="M110" s="1828"/>
      <c r="N110" s="1828"/>
      <c r="O110" s="1828"/>
      <c r="P110" s="1828"/>
      <c r="Q110" s="1828"/>
      <c r="R110" s="1828"/>
      <c r="S110" s="1828"/>
      <c r="T110" s="1828"/>
      <c r="U110" s="1828"/>
      <c r="V110" s="1828"/>
      <c r="W110" s="1828"/>
      <c r="X110" s="1828"/>
      <c r="Y110" s="1828"/>
      <c r="Z110" s="1517"/>
      <c r="AA110" s="70"/>
      <c r="AB110" s="70"/>
      <c r="AC110" s="83"/>
      <c r="AD110" s="70"/>
      <c r="AE110" s="70"/>
      <c r="AF110" s="70"/>
      <c r="AG110" s="83"/>
      <c r="AH110" s="134"/>
      <c r="AI110" s="134"/>
      <c r="AJ110" s="134"/>
    </row>
    <row r="111" spans="1:36" ht="15" customHeight="1">
      <c r="A111" s="112"/>
      <c r="B111" s="1828"/>
      <c r="C111" s="1828"/>
      <c r="D111" s="1828"/>
      <c r="E111" s="1828"/>
      <c r="F111" s="1828"/>
      <c r="G111" s="1828"/>
      <c r="H111" s="1828"/>
      <c r="I111" s="1828"/>
      <c r="J111" s="1828"/>
      <c r="K111" s="1828"/>
      <c r="L111" s="1828"/>
      <c r="M111" s="1828"/>
      <c r="N111" s="1828"/>
      <c r="O111" s="1828"/>
      <c r="P111" s="1828"/>
      <c r="Q111" s="1828"/>
      <c r="R111" s="1828"/>
      <c r="S111" s="1828"/>
      <c r="T111" s="1828"/>
      <c r="U111" s="1828"/>
      <c r="V111" s="1828"/>
      <c r="W111" s="1828"/>
      <c r="X111" s="1828"/>
      <c r="Y111" s="1828"/>
      <c r="Z111" s="1517"/>
      <c r="AA111" s="70"/>
      <c r="AB111" s="70"/>
      <c r="AC111" s="83"/>
      <c r="AD111" s="70"/>
      <c r="AE111" s="70"/>
      <c r="AF111" s="70"/>
      <c r="AG111" s="83"/>
      <c r="AH111" s="134"/>
      <c r="AI111" s="134"/>
      <c r="AJ111" s="134"/>
    </row>
    <row r="112" spans="1:36" ht="15" customHeight="1">
      <c r="A112" s="112"/>
      <c r="B112" s="1828"/>
      <c r="C112" s="1828"/>
      <c r="D112" s="1828"/>
      <c r="E112" s="1828"/>
      <c r="F112" s="1828"/>
      <c r="G112" s="1828"/>
      <c r="H112" s="1828"/>
      <c r="I112" s="1828"/>
      <c r="J112" s="1828"/>
      <c r="K112" s="1828"/>
      <c r="L112" s="1828"/>
      <c r="M112" s="1828"/>
      <c r="N112" s="1828"/>
      <c r="O112" s="1828"/>
      <c r="P112" s="1828"/>
      <c r="Q112" s="1828"/>
      <c r="R112" s="1828"/>
      <c r="S112" s="1828"/>
      <c r="T112" s="1828"/>
      <c r="U112" s="1828"/>
      <c r="V112" s="1828"/>
      <c r="W112" s="1828"/>
      <c r="X112" s="1828"/>
      <c r="Y112" s="1828"/>
      <c r="Z112" s="1517"/>
      <c r="AA112" s="70"/>
      <c r="AB112" s="70"/>
      <c r="AC112" s="83"/>
      <c r="AD112" s="70"/>
      <c r="AE112" s="70"/>
      <c r="AF112" s="70"/>
      <c r="AG112" s="83"/>
      <c r="AH112" s="134"/>
      <c r="AI112" s="134"/>
      <c r="AJ112" s="134"/>
    </row>
    <row r="113" spans="1:36" ht="15" customHeight="1">
      <c r="A113" s="112"/>
      <c r="B113" s="1828"/>
      <c r="C113" s="1828"/>
      <c r="D113" s="1828"/>
      <c r="E113" s="1828"/>
      <c r="F113" s="1828"/>
      <c r="G113" s="1828"/>
      <c r="H113" s="1828"/>
      <c r="I113" s="1828"/>
      <c r="J113" s="1828"/>
      <c r="K113" s="1828"/>
      <c r="L113" s="1828"/>
      <c r="M113" s="1828"/>
      <c r="N113" s="1828"/>
      <c r="O113" s="1828"/>
      <c r="P113" s="1828"/>
      <c r="Q113" s="1828"/>
      <c r="R113" s="1828"/>
      <c r="S113" s="1828"/>
      <c r="T113" s="1828"/>
      <c r="U113" s="1828"/>
      <c r="V113" s="1828"/>
      <c r="W113" s="1828"/>
      <c r="X113" s="1828"/>
      <c r="Y113" s="1828"/>
      <c r="Z113" s="1517"/>
      <c r="AA113" s="70"/>
      <c r="AB113" s="70"/>
      <c r="AC113" s="83"/>
      <c r="AD113" s="70"/>
      <c r="AE113" s="70"/>
      <c r="AF113" s="70"/>
      <c r="AG113" s="83"/>
      <c r="AH113" s="134"/>
      <c r="AI113" s="134"/>
      <c r="AJ113" s="134"/>
    </row>
    <row r="114" spans="1:36" ht="15" customHeight="1">
      <c r="A114" s="112"/>
      <c r="B114" s="1828"/>
      <c r="C114" s="1828"/>
      <c r="D114" s="1828"/>
      <c r="E114" s="1828"/>
      <c r="F114" s="1828"/>
      <c r="G114" s="1828"/>
      <c r="H114" s="1828"/>
      <c r="I114" s="1828"/>
      <c r="J114" s="1828"/>
      <c r="K114" s="1828"/>
      <c r="L114" s="1828"/>
      <c r="M114" s="1828"/>
      <c r="N114" s="1828"/>
      <c r="O114" s="1828"/>
      <c r="P114" s="1828"/>
      <c r="Q114" s="1828"/>
      <c r="R114" s="1828"/>
      <c r="S114" s="1828"/>
      <c r="T114" s="1828"/>
      <c r="U114" s="1828"/>
      <c r="V114" s="1828"/>
      <c r="W114" s="1269"/>
      <c r="X114" s="1269"/>
      <c r="Y114" s="1269"/>
      <c r="Z114" s="1517"/>
      <c r="AA114" s="70"/>
      <c r="AB114" s="70"/>
      <c r="AC114" s="70"/>
      <c r="AD114" s="70"/>
      <c r="AE114" s="70"/>
      <c r="AF114" s="70"/>
      <c r="AG114" s="70"/>
      <c r="AH114" s="134"/>
      <c r="AI114" s="134"/>
      <c r="AJ114" s="134"/>
    </row>
    <row r="115" spans="1:36" ht="15" customHeight="1">
      <c r="A115" s="3067" t="s">
        <v>501</v>
      </c>
      <c r="B115" s="3067"/>
      <c r="C115" s="3067"/>
      <c r="D115" s="3067"/>
      <c r="E115" s="3067"/>
      <c r="F115" s="3067"/>
      <c r="G115" s="3067"/>
      <c r="H115" s="3067"/>
      <c r="I115" s="548"/>
      <c r="J115" s="548"/>
      <c r="K115" s="548"/>
      <c r="L115" s="548"/>
      <c r="M115" s="548"/>
      <c r="N115" s="548"/>
      <c r="O115" s="548"/>
      <c r="P115" s="548"/>
      <c r="Q115" s="1112"/>
      <c r="R115" s="548"/>
      <c r="S115" s="132"/>
      <c r="T115" s="1269"/>
      <c r="U115" s="3084" t="s">
        <v>502</v>
      </c>
      <c r="V115" s="3084"/>
      <c r="W115" s="3084"/>
      <c r="X115" s="3084"/>
      <c r="Y115" s="3084"/>
      <c r="Z115" s="1269"/>
      <c r="AA115" s="70"/>
      <c r="AB115" s="70"/>
      <c r="AC115" s="70"/>
      <c r="AD115" s="70"/>
      <c r="AE115" s="70"/>
      <c r="AF115" s="70"/>
      <c r="AG115" s="70"/>
      <c r="AH115" s="134"/>
      <c r="AI115" s="134"/>
      <c r="AJ115" s="134"/>
    </row>
    <row r="116" spans="1:36" ht="15" customHeight="1">
      <c r="A116" s="1829"/>
      <c r="B116" s="1829"/>
      <c r="C116" s="1829"/>
      <c r="D116" s="1829"/>
      <c r="E116" s="1829"/>
      <c r="F116" s="1829"/>
      <c r="G116" s="1829"/>
      <c r="H116" s="1829"/>
      <c r="I116" s="1829"/>
      <c r="J116" s="1829"/>
      <c r="K116" s="1829"/>
      <c r="L116" s="1829"/>
      <c r="M116" s="1829"/>
      <c r="N116" s="1829"/>
      <c r="O116" s="1829"/>
      <c r="P116" s="1829"/>
      <c r="Q116" s="1829"/>
      <c r="R116" s="1829"/>
      <c r="S116" s="1829"/>
      <c r="T116" s="1829"/>
      <c r="U116" s="1829"/>
      <c r="V116" s="1829"/>
      <c r="W116" s="1829"/>
      <c r="X116" s="1829"/>
      <c r="Y116" s="1517"/>
      <c r="Z116" s="1517"/>
      <c r="AA116" s="70"/>
      <c r="AB116" s="70"/>
      <c r="AC116" s="70"/>
      <c r="AD116" s="70"/>
      <c r="AE116" s="70"/>
      <c r="AF116" s="70"/>
      <c r="AG116" s="70"/>
      <c r="AH116" s="134"/>
      <c r="AI116" s="134"/>
      <c r="AJ116" s="134"/>
    </row>
  </sheetData>
  <sheetProtection password="FA80" sheet="1" objects="1" scenarios="1"/>
  <mergeCells count="121">
    <mergeCell ref="A115:H115"/>
    <mergeCell ref="F1:N1"/>
    <mergeCell ref="V1:Y1"/>
    <mergeCell ref="V2:Y2"/>
    <mergeCell ref="B4:S4"/>
    <mergeCell ref="F6:L6"/>
    <mergeCell ref="AA6:AJ6"/>
    <mergeCell ref="G2:M2"/>
    <mergeCell ref="A7:B7"/>
    <mergeCell ref="F8:X8"/>
    <mergeCell ref="AC10:AD10"/>
    <mergeCell ref="AF10:AG10"/>
    <mergeCell ref="AI10:AJ10"/>
    <mergeCell ref="F11:M11"/>
    <mergeCell ref="F18:P18"/>
    <mergeCell ref="AE20:AG20"/>
    <mergeCell ref="F21:Q21"/>
    <mergeCell ref="F12:X16"/>
    <mergeCell ref="F23:H23"/>
    <mergeCell ref="I23:K23"/>
    <mergeCell ref="F24:G24"/>
    <mergeCell ref="I24:K24"/>
    <mergeCell ref="M24:N24"/>
    <mergeCell ref="F25:P25"/>
    <mergeCell ref="V41:W41"/>
    <mergeCell ref="Q42:T42"/>
    <mergeCell ref="Q43:T43"/>
    <mergeCell ref="Q44:U44"/>
    <mergeCell ref="A48:E48"/>
    <mergeCell ref="C49:D49"/>
    <mergeCell ref="G57:L57"/>
    <mergeCell ref="F31:J31"/>
    <mergeCell ref="O31:W31"/>
    <mergeCell ref="O33:U33"/>
    <mergeCell ref="O34:U34"/>
    <mergeCell ref="B35:E35"/>
    <mergeCell ref="O35:U35"/>
    <mergeCell ref="F36:L36"/>
    <mergeCell ref="Q37:W37"/>
    <mergeCell ref="Q38:T38"/>
    <mergeCell ref="C64:D64"/>
    <mergeCell ref="E64:F64"/>
    <mergeCell ref="G64:H64"/>
    <mergeCell ref="I64:J64"/>
    <mergeCell ref="K64:L64"/>
    <mergeCell ref="M64:N64"/>
    <mergeCell ref="P64:Q64"/>
    <mergeCell ref="S64:T64"/>
    <mergeCell ref="Q40:T40"/>
    <mergeCell ref="Q41:T41"/>
    <mergeCell ref="B59:E59"/>
    <mergeCell ref="D62:N62"/>
    <mergeCell ref="P62:Q62"/>
    <mergeCell ref="C63:D63"/>
    <mergeCell ref="E63:F63"/>
    <mergeCell ref="G63:H63"/>
    <mergeCell ref="I63:J63"/>
    <mergeCell ref="K63:L63"/>
    <mergeCell ref="P63:T63"/>
    <mergeCell ref="C65:D65"/>
    <mergeCell ref="E65:F65"/>
    <mergeCell ref="G65:H65"/>
    <mergeCell ref="I65:J65"/>
    <mergeCell ref="K65:L65"/>
    <mergeCell ref="M65:N65"/>
    <mergeCell ref="P65:Q65"/>
    <mergeCell ref="S65:T65"/>
    <mergeCell ref="R67:S67"/>
    <mergeCell ref="T67:U67"/>
    <mergeCell ref="C66:D66"/>
    <mergeCell ref="E66:F66"/>
    <mergeCell ref="G66:H66"/>
    <mergeCell ref="I66:J66"/>
    <mergeCell ref="K66:L66"/>
    <mergeCell ref="M66:N66"/>
    <mergeCell ref="P67:Q67"/>
    <mergeCell ref="T68:U68"/>
    <mergeCell ref="P69:U69"/>
    <mergeCell ref="A77:B77"/>
    <mergeCell ref="C77:D77"/>
    <mergeCell ref="A71:B71"/>
    <mergeCell ref="A72:B72"/>
    <mergeCell ref="C75:D75"/>
    <mergeCell ref="E75:F75"/>
    <mergeCell ref="G75:H75"/>
    <mergeCell ref="P75:Q75"/>
    <mergeCell ref="R75:S75"/>
    <mergeCell ref="T75:U75"/>
    <mergeCell ref="P70:U70"/>
    <mergeCell ref="C73:D73"/>
    <mergeCell ref="E73:F73"/>
    <mergeCell ref="G73:H73"/>
    <mergeCell ref="I73:O73"/>
    <mergeCell ref="P73:Q73"/>
    <mergeCell ref="R73:S73"/>
    <mergeCell ref="T73:U73"/>
    <mergeCell ref="C69:D69"/>
    <mergeCell ref="U115:Y115"/>
    <mergeCell ref="R18:W20"/>
    <mergeCell ref="D68:F68"/>
    <mergeCell ref="C26:C27"/>
    <mergeCell ref="D26:D27"/>
    <mergeCell ref="E26:E27"/>
    <mergeCell ref="F28:Y30"/>
    <mergeCell ref="F37:M39"/>
    <mergeCell ref="F40:L42"/>
    <mergeCell ref="G49:Y56"/>
    <mergeCell ref="G58:X59"/>
    <mergeCell ref="U63:W64"/>
    <mergeCell ref="V73:W73"/>
    <mergeCell ref="C74:D74"/>
    <mergeCell ref="E74:F74"/>
    <mergeCell ref="G74:H74"/>
    <mergeCell ref="P74:Q74"/>
    <mergeCell ref="R74:S74"/>
    <mergeCell ref="T74:U74"/>
    <mergeCell ref="V74:W74"/>
    <mergeCell ref="V75:W75"/>
    <mergeCell ref="H68:J68"/>
    <mergeCell ref="P68:Q68"/>
    <mergeCell ref="R68:S68"/>
  </mergeCells>
  <conditionalFormatting sqref="C18:E18">
    <cfRule type="cellIs" dxfId="824" priority="8" operator="notEqual">
      <formula>76</formula>
    </cfRule>
  </conditionalFormatting>
  <conditionalFormatting sqref="C39:E39 U42">
    <cfRule type="cellIs" dxfId="823" priority="41" stopIfTrue="1" operator="between">
      <formula>2.7</formula>
      <formula>4</formula>
    </cfRule>
    <cfRule type="cellIs" dxfId="822" priority="42" stopIfTrue="1" operator="greaterThan">
      <formula>4</formula>
    </cfRule>
  </conditionalFormatting>
  <hyperlinks>
    <hyperlink ref="G57" location="'Primer'!D1" display="For more information see the &quot;Primer&quot; page." xr:uid="{00000000-0004-0000-0200-000000000000}"/>
    <hyperlink ref="S60" r:id="rId1" display="http://www.petespintpot.co.uk/health.html" xr:uid="{00000000-0004-0000-0200-000001000000}"/>
    <hyperlink ref="D4" location="'Gluten-Free Calc'!Q18" display="'Gluten-Free Calc'!Q18" xr:uid="{00000000-0004-0000-0200-000002000000}"/>
    <hyperlink ref="G4" location="'Gluten-Free Calc'!H77" display="'Gluten-Free Calc'!H77" xr:uid="{00000000-0004-0000-0200-000003000000}"/>
    <hyperlink ref="G57:L57" location="Primer!F1" display="For more information see the &quot;Primer&quot; page." xr:uid="{00000000-0004-0000-0200-000004000000}"/>
    <hyperlink ref="C69:D69" location="Primer!F1" display="See &quot;Priming&quot; page." xr:uid="{00000000-0004-0000-0200-000005000000}"/>
    <hyperlink ref="D62:N62" location="'Beer Kit'!R62" display="=&quot;g, this is equal to &quot;&amp;FIXED(C62/R62)&amp;&quot;  level 5ml tsp (1 tsp holds &quot;&amp;R62&amp;&quot;g sugar)&quot;" xr:uid="{00000000-0004-0000-0200-000006000000}"/>
    <hyperlink ref="Q44:U44" location="'Beer Kit'!B60" display="See cells B68 for batch priming." xr:uid="{00000000-0004-0000-0200-000007000000}"/>
    <hyperlink ref="Q44:V44" location="'Beer Kit'!B68" display="See cells B68 for batch priming." xr:uid="{00000000-0004-0000-0200-000008000000}"/>
    <hyperlink ref="B23" location="'Beer Kit'!I24" display="Hop extract added (ml)" xr:uid="{00000000-0004-0000-0200-000009000000}"/>
    <hyperlink ref="D26:D27" location="'Beer Kit'!D20" display="=IF(D21=0,&quot;Cell D21 is Empty&quot;,IF(D25&gt;0.81,&quot;Too Hoppy?&quot;,IF(D25&gt;0.65,&quot;Very Hoppy&quot;,IF(D25&gt;0.55,&quot;Slightly Hoppy&quot;,IF(D25&gt;0.45,&quot;Balanced&quot;,IF(D25&gt;0.35,&quot;Slightly Malty&quot;,IF(D25&gt;0.25,&quot;Very Malty&quot;,IF(D25&gt;0,&quot;Too Malty?&quot;))))))))" xr:uid="{00000000-0004-0000-0200-00000A000000}"/>
    <hyperlink ref="E26:E27" location="'Beer Kit'!E20" display="=IF(E21=0,&quot;Cell E21 is Empty&quot;,IF(E25&gt;0.81,&quot;Too Hoppy?&quot;,IF(E25&gt;0.65,&quot;Very Hoppy&quot;,IF(E25&gt;0.55,&quot;Slightly Hoppy&quot;,IF(E25&gt;0.45,&quot;Balanced&quot;,IF(E25&gt;0.35,&quot;Slightly Malty&quot;,IF(E25&gt;0.25,&quot;Very Malty&quot;,IF(E25&gt;0,&quot;Too Malty?&quot;))))))))" xr:uid="{00000000-0004-0000-0200-00000B000000}"/>
    <hyperlink ref="C26:C27" location="'Beer Kit'!C20" display="=IF(C21=0,&quot;Cell C21 is Empty&quot;,IF(C25&gt;0.81,&quot;Too Hoppy?&quot;,IF(C25&gt;0.65,&quot;Very Hoppy&quot;,IF(C25&gt;0.55,&quot;Slightly Hoppy&quot;,IF(C25&gt;0.45,&quot;Balanced&quot;,IF(C25&gt;0.35,&quot;Slightly Malty&quot;,IF(C25&gt;0.25,&quot;Very Malty&quot;,IF(C25&gt;0,&quot;Too Malty?&quot;))))))))" xr:uid="{00000000-0004-0000-0200-00000C000000}"/>
    <hyperlink ref="B31" location="'Beer Kit'!C62" display="=&quot;Priming sugar g ̸ litre (1 level tsp = &quot;&amp;R$62&amp;&quot;g )&quot;" xr:uid="{00000000-0004-0000-0200-00000D000000}"/>
  </hyperlinks>
  <printOptions horizontalCentered="1"/>
  <pageMargins left="0.23622047244094499" right="0.23622047244094499" top="0.511811023622047" bottom="0.70866141732283505" header="0.23622047244094499" footer="0.66929133858267698"/>
  <pageSetup paperSize="9" scale="41" orientation="portrait" horizontalDpi="30066" verticalDpi="26478"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2"/>
    <pageSetUpPr fitToPage="1"/>
  </sheetPr>
  <dimension ref="A1:BN199"/>
  <sheetViews>
    <sheetView zoomScale="60" zoomScaleNormal="60" zoomScalePageLayoutView="86" workbookViewId="0">
      <pane ySplit="11" topLeftCell="A12" activePane="bottomLeft" state="frozen"/>
      <selection pane="bottomLeft" activeCell="L1" sqref="L1:T1"/>
      <selection activeCell="B95" sqref="B95"/>
    </sheetView>
  </sheetViews>
  <sheetFormatPr defaultColWidth="7" defaultRowHeight="13.9"/>
  <cols>
    <col min="1" max="1" width="3.28515625" style="1115" customWidth="1"/>
    <col min="2" max="2" width="43.42578125" style="1115" customWidth="1"/>
    <col min="3" max="7" width="10.28515625" style="1115" customWidth="1"/>
    <col min="8" max="8" width="26.7109375" style="1115" customWidth="1"/>
    <col min="9" max="9" width="11.140625" style="1115" customWidth="1"/>
    <col min="10" max="18" width="9.42578125" style="1115" customWidth="1"/>
    <col min="19" max="27" width="10" style="1115" customWidth="1"/>
    <col min="28" max="28" width="8.140625" style="1115" hidden="1" customWidth="1"/>
    <col min="29" max="29" width="8.28515625" style="1115" hidden="1" customWidth="1"/>
    <col min="30" max="30" width="7.85546875" style="1115" hidden="1" customWidth="1"/>
    <col min="31" max="32" width="12.42578125" style="1115" hidden="1" customWidth="1"/>
    <col min="33" max="33" width="7.7109375" style="1115" hidden="1" customWidth="1"/>
    <col min="34" max="34" width="7.85546875" style="1115" hidden="1" customWidth="1"/>
    <col min="35" max="35" width="8.140625" style="1115" hidden="1" customWidth="1"/>
    <col min="36" max="36" width="3.85546875" style="1115" hidden="1" customWidth="1"/>
    <col min="37" max="48" width="6.7109375" style="1115" hidden="1" customWidth="1"/>
    <col min="49" max="49" width="16.42578125" style="1115" hidden="1" customWidth="1"/>
    <col min="50" max="53" width="6.7109375" style="1115" hidden="1" customWidth="1"/>
    <col min="54" max="54" width="6" style="1115" hidden="1" customWidth="1"/>
    <col min="55" max="56" width="7.85546875" style="1115" customWidth="1"/>
    <col min="57" max="57" width="8.42578125" style="1115" customWidth="1"/>
    <col min="58" max="64" width="7.85546875" style="1115" customWidth="1"/>
    <col min="65" max="65" width="5.5703125" style="1115" customWidth="1"/>
    <col min="66" max="66" width="3" style="1115" customWidth="1"/>
  </cols>
  <sheetData>
    <row r="1" spans="1:66" s="78" customFormat="1" ht="37.15" customHeight="1">
      <c r="A1" s="2161"/>
      <c r="B1" s="2161"/>
      <c r="C1" s="1116"/>
      <c r="D1" s="431"/>
      <c r="E1" s="431"/>
      <c r="F1" s="431"/>
      <c r="G1" s="431"/>
      <c r="H1" s="431"/>
      <c r="I1" s="118"/>
      <c r="J1" s="118"/>
      <c r="K1" s="118"/>
      <c r="L1" s="3343" t="s">
        <v>635</v>
      </c>
      <c r="M1" s="3343"/>
      <c r="N1" s="3343"/>
      <c r="O1" s="3343"/>
      <c r="P1" s="3343"/>
      <c r="Q1" s="3343"/>
      <c r="R1" s="3343"/>
      <c r="S1" s="3343"/>
      <c r="T1" s="3343"/>
      <c r="U1" s="1206"/>
      <c r="V1" s="1206"/>
      <c r="W1" s="1206"/>
      <c r="X1" s="1207"/>
      <c r="Y1" s="1916"/>
      <c r="Z1" s="1231"/>
      <c r="AA1" s="1916"/>
      <c r="AB1" s="3340" t="s">
        <v>506</v>
      </c>
      <c r="AC1" s="3340"/>
      <c r="AD1" s="3340"/>
      <c r="AE1" s="3340"/>
      <c r="AF1" s="3340"/>
      <c r="AG1" s="3340"/>
      <c r="AH1" s="3340"/>
      <c r="AI1" s="3340"/>
      <c r="AJ1" s="3340"/>
      <c r="AK1" s="3340"/>
      <c r="AL1" s="3340"/>
      <c r="AM1" s="3340"/>
      <c r="AN1" s="3340"/>
      <c r="AO1" s="3340"/>
      <c r="AP1" s="3340"/>
      <c r="AQ1" s="3340"/>
      <c r="AR1" s="3340"/>
      <c r="AS1" s="3340"/>
      <c r="AT1" s="3340"/>
      <c r="AU1" s="3340"/>
      <c r="AV1" s="3340"/>
      <c r="AW1" s="3340"/>
      <c r="AX1" s="3340"/>
      <c r="AY1" s="3340"/>
      <c r="AZ1" s="3340"/>
      <c r="BA1" s="3340"/>
      <c r="BB1" s="3340"/>
      <c r="BD1" s="2144"/>
      <c r="BE1" s="2144"/>
      <c r="BF1" s="2144"/>
      <c r="BG1" s="2144"/>
      <c r="BH1" s="2144"/>
      <c r="BI1" s="1262"/>
      <c r="BJ1" s="2182"/>
      <c r="BK1" s="2182"/>
      <c r="BL1" s="3341" t="s">
        <v>1</v>
      </c>
      <c r="BM1" s="3341"/>
      <c r="BN1" s="482"/>
    </row>
    <row r="2" spans="1:66" s="78" customFormat="1" ht="15.75" customHeight="1">
      <c r="A2" s="1913"/>
      <c r="B2" s="1913"/>
      <c r="C2" s="1116"/>
      <c r="D2" s="431"/>
      <c r="E2" s="431"/>
      <c r="F2" s="431"/>
      <c r="G2" s="431"/>
      <c r="H2" s="431"/>
      <c r="I2" s="118"/>
      <c r="J2" s="118"/>
      <c r="K2" s="118"/>
      <c r="L2" s="422"/>
      <c r="M2" s="1915"/>
      <c r="N2" s="1915"/>
      <c r="O2" s="1915"/>
      <c r="P2" s="1915"/>
      <c r="Q2" s="1915"/>
      <c r="R2" s="1915"/>
      <c r="S2" s="1915"/>
      <c r="T2" s="430"/>
      <c r="U2" s="1206"/>
      <c r="V2" s="1206"/>
      <c r="W2" s="1206"/>
      <c r="X2" s="1207"/>
      <c r="Y2" s="1916"/>
      <c r="Z2" s="1231"/>
      <c r="AA2" s="1916"/>
      <c r="AB2" s="1914"/>
      <c r="AC2" s="1914"/>
      <c r="AD2" s="1914"/>
      <c r="AE2" s="1914"/>
      <c r="AF2" s="1914"/>
      <c r="AG2" s="1914"/>
      <c r="AH2" s="1914"/>
      <c r="AI2" s="1914"/>
      <c r="AJ2" s="1914"/>
      <c r="AK2" s="1914"/>
      <c r="AL2" s="1914"/>
      <c r="AM2" s="1914"/>
      <c r="AN2" s="1914"/>
      <c r="AO2" s="1914"/>
      <c r="AP2" s="1914"/>
      <c r="AQ2" s="1914"/>
      <c r="AR2" s="1914"/>
      <c r="AS2" s="1914"/>
      <c r="AT2" s="1914"/>
      <c r="AU2" s="1914"/>
      <c r="AV2" s="1914"/>
      <c r="AW2" s="1914"/>
      <c r="AX2" s="1914"/>
      <c r="AY2" s="1914"/>
      <c r="AZ2" s="1914"/>
      <c r="BA2" s="1914"/>
      <c r="BB2" s="1914"/>
      <c r="BC2" s="2144"/>
      <c r="BD2" s="2144"/>
      <c r="BE2" s="2144"/>
      <c r="BF2" s="2144"/>
      <c r="BG2" s="2144"/>
      <c r="BH2" s="2144"/>
      <c r="BI2" s="1262"/>
      <c r="BJ2" s="2182"/>
      <c r="BK2" s="2183"/>
      <c r="BL2" s="2184"/>
      <c r="BM2" s="2184"/>
      <c r="BN2" s="482"/>
    </row>
    <row r="3" spans="1:66" s="78" customFormat="1" ht="15.75" customHeight="1">
      <c r="A3" s="1117"/>
      <c r="B3" s="1117"/>
      <c r="C3" s="422"/>
      <c r="D3" s="422"/>
      <c r="E3" s="422"/>
      <c r="F3" s="422"/>
      <c r="G3" s="422"/>
      <c r="H3" s="422"/>
      <c r="I3" s="422"/>
      <c r="J3" s="422"/>
      <c r="K3" s="422"/>
      <c r="L3" s="422"/>
      <c r="M3" s="422"/>
      <c r="N3" s="1173"/>
      <c r="O3" s="1173"/>
      <c r="P3" s="1173"/>
      <c r="Q3" s="1173"/>
      <c r="R3" s="1173"/>
      <c r="S3" s="1056"/>
      <c r="T3" s="1056"/>
      <c r="U3" s="3306" t="s">
        <v>636</v>
      </c>
      <c r="V3" s="83"/>
      <c r="W3" s="1208"/>
      <c r="X3" s="1209"/>
      <c r="Y3" s="1231"/>
      <c r="Z3" s="3307"/>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1220"/>
      <c r="AZ3" s="1220"/>
      <c r="BA3" s="1220"/>
      <c r="BB3" s="1220"/>
      <c r="BC3" s="2144"/>
      <c r="BD3" s="2144"/>
      <c r="BE3" s="2144"/>
      <c r="BF3" s="2144"/>
      <c r="BG3" s="2144"/>
      <c r="BH3" s="2144"/>
      <c r="BI3" s="1263"/>
      <c r="BJ3" s="3345"/>
      <c r="BK3" s="3345"/>
      <c r="BL3" s="3345"/>
      <c r="BM3" s="3345"/>
      <c r="BN3" s="1269"/>
    </row>
    <row r="4" spans="1:66" s="78" customFormat="1" ht="15.75" customHeight="1">
      <c r="A4" s="4400" t="s">
        <v>637</v>
      </c>
      <c r="B4" s="4400"/>
      <c r="C4" s="4401" t="s">
        <v>638</v>
      </c>
      <c r="D4" s="4401"/>
      <c r="E4" s="4401"/>
      <c r="F4" s="4401"/>
      <c r="G4" s="4401"/>
      <c r="H4" s="4401"/>
      <c r="I4" s="422"/>
      <c r="J4" s="114"/>
      <c r="K4" s="1174"/>
      <c r="L4" s="1174"/>
      <c r="M4" s="1174"/>
      <c r="N4" s="1174"/>
      <c r="O4" s="2821" t="s">
        <v>153</v>
      </c>
      <c r="P4" s="2821"/>
      <c r="Q4" s="2821"/>
      <c r="R4" s="2821"/>
      <c r="S4" s="114"/>
      <c r="T4" s="83"/>
      <c r="U4" s="3306"/>
      <c r="V4" s="1208"/>
      <c r="W4" s="1210"/>
      <c r="X4" s="1211"/>
      <c r="Y4" s="1231"/>
      <c r="Z4" s="3307"/>
      <c r="AA4" s="1232"/>
      <c r="AB4" s="1232"/>
      <c r="AC4" s="1232"/>
      <c r="AD4" s="1232"/>
      <c r="AE4" s="1232"/>
      <c r="AF4" s="1232"/>
      <c r="AG4" s="1232"/>
      <c r="AH4" s="1232"/>
      <c r="AI4" s="1232"/>
      <c r="AJ4" s="1232"/>
      <c r="AK4" s="1232"/>
      <c r="AL4" s="1232"/>
      <c r="AM4" s="1232"/>
      <c r="AN4" s="1232"/>
      <c r="AO4" s="1232"/>
      <c r="AP4" s="1232"/>
      <c r="AQ4" s="1232"/>
      <c r="AR4" s="1232"/>
      <c r="AS4" s="1232"/>
      <c r="AT4" s="1232"/>
      <c r="AU4" s="1232"/>
      <c r="AV4" s="1232"/>
      <c r="AW4" s="1232"/>
      <c r="AX4" s="1232"/>
      <c r="AY4" s="1232"/>
      <c r="AZ4" s="1232"/>
      <c r="BA4" s="1232"/>
      <c r="BB4" s="1232"/>
      <c r="BC4" s="1254"/>
      <c r="BD4" s="72"/>
      <c r="BE4" s="1220"/>
      <c r="BF4" s="72"/>
      <c r="BG4" s="936"/>
      <c r="BH4" s="936"/>
      <c r="BI4" s="1264"/>
      <c r="BJ4" s="1263"/>
      <c r="BK4" s="1654"/>
      <c r="BL4" s="1654"/>
      <c r="BM4" s="1654"/>
      <c r="BN4" s="1269"/>
    </row>
    <row r="5" spans="1:66" s="78" customFormat="1" ht="15.75" customHeight="1">
      <c r="A5" s="1117"/>
      <c r="B5" s="1118" t="s">
        <v>639</v>
      </c>
      <c r="C5" s="1119">
        <v>8.5</v>
      </c>
      <c r="D5" s="4402" t="str">
        <f>"litres ≈ "&amp;FIXED(C5*1.76)&amp;" UK ̸ "&amp;FIXED(C5*1.76*6/5)&amp;" US pt."</f>
        <v>litres ≈ 14.96 UK ̸ 17.95 US pt.</v>
      </c>
      <c r="E5" s="4402"/>
      <c r="F5" s="4402"/>
      <c r="G5" s="4402"/>
      <c r="H5" s="118"/>
      <c r="I5" s="2334"/>
      <c r="J5" s="4403" t="s">
        <v>640</v>
      </c>
      <c r="K5" s="3344"/>
      <c r="L5" s="3344"/>
      <c r="M5" s="3344"/>
      <c r="N5" s="3344"/>
      <c r="O5" s="2821"/>
      <c r="P5" s="2821"/>
      <c r="Q5" s="2821"/>
      <c r="R5" s="2821"/>
      <c r="S5" s="365"/>
      <c r="T5" s="365"/>
      <c r="U5" s="3306"/>
      <c r="V5" s="1212"/>
      <c r="W5" s="1213"/>
      <c r="X5" s="1214"/>
      <c r="Y5" s="1231"/>
      <c r="Z5" s="3307"/>
      <c r="AA5" s="1220"/>
      <c r="AB5" s="1232"/>
      <c r="AC5" s="1232"/>
      <c r="AD5" s="1232"/>
      <c r="AE5" s="1232"/>
      <c r="AF5" s="1220"/>
      <c r="AG5" s="1220"/>
      <c r="AH5" s="1244"/>
      <c r="AI5" s="1244"/>
      <c r="AJ5" s="1244"/>
      <c r="AK5" s="1244"/>
      <c r="AL5" s="1244"/>
      <c r="AM5" s="1244"/>
      <c r="AN5" s="1244"/>
      <c r="AO5" s="1244"/>
      <c r="AP5" s="1244"/>
      <c r="AQ5" s="1244"/>
      <c r="AR5" s="1244"/>
      <c r="AS5" s="1244"/>
      <c r="AT5" s="1244"/>
      <c r="AU5" s="1244"/>
      <c r="AV5" s="1244"/>
      <c r="AW5" s="1244"/>
      <c r="AX5" s="1244"/>
      <c r="AY5" s="1244"/>
      <c r="AZ5" s="1244"/>
      <c r="BA5" s="1244"/>
      <c r="BB5" s="1244"/>
      <c r="BC5" s="1255"/>
      <c r="BD5" s="72"/>
      <c r="BE5" s="83"/>
      <c r="BF5" s="72"/>
      <c r="BG5" s="936"/>
      <c r="BH5" s="72"/>
      <c r="BI5" s="1220"/>
      <c r="BJ5" s="1220"/>
      <c r="BK5" s="1220"/>
      <c r="BL5" s="1220"/>
      <c r="BM5" s="1255"/>
      <c r="BN5" s="1270"/>
    </row>
    <row r="6" spans="1:66" s="78" customFormat="1" ht="15.75" customHeight="1">
      <c r="A6" s="1117"/>
      <c r="B6" s="640" t="s">
        <v>641</v>
      </c>
      <c r="C6" s="1120">
        <v>20</v>
      </c>
      <c r="D6" s="4404" t="s">
        <v>642</v>
      </c>
      <c r="E6" s="4404"/>
      <c r="F6" s="118"/>
      <c r="G6" s="118"/>
      <c r="H6" s="118"/>
      <c r="I6" s="2335"/>
      <c r="J6" s="4403"/>
      <c r="K6" s="3344"/>
      <c r="L6" s="3344"/>
      <c r="M6" s="3344"/>
      <c r="N6" s="3344"/>
      <c r="O6" s="2821"/>
      <c r="P6" s="2821"/>
      <c r="Q6" s="2821"/>
      <c r="R6" s="2821"/>
      <c r="S6" s="365"/>
      <c r="T6" s="365"/>
      <c r="U6" s="3306"/>
      <c r="V6" s="1212"/>
      <c r="W6" s="1213"/>
      <c r="X6" s="1214"/>
      <c r="Y6" s="1231"/>
      <c r="Z6" s="3307"/>
      <c r="AA6" s="1220"/>
      <c r="AB6" s="1232"/>
      <c r="AC6" s="1232"/>
      <c r="AD6" s="1232"/>
      <c r="AE6" s="1232"/>
      <c r="AF6" s="1220"/>
      <c r="AG6" s="1220"/>
      <c r="AH6" s="1220"/>
      <c r="AI6" s="1244"/>
      <c r="AJ6" s="1244"/>
      <c r="AK6" s="1244"/>
      <c r="AL6" s="1244"/>
      <c r="AM6" s="1244"/>
      <c r="AN6" s="1244"/>
      <c r="AO6" s="1244"/>
      <c r="AP6" s="1244"/>
      <c r="AQ6" s="1244"/>
      <c r="AR6" s="1244"/>
      <c r="AS6" s="1244"/>
      <c r="AT6" s="1244"/>
      <c r="AU6" s="1244"/>
      <c r="AV6" s="1244"/>
      <c r="AW6" s="1244"/>
      <c r="AX6" s="1244"/>
      <c r="AY6" s="1244"/>
      <c r="AZ6" s="1244"/>
      <c r="BA6" s="1244"/>
      <c r="BB6" s="1244"/>
      <c r="BC6" s="1255"/>
      <c r="BD6" s="72"/>
      <c r="BE6" s="1220"/>
      <c r="BF6" s="72"/>
      <c r="BG6" s="936"/>
      <c r="BH6" s="72"/>
      <c r="BI6" s="1220"/>
      <c r="BJ6" s="1220"/>
      <c r="BK6" s="1220"/>
      <c r="BL6" s="1220"/>
      <c r="BM6" s="1266"/>
      <c r="BN6" s="1270"/>
    </row>
    <row r="7" spans="1:66" s="78" customFormat="1" ht="15.75" customHeight="1">
      <c r="A7" s="1117"/>
      <c r="B7" s="422" t="s">
        <v>643</v>
      </c>
      <c r="C7" s="890">
        <v>75</v>
      </c>
      <c r="D7" s="3313" t="s">
        <v>644</v>
      </c>
      <c r="E7" s="3313"/>
      <c r="F7" s="3313"/>
      <c r="G7" s="3313"/>
      <c r="H7" s="3313"/>
      <c r="I7" s="422"/>
      <c r="J7" s="104"/>
      <c r="K7" s="422"/>
      <c r="L7" s="422"/>
      <c r="M7" s="422"/>
      <c r="N7" s="422"/>
      <c r="O7" s="2821"/>
      <c r="P7" s="2821"/>
      <c r="Q7" s="2821"/>
      <c r="R7" s="2821"/>
      <c r="S7" s="365"/>
      <c r="T7" s="365"/>
      <c r="U7" s="3306"/>
      <c r="V7" s="1212"/>
      <c r="W7" s="1213"/>
      <c r="X7" s="1214"/>
      <c r="Y7" s="1231"/>
      <c r="Z7" s="3307"/>
      <c r="AA7" s="1220"/>
      <c r="AB7" s="1232"/>
      <c r="AC7" s="1232"/>
      <c r="AD7" s="1232"/>
      <c r="AE7" s="1232"/>
      <c r="AF7" s="1220"/>
      <c r="AG7" s="1220"/>
      <c r="AH7" s="1220"/>
      <c r="AI7" s="1244"/>
      <c r="AJ7" s="1244"/>
      <c r="AK7" s="1244"/>
      <c r="AL7" s="1244"/>
      <c r="AM7" s="1244"/>
      <c r="AN7" s="1244"/>
      <c r="AO7" s="1244"/>
      <c r="AP7" s="1244"/>
      <c r="AQ7" s="1244"/>
      <c r="AR7" s="1244"/>
      <c r="AS7" s="1244"/>
      <c r="AT7" s="1244"/>
      <c r="AU7" s="1244"/>
      <c r="AV7" s="1244"/>
      <c r="AW7" s="1244"/>
      <c r="AX7" s="1244"/>
      <c r="AY7" s="1244"/>
      <c r="AZ7" s="1244"/>
      <c r="BA7" s="1244"/>
      <c r="BB7" s="1244"/>
      <c r="BC7" s="1255"/>
      <c r="BD7" s="72"/>
      <c r="BE7" s="1220"/>
      <c r="BF7" s="72"/>
      <c r="BG7" s="936"/>
      <c r="BH7" s="72"/>
      <c r="BI7" s="1220"/>
      <c r="BJ7" s="1220"/>
      <c r="BK7" s="1220"/>
      <c r="BL7" s="1220"/>
      <c r="BM7" s="1266"/>
      <c r="BN7" s="1270"/>
    </row>
    <row r="8" spans="1:66" s="78" customFormat="1" ht="15.75" customHeight="1">
      <c r="A8" s="1117"/>
      <c r="B8" s="1117"/>
      <c r="C8" s="422"/>
      <c r="D8" s="422"/>
      <c r="E8" s="422"/>
      <c r="F8" s="1121"/>
      <c r="G8" s="104"/>
      <c r="H8" s="104"/>
      <c r="I8" s="104"/>
      <c r="J8" s="104"/>
      <c r="K8" s="422"/>
      <c r="L8" s="422"/>
      <c r="M8" s="422"/>
      <c r="N8" s="422"/>
      <c r="O8" s="422"/>
      <c r="P8" s="114"/>
      <c r="Q8" s="114"/>
      <c r="R8" s="114"/>
      <c r="S8" s="365"/>
      <c r="T8" s="114"/>
      <c r="U8" s="3306"/>
      <c r="V8" s="1212"/>
      <c r="W8" s="1213"/>
      <c r="X8" s="1214"/>
      <c r="Y8" s="1231"/>
      <c r="Z8" s="3307"/>
      <c r="AA8" s="1220"/>
      <c r="AB8" s="1232"/>
      <c r="AC8" s="1232"/>
      <c r="AD8" s="83"/>
      <c r="AE8" s="1220"/>
      <c r="AF8" s="1220"/>
      <c r="AG8" s="1220"/>
      <c r="AH8" s="1244"/>
      <c r="AI8" s="1244"/>
      <c r="AJ8" s="1244"/>
      <c r="AK8" s="1244"/>
      <c r="AL8" s="1244"/>
      <c r="AM8" s="1244"/>
      <c r="AN8" s="1244"/>
      <c r="AO8" s="1244"/>
      <c r="AP8" s="1244"/>
      <c r="AQ8" s="1244"/>
      <c r="AR8" s="1244"/>
      <c r="AS8" s="1244"/>
      <c r="AT8" s="1244"/>
      <c r="AU8" s="1244"/>
      <c r="AV8" s="1244"/>
      <c r="AW8" s="1244"/>
      <c r="AX8" s="1244"/>
      <c r="AY8" s="1244"/>
      <c r="AZ8" s="1244"/>
      <c r="BA8" s="1244"/>
      <c r="BB8" s="1244"/>
      <c r="BC8" s="1255"/>
      <c r="BD8" s="72"/>
      <c r="BE8" s="1220"/>
      <c r="BF8" s="72"/>
      <c r="BG8" s="936"/>
      <c r="BH8" s="72"/>
      <c r="BI8" s="1220"/>
      <c r="BJ8" s="1220"/>
      <c r="BK8" s="1220"/>
      <c r="BL8" s="1220"/>
      <c r="BM8" s="1266"/>
      <c r="BN8" s="1270"/>
    </row>
    <row r="9" spans="1:66" s="78" customFormat="1" ht="15.75" customHeight="1">
      <c r="A9" s="4405" t="s">
        <v>645</v>
      </c>
      <c r="B9" s="4141"/>
      <c r="C9" s="4141"/>
      <c r="D9" s="3314" t="s">
        <v>516</v>
      </c>
      <c r="E9" s="3315"/>
      <c r="F9" s="3315"/>
      <c r="G9" s="3315"/>
      <c r="H9" s="3316"/>
      <c r="I9" s="2336" t="s">
        <v>646</v>
      </c>
      <c r="J9" s="3317" t="s">
        <v>647</v>
      </c>
      <c r="K9" s="3318"/>
      <c r="L9" s="3318"/>
      <c r="M9" s="3318"/>
      <c r="N9" s="3318"/>
      <c r="O9" s="3318"/>
      <c r="P9" s="3318"/>
      <c r="Q9" s="3318"/>
      <c r="R9" s="3319"/>
      <c r="S9" s="365"/>
      <c r="T9" s="1215"/>
      <c r="U9" s="3306"/>
      <c r="V9" s="1212"/>
      <c r="W9" s="1213"/>
      <c r="X9" s="1214"/>
      <c r="Y9" s="1231"/>
      <c r="Z9" s="3307"/>
      <c r="AA9" s="1220"/>
      <c r="AB9" s="1233"/>
      <c r="AC9" s="1233"/>
      <c r="AD9" s="1233"/>
      <c r="AE9" s="1233"/>
      <c r="AF9" s="1233"/>
      <c r="AG9" s="1233"/>
      <c r="AH9" s="1233"/>
      <c r="AI9" s="1233"/>
      <c r="AJ9" s="1233"/>
      <c r="AK9" s="1233"/>
      <c r="AL9" s="1233"/>
      <c r="AM9" s="1233"/>
      <c r="AN9" s="1233"/>
      <c r="AO9" s="1233"/>
      <c r="AP9" s="1233"/>
      <c r="AQ9" s="1233"/>
      <c r="AR9" s="1233"/>
      <c r="AS9" s="1233"/>
      <c r="AT9" s="1233"/>
      <c r="AU9" s="1233"/>
      <c r="AV9" s="1233"/>
      <c r="AW9" s="1233"/>
      <c r="AX9" s="1233"/>
      <c r="AY9" s="1233"/>
      <c r="AZ9" s="1233"/>
      <c r="BA9" s="1233"/>
      <c r="BB9" s="1233"/>
      <c r="BC9" s="1233"/>
      <c r="BD9" s="1233"/>
      <c r="BE9" s="1233"/>
      <c r="BF9" s="1233"/>
      <c r="BG9" s="1233"/>
      <c r="BH9" s="1233"/>
      <c r="BI9" s="1233"/>
      <c r="BJ9" s="1233"/>
      <c r="BK9" s="1233"/>
      <c r="BL9" s="1233"/>
      <c r="BM9" s="1233"/>
      <c r="BN9" s="1270"/>
    </row>
    <row r="10" spans="1:66" s="78" customFormat="1" ht="15.75" customHeight="1">
      <c r="A10" s="4255" t="s">
        <v>648</v>
      </c>
      <c r="B10" s="4176"/>
      <c r="C10" s="1748">
        <f>1000+AF76</f>
        <v>1069.9411764705883</v>
      </c>
      <c r="D10" s="3320" t="s">
        <v>649</v>
      </c>
      <c r="E10" s="3321"/>
      <c r="F10" s="3321"/>
      <c r="G10" s="3321"/>
      <c r="H10" s="1122">
        <f>1000+AF75</f>
        <v>1072.3036764705882</v>
      </c>
      <c r="I10" s="2337">
        <v>1070</v>
      </c>
      <c r="J10" s="3322" t="s">
        <v>650</v>
      </c>
      <c r="K10" s="3323"/>
      <c r="L10" s="3323"/>
      <c r="M10" s="3323"/>
      <c r="N10" s="3323"/>
      <c r="O10" s="3323"/>
      <c r="P10" s="3323"/>
      <c r="Q10" s="3323"/>
      <c r="R10" s="3324"/>
      <c r="S10" s="365"/>
      <c r="T10" s="1216"/>
      <c r="U10" s="3306"/>
      <c r="V10" s="1212"/>
      <c r="W10" s="1213"/>
      <c r="X10" s="1214"/>
      <c r="Y10" s="1231"/>
      <c r="Z10" s="3307"/>
      <c r="AA10" s="1220"/>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3342" t="s">
        <v>651</v>
      </c>
      <c r="BD10" s="3342"/>
      <c r="BE10" s="3342"/>
      <c r="BF10" s="3342"/>
      <c r="BG10" s="3342"/>
      <c r="BH10" s="3342"/>
      <c r="BI10" s="3342"/>
      <c r="BJ10" s="3342"/>
      <c r="BK10" s="3342"/>
      <c r="BL10" s="3342"/>
      <c r="BM10" s="3342"/>
      <c r="BN10" s="3342"/>
    </row>
    <row r="11" spans="1:66" s="78" customFormat="1" ht="15.75" customHeight="1">
      <c r="A11" s="4406" t="s">
        <v>652</v>
      </c>
      <c r="B11" s="4160"/>
      <c r="C11" s="1749">
        <f>1000+AF77</f>
        <v>1012.5505882352941</v>
      </c>
      <c r="D11" s="3308" t="s">
        <v>653</v>
      </c>
      <c r="E11" s="3309"/>
      <c r="F11" s="3309"/>
      <c r="G11" s="3309"/>
      <c r="H11" s="1123">
        <f>1000+AF78</f>
        <v>1012.5505882352941</v>
      </c>
      <c r="I11" s="4407">
        <v>12</v>
      </c>
      <c r="J11" s="2954"/>
      <c r="K11" s="4172"/>
      <c r="L11" s="4408"/>
      <c r="M11" s="3310" t="s">
        <v>654</v>
      </c>
      <c r="N11" s="4408"/>
      <c r="O11" s="3311" t="s">
        <v>655</v>
      </c>
      <c r="P11" s="4408"/>
      <c r="Q11" s="3312" t="s">
        <v>656</v>
      </c>
      <c r="R11" s="4312"/>
      <c r="S11" s="365"/>
      <c r="T11" s="1217"/>
      <c r="U11" s="3306"/>
      <c r="V11" s="1212"/>
      <c r="W11" s="1213"/>
      <c r="X11" s="1214"/>
      <c r="Y11" s="1231"/>
      <c r="Z11" s="3307"/>
      <c r="AA11" s="1220"/>
      <c r="AB11" s="1234" t="s">
        <v>580</v>
      </c>
      <c r="AC11" s="1234" t="s">
        <v>581</v>
      </c>
      <c r="AD11" s="1234" t="s">
        <v>582</v>
      </c>
      <c r="AE11" s="1235"/>
      <c r="AF11" s="1235"/>
      <c r="AG11" s="1235"/>
      <c r="AH11" s="1235"/>
      <c r="AI11" s="1235"/>
      <c r="AJ11" s="985"/>
      <c r="AK11" s="985"/>
      <c r="AL11" s="985"/>
      <c r="AM11" s="985"/>
      <c r="AN11" s="985"/>
      <c r="AO11" s="985"/>
      <c r="AP11" s="985"/>
      <c r="AQ11" s="985"/>
      <c r="AR11" s="985"/>
      <c r="AS11" s="985"/>
      <c r="AT11" s="985"/>
      <c r="AU11" s="985"/>
      <c r="AV11" s="985"/>
      <c r="AW11" s="985"/>
      <c r="AX11" s="985"/>
      <c r="AY11" s="985"/>
      <c r="AZ11" s="985"/>
      <c r="BA11" s="985"/>
      <c r="BB11" s="985"/>
      <c r="BC11" s="1255"/>
      <c r="BD11" s="72"/>
      <c r="BE11" s="1265"/>
      <c r="BF11" s="72"/>
      <c r="BG11" s="936"/>
      <c r="BH11" s="72"/>
      <c r="BI11" s="1220"/>
      <c r="BJ11" s="1220"/>
      <c r="BK11" s="1220"/>
      <c r="BL11" s="1220"/>
      <c r="BM11" s="1266"/>
      <c r="BN11" s="1270"/>
    </row>
    <row r="12" spans="1:66" s="78" customFormat="1" ht="15.75" customHeight="1">
      <c r="A12" s="4406" t="s">
        <v>657</v>
      </c>
      <c r="B12" s="4160"/>
      <c r="C12" s="1749">
        <f>(C10-C11)/(7.75-(3*(C10-1000)/800))</f>
        <v>7.6646273801223712</v>
      </c>
      <c r="D12" s="4254" t="s">
        <v>658</v>
      </c>
      <c r="E12" s="4160"/>
      <c r="F12" s="4160"/>
      <c r="G12" s="4160"/>
      <c r="H12" s="1124">
        <f>((H10-H11)/(7.75-(3*(H10-1000)/800)))</f>
        <v>7.9895971501048182</v>
      </c>
      <c r="I12" s="4409" t="s">
        <v>659</v>
      </c>
      <c r="J12" s="3327" t="s">
        <v>660</v>
      </c>
      <c r="K12" s="4141"/>
      <c r="L12" s="4410"/>
      <c r="M12" s="2756">
        <v>330</v>
      </c>
      <c r="N12" s="2338" t="s">
        <v>100</v>
      </c>
      <c r="O12" s="2339">
        <v>1</v>
      </c>
      <c r="P12" s="2340" t="s">
        <v>661</v>
      </c>
      <c r="Q12" s="2608">
        <v>12</v>
      </c>
      <c r="R12" s="2341" t="s">
        <v>110</v>
      </c>
      <c r="S12" s="365"/>
      <c r="T12" s="491"/>
      <c r="U12" s="3306"/>
      <c r="V12" s="1212"/>
      <c r="W12" s="1213"/>
      <c r="X12" s="1214"/>
      <c r="Y12" s="1220"/>
      <c r="Z12" s="1220"/>
      <c r="AA12" s="1220"/>
      <c r="AB12" s="1236">
        <v>789.4</v>
      </c>
      <c r="AC12" s="1236">
        <v>7.01</v>
      </c>
      <c r="AD12" s="1236">
        <v>3.85</v>
      </c>
      <c r="AE12" s="1235"/>
      <c r="AF12" s="1235"/>
      <c r="AG12" s="1235"/>
      <c r="AH12" s="1235"/>
      <c r="AI12" s="1235"/>
      <c r="AJ12" s="985"/>
      <c r="AK12" s="985"/>
      <c r="AL12" s="985"/>
      <c r="AM12" s="985"/>
      <c r="AN12" s="985"/>
      <c r="AO12" s="985"/>
      <c r="AP12" s="985"/>
      <c r="AQ12" s="985"/>
      <c r="AR12" s="985"/>
      <c r="AS12" s="985"/>
      <c r="AT12" s="985"/>
      <c r="AU12" s="985"/>
      <c r="AV12" s="985"/>
      <c r="AW12" s="985"/>
      <c r="AX12" s="985"/>
      <c r="AY12" s="985"/>
      <c r="AZ12" s="985"/>
      <c r="BA12" s="985"/>
      <c r="BB12" s="985"/>
      <c r="BC12" s="3329" t="s">
        <v>662</v>
      </c>
      <c r="BD12" s="3329"/>
      <c r="BE12" s="3329"/>
      <c r="BF12" s="3329"/>
      <c r="BG12" s="1653"/>
      <c r="BH12" s="3328" t="s">
        <v>663</v>
      </c>
      <c r="BI12" s="3328"/>
      <c r="BJ12" s="3328"/>
      <c r="BK12" s="1220"/>
      <c r="BL12" s="83"/>
      <c r="BM12" s="1266"/>
      <c r="BN12" s="1270"/>
    </row>
    <row r="13" spans="1:66" s="78" customFormat="1" ht="15.75" customHeight="1">
      <c r="A13" s="3332" t="s">
        <v>664</v>
      </c>
      <c r="B13" s="4411"/>
      <c r="C13" s="1750">
        <f>C68*AC68+VLOOKUP($C$6,$AB$71:$AC$114,2)</f>
        <v>2.5275263157894736</v>
      </c>
      <c r="D13" s="4412" t="s">
        <v>665</v>
      </c>
      <c r="E13" s="4413"/>
      <c r="F13" s="4413"/>
      <c r="G13" s="4413"/>
      <c r="H13" s="1125" t="str">
        <f>FIXED(C72)</f>
        <v>2.53</v>
      </c>
      <c r="I13" s="4414" t="str">
        <f>H13</f>
        <v>2.53</v>
      </c>
      <c r="J13" s="3333" t="s">
        <v>583</v>
      </c>
      <c r="K13" s="4176"/>
      <c r="L13" s="4415"/>
      <c r="M13" s="1175">
        <f>AC13*M12</f>
        <v>145.89955317944202</v>
      </c>
      <c r="N13" s="436"/>
      <c r="O13" s="1176">
        <f>568*AC13*O12</f>
        <v>251.12407941188812</v>
      </c>
      <c r="P13" s="438"/>
      <c r="Q13" s="1175">
        <f>29.57*AC13*Q12</f>
        <v>156.88181045513096</v>
      </c>
      <c r="R13" s="492"/>
      <c r="S13" s="365"/>
      <c r="T13" s="493"/>
      <c r="U13" s="3306"/>
      <c r="V13" s="1212"/>
      <c r="W13" s="1213"/>
      <c r="X13" s="1214"/>
      <c r="Y13" s="1220"/>
      <c r="Z13" s="1220"/>
      <c r="AA13" s="1220"/>
      <c r="AB13" s="1237"/>
      <c r="AC13" s="1237">
        <f>0.01*AB14*(H10-H11)/(7.75-(3*(H10-1000)/800))</f>
        <v>0.44211985811952131</v>
      </c>
      <c r="AD13" s="1237"/>
      <c r="AE13" s="1235"/>
      <c r="AF13" s="1235"/>
      <c r="AG13" s="1235"/>
      <c r="AH13" s="1235"/>
      <c r="AI13" s="1235"/>
      <c r="AJ13" s="985"/>
      <c r="AK13" s="985"/>
      <c r="AL13" s="985"/>
      <c r="AM13" s="985"/>
      <c r="AN13" s="985"/>
      <c r="AO13" s="985"/>
      <c r="AP13" s="985"/>
      <c r="AQ13" s="985"/>
      <c r="AR13" s="985"/>
      <c r="AS13" s="985"/>
      <c r="AT13" s="985"/>
      <c r="AU13" s="985"/>
      <c r="AV13" s="985"/>
      <c r="AW13" s="985"/>
      <c r="AX13" s="985"/>
      <c r="AY13" s="985"/>
      <c r="AZ13" s="985"/>
      <c r="BA13" s="985"/>
      <c r="BB13" s="985"/>
      <c r="BC13" s="2342" t="s">
        <v>124</v>
      </c>
      <c r="BD13" s="2343" t="s">
        <v>666</v>
      </c>
      <c r="BE13" s="2344" t="s">
        <v>126</v>
      </c>
      <c r="BF13" s="1220"/>
      <c r="BG13" s="72"/>
      <c r="BH13" s="2345" t="s">
        <v>124</v>
      </c>
      <c r="BI13" s="2346" t="s">
        <v>667</v>
      </c>
      <c r="BJ13" s="2346" t="s">
        <v>126</v>
      </c>
      <c r="BK13" s="1220"/>
      <c r="BL13" s="1220"/>
      <c r="BM13" s="1220"/>
      <c r="BN13" s="1270"/>
    </row>
    <row r="14" spans="1:66" s="78" customFormat="1" ht="15.75" customHeight="1">
      <c r="A14" s="4416" t="s">
        <v>668</v>
      </c>
      <c r="B14" s="4417"/>
      <c r="C14" s="1751" t="str">
        <f>L64&amp;","</f>
        <v>47.8 EBU,</v>
      </c>
      <c r="D14" s="3334" t="str">
        <f>"the actual BU ̸ GU ratio is "&amp;FIXED(AB67)&amp;" ("&amp;IF(AB67&gt;0.81,"Too Hoppy?",IF(AB67&gt;0.65,"Very Hoppy",IF(AB67&gt;0.55,"Slightly Hoppy",IF(AB67&gt;0.45,"Balanced",IF(AB67&gt;0.35,"Slightly Malty",IF(AB67&gt;0.25,"Very Malty",IF((AB67+0.001)&gt;0,"Too Malty?")))))))&amp;")"</f>
        <v>the actual BU ̸ GU ratio is 0.66 (Very Hoppy)</v>
      </c>
      <c r="E14" s="3334"/>
      <c r="F14" s="3334"/>
      <c r="G14" s="3334"/>
      <c r="H14" s="3335"/>
      <c r="I14" s="1177">
        <v>50</v>
      </c>
      <c r="J14" s="3336" t="s">
        <v>585</v>
      </c>
      <c r="K14" s="4411"/>
      <c r="L14" s="4418"/>
      <c r="M14" s="1175">
        <f>AC14*M12</f>
        <v>76.38022153309285</v>
      </c>
      <c r="N14" s="436"/>
      <c r="O14" s="1176">
        <f>568*AC14*O12</f>
        <v>131.46656312362649</v>
      </c>
      <c r="P14" s="438"/>
      <c r="Q14" s="1175">
        <f>29.57*AC14*Q12</f>
        <v>82.129569117583841</v>
      </c>
      <c r="R14" s="492"/>
      <c r="S14" s="365"/>
      <c r="T14" s="493"/>
      <c r="U14" s="3306"/>
      <c r="V14" s="1212"/>
      <c r="W14" s="1212"/>
      <c r="X14" s="1212"/>
      <c r="Y14" s="1220"/>
      <c r="Z14" s="1220"/>
      <c r="AA14" s="1220"/>
      <c r="AB14" s="1236">
        <f>AC12*AB12/1000</f>
        <v>5.5336939999999997</v>
      </c>
      <c r="AC14" s="1238">
        <f>0.00000001*H11*((1000*H10)/AB14+(819.2*H11)-1000400)</f>
        <v>0.23145521676694802</v>
      </c>
      <c r="AD14" s="1238" t="s">
        <v>587</v>
      </c>
      <c r="AE14" s="1235"/>
      <c r="AF14" s="1220"/>
      <c r="AG14" s="1235"/>
      <c r="AH14" s="1235"/>
      <c r="AI14" s="1235"/>
      <c r="AJ14" s="985"/>
      <c r="AK14" s="985"/>
      <c r="AL14" s="985"/>
      <c r="AM14" s="985"/>
      <c r="AN14" s="985"/>
      <c r="AO14" s="985"/>
      <c r="AP14" s="985"/>
      <c r="AQ14" s="985"/>
      <c r="AR14" s="985"/>
      <c r="AS14" s="985"/>
      <c r="AT14" s="985"/>
      <c r="AU14" s="985"/>
      <c r="AV14" s="985"/>
      <c r="AW14" s="985"/>
      <c r="AX14" s="985"/>
      <c r="AY14" s="985"/>
      <c r="AZ14" s="985"/>
      <c r="BA14" s="985"/>
      <c r="BB14" s="985"/>
      <c r="BC14" s="2347">
        <f>BD14*300*C7/(C114*100)</f>
        <v>2903.2258064516127</v>
      </c>
      <c r="BD14" s="2348">
        <v>4000</v>
      </c>
      <c r="BE14" s="2349">
        <f>BD14*300*C7/(C123*100)</f>
        <v>2465.7534246575342</v>
      </c>
      <c r="BF14" s="1220"/>
      <c r="BG14" s="72"/>
      <c r="BH14" s="2347">
        <f>BI14*$C$123/$C$114</f>
        <v>1177.4193548387098</v>
      </c>
      <c r="BI14" s="2350">
        <v>1000</v>
      </c>
      <c r="BJ14" s="2349">
        <f>BI14*$C$114/$C$123</f>
        <v>849.31506849315065</v>
      </c>
      <c r="BK14" s="1220"/>
      <c r="BL14" s="1220"/>
      <c r="BM14" s="1220"/>
      <c r="BN14" s="1269"/>
    </row>
    <row r="15" spans="1:66" s="78" customFormat="1" ht="15.75" customHeight="1">
      <c r="A15" s="4419" t="s">
        <v>669</v>
      </c>
      <c r="B15" s="4160"/>
      <c r="C15" s="1999" t="str">
        <f>R64&amp;","</f>
        <v>47.9 EBU,</v>
      </c>
      <c r="D15" s="3337" t="str">
        <f>"the actual BU ̸ GU ratio is "&amp;FIXED(AC67)&amp;" ("&amp;IF(AC67&gt;0.81,"Too Hoppy?",IF(AC67&gt;0.65,"Very Hoppy",IF(AC67&gt;0.55,"Slightly Hoppy",IF(AC67&gt;0.45,"Balanced",IF(AC67&gt;0.35,"Slightly Malty",IF(AC67&gt;0.25,"Very Malty",IF((AC67+0.001)&gt;0,"Too Malty?")))))))&amp;")"</f>
        <v>the actual BU ̸ GU ratio is 0.66 (Very Hoppy)</v>
      </c>
      <c r="E15" s="3337"/>
      <c r="F15" s="3337"/>
      <c r="G15" s="3337"/>
      <c r="H15" s="3338"/>
      <c r="I15" s="3304" t="str">
        <f>"("&amp;IF(I14/((I10-1000)+0.001)&gt;0.81,"Too Hoppy?",IF(I14/(I10-1000)&gt;0.65,"Very Hoppy",IF(I14/(I10-1000)&gt;0.55,"Slightly Hoppy",IF(I14/(I10-1000)&gt;0.45,"Balanced",IF(I14/(I10-1000)&gt;0.35,"Slightly Malty",IF(I14/(I10-1000)&gt;0.25,"Very Malty",IF((I14+0.001)/(I10-1000)&gt;0,"Too Malty?")))))))&amp;")"</f>
        <v>(Very Hoppy)</v>
      </c>
      <c r="J15" s="3339" t="s">
        <v>588</v>
      </c>
      <c r="K15" s="4417"/>
      <c r="L15" s="4420"/>
      <c r="M15" s="1178">
        <f>SUM(M13:M14)</f>
        <v>222.27977471253487</v>
      </c>
      <c r="N15" s="1179"/>
      <c r="O15" s="1180">
        <f>SUM(O13:O14)</f>
        <v>382.59064253551458</v>
      </c>
      <c r="P15" s="1181"/>
      <c r="Q15" s="1178">
        <f>SUM(Q13:Q14)</f>
        <v>239.01137957271482</v>
      </c>
      <c r="R15" s="1218"/>
      <c r="S15" s="365"/>
      <c r="T15" s="1176"/>
      <c r="U15" s="3306"/>
      <c r="V15" s="1219"/>
      <c r="W15" s="1219"/>
      <c r="X15" s="1220"/>
      <c r="Y15" s="1220"/>
      <c r="Z15" s="1220"/>
      <c r="AA15" s="1220"/>
      <c r="AB15" s="1220"/>
      <c r="AC15" s="1220"/>
      <c r="AD15" s="1220"/>
      <c r="AE15" s="1220"/>
      <c r="AF15" s="1220"/>
      <c r="AG15" s="1220"/>
      <c r="AH15" s="1220"/>
      <c r="AI15" s="1220"/>
      <c r="AJ15" s="1220"/>
      <c r="AK15" s="1220"/>
      <c r="AL15" s="1220"/>
      <c r="AM15" s="1220"/>
      <c r="AN15" s="1220"/>
      <c r="AO15" s="1220"/>
      <c r="AP15" s="1220"/>
      <c r="AQ15" s="1220"/>
      <c r="AR15" s="1220"/>
      <c r="AS15" s="1220"/>
      <c r="AT15" s="1220"/>
      <c r="AU15" s="1220"/>
      <c r="AV15" s="1220"/>
      <c r="AW15" s="1220"/>
      <c r="AX15" s="1220"/>
      <c r="AY15" s="1220"/>
      <c r="AZ15" s="1220"/>
      <c r="BA15" s="1220"/>
      <c r="BB15" s="1220"/>
      <c r="BC15" s="3325" t="s">
        <v>670</v>
      </c>
      <c r="BD15" s="3325"/>
      <c r="BE15" s="3325"/>
      <c r="BF15" s="1266"/>
      <c r="BG15" s="1265"/>
      <c r="BH15" s="3326" t="s">
        <v>671</v>
      </c>
      <c r="BI15" s="3326"/>
      <c r="BJ15" s="3326"/>
      <c r="BK15" s="1220"/>
      <c r="BL15" s="1220"/>
      <c r="BM15" s="1264"/>
      <c r="BN15" s="1269"/>
    </row>
    <row r="16" spans="1:66" s="78" customFormat="1" ht="15.75" customHeight="1">
      <c r="A16" s="4421" t="s">
        <v>672</v>
      </c>
      <c r="B16" s="4411"/>
      <c r="C16" s="1751" t="str">
        <f>X64&amp;","</f>
        <v>50.1 EBU,</v>
      </c>
      <c r="D16" s="3330" t="str">
        <f>"the actual BU ̸ GU ratio is "&amp;FIXED(AD67)&amp;" ("&amp;IF(AD67&gt;0.81,"Too Hoppy?",IF(AD67&gt;0.65,"Very Hoppy",IF(AD67&gt;0.55,"Slightly Hoppy",IF(AD67&gt;0.45,"Balanced",IF(AD67&gt;0.35,"Slightly Malty",IF(AD67&gt;0.25,"Very Malty",IF((AD67+0.001)&gt;0,"Too Malty?")))))))&amp;")"</f>
        <v>the actual BU ̸ GU ratio is 0.69 (Very Hoppy)</v>
      </c>
      <c r="E16" s="3330"/>
      <c r="F16" s="3330"/>
      <c r="G16" s="3330"/>
      <c r="H16" s="3331"/>
      <c r="I16" s="3305"/>
      <c r="J16" s="4422" t="s">
        <v>590</v>
      </c>
      <c r="K16" s="4160"/>
      <c r="L16" s="4423"/>
      <c r="M16" s="1182">
        <f>M14/AD12</f>
        <v>19.839018580024117</v>
      </c>
      <c r="N16" s="444" t="s">
        <v>82</v>
      </c>
      <c r="O16" s="1183">
        <f>O14/AD12</f>
        <v>34.147159252889999</v>
      </c>
      <c r="P16" s="446" t="s">
        <v>82</v>
      </c>
      <c r="Q16" s="1182">
        <f>Q14/AD12</f>
        <v>21.332355614956843</v>
      </c>
      <c r="R16" s="498" t="s">
        <v>82</v>
      </c>
      <c r="S16" s="365"/>
      <c r="T16" s="496"/>
      <c r="U16" s="1219"/>
      <c r="V16" s="1219"/>
      <c r="W16" s="1219"/>
      <c r="X16" s="1219"/>
      <c r="Y16" s="1219"/>
      <c r="Z16" s="1219"/>
      <c r="AA16" s="1220"/>
      <c r="AB16" s="1220"/>
      <c r="AC16" s="1220"/>
      <c r="AD16" s="1220"/>
      <c r="AE16" s="1220"/>
      <c r="AF16" s="1220"/>
      <c r="AG16" s="1220"/>
      <c r="AH16" s="1220"/>
      <c r="AI16" s="1220"/>
      <c r="AJ16" s="1220"/>
      <c r="AK16" s="1220"/>
      <c r="AL16" s="1220"/>
      <c r="AM16" s="1220"/>
      <c r="AN16" s="1220"/>
      <c r="AO16" s="1220"/>
      <c r="AP16" s="1220"/>
      <c r="AQ16" s="1220"/>
      <c r="AR16" s="1220"/>
      <c r="AS16" s="1220"/>
      <c r="AT16" s="1220"/>
      <c r="AU16" s="1220"/>
      <c r="AV16" s="1220"/>
      <c r="AW16" s="1220"/>
      <c r="AX16" s="1220"/>
      <c r="AY16" s="1220"/>
      <c r="AZ16" s="1220"/>
      <c r="BA16" s="1220"/>
      <c r="BB16" s="1220"/>
      <c r="BC16" s="1220"/>
      <c r="BD16" s="1220"/>
      <c r="BE16" s="1220"/>
      <c r="BF16" s="1220"/>
      <c r="BG16" s="1220"/>
      <c r="BH16" s="1220"/>
      <c r="BI16" s="1220"/>
      <c r="BJ16" s="1220"/>
      <c r="BK16" s="1220"/>
      <c r="BL16" s="1220"/>
      <c r="BM16" s="1239"/>
      <c r="BN16" s="482"/>
    </row>
    <row r="17" spans="1:66" s="78" customFormat="1" ht="15.75" customHeight="1">
      <c r="A17" s="3297" t="s">
        <v>271</v>
      </c>
      <c r="B17" s="4424"/>
      <c r="C17" s="1752" t="str">
        <f>FIXED(AH68,1)&amp;" EBC"</f>
        <v>146.1 EBC</v>
      </c>
      <c r="D17" s="3298" t="str">
        <f>"≈  "&amp;FIXED(0.508*AH68,1)&amp;" SRM"</f>
        <v>≈  74.2 SRM</v>
      </c>
      <c r="E17" s="3298"/>
      <c r="F17" s="3298"/>
      <c r="G17" s="3299"/>
      <c r="H17" s="1126" t="s">
        <v>673</v>
      </c>
      <c r="I17" s="1184" t="s">
        <v>674</v>
      </c>
      <c r="J17" s="3300" t="s">
        <v>675</v>
      </c>
      <c r="K17" s="4172"/>
      <c r="L17" s="4408"/>
      <c r="M17" s="447">
        <f>H12*M12/1000</f>
        <v>2.63656705953459</v>
      </c>
      <c r="N17" s="448"/>
      <c r="O17" s="1185">
        <f>H12*O12*568.26/1000</f>
        <v>4.5401684765185637</v>
      </c>
      <c r="P17" s="449"/>
      <c r="Q17" s="447">
        <f>H12*Q12*29.574/1000</f>
        <v>2.835412153406399</v>
      </c>
      <c r="R17" s="1221"/>
      <c r="S17" s="365"/>
      <c r="T17" s="1118"/>
      <c r="U17" s="1219"/>
      <c r="V17" s="1219"/>
      <c r="W17" s="1219"/>
      <c r="X17" s="1219"/>
      <c r="Y17" s="1219"/>
      <c r="Z17" s="1219"/>
      <c r="AA17" s="1220"/>
      <c r="AB17" s="1220"/>
      <c r="AC17" s="1220"/>
      <c r="AD17" s="1220"/>
      <c r="AE17" s="1220"/>
      <c r="AF17" s="1220"/>
      <c r="AG17" s="1220"/>
      <c r="AH17" s="1220"/>
      <c r="AI17" s="1220"/>
      <c r="AJ17" s="1220"/>
      <c r="AK17" s="1220"/>
      <c r="AL17" s="1220"/>
      <c r="AM17" s="1220"/>
      <c r="AN17" s="1220"/>
      <c r="AO17" s="1220"/>
      <c r="AP17" s="1220"/>
      <c r="AQ17" s="1220"/>
      <c r="AR17" s="1220"/>
      <c r="AS17" s="1220"/>
      <c r="AT17" s="1220"/>
      <c r="AU17" s="1220"/>
      <c r="AV17" s="1220"/>
      <c r="AW17" s="1220"/>
      <c r="AX17" s="1220"/>
      <c r="AY17" s="1220"/>
      <c r="AZ17" s="1220"/>
      <c r="BA17" s="1220"/>
      <c r="BB17" s="1220"/>
      <c r="BC17" s="1220"/>
      <c r="BD17" s="1220"/>
      <c r="BE17" s="1220"/>
      <c r="BF17" s="1220"/>
      <c r="BG17" s="1220"/>
      <c r="BH17" s="1220"/>
      <c r="BI17" s="1220"/>
      <c r="BJ17" s="1220"/>
      <c r="BK17" s="1239"/>
      <c r="BL17" s="1239"/>
      <c r="BM17" s="1239"/>
      <c r="BN17" s="482"/>
    </row>
    <row r="18" spans="1:66" s="78" customFormat="1" ht="7.5" customHeight="1">
      <c r="A18" s="1909"/>
      <c r="B18" s="1909"/>
      <c r="C18" s="1127"/>
      <c r="D18" s="1128"/>
      <c r="E18" s="1128"/>
      <c r="F18" s="1128"/>
      <c r="G18" s="1128"/>
      <c r="H18" s="1129"/>
      <c r="I18" s="1917"/>
      <c r="J18" s="1917"/>
      <c r="K18" s="1917"/>
      <c r="L18" s="1917"/>
      <c r="M18" s="1917"/>
      <c r="N18" s="1917"/>
      <c r="O18" s="1917"/>
      <c r="P18" s="450"/>
      <c r="Q18" s="451"/>
      <c r="R18" s="451"/>
      <c r="S18" s="451"/>
      <c r="T18" s="451"/>
      <c r="U18" s="450"/>
      <c r="V18" s="451"/>
      <c r="W18" s="450"/>
      <c r="X18" s="450"/>
      <c r="Y18" s="450"/>
      <c r="Z18" s="450"/>
      <c r="AA18" s="1118"/>
      <c r="AB18" s="505"/>
      <c r="AC18" s="505"/>
      <c r="AD18" s="505"/>
      <c r="AE18" s="506"/>
      <c r="AF18" s="503"/>
      <c r="AG18" s="502"/>
      <c r="AH18" s="485"/>
      <c r="AI18" s="489"/>
      <c r="AJ18" s="534"/>
      <c r="AK18" s="534"/>
      <c r="AL18" s="534"/>
      <c r="AM18" s="534"/>
      <c r="AN18" s="534"/>
      <c r="AO18" s="534"/>
      <c r="AP18" s="534"/>
      <c r="AQ18" s="534"/>
      <c r="AR18" s="534"/>
      <c r="AS18" s="534"/>
      <c r="AT18" s="534"/>
      <c r="AU18" s="534"/>
      <c r="AV18" s="534"/>
      <c r="AW18" s="534"/>
      <c r="AX18" s="534"/>
      <c r="AY18" s="534"/>
      <c r="AZ18" s="534"/>
      <c r="BA18" s="534"/>
      <c r="BB18" s="534"/>
      <c r="BC18" s="1256"/>
      <c r="BD18" s="1256"/>
      <c r="BE18" s="1256"/>
      <c r="BF18" s="1256"/>
      <c r="BG18" s="1256"/>
      <c r="BH18" s="1256"/>
      <c r="BI18" s="1256"/>
      <c r="BJ18" s="1256"/>
      <c r="BK18" s="1256"/>
      <c r="BL18" s="1256"/>
      <c r="BM18" s="1256"/>
      <c r="BN18" s="482"/>
    </row>
    <row r="19" spans="1:66" s="83" customFormat="1" ht="14.25" customHeight="1">
      <c r="A19" s="3301" t="s">
        <v>676</v>
      </c>
      <c r="B19" s="4425"/>
      <c r="C19" s="4425"/>
      <c r="D19" s="4425"/>
      <c r="E19" s="4425"/>
      <c r="F19" s="4425"/>
      <c r="G19" s="4425"/>
      <c r="H19" s="1130"/>
      <c r="I19" s="1186"/>
      <c r="J19" s="3302" t="s">
        <v>677</v>
      </c>
      <c r="K19" s="4176"/>
      <c r="L19" s="4176"/>
      <c r="M19" s="4176"/>
      <c r="N19" s="4176"/>
      <c r="O19" s="4176"/>
      <c r="P19" s="4176"/>
      <c r="Q19" s="4176"/>
      <c r="R19" s="4176"/>
      <c r="S19" s="4176"/>
      <c r="T19" s="4176"/>
      <c r="U19" s="4150"/>
      <c r="V19" s="3303" t="s">
        <v>678</v>
      </c>
      <c r="W19" s="4176"/>
      <c r="X19" s="4176"/>
      <c r="Y19" s="4176"/>
      <c r="Z19" s="4176"/>
      <c r="AA19" s="4150"/>
      <c r="AB19" s="506"/>
      <c r="AC19" s="506"/>
      <c r="AD19" s="506"/>
      <c r="AE19" s="506"/>
      <c r="AF19" s="506"/>
      <c r="AG19" s="506"/>
      <c r="AH19" s="506"/>
      <c r="AI19" s="506"/>
      <c r="AJ19" s="485"/>
      <c r="AK19" s="502"/>
      <c r="AL19" s="502"/>
      <c r="AM19" s="502"/>
      <c r="AN19" s="502"/>
      <c r="AO19" s="502"/>
      <c r="AP19" s="502"/>
      <c r="AQ19" s="502"/>
      <c r="AR19" s="502"/>
      <c r="AS19" s="502"/>
      <c r="AT19" s="502"/>
      <c r="AU19" s="502"/>
      <c r="AV19" s="502"/>
      <c r="AW19" s="502"/>
      <c r="AX19" s="511"/>
      <c r="AY19" s="511"/>
      <c r="AZ19" s="511"/>
      <c r="BA19" s="511"/>
      <c r="BB19" s="511"/>
      <c r="BC19" s="3291" t="s">
        <v>679</v>
      </c>
      <c r="BD19" s="3291"/>
      <c r="BE19" s="3291"/>
      <c r="BF19" s="3292"/>
      <c r="BG19" s="1256"/>
      <c r="BH19" s="3285" t="s">
        <v>680</v>
      </c>
      <c r="BI19" s="3285"/>
      <c r="BJ19" s="3285"/>
      <c r="BK19" s="3285"/>
      <c r="BL19" s="1267"/>
      <c r="BM19" s="1256"/>
      <c r="BN19" s="482"/>
    </row>
    <row r="20" spans="1:66" s="83" customFormat="1" ht="14.25" customHeight="1">
      <c r="A20" s="3190" t="s">
        <v>681</v>
      </c>
      <c r="B20" s="2351" t="s">
        <v>682</v>
      </c>
      <c r="C20" s="3193" t="s">
        <v>683</v>
      </c>
      <c r="D20" s="3195" t="s">
        <v>352</v>
      </c>
      <c r="E20" s="2352"/>
      <c r="F20" s="3200" t="s">
        <v>684</v>
      </c>
      <c r="G20" s="3202" t="s">
        <v>685</v>
      </c>
      <c r="H20" s="4426"/>
      <c r="I20" s="1187"/>
      <c r="J20" s="4427" t="s">
        <v>686</v>
      </c>
      <c r="K20" s="4160"/>
      <c r="L20" s="4160"/>
      <c r="M20" s="4160"/>
      <c r="N20" s="4160"/>
      <c r="O20" s="4160"/>
      <c r="P20" s="4160"/>
      <c r="Q20" s="4160"/>
      <c r="R20" s="4160"/>
      <c r="S20" s="4160"/>
      <c r="T20" s="4160"/>
      <c r="U20" s="4153"/>
      <c r="V20" s="4428" t="s">
        <v>687</v>
      </c>
      <c r="W20" s="4160"/>
      <c r="X20" s="4160"/>
      <c r="Y20" s="4160"/>
      <c r="Z20" s="4160"/>
      <c r="AA20" s="4153"/>
      <c r="AB20" s="505" t="s">
        <v>123</v>
      </c>
      <c r="AC20" s="505" t="s">
        <v>688</v>
      </c>
      <c r="AD20" s="505" t="s">
        <v>271</v>
      </c>
      <c r="AE20" s="506"/>
      <c r="AF20" s="477" t="s">
        <v>689</v>
      </c>
      <c r="AG20" s="502" t="s">
        <v>690</v>
      </c>
      <c r="AH20" s="505" t="s">
        <v>271</v>
      </c>
      <c r="AJ20" s="485"/>
      <c r="AK20" s="511"/>
      <c r="AL20" s="511"/>
      <c r="AM20" s="511"/>
      <c r="AN20" s="511"/>
      <c r="AO20" s="511"/>
      <c r="AP20" s="511"/>
      <c r="AQ20" s="511"/>
      <c r="AR20" s="511"/>
      <c r="AS20" s="511"/>
      <c r="AT20" s="511"/>
      <c r="AU20" s="511"/>
      <c r="AV20" s="511"/>
      <c r="AW20" s="511"/>
      <c r="BC20" s="3293"/>
      <c r="BD20" s="3293"/>
      <c r="BE20" s="3293"/>
      <c r="BF20" s="3294"/>
      <c r="BG20" s="1256"/>
      <c r="BH20" s="2353" t="s">
        <v>691</v>
      </c>
      <c r="BI20" s="2354" t="s">
        <v>692</v>
      </c>
      <c r="BJ20" s="2355" t="s">
        <v>693</v>
      </c>
      <c r="BK20" s="1256"/>
      <c r="BL20" s="1267"/>
      <c r="BM20" s="1256"/>
      <c r="BN20" s="482"/>
    </row>
    <row r="21" spans="1:66" s="83" customFormat="1" ht="14.25" customHeight="1">
      <c r="A21" s="4429"/>
      <c r="B21" s="1131" t="s">
        <v>694</v>
      </c>
      <c r="C21" s="3194"/>
      <c r="D21" s="4430"/>
      <c r="E21" s="1132"/>
      <c r="F21" s="3201"/>
      <c r="G21" s="3203"/>
      <c r="H21" s="4426"/>
      <c r="I21" s="1187"/>
      <c r="J21" s="3286" t="s">
        <v>695</v>
      </c>
      <c r="K21" s="4172"/>
      <c r="L21" s="4172"/>
      <c r="M21" s="4172"/>
      <c r="N21" s="4172"/>
      <c r="O21" s="4312"/>
      <c r="P21" s="3287" t="s">
        <v>696</v>
      </c>
      <c r="Q21" s="4172"/>
      <c r="R21" s="4172"/>
      <c r="S21" s="4172"/>
      <c r="T21" s="4172"/>
      <c r="U21" s="4312"/>
      <c r="V21" s="4220"/>
      <c r="W21" s="4172"/>
      <c r="X21" s="4172"/>
      <c r="Y21" s="4172"/>
      <c r="Z21" s="4172"/>
      <c r="AA21" s="4312"/>
      <c r="AB21" s="505" t="s">
        <v>697</v>
      </c>
      <c r="AC21" s="505" t="s">
        <v>698</v>
      </c>
      <c r="AD21" s="505" t="s">
        <v>270</v>
      </c>
      <c r="AE21" s="506"/>
      <c r="AF21" s="503"/>
      <c r="AG21" s="502" t="s">
        <v>699</v>
      </c>
      <c r="AH21" s="485"/>
      <c r="AJ21" s="485"/>
      <c r="AK21" s="502"/>
      <c r="AL21" s="505"/>
      <c r="AM21" s="505"/>
      <c r="AN21" s="505"/>
      <c r="AO21" s="505"/>
      <c r="AP21" s="505"/>
      <c r="AQ21" s="4431"/>
      <c r="AR21" s="505"/>
      <c r="AS21" s="505"/>
      <c r="AT21" s="505"/>
      <c r="AU21" s="505"/>
      <c r="AV21" s="1247"/>
      <c r="AW21" s="4432" t="s">
        <v>700</v>
      </c>
      <c r="AX21" s="4160"/>
      <c r="AY21" s="4160"/>
      <c r="AZ21" s="4160"/>
      <c r="BA21" s="4160"/>
      <c r="BB21" s="4160"/>
      <c r="BC21" s="3293"/>
      <c r="BD21" s="3293"/>
      <c r="BE21" s="3293"/>
      <c r="BF21" s="3294"/>
      <c r="BG21" s="1256"/>
      <c r="BH21" s="2356">
        <v>1</v>
      </c>
      <c r="BI21" s="2357">
        <f t="shared" ref="BI21:BI27" si="0">BH21*6/5</f>
        <v>1.2</v>
      </c>
      <c r="BJ21" s="2358">
        <f t="shared" ref="BJ21:BJ27" si="1">3.7854*BI21/8</f>
        <v>0.56781000000000004</v>
      </c>
      <c r="BK21" s="1256"/>
      <c r="BL21" s="1267"/>
      <c r="BM21" s="1256"/>
      <c r="BN21" s="482"/>
    </row>
    <row r="22" spans="1:66" s="83" customFormat="1" ht="14.25" customHeight="1">
      <c r="A22" s="4429"/>
      <c r="B22" s="1133" t="str">
        <f>B114</f>
        <v>Extra Light</v>
      </c>
      <c r="C22" s="1768"/>
      <c r="D22" s="1133" t="s">
        <v>82</v>
      </c>
      <c r="E22" s="1134"/>
      <c r="F22" s="1135">
        <f t="shared" ref="F22:F28" si="2">100*IF(C22=0,0,C22/$F$70)</f>
        <v>0</v>
      </c>
      <c r="G22" s="1136">
        <f t="shared" ref="G22:G28" si="3">IF(AF22=0,0,AF22*100/$AF$69)</f>
        <v>0</v>
      </c>
      <c r="H22" s="2359" t="s">
        <v>701</v>
      </c>
      <c r="I22" s="2360" t="s">
        <v>702</v>
      </c>
      <c r="J22" s="2361" t="s">
        <v>703</v>
      </c>
      <c r="K22" s="2362" t="s">
        <v>704</v>
      </c>
      <c r="L22" s="2362" t="s">
        <v>705</v>
      </c>
      <c r="M22" s="2362" t="s">
        <v>706</v>
      </c>
      <c r="N22" s="2362" t="s">
        <v>707</v>
      </c>
      <c r="O22" s="2363" t="s">
        <v>708</v>
      </c>
      <c r="P22" s="2364" t="s">
        <v>703</v>
      </c>
      <c r="Q22" s="2362" t="s">
        <v>704</v>
      </c>
      <c r="R22" s="2362" t="s">
        <v>705</v>
      </c>
      <c r="S22" s="2362" t="s">
        <v>706</v>
      </c>
      <c r="T22" s="2362" t="s">
        <v>707</v>
      </c>
      <c r="U22" s="2363" t="s">
        <v>708</v>
      </c>
      <c r="V22" s="2365" t="s">
        <v>703</v>
      </c>
      <c r="W22" s="2362" t="s">
        <v>704</v>
      </c>
      <c r="X22" s="2362" t="s">
        <v>705</v>
      </c>
      <c r="Y22" s="2362" t="s">
        <v>706</v>
      </c>
      <c r="Z22" s="2362" t="s">
        <v>707</v>
      </c>
      <c r="AA22" s="2360" t="s">
        <v>708</v>
      </c>
      <c r="AB22" s="507">
        <f>C114</f>
        <v>310</v>
      </c>
      <c r="AC22" s="4322">
        <f t="shared" ref="AC22:AC28" si="4">C$74/100</f>
        <v>0.76</v>
      </c>
      <c r="AD22" s="502">
        <f t="shared" ref="AD22:AD28" si="5">D114</f>
        <v>5.5</v>
      </c>
      <c r="AE22" s="506"/>
      <c r="AF22" s="503">
        <f t="shared" ref="AF22:AF28" si="6">0.001*C22*AB22</f>
        <v>0</v>
      </c>
      <c r="AG22" s="502">
        <f t="shared" ref="AG22:AG28" si="7">AF22*AC22</f>
        <v>0</v>
      </c>
      <c r="AH22" s="502">
        <f t="shared" ref="AH22:AH28" si="8">0.01*C22*AD22</f>
        <v>0</v>
      </c>
      <c r="AJ22" s="485"/>
      <c r="AK22" s="3288" t="s">
        <v>709</v>
      </c>
      <c r="AL22" s="4160"/>
      <c r="AM22" s="4160"/>
      <c r="AN22" s="4160"/>
      <c r="AO22" s="4160"/>
      <c r="AP22" s="4153"/>
      <c r="AQ22" s="4433" t="s">
        <v>710</v>
      </c>
      <c r="AR22" s="4160"/>
      <c r="AS22" s="4160"/>
      <c r="AT22" s="4160"/>
      <c r="AU22" s="4160"/>
      <c r="AV22" s="4153"/>
      <c r="AW22" s="4432" t="s">
        <v>711</v>
      </c>
      <c r="AX22" s="4160"/>
      <c r="AY22" s="4160"/>
      <c r="AZ22" s="4160"/>
      <c r="BA22" s="4160"/>
      <c r="BB22" s="4160"/>
      <c r="BC22" s="3293"/>
      <c r="BD22" s="3293"/>
      <c r="BE22" s="3293"/>
      <c r="BF22" s="3294"/>
      <c r="BG22" s="1256"/>
      <c r="BH22" s="2356">
        <v>2</v>
      </c>
      <c r="BI22" s="2357">
        <f t="shared" si="0"/>
        <v>2.4</v>
      </c>
      <c r="BJ22" s="2358">
        <f t="shared" si="1"/>
        <v>1.1356200000000001</v>
      </c>
      <c r="BK22" s="1256"/>
      <c r="BL22" s="1267"/>
      <c r="BM22" s="1256"/>
      <c r="BN22" s="482"/>
    </row>
    <row r="23" spans="1:66" s="83" customFormat="1" ht="14.25" customHeight="1">
      <c r="A23" s="4429"/>
      <c r="B23" s="1133" t="str">
        <f>B115</f>
        <v>Light</v>
      </c>
      <c r="C23" s="1768"/>
      <c r="D23" s="1133" t="s">
        <v>82</v>
      </c>
      <c r="E23" s="1137"/>
      <c r="F23" s="896">
        <f t="shared" si="2"/>
        <v>0</v>
      </c>
      <c r="G23" s="896">
        <f t="shared" si="3"/>
        <v>0</v>
      </c>
      <c r="H23" s="4434"/>
      <c r="I23" s="1188" t="s">
        <v>712</v>
      </c>
      <c r="J23" s="4435" t="s">
        <v>713</v>
      </c>
      <c r="K23" s="1189" t="s">
        <v>713</v>
      </c>
      <c r="L23" s="1189" t="s">
        <v>713</v>
      </c>
      <c r="M23" s="1189" t="s">
        <v>713</v>
      </c>
      <c r="N23" s="1189" t="s">
        <v>713</v>
      </c>
      <c r="O23" s="1190" t="s">
        <v>713</v>
      </c>
      <c r="P23" s="4436" t="s">
        <v>713</v>
      </c>
      <c r="Q23" s="1189" t="s">
        <v>713</v>
      </c>
      <c r="R23" s="1189" t="s">
        <v>713</v>
      </c>
      <c r="S23" s="1189" t="s">
        <v>713</v>
      </c>
      <c r="T23" s="1189" t="s">
        <v>713</v>
      </c>
      <c r="U23" s="1190" t="s">
        <v>713</v>
      </c>
      <c r="V23" s="4437" t="s">
        <v>713</v>
      </c>
      <c r="W23" s="1189" t="s">
        <v>713</v>
      </c>
      <c r="X23" s="1189" t="s">
        <v>713</v>
      </c>
      <c r="Y23" s="1189" t="s">
        <v>713</v>
      </c>
      <c r="Z23" s="1189" t="s">
        <v>713</v>
      </c>
      <c r="AA23" s="1240" t="s">
        <v>713</v>
      </c>
      <c r="AB23" s="507">
        <f>C115</f>
        <v>310</v>
      </c>
      <c r="AC23" s="4322">
        <f t="shared" si="4"/>
        <v>0.76</v>
      </c>
      <c r="AD23" s="502">
        <f t="shared" si="5"/>
        <v>10</v>
      </c>
      <c r="AE23" s="506"/>
      <c r="AF23" s="503">
        <f t="shared" si="6"/>
        <v>0</v>
      </c>
      <c r="AG23" s="502">
        <f t="shared" si="7"/>
        <v>0</v>
      </c>
      <c r="AH23" s="502">
        <f t="shared" si="8"/>
        <v>0</v>
      </c>
      <c r="AJ23" s="485"/>
      <c r="AK23" s="537" t="s">
        <v>703</v>
      </c>
      <c r="AL23" s="537" t="s">
        <v>704</v>
      </c>
      <c r="AM23" s="537" t="s">
        <v>705</v>
      </c>
      <c r="AN23" s="537" t="s">
        <v>706</v>
      </c>
      <c r="AO23" s="537" t="s">
        <v>707</v>
      </c>
      <c r="AP23" s="537" t="s">
        <v>714</v>
      </c>
      <c r="AQ23" s="4438" t="s">
        <v>703</v>
      </c>
      <c r="AR23" s="1248" t="s">
        <v>704</v>
      </c>
      <c r="AS23" s="1249" t="s">
        <v>705</v>
      </c>
      <c r="AT23" s="1250" t="s">
        <v>706</v>
      </c>
      <c r="AU23" s="1248" t="s">
        <v>707</v>
      </c>
      <c r="AV23" s="537" t="s">
        <v>714</v>
      </c>
      <c r="AW23" s="4438" t="s">
        <v>703</v>
      </c>
      <c r="AX23" s="4438" t="s">
        <v>704</v>
      </c>
      <c r="AY23" s="4438" t="s">
        <v>705</v>
      </c>
      <c r="AZ23" s="4438" t="s">
        <v>706</v>
      </c>
      <c r="BA23" s="4438" t="s">
        <v>707</v>
      </c>
      <c r="BB23" s="537" t="s">
        <v>714</v>
      </c>
      <c r="BC23" s="3295"/>
      <c r="BD23" s="3295"/>
      <c r="BE23" s="3295"/>
      <c r="BF23" s="3296"/>
      <c r="BG23" s="1256"/>
      <c r="BH23" s="2356">
        <v>3</v>
      </c>
      <c r="BI23" s="2357">
        <f t="shared" si="0"/>
        <v>3.6</v>
      </c>
      <c r="BJ23" s="2358">
        <f t="shared" si="1"/>
        <v>1.70343</v>
      </c>
      <c r="BK23" s="1256"/>
      <c r="BL23" s="1267"/>
      <c r="BM23" s="1256"/>
      <c r="BN23" s="482"/>
    </row>
    <row r="24" spans="1:66" s="83" customFormat="1" ht="14.25" customHeight="1">
      <c r="A24" s="4429"/>
      <c r="B24" s="1133" t="str">
        <f>B116</f>
        <v>Amber</v>
      </c>
      <c r="C24" s="1769"/>
      <c r="D24" s="1133" t="s">
        <v>82</v>
      </c>
      <c r="E24" s="1137"/>
      <c r="F24" s="896">
        <f t="shared" si="2"/>
        <v>0</v>
      </c>
      <c r="G24" s="896">
        <f t="shared" si="3"/>
        <v>0</v>
      </c>
      <c r="H24" s="2366" t="s">
        <v>715</v>
      </c>
      <c r="I24" s="2367">
        <v>11</v>
      </c>
      <c r="J24" s="2368"/>
      <c r="K24" s="2369"/>
      <c r="L24" s="1191"/>
      <c r="M24" s="1191"/>
      <c r="N24" s="2369"/>
      <c r="O24" s="1192"/>
      <c r="P24" s="1193">
        <f t="shared" ref="P24:P39" si="9">J24</f>
        <v>0</v>
      </c>
      <c r="Q24" s="2370">
        <f t="shared" ref="Q24:Q39" si="10">K24</f>
        <v>0</v>
      </c>
      <c r="R24" s="2370">
        <f t="shared" ref="R24:R39" si="11">L24</f>
        <v>0</v>
      </c>
      <c r="S24" s="2370">
        <f t="shared" ref="S24:S39" si="12">M24</f>
        <v>0</v>
      </c>
      <c r="T24" s="2370">
        <f t="shared" ref="T24:T39" si="13">N24</f>
        <v>0</v>
      </c>
      <c r="U24" s="2371">
        <f t="shared" ref="U24:U39" si="14">O24</f>
        <v>0</v>
      </c>
      <c r="V24" s="2372"/>
      <c r="W24" s="2373"/>
      <c r="X24" s="1191"/>
      <c r="Y24" s="1191"/>
      <c r="Z24" s="1241"/>
      <c r="AA24" s="2374"/>
      <c r="AB24" s="507">
        <f>C116</f>
        <v>310</v>
      </c>
      <c r="AC24" s="4322">
        <f t="shared" si="4"/>
        <v>0.76</v>
      </c>
      <c r="AD24" s="502">
        <f t="shared" si="5"/>
        <v>18</v>
      </c>
      <c r="AE24" s="506"/>
      <c r="AF24" s="503">
        <f t="shared" si="6"/>
        <v>0</v>
      </c>
      <c r="AG24" s="502">
        <f t="shared" si="7"/>
        <v>0</v>
      </c>
      <c r="AH24" s="502">
        <f t="shared" si="8"/>
        <v>0</v>
      </c>
      <c r="AJ24" s="485"/>
      <c r="AK24" s="502">
        <f t="shared" ref="AK24:AK39" si="15">$I24*J24</f>
        <v>0</v>
      </c>
      <c r="AL24" s="502">
        <f t="shared" ref="AL24:AL39" si="16">$I24*K24</f>
        <v>0</v>
      </c>
      <c r="AM24" s="502">
        <f t="shared" ref="AM24:AM39" si="17">$I24*L24</f>
        <v>0</v>
      </c>
      <c r="AN24" s="502">
        <f t="shared" ref="AN24:AN39" si="18">$I24*M24</f>
        <v>0</v>
      </c>
      <c r="AO24" s="502">
        <f t="shared" ref="AO24:AO39" si="19">$I24*N24</f>
        <v>0</v>
      </c>
      <c r="AP24" s="502">
        <f t="shared" ref="AP24:AP39" si="20">$I24*O24</f>
        <v>0</v>
      </c>
      <c r="AQ24" s="4439">
        <f t="shared" ref="AQ24:AQ39" si="21">$I24*P24</f>
        <v>0</v>
      </c>
      <c r="AR24" s="1251">
        <f t="shared" ref="AR24:AR39" si="22">$I24*Q24</f>
        <v>0</v>
      </c>
      <c r="AS24" s="1252">
        <f t="shared" ref="AS24:AS39" si="23">$I24*R24</f>
        <v>0</v>
      </c>
      <c r="AT24" s="1253">
        <f t="shared" ref="AT24:AT39" si="24">$I24*S24</f>
        <v>0</v>
      </c>
      <c r="AU24" s="1251">
        <f t="shared" ref="AU24:AU39" si="25">$I24*T24</f>
        <v>0</v>
      </c>
      <c r="AV24" s="502">
        <f t="shared" ref="AV24:AW39" si="26">$I24*U24</f>
        <v>0</v>
      </c>
      <c r="AW24" s="4439">
        <f t="shared" si="26"/>
        <v>0</v>
      </c>
      <c r="AX24" s="502">
        <f t="shared" ref="AX24:AX39" si="27">$I24*W24</f>
        <v>0</v>
      </c>
      <c r="AY24" s="502">
        <f t="shared" ref="AY24:AY39" si="28">$I24*X24</f>
        <v>0</v>
      </c>
      <c r="AZ24" s="502">
        <f t="shared" ref="AZ24:AZ39" si="29">$I24*Y24</f>
        <v>0</v>
      </c>
      <c r="BA24" s="502">
        <f t="shared" ref="BA24:BA39" si="30">$I24*Z24</f>
        <v>0</v>
      </c>
      <c r="BB24" s="502">
        <f t="shared" ref="BB24:BB39" si="31">$I24*AA24</f>
        <v>0</v>
      </c>
      <c r="BC24" s="3289" t="str">
        <f t="shared" ref="BC24:BC48" si="32">H24</f>
        <v>Admiral</v>
      </c>
      <c r="BD24" s="3289"/>
      <c r="BE24" s="3289"/>
      <c r="BF24" s="3290"/>
      <c r="BG24" s="1256"/>
      <c r="BH24" s="2356">
        <v>4</v>
      </c>
      <c r="BI24" s="2357">
        <f t="shared" si="0"/>
        <v>4.8</v>
      </c>
      <c r="BJ24" s="2358">
        <f t="shared" si="1"/>
        <v>2.2712400000000001</v>
      </c>
      <c r="BK24" s="1256"/>
      <c r="BL24" s="1256"/>
      <c r="BM24" s="1256"/>
      <c r="BN24" s="482"/>
    </row>
    <row r="25" spans="1:66" s="83" customFormat="1" ht="14.25" customHeight="1">
      <c r="A25" s="4429"/>
      <c r="B25" s="1133" t="str">
        <f>B117</f>
        <v>Dark</v>
      </c>
      <c r="C25" s="1769"/>
      <c r="D25" s="1133" t="s">
        <v>82</v>
      </c>
      <c r="E25" s="1137"/>
      <c r="F25" s="896">
        <f t="shared" si="2"/>
        <v>0</v>
      </c>
      <c r="G25" s="896">
        <f t="shared" si="3"/>
        <v>0</v>
      </c>
      <c r="H25" s="1138" t="s">
        <v>716</v>
      </c>
      <c r="I25" s="1194">
        <v>4.0999999999999996</v>
      </c>
      <c r="J25" s="1195"/>
      <c r="K25" s="1191"/>
      <c r="L25" s="1191"/>
      <c r="M25" s="1191"/>
      <c r="N25" s="1191"/>
      <c r="O25" s="1192"/>
      <c r="P25" s="1193">
        <f t="shared" si="9"/>
        <v>0</v>
      </c>
      <c r="Q25" s="1222">
        <f t="shared" si="10"/>
        <v>0</v>
      </c>
      <c r="R25" s="1222">
        <f t="shared" si="11"/>
        <v>0</v>
      </c>
      <c r="S25" s="1222">
        <f t="shared" si="12"/>
        <v>0</v>
      </c>
      <c r="T25" s="1222">
        <f t="shared" si="13"/>
        <v>0</v>
      </c>
      <c r="U25" s="1223">
        <f t="shared" si="14"/>
        <v>0</v>
      </c>
      <c r="V25" s="1224"/>
      <c r="W25" s="1225"/>
      <c r="X25" s="1191"/>
      <c r="Y25" s="1191"/>
      <c r="Z25" s="1191"/>
      <c r="AA25" s="1192"/>
      <c r="AB25" s="507">
        <f>C117</f>
        <v>310</v>
      </c>
      <c r="AC25" s="4322">
        <f t="shared" si="4"/>
        <v>0.76</v>
      </c>
      <c r="AD25" s="502">
        <f t="shared" si="5"/>
        <v>55</v>
      </c>
      <c r="AE25" s="506"/>
      <c r="AF25" s="503">
        <f t="shared" si="6"/>
        <v>0</v>
      </c>
      <c r="AG25" s="502">
        <f t="shared" si="7"/>
        <v>0</v>
      </c>
      <c r="AH25" s="502">
        <f t="shared" si="8"/>
        <v>0</v>
      </c>
      <c r="AJ25" s="485"/>
      <c r="AK25" s="502">
        <f t="shared" si="15"/>
        <v>0</v>
      </c>
      <c r="AL25" s="502">
        <f t="shared" si="16"/>
        <v>0</v>
      </c>
      <c r="AM25" s="502">
        <f t="shared" si="17"/>
        <v>0</v>
      </c>
      <c r="AN25" s="502">
        <f t="shared" si="18"/>
        <v>0</v>
      </c>
      <c r="AO25" s="502">
        <f t="shared" si="19"/>
        <v>0</v>
      </c>
      <c r="AP25" s="502">
        <f t="shared" si="20"/>
        <v>0</v>
      </c>
      <c r="AQ25" s="4439">
        <f t="shared" si="21"/>
        <v>0</v>
      </c>
      <c r="AR25" s="1251">
        <f t="shared" si="22"/>
        <v>0</v>
      </c>
      <c r="AS25" s="1252">
        <f t="shared" si="23"/>
        <v>0</v>
      </c>
      <c r="AT25" s="1253">
        <f t="shared" si="24"/>
        <v>0</v>
      </c>
      <c r="AU25" s="1251">
        <f t="shared" si="25"/>
        <v>0</v>
      </c>
      <c r="AV25" s="502">
        <f t="shared" si="26"/>
        <v>0</v>
      </c>
      <c r="AW25" s="4439">
        <f t="shared" si="26"/>
        <v>0</v>
      </c>
      <c r="AX25" s="502">
        <f t="shared" si="27"/>
        <v>0</v>
      </c>
      <c r="AY25" s="502">
        <f t="shared" si="28"/>
        <v>0</v>
      </c>
      <c r="AZ25" s="502">
        <f t="shared" si="29"/>
        <v>0</v>
      </c>
      <c r="BA25" s="502">
        <f t="shared" si="30"/>
        <v>0</v>
      </c>
      <c r="BB25" s="502">
        <f t="shared" si="31"/>
        <v>0</v>
      </c>
      <c r="BC25" s="3276" t="str">
        <f t="shared" si="32"/>
        <v xml:space="preserve">Ahtanum </v>
      </c>
      <c r="BD25" s="3276"/>
      <c r="BE25" s="3276"/>
      <c r="BF25" s="3277"/>
      <c r="BG25" s="1256"/>
      <c r="BH25" s="2356">
        <v>5</v>
      </c>
      <c r="BI25" s="2357">
        <f t="shared" si="0"/>
        <v>6</v>
      </c>
      <c r="BJ25" s="2358">
        <f t="shared" si="1"/>
        <v>2.8390500000000003</v>
      </c>
      <c r="BK25" s="1256"/>
      <c r="BL25" s="1256"/>
      <c r="BM25" s="1256"/>
      <c r="BN25" s="482"/>
    </row>
    <row r="26" spans="1:66" s="83" customFormat="1" ht="14.25" customHeight="1">
      <c r="A26" s="4429"/>
      <c r="B26" s="1133" t="str">
        <f t="shared" ref="B26:B28" si="33">B118</f>
        <v>Extra dark</v>
      </c>
      <c r="C26" s="1769"/>
      <c r="D26" s="1133" t="s">
        <v>82</v>
      </c>
      <c r="E26" s="1137"/>
      <c r="F26" s="896">
        <f t="shared" si="2"/>
        <v>0</v>
      </c>
      <c r="G26" s="896">
        <f t="shared" si="3"/>
        <v>0</v>
      </c>
      <c r="H26" s="1139" t="s">
        <v>717</v>
      </c>
      <c r="I26" s="1194">
        <v>9.5</v>
      </c>
      <c r="J26" s="1195"/>
      <c r="K26" s="1191"/>
      <c r="L26" s="1191"/>
      <c r="M26" s="1191"/>
      <c r="N26" s="1191"/>
      <c r="O26" s="1192"/>
      <c r="P26" s="1193">
        <f t="shared" si="9"/>
        <v>0</v>
      </c>
      <c r="Q26" s="1222">
        <f t="shared" si="10"/>
        <v>0</v>
      </c>
      <c r="R26" s="1222">
        <f t="shared" si="11"/>
        <v>0</v>
      </c>
      <c r="S26" s="1222">
        <f t="shared" si="12"/>
        <v>0</v>
      </c>
      <c r="T26" s="1222">
        <f t="shared" si="13"/>
        <v>0</v>
      </c>
      <c r="U26" s="1223">
        <f t="shared" si="14"/>
        <v>0</v>
      </c>
      <c r="V26" s="1224"/>
      <c r="W26" s="1225"/>
      <c r="X26" s="1191"/>
      <c r="Y26" s="1191"/>
      <c r="Z26" s="1191"/>
      <c r="AA26" s="1192"/>
      <c r="AB26" s="507">
        <f t="shared" ref="AB26:AB28" si="34">C118</f>
        <v>310</v>
      </c>
      <c r="AC26" s="4322">
        <f t="shared" si="4"/>
        <v>0.76</v>
      </c>
      <c r="AD26" s="502">
        <f t="shared" si="5"/>
        <v>95</v>
      </c>
      <c r="AE26" s="506"/>
      <c r="AF26" s="503">
        <f t="shared" si="6"/>
        <v>0</v>
      </c>
      <c r="AG26" s="502">
        <f t="shared" si="7"/>
        <v>0</v>
      </c>
      <c r="AH26" s="502">
        <f t="shared" si="8"/>
        <v>0</v>
      </c>
      <c r="AJ26" s="485"/>
      <c r="AK26" s="502">
        <f t="shared" si="15"/>
        <v>0</v>
      </c>
      <c r="AL26" s="502">
        <f t="shared" si="16"/>
        <v>0</v>
      </c>
      <c r="AM26" s="502">
        <f t="shared" si="17"/>
        <v>0</v>
      </c>
      <c r="AN26" s="502">
        <f t="shared" si="18"/>
        <v>0</v>
      </c>
      <c r="AO26" s="502">
        <f t="shared" si="19"/>
        <v>0</v>
      </c>
      <c r="AP26" s="502">
        <f t="shared" si="20"/>
        <v>0</v>
      </c>
      <c r="AQ26" s="4439">
        <f t="shared" si="21"/>
        <v>0</v>
      </c>
      <c r="AR26" s="1251">
        <f t="shared" si="22"/>
        <v>0</v>
      </c>
      <c r="AS26" s="1252">
        <f t="shared" si="23"/>
        <v>0</v>
      </c>
      <c r="AT26" s="1253">
        <f t="shared" si="24"/>
        <v>0</v>
      </c>
      <c r="AU26" s="1251">
        <f t="shared" si="25"/>
        <v>0</v>
      </c>
      <c r="AV26" s="502">
        <f t="shared" si="26"/>
        <v>0</v>
      </c>
      <c r="AW26" s="4439">
        <f t="shared" si="26"/>
        <v>0</v>
      </c>
      <c r="AX26" s="502">
        <f t="shared" si="27"/>
        <v>0</v>
      </c>
      <c r="AY26" s="502">
        <f t="shared" si="28"/>
        <v>0</v>
      </c>
      <c r="AZ26" s="502">
        <f t="shared" si="29"/>
        <v>0</v>
      </c>
      <c r="BA26" s="502">
        <f t="shared" si="30"/>
        <v>0</v>
      </c>
      <c r="BB26" s="502">
        <f t="shared" si="31"/>
        <v>0</v>
      </c>
      <c r="BC26" s="3276" t="str">
        <f t="shared" si="32"/>
        <v>Boadicea</v>
      </c>
      <c r="BD26" s="3276"/>
      <c r="BE26" s="3276"/>
      <c r="BF26" s="3277"/>
      <c r="BG26" s="1256"/>
      <c r="BH26" s="2356">
        <v>25</v>
      </c>
      <c r="BI26" s="2357">
        <f t="shared" si="0"/>
        <v>30</v>
      </c>
      <c r="BJ26" s="2358">
        <f t="shared" si="1"/>
        <v>14.19525</v>
      </c>
      <c r="BK26" s="1256"/>
      <c r="BL26" s="1256"/>
      <c r="BM26" s="1256"/>
      <c r="BN26" s="482"/>
    </row>
    <row r="27" spans="1:66" s="83" customFormat="1" ht="14.25" customHeight="1">
      <c r="A27" s="4429"/>
      <c r="B27" s="1133" t="str">
        <f t="shared" si="33"/>
        <v>Wheat (55%)</v>
      </c>
      <c r="C27" s="1770"/>
      <c r="D27" s="1133" t="s">
        <v>82</v>
      </c>
      <c r="E27" s="1137"/>
      <c r="F27" s="896">
        <f t="shared" si="2"/>
        <v>0</v>
      </c>
      <c r="G27" s="896">
        <f t="shared" si="3"/>
        <v>0</v>
      </c>
      <c r="H27" s="1139" t="s">
        <v>718</v>
      </c>
      <c r="I27" s="1194">
        <v>5.0999999999999996</v>
      </c>
      <c r="J27" s="1195"/>
      <c r="K27" s="1191"/>
      <c r="L27" s="1191"/>
      <c r="M27" s="1191"/>
      <c r="N27" s="1191"/>
      <c r="O27" s="1192"/>
      <c r="P27" s="1193">
        <f t="shared" si="9"/>
        <v>0</v>
      </c>
      <c r="Q27" s="1222">
        <f t="shared" si="10"/>
        <v>0</v>
      </c>
      <c r="R27" s="1222">
        <f t="shared" si="11"/>
        <v>0</v>
      </c>
      <c r="S27" s="1222">
        <f t="shared" si="12"/>
        <v>0</v>
      </c>
      <c r="T27" s="1222">
        <f t="shared" si="13"/>
        <v>0</v>
      </c>
      <c r="U27" s="1223">
        <f t="shared" si="14"/>
        <v>0</v>
      </c>
      <c r="V27" s="1224"/>
      <c r="W27" s="1225"/>
      <c r="X27" s="1191"/>
      <c r="Y27" s="1191"/>
      <c r="Z27" s="1191"/>
      <c r="AA27" s="1192"/>
      <c r="AB27" s="507">
        <f t="shared" si="34"/>
        <v>310</v>
      </c>
      <c r="AC27" s="4322">
        <f t="shared" si="4"/>
        <v>0.76</v>
      </c>
      <c r="AD27" s="502">
        <f t="shared" si="5"/>
        <v>9</v>
      </c>
      <c r="AE27" s="506"/>
      <c r="AF27" s="503">
        <f t="shared" si="6"/>
        <v>0</v>
      </c>
      <c r="AG27" s="502">
        <f t="shared" si="7"/>
        <v>0</v>
      </c>
      <c r="AH27" s="502">
        <f t="shared" si="8"/>
        <v>0</v>
      </c>
      <c r="AJ27" s="485"/>
      <c r="AK27" s="502">
        <f t="shared" si="15"/>
        <v>0</v>
      </c>
      <c r="AL27" s="502">
        <f t="shared" si="16"/>
        <v>0</v>
      </c>
      <c r="AM27" s="502">
        <f t="shared" si="17"/>
        <v>0</v>
      </c>
      <c r="AN27" s="502">
        <f t="shared" si="18"/>
        <v>0</v>
      </c>
      <c r="AO27" s="502">
        <f t="shared" si="19"/>
        <v>0</v>
      </c>
      <c r="AP27" s="502">
        <f t="shared" si="20"/>
        <v>0</v>
      </c>
      <c r="AQ27" s="4439">
        <f t="shared" si="21"/>
        <v>0</v>
      </c>
      <c r="AR27" s="1251">
        <f t="shared" si="22"/>
        <v>0</v>
      </c>
      <c r="AS27" s="1252">
        <f t="shared" si="23"/>
        <v>0</v>
      </c>
      <c r="AT27" s="1253">
        <f t="shared" si="24"/>
        <v>0</v>
      </c>
      <c r="AU27" s="1251">
        <f t="shared" si="25"/>
        <v>0</v>
      </c>
      <c r="AV27" s="502">
        <f t="shared" si="26"/>
        <v>0</v>
      </c>
      <c r="AW27" s="4439">
        <f t="shared" si="26"/>
        <v>0</v>
      </c>
      <c r="AX27" s="502">
        <f t="shared" si="27"/>
        <v>0</v>
      </c>
      <c r="AY27" s="502">
        <f t="shared" si="28"/>
        <v>0</v>
      </c>
      <c r="AZ27" s="502">
        <f t="shared" si="29"/>
        <v>0</v>
      </c>
      <c r="BA27" s="502">
        <f t="shared" si="30"/>
        <v>0</v>
      </c>
      <c r="BB27" s="502">
        <f t="shared" si="31"/>
        <v>0</v>
      </c>
      <c r="BC27" s="3276" t="str">
        <f t="shared" si="32"/>
        <v>Bramling Cross</v>
      </c>
      <c r="BD27" s="3276"/>
      <c r="BE27" s="3276"/>
      <c r="BF27" s="3277"/>
      <c r="BG27" s="1256"/>
      <c r="BH27" s="2356">
        <v>26</v>
      </c>
      <c r="BI27" s="2357">
        <f t="shared" si="0"/>
        <v>31.2</v>
      </c>
      <c r="BJ27" s="2358">
        <f t="shared" si="1"/>
        <v>14.763059999999999</v>
      </c>
      <c r="BK27" s="1256"/>
      <c r="BL27" s="1256"/>
      <c r="BM27" s="1256"/>
      <c r="BN27" s="482"/>
    </row>
    <row r="28" spans="1:66" s="83" customFormat="1" ht="14.25" customHeight="1">
      <c r="A28" s="4429"/>
      <c r="B28" s="1140" t="str">
        <f t="shared" si="33"/>
        <v>OTHER</v>
      </c>
      <c r="C28" s="1769"/>
      <c r="D28" s="1141" t="s">
        <v>82</v>
      </c>
      <c r="E28" s="1137"/>
      <c r="F28" s="1142">
        <f t="shared" si="2"/>
        <v>0</v>
      </c>
      <c r="G28" s="1142">
        <f t="shared" si="3"/>
        <v>0</v>
      </c>
      <c r="H28" s="1139" t="s">
        <v>719</v>
      </c>
      <c r="I28" s="1194">
        <v>5.5</v>
      </c>
      <c r="J28" s="1196"/>
      <c r="K28" s="1191"/>
      <c r="L28" s="1191"/>
      <c r="M28" s="1191"/>
      <c r="N28" s="1191"/>
      <c r="O28" s="1192"/>
      <c r="P28" s="1193">
        <f t="shared" si="9"/>
        <v>0</v>
      </c>
      <c r="Q28" s="1222">
        <f t="shared" si="10"/>
        <v>0</v>
      </c>
      <c r="R28" s="1222">
        <f t="shared" si="11"/>
        <v>0</v>
      </c>
      <c r="S28" s="1222">
        <f t="shared" si="12"/>
        <v>0</v>
      </c>
      <c r="T28" s="1222">
        <f t="shared" si="13"/>
        <v>0</v>
      </c>
      <c r="U28" s="1223">
        <f t="shared" si="14"/>
        <v>0</v>
      </c>
      <c r="V28" s="1224"/>
      <c r="W28" s="1191"/>
      <c r="X28" s="1191"/>
      <c r="Y28" s="1191"/>
      <c r="Z28" s="1191"/>
      <c r="AA28" s="1192"/>
      <c r="AB28" s="507">
        <f t="shared" si="34"/>
        <v>0</v>
      </c>
      <c r="AC28" s="4322">
        <f t="shared" si="4"/>
        <v>0.76</v>
      </c>
      <c r="AD28" s="502">
        <f t="shared" si="5"/>
        <v>0</v>
      </c>
      <c r="AE28" s="506"/>
      <c r="AF28" s="503">
        <f t="shared" si="6"/>
        <v>0</v>
      </c>
      <c r="AG28" s="502">
        <f t="shared" si="7"/>
        <v>0</v>
      </c>
      <c r="AH28" s="502">
        <f t="shared" si="8"/>
        <v>0</v>
      </c>
      <c r="AJ28" s="485"/>
      <c r="AK28" s="502">
        <f t="shared" si="15"/>
        <v>0</v>
      </c>
      <c r="AL28" s="502">
        <f t="shared" si="16"/>
        <v>0</v>
      </c>
      <c r="AM28" s="502">
        <f t="shared" si="17"/>
        <v>0</v>
      </c>
      <c r="AN28" s="502">
        <f t="shared" si="18"/>
        <v>0</v>
      </c>
      <c r="AO28" s="502">
        <f t="shared" si="19"/>
        <v>0</v>
      </c>
      <c r="AP28" s="502">
        <f t="shared" si="20"/>
        <v>0</v>
      </c>
      <c r="AQ28" s="4439">
        <f t="shared" si="21"/>
        <v>0</v>
      </c>
      <c r="AR28" s="1251">
        <f t="shared" si="22"/>
        <v>0</v>
      </c>
      <c r="AS28" s="1252">
        <f t="shared" si="23"/>
        <v>0</v>
      </c>
      <c r="AT28" s="1253">
        <f t="shared" si="24"/>
        <v>0</v>
      </c>
      <c r="AU28" s="1251">
        <f t="shared" si="25"/>
        <v>0</v>
      </c>
      <c r="AV28" s="502">
        <f t="shared" si="26"/>
        <v>0</v>
      </c>
      <c r="AW28" s="4439">
        <f t="shared" si="26"/>
        <v>0</v>
      </c>
      <c r="AX28" s="502">
        <f t="shared" si="27"/>
        <v>0</v>
      </c>
      <c r="AY28" s="502">
        <f t="shared" si="28"/>
        <v>0</v>
      </c>
      <c r="AZ28" s="502">
        <f t="shared" si="29"/>
        <v>0</v>
      </c>
      <c r="BA28" s="502">
        <f t="shared" si="30"/>
        <v>0</v>
      </c>
      <c r="BB28" s="502">
        <f t="shared" si="31"/>
        <v>0</v>
      </c>
      <c r="BC28" s="3276" t="str">
        <f t="shared" si="32"/>
        <v>Brewers Gold</v>
      </c>
      <c r="BD28" s="3276"/>
      <c r="BE28" s="3276"/>
      <c r="BF28" s="3277"/>
      <c r="BG28" s="1256"/>
      <c r="BK28" s="1256"/>
      <c r="BL28" s="1256"/>
      <c r="BM28" s="1256"/>
      <c r="BN28" s="482"/>
    </row>
    <row r="29" spans="1:66" s="83" customFormat="1" ht="14.25" customHeight="1">
      <c r="A29" s="4429"/>
      <c r="B29" s="1143" t="s">
        <v>720</v>
      </c>
      <c r="C29" s="1144"/>
      <c r="D29" s="1145"/>
      <c r="E29" s="1146"/>
      <c r="F29" s="1147"/>
      <c r="G29" s="1148" t="s">
        <v>721</v>
      </c>
      <c r="H29" s="1149" t="s">
        <v>722</v>
      </c>
      <c r="I29" s="1197">
        <v>10</v>
      </c>
      <c r="J29" s="1196"/>
      <c r="K29" s="1191"/>
      <c r="L29" s="1191"/>
      <c r="M29" s="1191"/>
      <c r="N29" s="1191"/>
      <c r="O29" s="1192"/>
      <c r="P29" s="1193">
        <f t="shared" si="9"/>
        <v>0</v>
      </c>
      <c r="Q29" s="1222">
        <f t="shared" si="10"/>
        <v>0</v>
      </c>
      <c r="R29" s="1222">
        <f t="shared" si="11"/>
        <v>0</v>
      </c>
      <c r="S29" s="1222">
        <f t="shared" si="12"/>
        <v>0</v>
      </c>
      <c r="T29" s="1222">
        <f t="shared" si="13"/>
        <v>0</v>
      </c>
      <c r="U29" s="1223">
        <f t="shared" si="14"/>
        <v>0</v>
      </c>
      <c r="V29" s="1224"/>
      <c r="W29" s="1225"/>
      <c r="X29" s="1191"/>
      <c r="Y29" s="1191"/>
      <c r="Z29" s="1191"/>
      <c r="AA29" s="1192"/>
      <c r="AB29" s="505"/>
      <c r="AC29" s="505"/>
      <c r="AD29" s="505"/>
      <c r="AF29" s="477" t="s">
        <v>689</v>
      </c>
      <c r="AG29" s="1245"/>
      <c r="AH29" s="1245"/>
      <c r="AI29" s="502"/>
      <c r="AJ29" s="485"/>
      <c r="AK29" s="502">
        <f t="shared" si="15"/>
        <v>0</v>
      </c>
      <c r="AL29" s="502">
        <f t="shared" si="16"/>
        <v>0</v>
      </c>
      <c r="AM29" s="502">
        <f t="shared" si="17"/>
        <v>0</v>
      </c>
      <c r="AN29" s="502">
        <f t="shared" si="18"/>
        <v>0</v>
      </c>
      <c r="AO29" s="502">
        <f t="shared" si="19"/>
        <v>0</v>
      </c>
      <c r="AP29" s="502">
        <f t="shared" si="20"/>
        <v>0</v>
      </c>
      <c r="AQ29" s="4439">
        <f t="shared" si="21"/>
        <v>0</v>
      </c>
      <c r="AR29" s="1251">
        <f t="shared" si="22"/>
        <v>0</v>
      </c>
      <c r="AS29" s="1252">
        <f t="shared" si="23"/>
        <v>0</v>
      </c>
      <c r="AT29" s="1253">
        <f t="shared" si="24"/>
        <v>0</v>
      </c>
      <c r="AU29" s="1251">
        <f t="shared" si="25"/>
        <v>0</v>
      </c>
      <c r="AV29" s="502">
        <f t="shared" si="26"/>
        <v>0</v>
      </c>
      <c r="AW29" s="4439">
        <f t="shared" si="26"/>
        <v>0</v>
      </c>
      <c r="AX29" s="502">
        <f t="shared" si="27"/>
        <v>0</v>
      </c>
      <c r="AY29" s="502">
        <f t="shared" si="28"/>
        <v>0</v>
      </c>
      <c r="AZ29" s="502">
        <f t="shared" si="29"/>
        <v>0</v>
      </c>
      <c r="BA29" s="502">
        <f t="shared" si="30"/>
        <v>0</v>
      </c>
      <c r="BB29" s="502">
        <f t="shared" si="31"/>
        <v>0</v>
      </c>
      <c r="BC29" s="3276" t="str">
        <f t="shared" si="32"/>
        <v>Bullion</v>
      </c>
      <c r="BD29" s="3276"/>
      <c r="BE29" s="3276"/>
      <c r="BF29" s="3277"/>
      <c r="BG29" s="1256"/>
      <c r="BH29" s="2354" t="s">
        <v>692</v>
      </c>
      <c r="BI29" s="2353" t="s">
        <v>691</v>
      </c>
      <c r="BJ29" s="2355" t="s">
        <v>693</v>
      </c>
      <c r="BK29" s="1256"/>
      <c r="BL29" s="1256"/>
      <c r="BM29" s="1256"/>
      <c r="BN29" s="482"/>
    </row>
    <row r="30" spans="1:66" s="83" customFormat="1" ht="14.25" customHeight="1">
      <c r="A30" s="4429"/>
      <c r="B30" s="1150" t="s">
        <v>694</v>
      </c>
      <c r="C30" s="1151" t="s">
        <v>683</v>
      </c>
      <c r="D30" s="1152" t="s">
        <v>352</v>
      </c>
      <c r="E30" s="1132"/>
      <c r="F30" s="1153" t="s">
        <v>684</v>
      </c>
      <c r="G30" s="1154" t="s">
        <v>723</v>
      </c>
      <c r="H30" s="1139" t="s">
        <v>724</v>
      </c>
      <c r="I30" s="1194">
        <v>7.5</v>
      </c>
      <c r="J30" s="1196">
        <v>25</v>
      </c>
      <c r="K30" s="1191"/>
      <c r="L30" s="1191"/>
      <c r="M30" s="1191"/>
      <c r="N30" s="1191">
        <v>5</v>
      </c>
      <c r="O30" s="1192"/>
      <c r="P30" s="1193">
        <f t="shared" si="9"/>
        <v>25</v>
      </c>
      <c r="Q30" s="1222">
        <f t="shared" si="10"/>
        <v>0</v>
      </c>
      <c r="R30" s="1222">
        <f t="shared" si="11"/>
        <v>0</v>
      </c>
      <c r="S30" s="1222">
        <f t="shared" si="12"/>
        <v>0</v>
      </c>
      <c r="T30" s="1222">
        <f t="shared" si="13"/>
        <v>5</v>
      </c>
      <c r="U30" s="1223">
        <f t="shared" si="14"/>
        <v>0</v>
      </c>
      <c r="V30" s="1224">
        <v>17.5</v>
      </c>
      <c r="W30" s="1225"/>
      <c r="X30" s="1191"/>
      <c r="Y30" s="1191"/>
      <c r="Z30" s="1191">
        <v>5</v>
      </c>
      <c r="AA30" s="1192"/>
      <c r="AB30" s="1920"/>
      <c r="AC30" s="1920"/>
      <c r="AD30" s="1920"/>
      <c r="AF30" s="502"/>
      <c r="AG30" s="526"/>
      <c r="AH30" s="526"/>
      <c r="AI30" s="1245"/>
      <c r="AJ30" s="485"/>
      <c r="AK30" s="502">
        <f t="shared" si="15"/>
        <v>187.5</v>
      </c>
      <c r="AL30" s="502">
        <f t="shared" si="16"/>
        <v>0</v>
      </c>
      <c r="AM30" s="502">
        <f t="shared" si="17"/>
        <v>0</v>
      </c>
      <c r="AN30" s="502">
        <f t="shared" si="18"/>
        <v>0</v>
      </c>
      <c r="AO30" s="502">
        <f t="shared" si="19"/>
        <v>37.5</v>
      </c>
      <c r="AP30" s="502">
        <f t="shared" si="20"/>
        <v>0</v>
      </c>
      <c r="AQ30" s="4439">
        <f t="shared" si="21"/>
        <v>187.5</v>
      </c>
      <c r="AR30" s="1251">
        <f t="shared" si="22"/>
        <v>0</v>
      </c>
      <c r="AS30" s="1252">
        <f t="shared" si="23"/>
        <v>0</v>
      </c>
      <c r="AT30" s="1253">
        <f t="shared" si="24"/>
        <v>0</v>
      </c>
      <c r="AU30" s="1251">
        <f t="shared" si="25"/>
        <v>37.5</v>
      </c>
      <c r="AV30" s="502">
        <f t="shared" si="26"/>
        <v>0</v>
      </c>
      <c r="AW30" s="4439">
        <f t="shared" si="26"/>
        <v>131.25</v>
      </c>
      <c r="AX30" s="502">
        <f t="shared" si="27"/>
        <v>0</v>
      </c>
      <c r="AY30" s="502">
        <f t="shared" si="28"/>
        <v>0</v>
      </c>
      <c r="AZ30" s="502">
        <f t="shared" si="29"/>
        <v>0</v>
      </c>
      <c r="BA30" s="502">
        <f t="shared" si="30"/>
        <v>37.5</v>
      </c>
      <c r="BB30" s="502">
        <f t="shared" si="31"/>
        <v>0</v>
      </c>
      <c r="BC30" s="3276" t="str">
        <f t="shared" si="32"/>
        <v>Challenger</v>
      </c>
      <c r="BD30" s="3276"/>
      <c r="BE30" s="3276"/>
      <c r="BF30" s="3277"/>
      <c r="BG30" s="1256"/>
      <c r="BH30" s="2356">
        <v>1</v>
      </c>
      <c r="BI30" s="2357">
        <f t="shared" ref="BI30:BI36" si="35">BH30*(5/6)</f>
        <v>0.83333333333333337</v>
      </c>
      <c r="BJ30" s="2358">
        <f t="shared" ref="BJ30:BJ36" si="36">3.7854*BH30/8</f>
        <v>0.47317500000000001</v>
      </c>
      <c r="BK30" s="1256"/>
      <c r="BL30" s="1256"/>
      <c r="BM30" s="1256"/>
      <c r="BN30" s="482"/>
    </row>
    <row r="31" spans="1:66" s="83" customFormat="1" ht="14.25" customHeight="1">
      <c r="A31" s="4429"/>
      <c r="B31" s="1155" t="str">
        <f t="shared" ref="B31:B36" si="37">B123</f>
        <v>Extra Light</v>
      </c>
      <c r="C31" s="1768"/>
      <c r="D31" s="1155" t="s">
        <v>82</v>
      </c>
      <c r="E31" s="1134"/>
      <c r="F31" s="896">
        <f t="shared" ref="F31:F36" si="38">100*IF(C31=0,0,C31/$F$70)</f>
        <v>0</v>
      </c>
      <c r="G31" s="896">
        <f t="shared" ref="G31:G36" si="39">IF(AF31=0,0,AF31*100/$AF$69)</f>
        <v>0</v>
      </c>
      <c r="H31" s="1139" t="s">
        <v>725</v>
      </c>
      <c r="I31" s="1194">
        <v>6.9</v>
      </c>
      <c r="J31" s="1196"/>
      <c r="K31" s="1191"/>
      <c r="L31" s="1191"/>
      <c r="M31" s="1191"/>
      <c r="N31" s="1191"/>
      <c r="O31" s="1192"/>
      <c r="P31" s="1193">
        <f t="shared" si="9"/>
        <v>0</v>
      </c>
      <c r="Q31" s="1222">
        <f t="shared" si="10"/>
        <v>0</v>
      </c>
      <c r="R31" s="1222">
        <f t="shared" si="11"/>
        <v>0</v>
      </c>
      <c r="S31" s="1222">
        <f t="shared" si="12"/>
        <v>0</v>
      </c>
      <c r="T31" s="1222">
        <f t="shared" si="13"/>
        <v>0</v>
      </c>
      <c r="U31" s="1223">
        <f t="shared" si="14"/>
        <v>0</v>
      </c>
      <c r="V31" s="1224"/>
      <c r="W31" s="1225"/>
      <c r="X31" s="1191"/>
      <c r="Y31" s="1191"/>
      <c r="Z31" s="1191"/>
      <c r="AA31" s="1192"/>
      <c r="AB31" s="507">
        <f t="shared" ref="AB31:AB36" si="40">C123</f>
        <v>365</v>
      </c>
      <c r="AC31" s="4322">
        <f t="shared" ref="AC31:AC36" si="41">C$74/100</f>
        <v>0.76</v>
      </c>
      <c r="AD31" s="502">
        <f t="shared" ref="AD31:AD36" si="42">D123</f>
        <v>5.5</v>
      </c>
      <c r="AF31" s="503">
        <f t="shared" ref="AF31:AF36" si="43">0.001*C31*AB31</f>
        <v>0</v>
      </c>
      <c r="AG31" s="502">
        <f t="shared" ref="AG31:AG36" si="44">AF31*AC31</f>
        <v>0</v>
      </c>
      <c r="AH31" s="502">
        <f t="shared" ref="AH31:AH36" si="45">0.01*C31*AD31</f>
        <v>0</v>
      </c>
      <c r="AI31" s="511"/>
      <c r="AJ31" s="485"/>
      <c r="AK31" s="502">
        <f t="shared" si="15"/>
        <v>0</v>
      </c>
      <c r="AL31" s="502">
        <f t="shared" si="16"/>
        <v>0</v>
      </c>
      <c r="AM31" s="502">
        <f t="shared" si="17"/>
        <v>0</v>
      </c>
      <c r="AN31" s="502">
        <f t="shared" si="18"/>
        <v>0</v>
      </c>
      <c r="AO31" s="502">
        <f t="shared" si="19"/>
        <v>0</v>
      </c>
      <c r="AP31" s="502">
        <f t="shared" si="20"/>
        <v>0</v>
      </c>
      <c r="AQ31" s="4439">
        <f t="shared" si="21"/>
        <v>0</v>
      </c>
      <c r="AR31" s="1251">
        <f t="shared" si="22"/>
        <v>0</v>
      </c>
      <c r="AS31" s="1252">
        <f t="shared" si="23"/>
        <v>0</v>
      </c>
      <c r="AT31" s="1253">
        <f t="shared" si="24"/>
        <v>0</v>
      </c>
      <c r="AU31" s="1251">
        <f t="shared" si="25"/>
        <v>0</v>
      </c>
      <c r="AV31" s="502">
        <f t="shared" si="26"/>
        <v>0</v>
      </c>
      <c r="AW31" s="4439">
        <f t="shared" si="26"/>
        <v>0</v>
      </c>
      <c r="AX31" s="502">
        <f t="shared" si="27"/>
        <v>0</v>
      </c>
      <c r="AY31" s="502">
        <f t="shared" si="28"/>
        <v>0</v>
      </c>
      <c r="AZ31" s="502">
        <f t="shared" si="29"/>
        <v>0</v>
      </c>
      <c r="BA31" s="502">
        <f t="shared" si="30"/>
        <v>0</v>
      </c>
      <c r="BB31" s="502">
        <f t="shared" si="31"/>
        <v>0</v>
      </c>
      <c r="BC31" s="3276" t="str">
        <f t="shared" si="32"/>
        <v>Cluster</v>
      </c>
      <c r="BD31" s="3276"/>
      <c r="BE31" s="3276"/>
      <c r="BF31" s="3277"/>
      <c r="BG31" s="1256"/>
      <c r="BH31" s="2356">
        <v>2</v>
      </c>
      <c r="BI31" s="2357">
        <f t="shared" si="35"/>
        <v>1.6666666666666667</v>
      </c>
      <c r="BJ31" s="2358">
        <f t="shared" si="36"/>
        <v>0.94635000000000002</v>
      </c>
      <c r="BK31" s="1256"/>
      <c r="BL31" s="1256"/>
      <c r="BM31" s="1256"/>
      <c r="BN31" s="482"/>
    </row>
    <row r="32" spans="1:66" s="83" customFormat="1" ht="14.25" customHeight="1">
      <c r="A32" s="4429"/>
      <c r="B32" s="1155" t="str">
        <f t="shared" si="37"/>
        <v>Light</v>
      </c>
      <c r="C32" s="1768">
        <v>1000</v>
      </c>
      <c r="D32" s="1155" t="s">
        <v>82</v>
      </c>
      <c r="E32" s="1137"/>
      <c r="F32" s="896">
        <f t="shared" si="38"/>
        <v>53.950527366405012</v>
      </c>
      <c r="G32" s="896">
        <f t="shared" si="39"/>
        <v>59.39003183061638</v>
      </c>
      <c r="H32" s="1139" t="s">
        <v>726</v>
      </c>
      <c r="I32" s="1194">
        <v>5.5</v>
      </c>
      <c r="J32" s="1196"/>
      <c r="K32" s="1191"/>
      <c r="L32" s="1191"/>
      <c r="M32" s="1191"/>
      <c r="N32" s="1191"/>
      <c r="O32" s="1192"/>
      <c r="P32" s="1193">
        <f t="shared" si="9"/>
        <v>0</v>
      </c>
      <c r="Q32" s="1222">
        <f t="shared" si="10"/>
        <v>0</v>
      </c>
      <c r="R32" s="1222">
        <f t="shared" si="11"/>
        <v>0</v>
      </c>
      <c r="S32" s="1222">
        <f t="shared" si="12"/>
        <v>0</v>
      </c>
      <c r="T32" s="1222">
        <f t="shared" si="13"/>
        <v>0</v>
      </c>
      <c r="U32" s="1223">
        <f t="shared" si="14"/>
        <v>0</v>
      </c>
      <c r="V32" s="1224"/>
      <c r="W32" s="1225"/>
      <c r="X32" s="1191"/>
      <c r="Y32" s="1191"/>
      <c r="Z32" s="1191"/>
      <c r="AA32" s="1192"/>
      <c r="AB32" s="507">
        <f t="shared" si="40"/>
        <v>365</v>
      </c>
      <c r="AC32" s="4322">
        <f t="shared" si="41"/>
        <v>0.76</v>
      </c>
      <c r="AD32" s="502">
        <f t="shared" si="42"/>
        <v>10</v>
      </c>
      <c r="AF32" s="503">
        <f t="shared" si="43"/>
        <v>365</v>
      </c>
      <c r="AG32" s="502">
        <f t="shared" si="44"/>
        <v>277.39999999999998</v>
      </c>
      <c r="AH32" s="502">
        <f t="shared" si="45"/>
        <v>100</v>
      </c>
      <c r="AI32" s="502"/>
      <c r="AJ32" s="485"/>
      <c r="AK32" s="502">
        <f t="shared" si="15"/>
        <v>0</v>
      </c>
      <c r="AL32" s="502">
        <f t="shared" si="16"/>
        <v>0</v>
      </c>
      <c r="AM32" s="502">
        <f t="shared" si="17"/>
        <v>0</v>
      </c>
      <c r="AN32" s="502">
        <f t="shared" si="18"/>
        <v>0</v>
      </c>
      <c r="AO32" s="502">
        <f t="shared" si="19"/>
        <v>0</v>
      </c>
      <c r="AP32" s="502">
        <f t="shared" si="20"/>
        <v>0</v>
      </c>
      <c r="AQ32" s="4439">
        <f t="shared" si="21"/>
        <v>0</v>
      </c>
      <c r="AR32" s="1251">
        <f t="shared" si="22"/>
        <v>0</v>
      </c>
      <c r="AS32" s="1252">
        <f t="shared" si="23"/>
        <v>0</v>
      </c>
      <c r="AT32" s="1253">
        <f t="shared" si="24"/>
        <v>0</v>
      </c>
      <c r="AU32" s="1251">
        <f t="shared" si="25"/>
        <v>0</v>
      </c>
      <c r="AV32" s="502">
        <f t="shared" si="26"/>
        <v>0</v>
      </c>
      <c r="AW32" s="4439">
        <f t="shared" si="26"/>
        <v>0</v>
      </c>
      <c r="AX32" s="502">
        <f t="shared" si="27"/>
        <v>0</v>
      </c>
      <c r="AY32" s="502">
        <f t="shared" si="28"/>
        <v>0</v>
      </c>
      <c r="AZ32" s="502">
        <f t="shared" si="29"/>
        <v>0</v>
      </c>
      <c r="BA32" s="502">
        <f t="shared" si="30"/>
        <v>0</v>
      </c>
      <c r="BB32" s="502">
        <f t="shared" si="31"/>
        <v>0</v>
      </c>
      <c r="BC32" s="3276" t="str">
        <f t="shared" si="32"/>
        <v>EKG</v>
      </c>
      <c r="BD32" s="3276"/>
      <c r="BE32" s="3276"/>
      <c r="BF32" s="3277"/>
      <c r="BG32" s="1256"/>
      <c r="BH32" s="2356">
        <v>3</v>
      </c>
      <c r="BI32" s="2357">
        <f t="shared" si="35"/>
        <v>2.5</v>
      </c>
      <c r="BJ32" s="2358">
        <f t="shared" si="36"/>
        <v>1.4195250000000001</v>
      </c>
      <c r="BK32" s="1256"/>
      <c r="BL32" s="1256"/>
      <c r="BM32" s="1256"/>
      <c r="BN32" s="482"/>
    </row>
    <row r="33" spans="1:66" s="83" customFormat="1" ht="14.25" customHeight="1">
      <c r="A33" s="4429"/>
      <c r="B33" s="1155" t="str">
        <f t="shared" si="37"/>
        <v>Medium</v>
      </c>
      <c r="C33" s="1768"/>
      <c r="D33" s="1155" t="s">
        <v>82</v>
      </c>
      <c r="E33" s="1137"/>
      <c r="F33" s="896">
        <f t="shared" si="38"/>
        <v>0</v>
      </c>
      <c r="G33" s="896">
        <f t="shared" si="39"/>
        <v>0</v>
      </c>
      <c r="H33" s="1139" t="s">
        <v>727</v>
      </c>
      <c r="I33" s="1194">
        <v>7.9</v>
      </c>
      <c r="J33" s="1196"/>
      <c r="K33" s="1191"/>
      <c r="L33" s="1191"/>
      <c r="M33" s="1191"/>
      <c r="N33" s="1191"/>
      <c r="O33" s="1192"/>
      <c r="P33" s="1193">
        <f t="shared" si="9"/>
        <v>0</v>
      </c>
      <c r="Q33" s="1222">
        <f t="shared" si="10"/>
        <v>0</v>
      </c>
      <c r="R33" s="1222">
        <f t="shared" si="11"/>
        <v>0</v>
      </c>
      <c r="S33" s="1222">
        <f t="shared" si="12"/>
        <v>0</v>
      </c>
      <c r="T33" s="1222">
        <f t="shared" si="13"/>
        <v>0</v>
      </c>
      <c r="U33" s="1223">
        <f t="shared" si="14"/>
        <v>0</v>
      </c>
      <c r="V33" s="1224"/>
      <c r="W33" s="1225"/>
      <c r="X33" s="1191"/>
      <c r="Y33" s="1191"/>
      <c r="Z33" s="1191"/>
      <c r="AA33" s="1192"/>
      <c r="AB33" s="507">
        <f t="shared" si="40"/>
        <v>365</v>
      </c>
      <c r="AC33" s="4322">
        <f t="shared" si="41"/>
        <v>0.76</v>
      </c>
      <c r="AD33" s="502">
        <f t="shared" si="42"/>
        <v>34</v>
      </c>
      <c r="AF33" s="503">
        <f t="shared" si="43"/>
        <v>0</v>
      </c>
      <c r="AG33" s="502">
        <f t="shared" si="44"/>
        <v>0</v>
      </c>
      <c r="AH33" s="502">
        <f t="shared" si="45"/>
        <v>0</v>
      </c>
      <c r="AI33" s="502"/>
      <c r="AJ33" s="485"/>
      <c r="AK33" s="502">
        <f t="shared" si="15"/>
        <v>0</v>
      </c>
      <c r="AL33" s="502">
        <f t="shared" si="16"/>
        <v>0</v>
      </c>
      <c r="AM33" s="502">
        <f t="shared" si="17"/>
        <v>0</v>
      </c>
      <c r="AN33" s="502">
        <f t="shared" si="18"/>
        <v>0</v>
      </c>
      <c r="AO33" s="502">
        <f t="shared" si="19"/>
        <v>0</v>
      </c>
      <c r="AP33" s="502">
        <f t="shared" si="20"/>
        <v>0</v>
      </c>
      <c r="AQ33" s="4439">
        <f t="shared" si="21"/>
        <v>0</v>
      </c>
      <c r="AR33" s="1251">
        <f t="shared" si="22"/>
        <v>0</v>
      </c>
      <c r="AS33" s="1252">
        <f t="shared" si="23"/>
        <v>0</v>
      </c>
      <c r="AT33" s="1253">
        <f t="shared" si="24"/>
        <v>0</v>
      </c>
      <c r="AU33" s="1251">
        <f t="shared" si="25"/>
        <v>0</v>
      </c>
      <c r="AV33" s="502">
        <f t="shared" si="26"/>
        <v>0</v>
      </c>
      <c r="AW33" s="4439">
        <f t="shared" si="26"/>
        <v>0</v>
      </c>
      <c r="AX33" s="502">
        <f t="shared" si="27"/>
        <v>0</v>
      </c>
      <c r="AY33" s="502">
        <f t="shared" si="28"/>
        <v>0</v>
      </c>
      <c r="AZ33" s="502">
        <f t="shared" si="29"/>
        <v>0</v>
      </c>
      <c r="BA33" s="502">
        <f t="shared" si="30"/>
        <v>0</v>
      </c>
      <c r="BB33" s="502">
        <f t="shared" si="31"/>
        <v>0</v>
      </c>
      <c r="BC33" s="3276" t="str">
        <f t="shared" si="32"/>
        <v xml:space="preserve">First Gold (Prima Donna) </v>
      </c>
      <c r="BD33" s="3276"/>
      <c r="BE33" s="3276"/>
      <c r="BF33" s="3277"/>
      <c r="BG33" s="1256"/>
      <c r="BH33" s="2356">
        <v>4</v>
      </c>
      <c r="BI33" s="2357">
        <f t="shared" si="35"/>
        <v>3.3333333333333335</v>
      </c>
      <c r="BJ33" s="2358">
        <f t="shared" si="36"/>
        <v>1.8927</v>
      </c>
      <c r="BK33" s="1256"/>
      <c r="BL33" s="1256"/>
      <c r="BM33" s="1256"/>
      <c r="BN33" s="482"/>
    </row>
    <row r="34" spans="1:66" s="83" customFormat="1" ht="14.25" customHeight="1">
      <c r="A34" s="4429"/>
      <c r="B34" s="1155" t="str">
        <f t="shared" si="37"/>
        <v>Dark</v>
      </c>
      <c r="C34" s="1768"/>
      <c r="D34" s="1155" t="s">
        <v>82</v>
      </c>
      <c r="E34" s="1137"/>
      <c r="F34" s="896">
        <f t="shared" si="38"/>
        <v>0</v>
      </c>
      <c r="G34" s="896">
        <f t="shared" si="39"/>
        <v>0</v>
      </c>
      <c r="H34" s="1139" t="s">
        <v>728</v>
      </c>
      <c r="I34" s="1194">
        <v>4.5</v>
      </c>
      <c r="J34" s="1196"/>
      <c r="K34" s="1191"/>
      <c r="L34" s="1191"/>
      <c r="M34" s="1191"/>
      <c r="N34" s="1191"/>
      <c r="O34" s="1192"/>
      <c r="P34" s="1198">
        <f t="shared" si="9"/>
        <v>0</v>
      </c>
      <c r="Q34" s="1226">
        <f t="shared" si="10"/>
        <v>0</v>
      </c>
      <c r="R34" s="1226">
        <f t="shared" si="11"/>
        <v>0</v>
      </c>
      <c r="S34" s="1226">
        <f t="shared" si="12"/>
        <v>0</v>
      </c>
      <c r="T34" s="1226">
        <f t="shared" si="13"/>
        <v>0</v>
      </c>
      <c r="U34" s="1227">
        <f t="shared" si="14"/>
        <v>0</v>
      </c>
      <c r="V34" s="1224"/>
      <c r="W34" s="1225"/>
      <c r="X34" s="1191"/>
      <c r="Y34" s="1191"/>
      <c r="Z34" s="1191"/>
      <c r="AA34" s="1192"/>
      <c r="AB34" s="507">
        <f t="shared" si="40"/>
        <v>365</v>
      </c>
      <c r="AC34" s="4322">
        <f t="shared" si="41"/>
        <v>0.76</v>
      </c>
      <c r="AD34" s="502">
        <f t="shared" si="42"/>
        <v>57</v>
      </c>
      <c r="AF34" s="503">
        <f t="shared" si="43"/>
        <v>0</v>
      </c>
      <c r="AG34" s="502">
        <f t="shared" si="44"/>
        <v>0</v>
      </c>
      <c r="AH34" s="502">
        <f t="shared" si="45"/>
        <v>0</v>
      </c>
      <c r="AI34" s="502"/>
      <c r="AJ34" s="485"/>
      <c r="AK34" s="502">
        <f t="shared" si="15"/>
        <v>0</v>
      </c>
      <c r="AL34" s="502">
        <f t="shared" si="16"/>
        <v>0</v>
      </c>
      <c r="AM34" s="502">
        <f t="shared" si="17"/>
        <v>0</v>
      </c>
      <c r="AN34" s="502">
        <f t="shared" si="18"/>
        <v>0</v>
      </c>
      <c r="AO34" s="502">
        <f t="shared" si="19"/>
        <v>0</v>
      </c>
      <c r="AP34" s="502">
        <f t="shared" si="20"/>
        <v>0</v>
      </c>
      <c r="AQ34" s="4439">
        <f t="shared" si="21"/>
        <v>0</v>
      </c>
      <c r="AR34" s="1251">
        <f t="shared" si="22"/>
        <v>0</v>
      </c>
      <c r="AS34" s="1252">
        <f t="shared" si="23"/>
        <v>0</v>
      </c>
      <c r="AT34" s="1253">
        <f t="shared" si="24"/>
        <v>0</v>
      </c>
      <c r="AU34" s="1251">
        <f t="shared" si="25"/>
        <v>0</v>
      </c>
      <c r="AV34" s="502">
        <f t="shared" si="26"/>
        <v>0</v>
      </c>
      <c r="AW34" s="4439">
        <f t="shared" si="26"/>
        <v>0</v>
      </c>
      <c r="AX34" s="502">
        <f t="shared" si="27"/>
        <v>0</v>
      </c>
      <c r="AY34" s="502">
        <f t="shared" si="28"/>
        <v>0</v>
      </c>
      <c r="AZ34" s="502">
        <f t="shared" si="29"/>
        <v>0</v>
      </c>
      <c r="BA34" s="502">
        <f t="shared" si="30"/>
        <v>0</v>
      </c>
      <c r="BB34" s="502">
        <f t="shared" si="31"/>
        <v>0</v>
      </c>
      <c r="BC34" s="3276" t="str">
        <f t="shared" si="32"/>
        <v>Fuggles</v>
      </c>
      <c r="BD34" s="3276"/>
      <c r="BE34" s="3276"/>
      <c r="BF34" s="3277"/>
      <c r="BG34" s="1256"/>
      <c r="BH34" s="2356">
        <v>5</v>
      </c>
      <c r="BI34" s="2357">
        <f t="shared" si="35"/>
        <v>4.166666666666667</v>
      </c>
      <c r="BJ34" s="2358">
        <f t="shared" si="36"/>
        <v>2.365875</v>
      </c>
      <c r="BK34" s="1256"/>
      <c r="BL34" s="1256"/>
      <c r="BM34" s="1256"/>
      <c r="BN34" s="482"/>
    </row>
    <row r="35" spans="1:66" s="83" customFormat="1" ht="14.25" customHeight="1">
      <c r="A35" s="4429"/>
      <c r="B35" s="1155" t="str">
        <f t="shared" si="37"/>
        <v>Wheat (55%)</v>
      </c>
      <c r="C35" s="1769"/>
      <c r="D35" s="1156" t="s">
        <v>82</v>
      </c>
      <c r="E35" s="1157"/>
      <c r="F35" s="1158">
        <f t="shared" si="38"/>
        <v>0</v>
      </c>
      <c r="G35" s="1158">
        <f t="shared" si="39"/>
        <v>0</v>
      </c>
      <c r="H35" s="1139" t="s">
        <v>729</v>
      </c>
      <c r="I35" s="1194">
        <v>5.3</v>
      </c>
      <c r="J35" s="1196"/>
      <c r="K35" s="1191"/>
      <c r="L35" s="1191"/>
      <c r="M35" s="1191"/>
      <c r="N35" s="1191"/>
      <c r="O35" s="1192"/>
      <c r="P35" s="1198">
        <f t="shared" si="9"/>
        <v>0</v>
      </c>
      <c r="Q35" s="1222">
        <f t="shared" si="10"/>
        <v>0</v>
      </c>
      <c r="R35" s="1222">
        <f t="shared" si="11"/>
        <v>0</v>
      </c>
      <c r="S35" s="1222">
        <f t="shared" si="12"/>
        <v>0</v>
      </c>
      <c r="T35" s="1222">
        <f t="shared" si="13"/>
        <v>0</v>
      </c>
      <c r="U35" s="1223">
        <f t="shared" si="14"/>
        <v>0</v>
      </c>
      <c r="V35" s="1224"/>
      <c r="W35" s="1225"/>
      <c r="X35" s="1191"/>
      <c r="Y35" s="1191"/>
      <c r="Z35" s="1191"/>
      <c r="AA35" s="1192"/>
      <c r="AB35" s="507">
        <f t="shared" si="40"/>
        <v>365</v>
      </c>
      <c r="AC35" s="4322">
        <f t="shared" si="41"/>
        <v>0.76</v>
      </c>
      <c r="AD35" s="502">
        <f t="shared" si="42"/>
        <v>6</v>
      </c>
      <c r="AF35" s="503">
        <f t="shared" si="43"/>
        <v>0</v>
      </c>
      <c r="AG35" s="502">
        <f t="shared" si="44"/>
        <v>0</v>
      </c>
      <c r="AH35" s="502">
        <f t="shared" si="45"/>
        <v>0</v>
      </c>
      <c r="AI35" s="502"/>
      <c r="AJ35" s="485"/>
      <c r="AK35" s="502">
        <f t="shared" si="15"/>
        <v>0</v>
      </c>
      <c r="AL35" s="502">
        <f t="shared" si="16"/>
        <v>0</v>
      </c>
      <c r="AM35" s="502">
        <f t="shared" si="17"/>
        <v>0</v>
      </c>
      <c r="AN35" s="502">
        <f t="shared" si="18"/>
        <v>0</v>
      </c>
      <c r="AO35" s="502">
        <f t="shared" si="19"/>
        <v>0</v>
      </c>
      <c r="AP35" s="502">
        <f t="shared" si="20"/>
        <v>0</v>
      </c>
      <c r="AQ35" s="4439">
        <f t="shared" si="21"/>
        <v>0</v>
      </c>
      <c r="AR35" s="1251">
        <f t="shared" si="22"/>
        <v>0</v>
      </c>
      <c r="AS35" s="1252">
        <f t="shared" si="23"/>
        <v>0</v>
      </c>
      <c r="AT35" s="1253">
        <f t="shared" si="24"/>
        <v>0</v>
      </c>
      <c r="AU35" s="1251">
        <f t="shared" si="25"/>
        <v>0</v>
      </c>
      <c r="AV35" s="502">
        <f t="shared" si="26"/>
        <v>0</v>
      </c>
      <c r="AW35" s="4439">
        <f t="shared" si="26"/>
        <v>0</v>
      </c>
      <c r="AX35" s="502">
        <f t="shared" si="27"/>
        <v>0</v>
      </c>
      <c r="AY35" s="502">
        <f t="shared" si="28"/>
        <v>0</v>
      </c>
      <c r="AZ35" s="502">
        <f t="shared" si="29"/>
        <v>0</v>
      </c>
      <c r="BA35" s="502">
        <f t="shared" si="30"/>
        <v>0</v>
      </c>
      <c r="BB35" s="502">
        <f t="shared" si="31"/>
        <v>0</v>
      </c>
      <c r="BC35" s="3276" t="str">
        <f t="shared" si="32"/>
        <v>Goldings (Worc.)</v>
      </c>
      <c r="BD35" s="3276"/>
      <c r="BE35" s="3276"/>
      <c r="BF35" s="3277"/>
      <c r="BG35" s="118"/>
      <c r="BH35" s="2356">
        <v>25</v>
      </c>
      <c r="BI35" s="2357">
        <f t="shared" si="35"/>
        <v>20.833333333333336</v>
      </c>
      <c r="BJ35" s="2358">
        <f t="shared" si="36"/>
        <v>11.829375000000001</v>
      </c>
      <c r="BK35" s="1256"/>
      <c r="BL35" s="1256"/>
      <c r="BM35" s="1256"/>
      <c r="BN35" s="482"/>
    </row>
    <row r="36" spans="1:66" s="83" customFormat="1" ht="14.25" customHeight="1">
      <c r="A36" s="4429"/>
      <c r="B36" s="1155" t="str">
        <f t="shared" si="37"/>
        <v>OTHER</v>
      </c>
      <c r="C36" s="1771"/>
      <c r="D36" s="1155" t="s">
        <v>82</v>
      </c>
      <c r="E36" s="1134"/>
      <c r="F36" s="896">
        <f t="shared" si="38"/>
        <v>0</v>
      </c>
      <c r="G36" s="896">
        <f t="shared" si="39"/>
        <v>0</v>
      </c>
      <c r="H36" s="1139" t="s">
        <v>730</v>
      </c>
      <c r="I36" s="1194">
        <v>13</v>
      </c>
      <c r="J36" s="1196"/>
      <c r="K36" s="1191"/>
      <c r="L36" s="1191"/>
      <c r="M36" s="1191"/>
      <c r="N36" s="1191"/>
      <c r="O36" s="1192"/>
      <c r="P36" s="1193">
        <f t="shared" si="9"/>
        <v>0</v>
      </c>
      <c r="Q36" s="1222">
        <f t="shared" si="10"/>
        <v>0</v>
      </c>
      <c r="R36" s="1222">
        <f t="shared" si="11"/>
        <v>0</v>
      </c>
      <c r="S36" s="1222">
        <f t="shared" si="12"/>
        <v>0</v>
      </c>
      <c r="T36" s="1222">
        <f t="shared" si="13"/>
        <v>0</v>
      </c>
      <c r="U36" s="1223">
        <f t="shared" si="14"/>
        <v>0</v>
      </c>
      <c r="V36" s="1224"/>
      <c r="W36" s="1225"/>
      <c r="X36" s="1191"/>
      <c r="Y36" s="1191"/>
      <c r="Z36" s="1191"/>
      <c r="AA36" s="1192"/>
      <c r="AB36" s="507">
        <f t="shared" si="40"/>
        <v>0</v>
      </c>
      <c r="AC36" s="4322">
        <f t="shared" si="41"/>
        <v>0.76</v>
      </c>
      <c r="AD36" s="502">
        <f t="shared" si="42"/>
        <v>0</v>
      </c>
      <c r="AF36" s="503">
        <f t="shared" si="43"/>
        <v>0</v>
      </c>
      <c r="AG36" s="502">
        <f t="shared" si="44"/>
        <v>0</v>
      </c>
      <c r="AH36" s="502">
        <f t="shared" si="45"/>
        <v>0</v>
      </c>
      <c r="AI36" s="502"/>
      <c r="AJ36" s="485"/>
      <c r="AK36" s="502">
        <f t="shared" si="15"/>
        <v>0</v>
      </c>
      <c r="AL36" s="502">
        <f t="shared" si="16"/>
        <v>0</v>
      </c>
      <c r="AM36" s="502">
        <f t="shared" si="17"/>
        <v>0</v>
      </c>
      <c r="AN36" s="502">
        <f t="shared" si="18"/>
        <v>0</v>
      </c>
      <c r="AO36" s="502">
        <f t="shared" si="19"/>
        <v>0</v>
      </c>
      <c r="AP36" s="502">
        <f t="shared" si="20"/>
        <v>0</v>
      </c>
      <c r="AQ36" s="4439">
        <f t="shared" si="21"/>
        <v>0</v>
      </c>
      <c r="AR36" s="1251">
        <f t="shared" si="22"/>
        <v>0</v>
      </c>
      <c r="AS36" s="1252">
        <f t="shared" si="23"/>
        <v>0</v>
      </c>
      <c r="AT36" s="1253">
        <f t="shared" si="24"/>
        <v>0</v>
      </c>
      <c r="AU36" s="1251">
        <f t="shared" si="25"/>
        <v>0</v>
      </c>
      <c r="AV36" s="502">
        <f t="shared" si="26"/>
        <v>0</v>
      </c>
      <c r="AW36" s="4439">
        <f t="shared" si="26"/>
        <v>0</v>
      </c>
      <c r="AX36" s="502">
        <f t="shared" si="27"/>
        <v>0</v>
      </c>
      <c r="AY36" s="502">
        <f t="shared" si="28"/>
        <v>0</v>
      </c>
      <c r="AZ36" s="502">
        <f t="shared" si="29"/>
        <v>0</v>
      </c>
      <c r="BA36" s="502">
        <f t="shared" si="30"/>
        <v>0</v>
      </c>
      <c r="BB36" s="502">
        <f t="shared" si="31"/>
        <v>0</v>
      </c>
      <c r="BC36" s="3276" t="str">
        <f t="shared" si="32"/>
        <v>Green Bullet</v>
      </c>
      <c r="BD36" s="3276"/>
      <c r="BE36" s="3276"/>
      <c r="BF36" s="3277"/>
      <c r="BG36" s="1256"/>
      <c r="BH36" s="2356">
        <v>26</v>
      </c>
      <c r="BI36" s="2357">
        <f t="shared" si="35"/>
        <v>21.666666666666668</v>
      </c>
      <c r="BJ36" s="2358">
        <f t="shared" si="36"/>
        <v>12.30255</v>
      </c>
      <c r="BK36" s="1256"/>
      <c r="BL36" s="1256"/>
      <c r="BM36" s="1256"/>
      <c r="BN36" s="482"/>
    </row>
    <row r="37" spans="1:66" s="83" customFormat="1" ht="14.25" customHeight="1">
      <c r="A37" s="3191" t="s">
        <v>731</v>
      </c>
      <c r="B37" s="1159" t="s">
        <v>732</v>
      </c>
      <c r="C37" s="1144"/>
      <c r="D37" s="1145"/>
      <c r="E37" s="3196" t="s">
        <v>15</v>
      </c>
      <c r="F37" s="1147"/>
      <c r="G37" s="1148" t="s">
        <v>721</v>
      </c>
      <c r="H37" s="1139" t="s">
        <v>733</v>
      </c>
      <c r="I37" s="1194">
        <v>8</v>
      </c>
      <c r="J37" s="1196"/>
      <c r="K37" s="1191"/>
      <c r="L37" s="1191"/>
      <c r="M37" s="1191"/>
      <c r="N37" s="1191"/>
      <c r="O37" s="1192"/>
      <c r="P37" s="1193">
        <f t="shared" si="9"/>
        <v>0</v>
      </c>
      <c r="Q37" s="1222">
        <f t="shared" si="10"/>
        <v>0</v>
      </c>
      <c r="R37" s="1222">
        <f t="shared" si="11"/>
        <v>0</v>
      </c>
      <c r="S37" s="1222">
        <f t="shared" si="12"/>
        <v>0</v>
      </c>
      <c r="T37" s="1222">
        <f t="shared" si="13"/>
        <v>0</v>
      </c>
      <c r="U37" s="1223">
        <f t="shared" si="14"/>
        <v>0</v>
      </c>
      <c r="V37" s="1224"/>
      <c r="W37" s="1191"/>
      <c r="X37" s="1191"/>
      <c r="Y37" s="1191"/>
      <c r="Z37" s="1191"/>
      <c r="AA37" s="1192"/>
      <c r="AB37" s="502"/>
      <c r="AC37" s="509"/>
      <c r="AD37" s="502"/>
      <c r="AE37" s="502"/>
      <c r="AF37" s="503"/>
      <c r="AG37" s="502"/>
      <c r="AH37" s="502"/>
      <c r="AI37" s="502"/>
      <c r="AJ37" s="1245"/>
      <c r="AK37" s="502">
        <f t="shared" si="15"/>
        <v>0</v>
      </c>
      <c r="AL37" s="502">
        <f t="shared" si="16"/>
        <v>0</v>
      </c>
      <c r="AM37" s="502">
        <f t="shared" si="17"/>
        <v>0</v>
      </c>
      <c r="AN37" s="502">
        <f t="shared" si="18"/>
        <v>0</v>
      </c>
      <c r="AO37" s="502">
        <f t="shared" si="19"/>
        <v>0</v>
      </c>
      <c r="AP37" s="502">
        <f t="shared" si="20"/>
        <v>0</v>
      </c>
      <c r="AQ37" s="4439">
        <f t="shared" si="21"/>
        <v>0</v>
      </c>
      <c r="AR37" s="1251">
        <f t="shared" si="22"/>
        <v>0</v>
      </c>
      <c r="AS37" s="1252">
        <f t="shared" si="23"/>
        <v>0</v>
      </c>
      <c r="AT37" s="1253">
        <f t="shared" si="24"/>
        <v>0</v>
      </c>
      <c r="AU37" s="1251">
        <f t="shared" si="25"/>
        <v>0</v>
      </c>
      <c r="AV37" s="502">
        <f t="shared" si="26"/>
        <v>0</v>
      </c>
      <c r="AW37" s="4439">
        <f t="shared" si="26"/>
        <v>0</v>
      </c>
      <c r="AX37" s="502">
        <f t="shared" si="27"/>
        <v>0</v>
      </c>
      <c r="AY37" s="502">
        <f t="shared" si="28"/>
        <v>0</v>
      </c>
      <c r="AZ37" s="502">
        <f t="shared" si="29"/>
        <v>0</v>
      </c>
      <c r="BA37" s="502">
        <f t="shared" si="30"/>
        <v>0</v>
      </c>
      <c r="BB37" s="502">
        <f t="shared" si="31"/>
        <v>0</v>
      </c>
      <c r="BC37" s="3276" t="str">
        <f t="shared" si="32"/>
        <v>Perle</v>
      </c>
      <c r="BD37" s="3276"/>
      <c r="BE37" s="3276"/>
      <c r="BF37" s="3277"/>
      <c r="BG37" s="1256"/>
      <c r="BH37" s="118"/>
      <c r="BI37" s="118"/>
      <c r="BJ37" s="118"/>
      <c r="BK37" s="1268"/>
      <c r="BL37" s="1268"/>
      <c r="BM37" s="1256"/>
      <c r="BN37" s="482"/>
    </row>
    <row r="38" spans="1:66" s="83" customFormat="1" ht="14.25" customHeight="1">
      <c r="A38" s="4429"/>
      <c r="B38" s="1160"/>
      <c r="C38" s="1151" t="s">
        <v>683</v>
      </c>
      <c r="D38" s="1152" t="s">
        <v>352</v>
      </c>
      <c r="E38" s="3197"/>
      <c r="F38" s="1153" t="s">
        <v>684</v>
      </c>
      <c r="G38" s="1154" t="s">
        <v>723</v>
      </c>
      <c r="H38" s="4440" t="s">
        <v>734</v>
      </c>
      <c r="I38" s="1194">
        <v>10</v>
      </c>
      <c r="J38" s="1196"/>
      <c r="K38" s="1191"/>
      <c r="L38" s="1191"/>
      <c r="M38" s="1191"/>
      <c r="N38" s="1191"/>
      <c r="O38" s="1192"/>
      <c r="P38" s="1193">
        <f t="shared" si="9"/>
        <v>0</v>
      </c>
      <c r="Q38" s="1222">
        <f t="shared" si="10"/>
        <v>0</v>
      </c>
      <c r="R38" s="1222">
        <f t="shared" si="11"/>
        <v>0</v>
      </c>
      <c r="S38" s="1222">
        <f t="shared" si="12"/>
        <v>0</v>
      </c>
      <c r="T38" s="1222">
        <f t="shared" si="13"/>
        <v>0</v>
      </c>
      <c r="U38" s="1223">
        <f t="shared" si="14"/>
        <v>0</v>
      </c>
      <c r="V38" s="1224"/>
      <c r="W38" s="1191"/>
      <c r="X38" s="1191"/>
      <c r="Y38" s="1191"/>
      <c r="Z38" s="1191"/>
      <c r="AA38" s="1192"/>
      <c r="AB38" s="502"/>
      <c r="AC38" s="509"/>
      <c r="AD38" s="502"/>
      <c r="AE38" s="502"/>
      <c r="AF38" s="503"/>
      <c r="AG38" s="502"/>
      <c r="AH38" s="502"/>
      <c r="AI38" s="502"/>
      <c r="AJ38" s="1245"/>
      <c r="AK38" s="502">
        <f t="shared" si="15"/>
        <v>0</v>
      </c>
      <c r="AL38" s="502">
        <f t="shared" si="16"/>
        <v>0</v>
      </c>
      <c r="AM38" s="502">
        <f t="shared" si="17"/>
        <v>0</v>
      </c>
      <c r="AN38" s="502">
        <f t="shared" si="18"/>
        <v>0</v>
      </c>
      <c r="AO38" s="502">
        <f t="shared" si="19"/>
        <v>0</v>
      </c>
      <c r="AP38" s="502">
        <f t="shared" si="20"/>
        <v>0</v>
      </c>
      <c r="AQ38" s="4439">
        <f t="shared" si="21"/>
        <v>0</v>
      </c>
      <c r="AR38" s="1251">
        <f t="shared" si="22"/>
        <v>0</v>
      </c>
      <c r="AS38" s="1252">
        <f t="shared" si="23"/>
        <v>0</v>
      </c>
      <c r="AT38" s="1253">
        <f t="shared" si="24"/>
        <v>0</v>
      </c>
      <c r="AU38" s="1251">
        <f t="shared" si="25"/>
        <v>0</v>
      </c>
      <c r="AV38" s="502">
        <f t="shared" si="26"/>
        <v>0</v>
      </c>
      <c r="AW38" s="4439">
        <f t="shared" si="26"/>
        <v>0</v>
      </c>
      <c r="AX38" s="502">
        <f t="shared" si="27"/>
        <v>0</v>
      </c>
      <c r="AY38" s="502">
        <f t="shared" si="28"/>
        <v>0</v>
      </c>
      <c r="AZ38" s="502">
        <f t="shared" si="29"/>
        <v>0</v>
      </c>
      <c r="BA38" s="502">
        <f t="shared" si="30"/>
        <v>0</v>
      </c>
      <c r="BB38" s="502">
        <f t="shared" si="31"/>
        <v>0</v>
      </c>
      <c r="BC38" s="3276" t="str">
        <f t="shared" si="32"/>
        <v>Phoenix</v>
      </c>
      <c r="BD38" s="3276"/>
      <c r="BE38" s="3276"/>
      <c r="BF38" s="3277"/>
      <c r="BG38" s="1256"/>
      <c r="BH38" s="3282" t="s">
        <v>735</v>
      </c>
      <c r="BI38" s="3282"/>
      <c r="BJ38" s="3282"/>
      <c r="BK38" s="3282"/>
      <c r="BL38" s="3282"/>
      <c r="BM38" s="1256"/>
      <c r="BN38" s="482"/>
    </row>
    <row r="39" spans="1:66" s="83" customFormat="1" ht="14.25" customHeight="1">
      <c r="A39" s="4429"/>
      <c r="B39" s="1161" t="str">
        <f t="shared" ref="B39:B49" si="46">B141</f>
        <v>Black</v>
      </c>
      <c r="C39" s="1772">
        <v>100</v>
      </c>
      <c r="D39" s="1161" t="s">
        <v>82</v>
      </c>
      <c r="E39" s="1157"/>
      <c r="F39" s="896">
        <f>100*IF(C39=0,0,C39/$F$70)</f>
        <v>5.3950527366405012</v>
      </c>
      <c r="G39" s="896">
        <f t="shared" ref="G39:G49" si="47">IF(AF39=0,0,AF39*100/$AF$69)</f>
        <v>3.2339092674890426</v>
      </c>
      <c r="H39" s="1138" t="s">
        <v>736</v>
      </c>
      <c r="I39" s="1194">
        <v>11</v>
      </c>
      <c r="J39" s="1196"/>
      <c r="K39" s="1191"/>
      <c r="L39" s="1191"/>
      <c r="M39" s="1191"/>
      <c r="N39" s="1191"/>
      <c r="O39" s="1192"/>
      <c r="P39" s="1193">
        <f t="shared" si="9"/>
        <v>0</v>
      </c>
      <c r="Q39" s="1222">
        <f t="shared" si="10"/>
        <v>0</v>
      </c>
      <c r="R39" s="1222">
        <f t="shared" si="11"/>
        <v>0</v>
      </c>
      <c r="S39" s="1222">
        <f t="shared" si="12"/>
        <v>0</v>
      </c>
      <c r="T39" s="1222">
        <f t="shared" si="13"/>
        <v>0</v>
      </c>
      <c r="U39" s="1223">
        <f t="shared" si="14"/>
        <v>0</v>
      </c>
      <c r="V39" s="1224"/>
      <c r="W39" s="1191"/>
      <c r="X39" s="1191"/>
      <c r="Y39" s="1191"/>
      <c r="Z39" s="1191"/>
      <c r="AA39" s="1192"/>
      <c r="AB39" s="507">
        <f t="shared" ref="AB39:AB49" si="48">C141</f>
        <v>198.75</v>
      </c>
      <c r="AC39" s="4322">
        <f t="shared" ref="AC39:AC49" si="49">C$74/100</f>
        <v>0.76</v>
      </c>
      <c r="AD39" s="507">
        <f t="shared" ref="AD39:AD49" si="50">D141</f>
        <v>908.8</v>
      </c>
      <c r="AE39" s="507"/>
      <c r="AF39" s="503">
        <f t="shared" ref="AF39:AF49" si="51">0.001*C39*AB39</f>
        <v>19.875</v>
      </c>
      <c r="AG39" s="502">
        <f t="shared" ref="AG39:AG49" si="52">AF39*AC39</f>
        <v>15.105</v>
      </c>
      <c r="AH39" s="502">
        <f t="shared" ref="AH39:AH49" si="53">0.01*C39*AD39</f>
        <v>908.8</v>
      </c>
      <c r="AI39" s="502"/>
      <c r="AJ39" s="485"/>
      <c r="AK39" s="502">
        <f t="shared" si="15"/>
        <v>0</v>
      </c>
      <c r="AL39" s="502">
        <f t="shared" si="16"/>
        <v>0</v>
      </c>
      <c r="AM39" s="502">
        <f t="shared" si="17"/>
        <v>0</v>
      </c>
      <c r="AN39" s="502">
        <f t="shared" si="18"/>
        <v>0</v>
      </c>
      <c r="AO39" s="502">
        <f t="shared" si="19"/>
        <v>0</v>
      </c>
      <c r="AP39" s="502">
        <f t="shared" si="20"/>
        <v>0</v>
      </c>
      <c r="AQ39" s="4439">
        <f t="shared" si="21"/>
        <v>0</v>
      </c>
      <c r="AR39" s="1251">
        <f t="shared" si="22"/>
        <v>0</v>
      </c>
      <c r="AS39" s="1252">
        <f t="shared" si="23"/>
        <v>0</v>
      </c>
      <c r="AT39" s="1253">
        <f t="shared" si="24"/>
        <v>0</v>
      </c>
      <c r="AU39" s="1251">
        <f t="shared" si="25"/>
        <v>0</v>
      </c>
      <c r="AV39" s="502">
        <f t="shared" si="26"/>
        <v>0</v>
      </c>
      <c r="AW39" s="4439">
        <f t="shared" si="26"/>
        <v>0</v>
      </c>
      <c r="AX39" s="502">
        <f t="shared" si="27"/>
        <v>0</v>
      </c>
      <c r="AY39" s="502">
        <f t="shared" si="28"/>
        <v>0</v>
      </c>
      <c r="AZ39" s="502">
        <f t="shared" si="29"/>
        <v>0</v>
      </c>
      <c r="BA39" s="502">
        <f t="shared" si="30"/>
        <v>0</v>
      </c>
      <c r="BB39" s="502">
        <f t="shared" si="31"/>
        <v>0</v>
      </c>
      <c r="BC39" s="3276" t="str">
        <f t="shared" si="32"/>
        <v>Pilgrim</v>
      </c>
      <c r="BD39" s="3276"/>
      <c r="BE39" s="3276"/>
      <c r="BF39" s="3277"/>
      <c r="BG39" s="1256"/>
      <c r="BH39" s="1729" t="s">
        <v>91</v>
      </c>
      <c r="BI39" s="2199" t="s">
        <v>737</v>
      </c>
      <c r="BJ39" s="3283" t="s">
        <v>738</v>
      </c>
      <c r="BK39" s="3284"/>
      <c r="BL39" s="2267" t="s">
        <v>84</v>
      </c>
      <c r="BM39" s="1256"/>
      <c r="BN39" s="482"/>
    </row>
    <row r="40" spans="1:66" s="83" customFormat="1" ht="14.25" customHeight="1">
      <c r="A40" s="4429"/>
      <c r="B40" s="1161" t="str">
        <f t="shared" si="46"/>
        <v>Caramalt</v>
      </c>
      <c r="C40" s="1772"/>
      <c r="D40" s="1161" t="s">
        <v>82</v>
      </c>
      <c r="E40" s="1137"/>
      <c r="F40" s="896">
        <f t="shared" ref="F40:F49" si="54">100*IF(C40=0,0,C40/$F$70)</f>
        <v>0</v>
      </c>
      <c r="G40" s="896">
        <f t="shared" si="47"/>
        <v>0</v>
      </c>
      <c r="H40" s="1139" t="s">
        <v>739</v>
      </c>
      <c r="I40" s="1194">
        <v>8</v>
      </c>
      <c r="J40" s="1196"/>
      <c r="K40" s="1191"/>
      <c r="L40" s="1191"/>
      <c r="M40" s="1191"/>
      <c r="N40" s="1191"/>
      <c r="O40" s="1192"/>
      <c r="P40" s="1193">
        <f t="shared" ref="P40:U54" si="55">J40</f>
        <v>0</v>
      </c>
      <c r="Q40" s="1222">
        <f t="shared" si="55"/>
        <v>0</v>
      </c>
      <c r="R40" s="1222">
        <f t="shared" si="55"/>
        <v>0</v>
      </c>
      <c r="S40" s="1222">
        <f t="shared" si="55"/>
        <v>0</v>
      </c>
      <c r="T40" s="1222">
        <f t="shared" si="55"/>
        <v>0</v>
      </c>
      <c r="U40" s="1223">
        <f t="shared" si="55"/>
        <v>0</v>
      </c>
      <c r="V40" s="1224"/>
      <c r="W40" s="1191"/>
      <c r="X40" s="1191"/>
      <c r="Y40" s="1191"/>
      <c r="Z40" s="1191"/>
      <c r="AA40" s="1192"/>
      <c r="AB40" s="507">
        <f t="shared" si="48"/>
        <v>198.75</v>
      </c>
      <c r="AC40" s="4322">
        <f t="shared" si="49"/>
        <v>0.76</v>
      </c>
      <c r="AD40" s="507">
        <f t="shared" si="50"/>
        <v>18.5</v>
      </c>
      <c r="AE40" s="507"/>
      <c r="AF40" s="503">
        <f t="shared" si="51"/>
        <v>0</v>
      </c>
      <c r="AG40" s="502">
        <f t="shared" si="52"/>
        <v>0</v>
      </c>
      <c r="AH40" s="502">
        <f t="shared" si="53"/>
        <v>0</v>
      </c>
      <c r="AI40" s="502"/>
      <c r="AJ40" s="485"/>
      <c r="AK40" s="502">
        <f t="shared" ref="AK40:AZ54" si="56">$I40*J40</f>
        <v>0</v>
      </c>
      <c r="AL40" s="502">
        <f t="shared" si="56"/>
        <v>0</v>
      </c>
      <c r="AM40" s="502">
        <f t="shared" si="56"/>
        <v>0</v>
      </c>
      <c r="AN40" s="502">
        <f t="shared" si="56"/>
        <v>0</v>
      </c>
      <c r="AO40" s="502">
        <f t="shared" si="56"/>
        <v>0</v>
      </c>
      <c r="AP40" s="502">
        <f t="shared" si="56"/>
        <v>0</v>
      </c>
      <c r="AQ40" s="4439">
        <f t="shared" si="56"/>
        <v>0</v>
      </c>
      <c r="AR40" s="1251">
        <f t="shared" si="56"/>
        <v>0</v>
      </c>
      <c r="AS40" s="1252">
        <f t="shared" si="56"/>
        <v>0</v>
      </c>
      <c r="AT40" s="1253">
        <f t="shared" si="56"/>
        <v>0</v>
      </c>
      <c r="AU40" s="1251">
        <f t="shared" si="56"/>
        <v>0</v>
      </c>
      <c r="AV40" s="502">
        <f t="shared" si="56"/>
        <v>0</v>
      </c>
      <c r="AW40" s="4439">
        <f t="shared" si="56"/>
        <v>0</v>
      </c>
      <c r="AX40" s="502">
        <f t="shared" si="56"/>
        <v>0</v>
      </c>
      <c r="AY40" s="502">
        <f t="shared" si="56"/>
        <v>0</v>
      </c>
      <c r="AZ40" s="502">
        <f t="shared" si="56"/>
        <v>0</v>
      </c>
      <c r="BA40" s="502">
        <f t="shared" ref="AU40:BB54" si="57">$I40*Z40</f>
        <v>0</v>
      </c>
      <c r="BB40" s="502">
        <f t="shared" ref="BB40:BB50" si="58">$I40*AA40</f>
        <v>0</v>
      </c>
      <c r="BC40" s="3276" t="str">
        <f t="shared" si="32"/>
        <v>Pioneer</v>
      </c>
      <c r="BD40" s="3276"/>
      <c r="BE40" s="3276"/>
      <c r="BF40" s="3277"/>
      <c r="BG40" s="1256"/>
      <c r="BH40" s="1727">
        <v>1</v>
      </c>
      <c r="BI40" s="2375">
        <f t="shared" ref="BI40:BI46" si="59">16*BL40</f>
        <v>3.5273368606701938E-2</v>
      </c>
      <c r="BJ40" s="3280" t="str">
        <f t="shared" ref="BJ40:BJ46" si="60">INT(BI40/16)&amp;"  lb   "&amp;FIXED(BI40-16*INT(BI40/16),2)&amp;"  oz"</f>
        <v>0  lb   0.04  oz</v>
      </c>
      <c r="BK40" s="3281"/>
      <c r="BL40" s="2644">
        <f t="shared" ref="BL40:BL46" si="61">BH40/(1000*0.4536)</f>
        <v>2.2045855379188711E-3</v>
      </c>
      <c r="BM40" s="1256"/>
      <c r="BN40" s="482"/>
    </row>
    <row r="41" spans="1:66" s="83" customFormat="1" ht="14.25" customHeight="1">
      <c r="A41" s="4429"/>
      <c r="B41" s="1161" t="str">
        <f t="shared" si="46"/>
        <v>Caramalt (pale)</v>
      </c>
      <c r="C41" s="1772"/>
      <c r="D41" s="1161" t="s">
        <v>82</v>
      </c>
      <c r="E41" s="1137"/>
      <c r="F41" s="896">
        <f t="shared" si="54"/>
        <v>0</v>
      </c>
      <c r="G41" s="896">
        <f t="shared" si="47"/>
        <v>0</v>
      </c>
      <c r="H41" s="1139" t="s">
        <v>740</v>
      </c>
      <c r="I41" s="1194">
        <v>10</v>
      </c>
      <c r="J41" s="1196"/>
      <c r="K41" s="1191"/>
      <c r="L41" s="1191"/>
      <c r="M41" s="1191"/>
      <c r="N41" s="1191"/>
      <c r="O41" s="1192"/>
      <c r="P41" s="1193">
        <f t="shared" si="55"/>
        <v>0</v>
      </c>
      <c r="Q41" s="1222">
        <f t="shared" si="55"/>
        <v>0</v>
      </c>
      <c r="R41" s="1222">
        <f t="shared" si="55"/>
        <v>0</v>
      </c>
      <c r="S41" s="1222">
        <f t="shared" si="55"/>
        <v>0</v>
      </c>
      <c r="T41" s="1222">
        <f t="shared" si="55"/>
        <v>0</v>
      </c>
      <c r="U41" s="1223">
        <f t="shared" si="55"/>
        <v>0</v>
      </c>
      <c r="V41" s="1224"/>
      <c r="W41" s="1191"/>
      <c r="X41" s="1191"/>
      <c r="Y41" s="1191"/>
      <c r="Z41" s="1191"/>
      <c r="AA41" s="1192"/>
      <c r="AB41" s="507">
        <f t="shared" si="48"/>
        <v>198.75</v>
      </c>
      <c r="AC41" s="4322">
        <f t="shared" si="49"/>
        <v>0.76</v>
      </c>
      <c r="AD41" s="507">
        <f t="shared" si="50"/>
        <v>8.8800000000000008</v>
      </c>
      <c r="AE41" s="507"/>
      <c r="AF41" s="503">
        <f t="shared" si="51"/>
        <v>0</v>
      </c>
      <c r="AG41" s="502">
        <f t="shared" si="52"/>
        <v>0</v>
      </c>
      <c r="AH41" s="502">
        <f t="shared" si="53"/>
        <v>0</v>
      </c>
      <c r="AI41" s="502"/>
      <c r="AJ41" s="485"/>
      <c r="AK41" s="502">
        <f t="shared" si="56"/>
        <v>0</v>
      </c>
      <c r="AL41" s="502">
        <f t="shared" si="56"/>
        <v>0</v>
      </c>
      <c r="AM41" s="502">
        <f t="shared" si="56"/>
        <v>0</v>
      </c>
      <c r="AN41" s="502">
        <f t="shared" si="56"/>
        <v>0</v>
      </c>
      <c r="AO41" s="502">
        <f t="shared" si="56"/>
        <v>0</v>
      </c>
      <c r="AP41" s="502">
        <f t="shared" si="56"/>
        <v>0</v>
      </c>
      <c r="AQ41" s="4439">
        <f t="shared" si="56"/>
        <v>0</v>
      </c>
      <c r="AR41" s="1251">
        <f t="shared" si="56"/>
        <v>0</v>
      </c>
      <c r="AS41" s="1252">
        <f t="shared" si="56"/>
        <v>0</v>
      </c>
      <c r="AT41" s="1253">
        <f t="shared" si="56"/>
        <v>0</v>
      </c>
      <c r="AU41" s="1251">
        <f t="shared" si="56"/>
        <v>0</v>
      </c>
      <c r="AV41" s="502">
        <f t="shared" si="56"/>
        <v>0</v>
      </c>
      <c r="AW41" s="4439">
        <f t="shared" si="56"/>
        <v>0</v>
      </c>
      <c r="AX41" s="502">
        <f t="shared" si="56"/>
        <v>0</v>
      </c>
      <c r="AY41" s="502">
        <f t="shared" si="56"/>
        <v>0</v>
      </c>
      <c r="AZ41" s="502">
        <f t="shared" si="56"/>
        <v>0</v>
      </c>
      <c r="BA41" s="502">
        <f t="shared" si="57"/>
        <v>0</v>
      </c>
      <c r="BB41" s="502">
        <f t="shared" si="58"/>
        <v>0</v>
      </c>
      <c r="BC41" s="3276" t="str">
        <f t="shared" si="32"/>
        <v>Pride Of Ringwood</v>
      </c>
      <c r="BD41" s="3276"/>
      <c r="BE41" s="3276"/>
      <c r="BF41" s="3277"/>
      <c r="BG41" s="1256"/>
      <c r="BH41" s="1727">
        <v>35</v>
      </c>
      <c r="BI41" s="2375">
        <f t="shared" si="59"/>
        <v>1.2345679012345678</v>
      </c>
      <c r="BJ41" s="3280" t="str">
        <f t="shared" si="60"/>
        <v>0  lb   1.23  oz</v>
      </c>
      <c r="BK41" s="3281"/>
      <c r="BL41" s="2644">
        <f t="shared" si="61"/>
        <v>7.716049382716049E-2</v>
      </c>
      <c r="BM41" s="1268"/>
      <c r="BN41" s="482"/>
    </row>
    <row r="42" spans="1:66" s="83" customFormat="1" ht="14.25" customHeight="1">
      <c r="A42" s="4429"/>
      <c r="B42" s="1161" t="str">
        <f t="shared" si="46"/>
        <v>Carapils</v>
      </c>
      <c r="C42" s="1772"/>
      <c r="D42" s="1161" t="s">
        <v>82</v>
      </c>
      <c r="E42" s="1137"/>
      <c r="F42" s="896">
        <f t="shared" si="54"/>
        <v>0</v>
      </c>
      <c r="G42" s="896">
        <f t="shared" si="47"/>
        <v>0</v>
      </c>
      <c r="H42" s="1139" t="s">
        <v>741</v>
      </c>
      <c r="I42" s="1194">
        <v>5</v>
      </c>
      <c r="J42" s="1196"/>
      <c r="K42" s="1191"/>
      <c r="L42" s="1191"/>
      <c r="M42" s="1191"/>
      <c r="N42" s="1191"/>
      <c r="O42" s="1192"/>
      <c r="P42" s="1193">
        <f t="shared" si="55"/>
        <v>0</v>
      </c>
      <c r="Q42" s="1222">
        <f t="shared" si="55"/>
        <v>0</v>
      </c>
      <c r="R42" s="1222">
        <f t="shared" si="55"/>
        <v>0</v>
      </c>
      <c r="S42" s="1222">
        <f t="shared" si="55"/>
        <v>0</v>
      </c>
      <c r="T42" s="1222">
        <f t="shared" si="55"/>
        <v>0</v>
      </c>
      <c r="U42" s="1223">
        <f t="shared" si="55"/>
        <v>0</v>
      </c>
      <c r="V42" s="1224"/>
      <c r="W42" s="1191"/>
      <c r="X42" s="1191"/>
      <c r="Y42" s="1191"/>
      <c r="Z42" s="1191"/>
      <c r="AA42" s="1192"/>
      <c r="AB42" s="507">
        <f t="shared" si="48"/>
        <v>198.75</v>
      </c>
      <c r="AC42" s="4322">
        <f t="shared" si="49"/>
        <v>0.76</v>
      </c>
      <c r="AD42" s="507">
        <f t="shared" si="50"/>
        <v>7.4</v>
      </c>
      <c r="AE42" s="507"/>
      <c r="AF42" s="503">
        <f t="shared" si="51"/>
        <v>0</v>
      </c>
      <c r="AG42" s="502">
        <f t="shared" si="52"/>
        <v>0</v>
      </c>
      <c r="AH42" s="502">
        <f t="shared" si="53"/>
        <v>0</v>
      </c>
      <c r="AI42" s="502"/>
      <c r="AJ42" s="485"/>
      <c r="AK42" s="502">
        <f t="shared" si="56"/>
        <v>0</v>
      </c>
      <c r="AL42" s="502">
        <f t="shared" si="56"/>
        <v>0</v>
      </c>
      <c r="AM42" s="502">
        <f t="shared" si="56"/>
        <v>0</v>
      </c>
      <c r="AN42" s="502">
        <f t="shared" si="56"/>
        <v>0</v>
      </c>
      <c r="AO42" s="502">
        <f t="shared" si="56"/>
        <v>0</v>
      </c>
      <c r="AP42" s="502">
        <f t="shared" si="56"/>
        <v>0</v>
      </c>
      <c r="AQ42" s="4439">
        <f t="shared" si="56"/>
        <v>0</v>
      </c>
      <c r="AR42" s="1251">
        <f t="shared" si="56"/>
        <v>0</v>
      </c>
      <c r="AS42" s="1252">
        <f t="shared" si="56"/>
        <v>0</v>
      </c>
      <c r="AT42" s="1253">
        <f t="shared" si="56"/>
        <v>0</v>
      </c>
      <c r="AU42" s="1251">
        <f t="shared" si="56"/>
        <v>0</v>
      </c>
      <c r="AV42" s="502">
        <f t="shared" si="56"/>
        <v>0</v>
      </c>
      <c r="AW42" s="4439">
        <f t="shared" si="56"/>
        <v>0</v>
      </c>
      <c r="AX42" s="502">
        <f t="shared" si="56"/>
        <v>0</v>
      </c>
      <c r="AY42" s="502">
        <f t="shared" si="56"/>
        <v>0</v>
      </c>
      <c r="AZ42" s="502">
        <f t="shared" si="56"/>
        <v>0</v>
      </c>
      <c r="BA42" s="502">
        <f t="shared" si="57"/>
        <v>0</v>
      </c>
      <c r="BB42" s="502">
        <f t="shared" si="58"/>
        <v>0</v>
      </c>
      <c r="BC42" s="3276" t="str">
        <f t="shared" si="32"/>
        <v>Progress</v>
      </c>
      <c r="BD42" s="3276"/>
      <c r="BE42" s="3276"/>
      <c r="BF42" s="3277"/>
      <c r="BG42" s="1256"/>
      <c r="BH42" s="1727">
        <v>50</v>
      </c>
      <c r="BI42" s="2375">
        <f t="shared" si="59"/>
        <v>1.7636684303350969</v>
      </c>
      <c r="BJ42" s="3280" t="str">
        <f t="shared" si="60"/>
        <v>0  lb   1.76  oz</v>
      </c>
      <c r="BK42" s="3281"/>
      <c r="BL42" s="2376">
        <f t="shared" si="61"/>
        <v>0.11022927689594356</v>
      </c>
      <c r="BM42" s="1256"/>
      <c r="BN42" s="1256"/>
    </row>
    <row r="43" spans="1:66" s="83" customFormat="1" ht="14.25" customHeight="1">
      <c r="A43" s="4429"/>
      <c r="B43" s="1161" t="str">
        <f t="shared" si="46"/>
        <v>Chocolate</v>
      </c>
      <c r="C43" s="1772"/>
      <c r="D43" s="1161" t="s">
        <v>82</v>
      </c>
      <c r="E43" s="1137"/>
      <c r="F43" s="896">
        <f t="shared" si="54"/>
        <v>0</v>
      </c>
      <c r="G43" s="896">
        <f t="shared" si="47"/>
        <v>0</v>
      </c>
      <c r="H43" s="1139" t="s">
        <v>742</v>
      </c>
      <c r="I43" s="1194">
        <v>2.2000000000000002</v>
      </c>
      <c r="J43" s="1196"/>
      <c r="K43" s="1191"/>
      <c r="L43" s="1191"/>
      <c r="M43" s="1191"/>
      <c r="N43" s="1191"/>
      <c r="O43" s="1192"/>
      <c r="P43" s="1193">
        <f t="shared" si="55"/>
        <v>0</v>
      </c>
      <c r="Q43" s="1222">
        <f t="shared" si="55"/>
        <v>0</v>
      </c>
      <c r="R43" s="1222">
        <f t="shared" si="55"/>
        <v>0</v>
      </c>
      <c r="S43" s="1222">
        <f t="shared" si="55"/>
        <v>0</v>
      </c>
      <c r="T43" s="1222">
        <f t="shared" si="55"/>
        <v>0</v>
      </c>
      <c r="U43" s="1223">
        <f t="shared" si="55"/>
        <v>0</v>
      </c>
      <c r="V43" s="1224"/>
      <c r="W43" s="1191"/>
      <c r="X43" s="1191"/>
      <c r="Y43" s="1191"/>
      <c r="Z43" s="1191"/>
      <c r="AA43" s="1192"/>
      <c r="AB43" s="507">
        <f t="shared" si="48"/>
        <v>198.75</v>
      </c>
      <c r="AC43" s="4322">
        <f t="shared" si="49"/>
        <v>0.76</v>
      </c>
      <c r="AD43" s="507">
        <f t="shared" si="50"/>
        <v>763.2</v>
      </c>
      <c r="AE43" s="507"/>
      <c r="AF43" s="503">
        <f t="shared" si="51"/>
        <v>0</v>
      </c>
      <c r="AG43" s="502">
        <f t="shared" si="52"/>
        <v>0</v>
      </c>
      <c r="AH43" s="502">
        <f t="shared" si="53"/>
        <v>0</v>
      </c>
      <c r="AI43" s="502"/>
      <c r="AJ43" s="485"/>
      <c r="AK43" s="502">
        <f t="shared" si="56"/>
        <v>0</v>
      </c>
      <c r="AL43" s="502">
        <f t="shared" si="56"/>
        <v>0</v>
      </c>
      <c r="AM43" s="502">
        <f t="shared" si="56"/>
        <v>0</v>
      </c>
      <c r="AN43" s="502">
        <f t="shared" si="56"/>
        <v>0</v>
      </c>
      <c r="AO43" s="502">
        <f t="shared" si="56"/>
        <v>0</v>
      </c>
      <c r="AP43" s="502">
        <f t="shared" si="56"/>
        <v>0</v>
      </c>
      <c r="AQ43" s="4439">
        <f t="shared" si="56"/>
        <v>0</v>
      </c>
      <c r="AR43" s="1251">
        <f t="shared" si="56"/>
        <v>0</v>
      </c>
      <c r="AS43" s="1252">
        <f t="shared" si="56"/>
        <v>0</v>
      </c>
      <c r="AT43" s="1253">
        <f t="shared" si="56"/>
        <v>0</v>
      </c>
      <c r="AU43" s="1251">
        <f t="shared" si="56"/>
        <v>0</v>
      </c>
      <c r="AV43" s="502">
        <f t="shared" si="56"/>
        <v>0</v>
      </c>
      <c r="AW43" s="4439">
        <f t="shared" si="56"/>
        <v>0</v>
      </c>
      <c r="AX43" s="502">
        <f t="shared" si="56"/>
        <v>0</v>
      </c>
      <c r="AY43" s="502">
        <f t="shared" si="56"/>
        <v>0</v>
      </c>
      <c r="AZ43" s="502">
        <f t="shared" si="56"/>
        <v>0</v>
      </c>
      <c r="BA43" s="502">
        <f t="shared" si="57"/>
        <v>0</v>
      </c>
      <c r="BB43" s="502">
        <f t="shared" si="58"/>
        <v>0</v>
      </c>
      <c r="BC43" s="3276" t="str">
        <f t="shared" si="32"/>
        <v>Saaz</v>
      </c>
      <c r="BD43" s="3276"/>
      <c r="BE43" s="3276"/>
      <c r="BF43" s="3277"/>
      <c r="BG43" s="1256"/>
      <c r="BH43" s="1727">
        <v>100</v>
      </c>
      <c r="BI43" s="2375">
        <f t="shared" si="59"/>
        <v>3.5273368606701938</v>
      </c>
      <c r="BJ43" s="3280" t="str">
        <f t="shared" si="60"/>
        <v>0  lb   3.53  oz</v>
      </c>
      <c r="BK43" s="3281"/>
      <c r="BL43" s="2376">
        <f t="shared" si="61"/>
        <v>0.22045855379188711</v>
      </c>
      <c r="BM43" s="1256"/>
      <c r="BN43" s="482"/>
    </row>
    <row r="44" spans="1:66" s="83" customFormat="1" ht="14.25" customHeight="1">
      <c r="A44" s="4429"/>
      <c r="B44" s="1161" t="str">
        <f t="shared" si="46"/>
        <v>Crystal (dark)</v>
      </c>
      <c r="C44" s="1772"/>
      <c r="D44" s="1161" t="s">
        <v>82</v>
      </c>
      <c r="E44" s="1137"/>
      <c r="F44" s="896">
        <f t="shared" si="54"/>
        <v>0</v>
      </c>
      <c r="G44" s="896">
        <f t="shared" si="47"/>
        <v>0</v>
      </c>
      <c r="H44" s="1138" t="s">
        <v>743</v>
      </c>
      <c r="I44" s="1194">
        <v>13.5</v>
      </c>
      <c r="J44" s="1196"/>
      <c r="K44" s="1191"/>
      <c r="L44" s="1191"/>
      <c r="M44" s="1191"/>
      <c r="N44" s="1191"/>
      <c r="O44" s="1192"/>
      <c r="P44" s="1193">
        <f t="shared" si="55"/>
        <v>0</v>
      </c>
      <c r="Q44" s="1222">
        <f t="shared" si="55"/>
        <v>0</v>
      </c>
      <c r="R44" s="1222">
        <f t="shared" si="55"/>
        <v>0</v>
      </c>
      <c r="S44" s="1222">
        <f t="shared" si="55"/>
        <v>0</v>
      </c>
      <c r="T44" s="1222">
        <f t="shared" si="55"/>
        <v>0</v>
      </c>
      <c r="U44" s="1223">
        <f t="shared" si="55"/>
        <v>0</v>
      </c>
      <c r="V44" s="1224"/>
      <c r="W44" s="1191"/>
      <c r="X44" s="1191"/>
      <c r="Y44" s="1191"/>
      <c r="Z44" s="1191"/>
      <c r="AA44" s="1192"/>
      <c r="AB44" s="507">
        <f t="shared" si="48"/>
        <v>198.75</v>
      </c>
      <c r="AC44" s="4322">
        <f t="shared" si="49"/>
        <v>0.76</v>
      </c>
      <c r="AD44" s="507">
        <f t="shared" si="50"/>
        <v>148</v>
      </c>
      <c r="AE44" s="507"/>
      <c r="AF44" s="503">
        <f t="shared" si="51"/>
        <v>0</v>
      </c>
      <c r="AG44" s="502">
        <f t="shared" si="52"/>
        <v>0</v>
      </c>
      <c r="AH44" s="502">
        <f t="shared" si="53"/>
        <v>0</v>
      </c>
      <c r="AI44" s="502"/>
      <c r="AJ44" s="485"/>
      <c r="AK44" s="502">
        <f t="shared" si="56"/>
        <v>0</v>
      </c>
      <c r="AL44" s="502">
        <f t="shared" si="56"/>
        <v>0</v>
      </c>
      <c r="AM44" s="502">
        <f t="shared" si="56"/>
        <v>0</v>
      </c>
      <c r="AN44" s="502">
        <f t="shared" si="56"/>
        <v>0</v>
      </c>
      <c r="AO44" s="502">
        <f t="shared" si="56"/>
        <v>0</v>
      </c>
      <c r="AP44" s="502">
        <f t="shared" si="56"/>
        <v>0</v>
      </c>
      <c r="AQ44" s="4439">
        <f t="shared" si="56"/>
        <v>0</v>
      </c>
      <c r="AR44" s="1251">
        <f t="shared" si="56"/>
        <v>0</v>
      </c>
      <c r="AS44" s="1252">
        <f t="shared" si="56"/>
        <v>0</v>
      </c>
      <c r="AT44" s="1253">
        <f t="shared" si="56"/>
        <v>0</v>
      </c>
      <c r="AU44" s="1251">
        <f t="shared" si="56"/>
        <v>0</v>
      </c>
      <c r="AV44" s="502">
        <f t="shared" si="56"/>
        <v>0</v>
      </c>
      <c r="AW44" s="4439">
        <f t="shared" si="56"/>
        <v>0</v>
      </c>
      <c r="AX44" s="502">
        <f t="shared" si="56"/>
        <v>0</v>
      </c>
      <c r="AY44" s="502">
        <f t="shared" si="56"/>
        <v>0</v>
      </c>
      <c r="AZ44" s="502">
        <f t="shared" si="56"/>
        <v>0</v>
      </c>
      <c r="BA44" s="502">
        <f t="shared" si="57"/>
        <v>0</v>
      </c>
      <c r="BB44" s="502">
        <f t="shared" si="58"/>
        <v>0</v>
      </c>
      <c r="BC44" s="3276" t="str">
        <f t="shared" si="32"/>
        <v>Southern Cross</v>
      </c>
      <c r="BD44" s="3276"/>
      <c r="BE44" s="3276"/>
      <c r="BF44" s="3277"/>
      <c r="BG44" s="1256"/>
      <c r="BH44" s="1727">
        <v>500</v>
      </c>
      <c r="BI44" s="2375">
        <f t="shared" si="59"/>
        <v>17.636684303350968</v>
      </c>
      <c r="BJ44" s="3280" t="str">
        <f t="shared" si="60"/>
        <v>1  lb   1.64  oz</v>
      </c>
      <c r="BK44" s="3281"/>
      <c r="BL44" s="2376">
        <f t="shared" si="61"/>
        <v>1.1022927689594355</v>
      </c>
      <c r="BM44" s="1256"/>
      <c r="BN44" s="482"/>
    </row>
    <row r="45" spans="1:66" s="83" customFormat="1" ht="14.25" customHeight="1">
      <c r="A45" s="4429"/>
      <c r="B45" s="1161" t="str">
        <f t="shared" si="46"/>
        <v>Crystal (light)</v>
      </c>
      <c r="C45" s="1772">
        <v>300</v>
      </c>
      <c r="D45" s="1161" t="s">
        <v>82</v>
      </c>
      <c r="E45" s="1137"/>
      <c r="F45" s="896">
        <f t="shared" si="54"/>
        <v>16.185158209921504</v>
      </c>
      <c r="G45" s="896">
        <f t="shared" si="47"/>
        <v>9.7017278024671274</v>
      </c>
      <c r="H45" s="1138" t="s">
        <v>744</v>
      </c>
      <c r="I45" s="1194">
        <v>5.5</v>
      </c>
      <c r="J45" s="1196"/>
      <c r="K45" s="1191"/>
      <c r="L45" s="1191"/>
      <c r="M45" s="1191"/>
      <c r="N45" s="1191"/>
      <c r="O45" s="1192"/>
      <c r="P45" s="1193">
        <f t="shared" si="55"/>
        <v>0</v>
      </c>
      <c r="Q45" s="1222">
        <f t="shared" si="55"/>
        <v>0</v>
      </c>
      <c r="R45" s="1222">
        <f t="shared" si="55"/>
        <v>0</v>
      </c>
      <c r="S45" s="1222">
        <f t="shared" si="55"/>
        <v>0</v>
      </c>
      <c r="T45" s="1222">
        <f t="shared" si="55"/>
        <v>0</v>
      </c>
      <c r="U45" s="1223">
        <f t="shared" si="55"/>
        <v>0</v>
      </c>
      <c r="V45" s="1224"/>
      <c r="W45" s="1191"/>
      <c r="X45" s="1191"/>
      <c r="Y45" s="1191"/>
      <c r="Z45" s="1191"/>
      <c r="AA45" s="1192"/>
      <c r="AB45" s="507">
        <f t="shared" si="48"/>
        <v>198.75</v>
      </c>
      <c r="AC45" s="4322">
        <f t="shared" si="49"/>
        <v>0.76</v>
      </c>
      <c r="AD45" s="507">
        <f t="shared" si="50"/>
        <v>77.7</v>
      </c>
      <c r="AE45" s="507"/>
      <c r="AF45" s="503">
        <f t="shared" si="51"/>
        <v>59.625</v>
      </c>
      <c r="AG45" s="502">
        <f t="shared" si="52"/>
        <v>45.314999999999998</v>
      </c>
      <c r="AH45" s="502">
        <f t="shared" si="53"/>
        <v>233.10000000000002</v>
      </c>
      <c r="AI45" s="502"/>
      <c r="AJ45" s="485"/>
      <c r="AK45" s="502">
        <f t="shared" si="56"/>
        <v>0</v>
      </c>
      <c r="AL45" s="502">
        <f t="shared" si="56"/>
        <v>0</v>
      </c>
      <c r="AM45" s="502">
        <f t="shared" si="56"/>
        <v>0</v>
      </c>
      <c r="AN45" s="502">
        <f t="shared" si="56"/>
        <v>0</v>
      </c>
      <c r="AO45" s="502">
        <f t="shared" si="56"/>
        <v>0</v>
      </c>
      <c r="AP45" s="502">
        <f t="shared" si="56"/>
        <v>0</v>
      </c>
      <c r="AQ45" s="4439">
        <f t="shared" si="56"/>
        <v>0</v>
      </c>
      <c r="AR45" s="1251">
        <f t="shared" si="56"/>
        <v>0</v>
      </c>
      <c r="AS45" s="1252">
        <f t="shared" si="56"/>
        <v>0</v>
      </c>
      <c r="AT45" s="1253">
        <f t="shared" si="56"/>
        <v>0</v>
      </c>
      <c r="AU45" s="1251">
        <f t="shared" si="56"/>
        <v>0</v>
      </c>
      <c r="AV45" s="502">
        <f t="shared" si="56"/>
        <v>0</v>
      </c>
      <c r="AW45" s="4439">
        <f t="shared" si="56"/>
        <v>0</v>
      </c>
      <c r="AX45" s="502">
        <f t="shared" ref="AX45:BB46" si="62">$I45*W45</f>
        <v>0</v>
      </c>
      <c r="AY45" s="502">
        <f t="shared" si="62"/>
        <v>0</v>
      </c>
      <c r="AZ45" s="502">
        <f t="shared" si="62"/>
        <v>0</v>
      </c>
      <c r="BA45" s="502">
        <f t="shared" si="62"/>
        <v>0</v>
      </c>
      <c r="BB45" s="502">
        <f t="shared" si="62"/>
        <v>0</v>
      </c>
      <c r="BC45" s="3276" t="str">
        <f t="shared" si="32"/>
        <v>Sovereign</v>
      </c>
      <c r="BD45" s="3276"/>
      <c r="BE45" s="3276"/>
      <c r="BF45" s="3277"/>
      <c r="BG45" s="1256"/>
      <c r="BH45" s="1727">
        <v>1000</v>
      </c>
      <c r="BI45" s="2375">
        <f t="shared" si="59"/>
        <v>35.273368606701936</v>
      </c>
      <c r="BJ45" s="3280" t="str">
        <f t="shared" si="60"/>
        <v>2  lb   3.27  oz</v>
      </c>
      <c r="BK45" s="3281"/>
      <c r="BL45" s="2376">
        <f t="shared" si="61"/>
        <v>2.204585537918871</v>
      </c>
      <c r="BM45" s="1256"/>
      <c r="BN45" s="482"/>
    </row>
    <row r="46" spans="1:66" s="83" customFormat="1" ht="14.25" customHeight="1">
      <c r="A46" s="4429"/>
      <c r="B46" s="1161" t="str">
        <f t="shared" si="46"/>
        <v>Crystal (medium)</v>
      </c>
      <c r="C46" s="1772"/>
      <c r="D46" s="1161" t="s">
        <v>82</v>
      </c>
      <c r="E46" s="1137"/>
      <c r="F46" s="896">
        <f t="shared" si="54"/>
        <v>0</v>
      </c>
      <c r="G46" s="896">
        <f t="shared" si="47"/>
        <v>0</v>
      </c>
      <c r="H46" s="1139" t="s">
        <v>745</v>
      </c>
      <c r="I46" s="1194">
        <v>5.5</v>
      </c>
      <c r="J46" s="1196"/>
      <c r="K46" s="1191"/>
      <c r="L46" s="1191"/>
      <c r="M46" s="1191"/>
      <c r="N46" s="1191"/>
      <c r="O46" s="1192"/>
      <c r="P46" s="1193">
        <f t="shared" si="55"/>
        <v>0</v>
      </c>
      <c r="Q46" s="1222">
        <f t="shared" si="55"/>
        <v>0</v>
      </c>
      <c r="R46" s="1222">
        <f t="shared" si="55"/>
        <v>0</v>
      </c>
      <c r="S46" s="1222">
        <f t="shared" si="55"/>
        <v>0</v>
      </c>
      <c r="T46" s="1222">
        <f t="shared" si="55"/>
        <v>0</v>
      </c>
      <c r="U46" s="1223">
        <f t="shared" si="55"/>
        <v>0</v>
      </c>
      <c r="V46" s="1224"/>
      <c r="W46" s="1191"/>
      <c r="X46" s="1191"/>
      <c r="Y46" s="1191"/>
      <c r="Z46" s="1191"/>
      <c r="AA46" s="1192"/>
      <c r="AB46" s="507">
        <f t="shared" si="48"/>
        <v>198.75</v>
      </c>
      <c r="AC46" s="4322">
        <f t="shared" si="49"/>
        <v>0.76</v>
      </c>
      <c r="AD46" s="507">
        <f t="shared" si="50"/>
        <v>103.6</v>
      </c>
      <c r="AE46" s="507"/>
      <c r="AF46" s="503">
        <f t="shared" si="51"/>
        <v>0</v>
      </c>
      <c r="AG46" s="502">
        <f t="shared" si="52"/>
        <v>0</v>
      </c>
      <c r="AH46" s="502">
        <f t="shared" si="53"/>
        <v>0</v>
      </c>
      <c r="AI46" s="502"/>
      <c r="AJ46" s="485"/>
      <c r="AK46" s="502">
        <f t="shared" si="56"/>
        <v>0</v>
      </c>
      <c r="AL46" s="502">
        <f t="shared" si="56"/>
        <v>0</v>
      </c>
      <c r="AM46" s="502">
        <f t="shared" si="56"/>
        <v>0</v>
      </c>
      <c r="AN46" s="502">
        <f t="shared" si="56"/>
        <v>0</v>
      </c>
      <c r="AO46" s="502">
        <f t="shared" si="56"/>
        <v>0</v>
      </c>
      <c r="AP46" s="502">
        <f t="shared" si="56"/>
        <v>0</v>
      </c>
      <c r="AQ46" s="4439">
        <f t="shared" si="56"/>
        <v>0</v>
      </c>
      <c r="AR46" s="1251">
        <f t="shared" si="56"/>
        <v>0</v>
      </c>
      <c r="AS46" s="1252">
        <f t="shared" si="56"/>
        <v>0</v>
      </c>
      <c r="AT46" s="1253">
        <f t="shared" si="56"/>
        <v>0</v>
      </c>
      <c r="AU46" s="1251">
        <f t="shared" si="56"/>
        <v>0</v>
      </c>
      <c r="AV46" s="502">
        <f t="shared" si="56"/>
        <v>0</v>
      </c>
      <c r="AW46" s="4439">
        <f t="shared" si="56"/>
        <v>0</v>
      </c>
      <c r="AX46" s="502">
        <f t="shared" si="62"/>
        <v>0</v>
      </c>
      <c r="AY46" s="502">
        <f t="shared" si="62"/>
        <v>0</v>
      </c>
      <c r="AZ46" s="502">
        <f t="shared" si="62"/>
        <v>0</v>
      </c>
      <c r="BA46" s="502">
        <f t="shared" si="62"/>
        <v>0</v>
      </c>
      <c r="BB46" s="502">
        <f t="shared" si="62"/>
        <v>0</v>
      </c>
      <c r="BC46" s="3276" t="str">
        <f t="shared" si="32"/>
        <v>Styrian Goldings</v>
      </c>
      <c r="BD46" s="3276"/>
      <c r="BE46" s="3276"/>
      <c r="BF46" s="3277"/>
      <c r="BG46" s="1256"/>
      <c r="BH46" s="1727">
        <v>2000</v>
      </c>
      <c r="BI46" s="2375">
        <f t="shared" si="59"/>
        <v>70.546737213403873</v>
      </c>
      <c r="BJ46" s="3280" t="str">
        <f t="shared" si="60"/>
        <v>4  lb   6.55  oz</v>
      </c>
      <c r="BK46" s="3281"/>
      <c r="BL46" s="2376">
        <f t="shared" si="61"/>
        <v>4.409171075837742</v>
      </c>
      <c r="BM46" s="1256"/>
      <c r="BN46" s="482"/>
    </row>
    <row r="47" spans="1:66" s="83" customFormat="1" ht="14.25" customHeight="1">
      <c r="A47" s="4429"/>
      <c r="B47" s="1161" t="str">
        <f t="shared" si="46"/>
        <v>Roast barley</v>
      </c>
      <c r="C47" s="1772"/>
      <c r="D47" s="1161" t="s">
        <v>82</v>
      </c>
      <c r="E47" s="1137"/>
      <c r="F47" s="896">
        <f t="shared" si="54"/>
        <v>0</v>
      </c>
      <c r="G47" s="896">
        <f t="shared" si="47"/>
        <v>0</v>
      </c>
      <c r="H47" s="1139" t="s">
        <v>746</v>
      </c>
      <c r="I47" s="1194">
        <v>11.5</v>
      </c>
      <c r="J47" s="1196"/>
      <c r="K47" s="1191"/>
      <c r="L47" s="1191"/>
      <c r="M47" s="1191"/>
      <c r="N47" s="1191"/>
      <c r="O47" s="1192"/>
      <c r="P47" s="1193">
        <f t="shared" si="55"/>
        <v>0</v>
      </c>
      <c r="Q47" s="1222">
        <f t="shared" si="55"/>
        <v>0</v>
      </c>
      <c r="R47" s="1222">
        <f t="shared" si="55"/>
        <v>0</v>
      </c>
      <c r="S47" s="1222">
        <f t="shared" si="55"/>
        <v>0</v>
      </c>
      <c r="T47" s="1222">
        <f t="shared" si="55"/>
        <v>0</v>
      </c>
      <c r="U47" s="1223">
        <f t="shared" si="55"/>
        <v>0</v>
      </c>
      <c r="V47" s="1224"/>
      <c r="W47" s="1191"/>
      <c r="X47" s="1191"/>
      <c r="Y47" s="1191"/>
      <c r="Z47" s="1191"/>
      <c r="AA47" s="1192"/>
      <c r="AB47" s="507">
        <f t="shared" si="48"/>
        <v>198.75</v>
      </c>
      <c r="AC47" s="4322">
        <f t="shared" si="49"/>
        <v>0.76</v>
      </c>
      <c r="AD47" s="507">
        <f t="shared" si="50"/>
        <v>902.8</v>
      </c>
      <c r="AE47" s="507"/>
      <c r="AF47" s="503">
        <f t="shared" si="51"/>
        <v>0</v>
      </c>
      <c r="AG47" s="502">
        <f t="shared" si="52"/>
        <v>0</v>
      </c>
      <c r="AH47" s="502">
        <f t="shared" si="53"/>
        <v>0</v>
      </c>
      <c r="AI47" s="502"/>
      <c r="AJ47" s="485"/>
      <c r="AK47" s="502">
        <f t="shared" si="56"/>
        <v>0</v>
      </c>
      <c r="AL47" s="502">
        <f t="shared" si="56"/>
        <v>0</v>
      </c>
      <c r="AM47" s="502">
        <f t="shared" si="56"/>
        <v>0</v>
      </c>
      <c r="AN47" s="502">
        <f t="shared" si="56"/>
        <v>0</v>
      </c>
      <c r="AO47" s="502">
        <f t="shared" si="56"/>
        <v>0</v>
      </c>
      <c r="AP47" s="502">
        <f t="shared" si="56"/>
        <v>0</v>
      </c>
      <c r="AQ47" s="4439">
        <f t="shared" si="56"/>
        <v>0</v>
      </c>
      <c r="AR47" s="1251">
        <f t="shared" si="56"/>
        <v>0</v>
      </c>
      <c r="AS47" s="1252">
        <f t="shared" si="56"/>
        <v>0</v>
      </c>
      <c r="AT47" s="1253">
        <f t="shared" si="56"/>
        <v>0</v>
      </c>
      <c r="AU47" s="1251">
        <f t="shared" si="56"/>
        <v>0</v>
      </c>
      <c r="AV47" s="502">
        <f t="shared" si="56"/>
        <v>0</v>
      </c>
      <c r="AW47" s="4439">
        <f t="shared" si="56"/>
        <v>0</v>
      </c>
      <c r="AX47" s="502">
        <f t="shared" si="56"/>
        <v>0</v>
      </c>
      <c r="AY47" s="502">
        <f t="shared" si="56"/>
        <v>0</v>
      </c>
      <c r="AZ47" s="502">
        <f t="shared" si="56"/>
        <v>0</v>
      </c>
      <c r="BA47" s="502">
        <f t="shared" si="57"/>
        <v>0</v>
      </c>
      <c r="BB47" s="502">
        <f t="shared" si="58"/>
        <v>0</v>
      </c>
      <c r="BC47" s="3276" t="str">
        <f t="shared" si="32"/>
        <v>Target</v>
      </c>
      <c r="BD47" s="3276"/>
      <c r="BE47" s="3276"/>
      <c r="BF47" s="3277"/>
      <c r="BG47" s="1256"/>
      <c r="BH47" s="1256"/>
      <c r="BI47" s="1256"/>
      <c r="BJ47" s="1256"/>
      <c r="BK47" s="1256"/>
      <c r="BL47" s="1256"/>
      <c r="BM47" s="1256"/>
      <c r="BN47" s="482"/>
    </row>
    <row r="48" spans="1:66" s="83" customFormat="1" ht="14.25" customHeight="1">
      <c r="A48" s="4429"/>
      <c r="B48" s="1161" t="str">
        <f t="shared" si="46"/>
        <v>OTHER (2)</v>
      </c>
      <c r="C48" s="1772"/>
      <c r="D48" s="1161" t="s">
        <v>82</v>
      </c>
      <c r="E48" s="1137"/>
      <c r="F48" s="896">
        <f t="shared" si="54"/>
        <v>0</v>
      </c>
      <c r="G48" s="896">
        <f t="shared" si="47"/>
        <v>0</v>
      </c>
      <c r="H48" s="1139" t="s">
        <v>747</v>
      </c>
      <c r="I48" s="1194">
        <v>5</v>
      </c>
      <c r="J48" s="1196"/>
      <c r="K48" s="1191"/>
      <c r="L48" s="1191"/>
      <c r="M48" s="1191"/>
      <c r="N48" s="1191"/>
      <c r="O48" s="1192"/>
      <c r="P48" s="1193">
        <f t="shared" si="55"/>
        <v>0</v>
      </c>
      <c r="Q48" s="1222">
        <f t="shared" si="55"/>
        <v>0</v>
      </c>
      <c r="R48" s="1222">
        <f t="shared" si="55"/>
        <v>0</v>
      </c>
      <c r="S48" s="1222">
        <f t="shared" si="55"/>
        <v>0</v>
      </c>
      <c r="T48" s="1222">
        <f t="shared" si="55"/>
        <v>0</v>
      </c>
      <c r="U48" s="1223">
        <f t="shared" si="55"/>
        <v>0</v>
      </c>
      <c r="V48" s="1228"/>
      <c r="W48" s="1225"/>
      <c r="X48" s="1191"/>
      <c r="Y48" s="1191"/>
      <c r="Z48" s="1191"/>
      <c r="AA48" s="1192"/>
      <c r="AB48" s="507">
        <f t="shared" si="48"/>
        <v>0</v>
      </c>
      <c r="AC48" s="4322">
        <f t="shared" si="49"/>
        <v>0.76</v>
      </c>
      <c r="AD48" s="507">
        <f t="shared" si="50"/>
        <v>0</v>
      </c>
      <c r="AE48" s="507"/>
      <c r="AF48" s="503">
        <f t="shared" si="51"/>
        <v>0</v>
      </c>
      <c r="AG48" s="502">
        <f t="shared" si="52"/>
        <v>0</v>
      </c>
      <c r="AH48" s="502">
        <f t="shared" si="53"/>
        <v>0</v>
      </c>
      <c r="AI48" s="502"/>
      <c r="AJ48" s="513"/>
      <c r="AK48" s="502">
        <f t="shared" si="56"/>
        <v>0</v>
      </c>
      <c r="AL48" s="502">
        <f t="shared" si="56"/>
        <v>0</v>
      </c>
      <c r="AM48" s="502">
        <f t="shared" si="56"/>
        <v>0</v>
      </c>
      <c r="AN48" s="502">
        <f t="shared" si="56"/>
        <v>0</v>
      </c>
      <c r="AO48" s="502">
        <f t="shared" si="56"/>
        <v>0</v>
      </c>
      <c r="AP48" s="502">
        <f t="shared" si="56"/>
        <v>0</v>
      </c>
      <c r="AQ48" s="4439">
        <f t="shared" si="56"/>
        <v>0</v>
      </c>
      <c r="AR48" s="1251">
        <f t="shared" si="56"/>
        <v>0</v>
      </c>
      <c r="AS48" s="1252">
        <f t="shared" si="56"/>
        <v>0</v>
      </c>
      <c r="AT48" s="1253">
        <f t="shared" si="56"/>
        <v>0</v>
      </c>
      <c r="AU48" s="1251">
        <f t="shared" si="56"/>
        <v>0</v>
      </c>
      <c r="AV48" s="502">
        <f t="shared" si="56"/>
        <v>0</v>
      </c>
      <c r="AW48" s="4439">
        <f t="shared" si="56"/>
        <v>0</v>
      </c>
      <c r="AX48" s="502">
        <f t="shared" si="56"/>
        <v>0</v>
      </c>
      <c r="AY48" s="502">
        <f t="shared" si="56"/>
        <v>0</v>
      </c>
      <c r="AZ48" s="502">
        <f t="shared" si="56"/>
        <v>0</v>
      </c>
      <c r="BA48" s="502">
        <f t="shared" si="57"/>
        <v>0</v>
      </c>
      <c r="BB48" s="502">
        <f t="shared" si="58"/>
        <v>0</v>
      </c>
      <c r="BC48" s="3276" t="str">
        <f t="shared" si="32"/>
        <v>Tettnanger</v>
      </c>
      <c r="BD48" s="3276"/>
      <c r="BE48" s="3276"/>
      <c r="BF48" s="3277"/>
      <c r="BG48" s="1256"/>
      <c r="BH48" s="2377" t="s">
        <v>85</v>
      </c>
      <c r="BI48" s="2378" t="s">
        <v>86</v>
      </c>
      <c r="BJ48" s="2757" t="s">
        <v>86</v>
      </c>
      <c r="BK48" s="2302" t="s">
        <v>91</v>
      </c>
      <c r="BL48" s="1256"/>
      <c r="BM48" s="1256"/>
      <c r="BN48" s="482"/>
    </row>
    <row r="49" spans="1:66" s="83" customFormat="1" ht="14.25" customHeight="1">
      <c r="A49" s="4441"/>
      <c r="B49" s="1162" t="str">
        <f t="shared" si="46"/>
        <v>OTHER (1)</v>
      </c>
      <c r="C49" s="1773"/>
      <c r="D49" s="1161" t="s">
        <v>82</v>
      </c>
      <c r="E49" s="1163"/>
      <c r="F49" s="1135">
        <f t="shared" si="54"/>
        <v>0</v>
      </c>
      <c r="G49" s="1136">
        <f t="shared" si="47"/>
        <v>0</v>
      </c>
      <c r="H49" s="1139" t="s">
        <v>748</v>
      </c>
      <c r="I49" s="1194">
        <v>6.3</v>
      </c>
      <c r="J49" s="1195"/>
      <c r="K49" s="1191"/>
      <c r="L49" s="1191"/>
      <c r="M49" s="1191"/>
      <c r="N49" s="1191"/>
      <c r="O49" s="1192"/>
      <c r="P49" s="1193">
        <f t="shared" si="55"/>
        <v>0</v>
      </c>
      <c r="Q49" s="1222">
        <f t="shared" si="55"/>
        <v>0</v>
      </c>
      <c r="R49" s="1222">
        <f t="shared" si="55"/>
        <v>0</v>
      </c>
      <c r="S49" s="1222">
        <f t="shared" si="55"/>
        <v>0</v>
      </c>
      <c r="T49" s="1222">
        <f t="shared" si="55"/>
        <v>0</v>
      </c>
      <c r="U49" s="1223">
        <f t="shared" si="55"/>
        <v>0</v>
      </c>
      <c r="V49" s="1224"/>
      <c r="W49" s="1225"/>
      <c r="X49" s="1191"/>
      <c r="Y49" s="1191"/>
      <c r="Z49" s="1191"/>
      <c r="AA49" s="1192"/>
      <c r="AB49" s="507">
        <f t="shared" si="48"/>
        <v>0</v>
      </c>
      <c r="AC49" s="4322">
        <f t="shared" si="49"/>
        <v>0.76</v>
      </c>
      <c r="AD49" s="507">
        <f t="shared" si="50"/>
        <v>0</v>
      </c>
      <c r="AE49" s="507"/>
      <c r="AF49" s="503">
        <f t="shared" si="51"/>
        <v>0</v>
      </c>
      <c r="AG49" s="502">
        <f t="shared" si="52"/>
        <v>0</v>
      </c>
      <c r="AH49" s="502">
        <f t="shared" si="53"/>
        <v>0</v>
      </c>
      <c r="AI49" s="502"/>
      <c r="AJ49" s="513"/>
      <c r="AK49" s="502">
        <f t="shared" si="56"/>
        <v>0</v>
      </c>
      <c r="AL49" s="502">
        <f t="shared" si="56"/>
        <v>0</v>
      </c>
      <c r="AM49" s="502">
        <f t="shared" si="56"/>
        <v>0</v>
      </c>
      <c r="AN49" s="502">
        <f t="shared" si="56"/>
        <v>0</v>
      </c>
      <c r="AO49" s="502">
        <f t="shared" si="56"/>
        <v>0</v>
      </c>
      <c r="AP49" s="502">
        <f t="shared" si="56"/>
        <v>0</v>
      </c>
      <c r="AQ49" s="4439">
        <f t="shared" si="56"/>
        <v>0</v>
      </c>
      <c r="AR49" s="1251">
        <f t="shared" si="56"/>
        <v>0</v>
      </c>
      <c r="AS49" s="1252">
        <f t="shared" si="56"/>
        <v>0</v>
      </c>
      <c r="AT49" s="1253">
        <f t="shared" si="56"/>
        <v>0</v>
      </c>
      <c r="AU49" s="1251">
        <f t="shared" si="56"/>
        <v>0</v>
      </c>
      <c r="AV49" s="502">
        <f t="shared" si="56"/>
        <v>0</v>
      </c>
      <c r="AW49" s="4439">
        <f t="shared" si="56"/>
        <v>0</v>
      </c>
      <c r="AX49" s="502">
        <f t="shared" si="56"/>
        <v>0</v>
      </c>
      <c r="AY49" s="502">
        <f t="shared" si="56"/>
        <v>0</v>
      </c>
      <c r="AZ49" s="502">
        <f t="shared" si="56"/>
        <v>0</v>
      </c>
      <c r="BA49" s="502">
        <f t="shared" si="57"/>
        <v>0</v>
      </c>
      <c r="BB49" s="502">
        <f t="shared" si="58"/>
        <v>0</v>
      </c>
      <c r="BC49" s="3276" t="str">
        <f t="shared" ref="BC49:BC54" si="63">H49</f>
        <v>WGV</v>
      </c>
      <c r="BD49" s="3276"/>
      <c r="BE49" s="3276"/>
      <c r="BF49" s="3277"/>
      <c r="BG49" s="1256"/>
      <c r="BH49" s="2758"/>
      <c r="BI49" s="2379">
        <v>8</v>
      </c>
      <c r="BJ49" s="2654">
        <f t="shared" ref="BJ49:BJ55" si="64">BH49*16+BI49</f>
        <v>8</v>
      </c>
      <c r="BK49" s="2380">
        <f t="shared" ref="BK49:BK55" si="65">1000*(BH49+BJ49/16)*0.4536</f>
        <v>226.8</v>
      </c>
      <c r="BL49" s="1256"/>
      <c r="BM49" s="1256"/>
      <c r="BN49" s="482"/>
    </row>
    <row r="50" spans="1:66" s="83" customFormat="1" ht="14.25" customHeight="1">
      <c r="A50" s="3192" t="s">
        <v>749</v>
      </c>
      <c r="B50" s="4442" t="s">
        <v>750</v>
      </c>
      <c r="C50" s="1164"/>
      <c r="D50" s="1145"/>
      <c r="E50" s="3198" t="s">
        <v>751</v>
      </c>
      <c r="F50" s="1147"/>
      <c r="G50" s="1148" t="s">
        <v>721</v>
      </c>
      <c r="H50" s="1139" t="s">
        <v>752</v>
      </c>
      <c r="I50" s="1194">
        <v>7.2</v>
      </c>
      <c r="J50" s="1195"/>
      <c r="K50" s="1191"/>
      <c r="L50" s="1191"/>
      <c r="M50" s="1191"/>
      <c r="N50" s="1191"/>
      <c r="O50" s="1192"/>
      <c r="P50" s="1193">
        <f t="shared" si="55"/>
        <v>0</v>
      </c>
      <c r="Q50" s="1222">
        <f t="shared" si="55"/>
        <v>0</v>
      </c>
      <c r="R50" s="1222">
        <f t="shared" si="55"/>
        <v>0</v>
      </c>
      <c r="S50" s="1222">
        <f t="shared" si="55"/>
        <v>0</v>
      </c>
      <c r="T50" s="1222">
        <f t="shared" si="55"/>
        <v>0</v>
      </c>
      <c r="U50" s="1223">
        <f t="shared" si="55"/>
        <v>0</v>
      </c>
      <c r="V50" s="1224"/>
      <c r="W50" s="1225"/>
      <c r="X50" s="1191"/>
      <c r="Y50" s="1191"/>
      <c r="Z50" s="1191"/>
      <c r="AA50" s="1192"/>
      <c r="AJ50" s="513"/>
      <c r="AK50" s="502">
        <f t="shared" si="56"/>
        <v>0</v>
      </c>
      <c r="AL50" s="502">
        <f t="shared" si="56"/>
        <v>0</v>
      </c>
      <c r="AM50" s="502">
        <f t="shared" si="56"/>
        <v>0</v>
      </c>
      <c r="AN50" s="502">
        <f t="shared" si="56"/>
        <v>0</v>
      </c>
      <c r="AO50" s="502">
        <f t="shared" si="56"/>
        <v>0</v>
      </c>
      <c r="AP50" s="502">
        <f t="shared" si="56"/>
        <v>0</v>
      </c>
      <c r="AQ50" s="4439">
        <f t="shared" si="56"/>
        <v>0</v>
      </c>
      <c r="AR50" s="1251">
        <f t="shared" si="56"/>
        <v>0</v>
      </c>
      <c r="AS50" s="1252">
        <f t="shared" si="56"/>
        <v>0</v>
      </c>
      <c r="AT50" s="1253">
        <f t="shared" si="56"/>
        <v>0</v>
      </c>
      <c r="AU50" s="1251">
        <f t="shared" si="56"/>
        <v>0</v>
      </c>
      <c r="AV50" s="502">
        <f t="shared" si="56"/>
        <v>0</v>
      </c>
      <c r="AW50" s="4439">
        <f t="shared" si="56"/>
        <v>0</v>
      </c>
      <c r="AX50" s="502">
        <f t="shared" si="56"/>
        <v>0</v>
      </c>
      <c r="AY50" s="502">
        <f t="shared" si="56"/>
        <v>0</v>
      </c>
      <c r="AZ50" s="502">
        <f t="shared" si="56"/>
        <v>0</v>
      </c>
      <c r="BA50" s="502">
        <f t="shared" si="57"/>
        <v>0</v>
      </c>
      <c r="BB50" s="502">
        <f t="shared" si="58"/>
        <v>0</v>
      </c>
      <c r="BC50" s="3276" t="str">
        <f t="shared" si="63"/>
        <v>Yeoman</v>
      </c>
      <c r="BD50" s="3276"/>
      <c r="BE50" s="3276"/>
      <c r="BF50" s="3277"/>
      <c r="BG50" s="1256"/>
      <c r="BH50" s="2758">
        <v>1</v>
      </c>
      <c r="BI50" s="2379">
        <v>8</v>
      </c>
      <c r="BJ50" s="2654">
        <f t="shared" si="64"/>
        <v>24</v>
      </c>
      <c r="BK50" s="2380">
        <f t="shared" si="65"/>
        <v>1134</v>
      </c>
      <c r="BL50" s="1256"/>
      <c r="BM50" s="1256"/>
      <c r="BN50" s="482"/>
    </row>
    <row r="51" spans="1:66" s="83" customFormat="1" ht="14.25" customHeight="1">
      <c r="A51" s="4429"/>
      <c r="B51" s="1165"/>
      <c r="C51" s="1151" t="s">
        <v>683</v>
      </c>
      <c r="D51" s="1152" t="s">
        <v>352</v>
      </c>
      <c r="E51" s="3199"/>
      <c r="F51" s="1153" t="s">
        <v>684</v>
      </c>
      <c r="G51" s="1154" t="s">
        <v>723</v>
      </c>
      <c r="H51" s="4443" t="s">
        <v>753</v>
      </c>
      <c r="I51" s="1194">
        <v>9</v>
      </c>
      <c r="J51" s="1195"/>
      <c r="K51" s="1191"/>
      <c r="L51" s="1191"/>
      <c r="M51" s="1191"/>
      <c r="N51" s="1191"/>
      <c r="O51" s="1192"/>
      <c r="P51" s="1193">
        <f t="shared" si="55"/>
        <v>0</v>
      </c>
      <c r="Q51" s="1222">
        <f t="shared" si="55"/>
        <v>0</v>
      </c>
      <c r="R51" s="1222">
        <f t="shared" si="55"/>
        <v>0</v>
      </c>
      <c r="S51" s="1222">
        <f t="shared" si="55"/>
        <v>0</v>
      </c>
      <c r="T51" s="1222">
        <f t="shared" si="55"/>
        <v>0</v>
      </c>
      <c r="U51" s="1223">
        <f t="shared" si="55"/>
        <v>0</v>
      </c>
      <c r="V51" s="1224"/>
      <c r="W51" s="1225"/>
      <c r="X51" s="1191"/>
      <c r="Y51" s="1191"/>
      <c r="Z51" s="1191"/>
      <c r="AA51" s="1192"/>
      <c r="AJ51" s="513"/>
      <c r="AK51" s="502">
        <f t="shared" si="56"/>
        <v>0</v>
      </c>
      <c r="AL51" s="502">
        <f t="shared" si="56"/>
        <v>0</v>
      </c>
      <c r="AM51" s="502">
        <f t="shared" si="56"/>
        <v>0</v>
      </c>
      <c r="AN51" s="502">
        <f t="shared" si="56"/>
        <v>0</v>
      </c>
      <c r="AO51" s="502">
        <f t="shared" si="56"/>
        <v>0</v>
      </c>
      <c r="AP51" s="502">
        <f t="shared" si="56"/>
        <v>0</v>
      </c>
      <c r="AQ51" s="4439">
        <f t="shared" si="56"/>
        <v>0</v>
      </c>
      <c r="AR51" s="1251">
        <f t="shared" si="56"/>
        <v>0</v>
      </c>
      <c r="AS51" s="1252">
        <f t="shared" si="56"/>
        <v>0</v>
      </c>
      <c r="AT51" s="1253">
        <f t="shared" si="56"/>
        <v>0</v>
      </c>
      <c r="AU51" s="1251">
        <f t="shared" si="56"/>
        <v>0</v>
      </c>
      <c r="AV51" s="502">
        <f t="shared" si="56"/>
        <v>0</v>
      </c>
      <c r="AW51" s="4439">
        <f t="shared" si="56"/>
        <v>0</v>
      </c>
      <c r="AX51" s="502">
        <f t="shared" si="56"/>
        <v>0</v>
      </c>
      <c r="AY51" s="502">
        <f t="shared" si="56"/>
        <v>0</v>
      </c>
      <c r="AZ51" s="502">
        <f t="shared" si="56"/>
        <v>0</v>
      </c>
      <c r="BA51" s="502">
        <f t="shared" si="57"/>
        <v>0</v>
      </c>
      <c r="BB51" s="502">
        <f t="shared" si="57"/>
        <v>0</v>
      </c>
      <c r="BC51" s="3276" t="str">
        <f t="shared" si="63"/>
        <v>Zenith</v>
      </c>
      <c r="BD51" s="3276"/>
      <c r="BE51" s="3276"/>
      <c r="BF51" s="3277"/>
      <c r="BG51" s="1256"/>
      <c r="BH51" s="2758">
        <v>2</v>
      </c>
      <c r="BI51" s="2379">
        <v>8</v>
      </c>
      <c r="BJ51" s="2654">
        <f t="shared" si="64"/>
        <v>40</v>
      </c>
      <c r="BK51" s="2380">
        <f t="shared" si="65"/>
        <v>2041.2</v>
      </c>
      <c r="BL51" s="1256"/>
      <c r="BM51" s="1256"/>
      <c r="BN51" s="482"/>
    </row>
    <row r="52" spans="1:66" s="83" customFormat="1" ht="14.25" customHeight="1">
      <c r="A52" s="4429"/>
      <c r="B52" s="401" t="str">
        <f t="shared" ref="B52:B65" si="66">B154</f>
        <v>Cane ̸ beet sugar (sucrose)</v>
      </c>
      <c r="C52" s="1772">
        <v>400</v>
      </c>
      <c r="D52" s="1166" t="s">
        <v>82</v>
      </c>
      <c r="E52" s="1167"/>
      <c r="F52" s="1135">
        <f>100*IF(C52=0,0,C52/$F$70)</f>
        <v>21.580210946562005</v>
      </c>
      <c r="G52" s="1136">
        <f t="shared" ref="G52:G65" si="67">IF(AF52=0,0,AF52*100/$AF$69)</f>
        <v>24.406862396143719</v>
      </c>
      <c r="H52" s="1168" t="s">
        <v>754</v>
      </c>
      <c r="I52" s="1194">
        <v>7.4</v>
      </c>
      <c r="J52" s="1195"/>
      <c r="K52" s="1191"/>
      <c r="L52" s="1191"/>
      <c r="M52" s="1191"/>
      <c r="N52" s="1191"/>
      <c r="O52" s="1192"/>
      <c r="P52" s="1193">
        <f t="shared" si="55"/>
        <v>0</v>
      </c>
      <c r="Q52" s="1222">
        <f t="shared" si="55"/>
        <v>0</v>
      </c>
      <c r="R52" s="1222">
        <f t="shared" si="55"/>
        <v>0</v>
      </c>
      <c r="S52" s="1222">
        <f t="shared" si="55"/>
        <v>0</v>
      </c>
      <c r="T52" s="1222">
        <f t="shared" si="55"/>
        <v>0</v>
      </c>
      <c r="U52" s="1223">
        <f t="shared" si="55"/>
        <v>0</v>
      </c>
      <c r="V52" s="1224"/>
      <c r="W52" s="1225"/>
      <c r="X52" s="1191"/>
      <c r="Y52" s="1191"/>
      <c r="Z52" s="1191"/>
      <c r="AA52" s="1192"/>
      <c r="AB52" s="507">
        <f t="shared" ref="AB52:AD65" si="68">C154</f>
        <v>375</v>
      </c>
      <c r="AC52" s="507">
        <f t="shared" si="68"/>
        <v>1</v>
      </c>
      <c r="AD52" s="83">
        <f t="shared" si="68"/>
        <v>0</v>
      </c>
      <c r="AE52" s="1242">
        <f t="shared" ref="AE52:AE65" si="69">C52*AB52*AC52</f>
        <v>150000</v>
      </c>
      <c r="AF52" s="503">
        <f t="shared" ref="AF52:AF65" si="70">0.001*C52*AB52*AC52</f>
        <v>150</v>
      </c>
      <c r="AG52" s="503">
        <f>AF52*AC52</f>
        <v>150</v>
      </c>
      <c r="AH52" s="502">
        <f t="shared" ref="AH52:AH65" si="71">0.01*C52*AD52</f>
        <v>0</v>
      </c>
      <c r="AJ52" s="513"/>
      <c r="AK52" s="502">
        <f t="shared" si="56"/>
        <v>0</v>
      </c>
      <c r="AL52" s="502">
        <f t="shared" si="56"/>
        <v>0</v>
      </c>
      <c r="AM52" s="502">
        <f t="shared" si="56"/>
        <v>0</v>
      </c>
      <c r="AN52" s="502">
        <f t="shared" si="56"/>
        <v>0</v>
      </c>
      <c r="AO52" s="502">
        <f t="shared" si="56"/>
        <v>0</v>
      </c>
      <c r="AP52" s="502">
        <f t="shared" si="56"/>
        <v>0</v>
      </c>
      <c r="AQ52" s="4439">
        <f t="shared" si="56"/>
        <v>0</v>
      </c>
      <c r="AR52" s="1251">
        <f t="shared" si="56"/>
        <v>0</v>
      </c>
      <c r="AS52" s="1252">
        <f t="shared" si="56"/>
        <v>0</v>
      </c>
      <c r="AT52" s="1253">
        <f t="shared" si="56"/>
        <v>0</v>
      </c>
      <c r="AU52" s="1251">
        <f t="shared" si="57"/>
        <v>0</v>
      </c>
      <c r="AV52" s="502">
        <f t="shared" si="57"/>
        <v>0</v>
      </c>
      <c r="AW52" s="4439">
        <f t="shared" si="56"/>
        <v>0</v>
      </c>
      <c r="AX52" s="502">
        <f t="shared" si="57"/>
        <v>0</v>
      </c>
      <c r="AY52" s="502">
        <f t="shared" si="57"/>
        <v>0</v>
      </c>
      <c r="AZ52" s="502">
        <f t="shared" si="57"/>
        <v>0</v>
      </c>
      <c r="BA52" s="502">
        <f t="shared" si="57"/>
        <v>0</v>
      </c>
      <c r="BB52" s="502">
        <f t="shared" si="57"/>
        <v>0</v>
      </c>
      <c r="BC52" s="3276" t="str">
        <f t="shared" si="63"/>
        <v>Cascade</v>
      </c>
      <c r="BD52" s="3276"/>
      <c r="BE52" s="3276"/>
      <c r="BF52" s="3277"/>
      <c r="BG52" s="1256"/>
      <c r="BH52" s="2758">
        <v>3</v>
      </c>
      <c r="BI52" s="2379">
        <v>8</v>
      </c>
      <c r="BJ52" s="2654">
        <f t="shared" si="64"/>
        <v>56</v>
      </c>
      <c r="BK52" s="2380">
        <f t="shared" si="65"/>
        <v>2948.4</v>
      </c>
      <c r="BL52" s="1256"/>
      <c r="BM52" s="1256"/>
      <c r="BN52" s="482"/>
    </row>
    <row r="53" spans="1:66" s="83" customFormat="1" ht="14.25" customHeight="1">
      <c r="A53" s="4429"/>
      <c r="B53" s="401" t="str">
        <f t="shared" si="66"/>
        <v>Brown sugar (light)</v>
      </c>
      <c r="C53" s="1772"/>
      <c r="D53" s="1166" t="s">
        <v>82</v>
      </c>
      <c r="E53" s="1137"/>
      <c r="F53" s="896">
        <f>100*IF(C53=0,0,C53/$F$70)</f>
        <v>0</v>
      </c>
      <c r="G53" s="896">
        <f t="shared" si="67"/>
        <v>0</v>
      </c>
      <c r="H53" s="1168" t="s">
        <v>755</v>
      </c>
      <c r="I53" s="1194"/>
      <c r="J53" s="1195"/>
      <c r="K53" s="1191"/>
      <c r="L53" s="1191"/>
      <c r="M53" s="1191"/>
      <c r="N53" s="1191"/>
      <c r="O53" s="1192"/>
      <c r="P53" s="1193">
        <f t="shared" si="55"/>
        <v>0</v>
      </c>
      <c r="Q53" s="1222">
        <f t="shared" si="55"/>
        <v>0</v>
      </c>
      <c r="R53" s="1222">
        <f t="shared" si="55"/>
        <v>0</v>
      </c>
      <c r="S53" s="1222">
        <f t="shared" si="55"/>
        <v>0</v>
      </c>
      <c r="T53" s="1222">
        <f t="shared" si="55"/>
        <v>0</v>
      </c>
      <c r="U53" s="1223">
        <f t="shared" si="55"/>
        <v>0</v>
      </c>
      <c r="V53" s="1224"/>
      <c r="W53" s="1225"/>
      <c r="X53" s="1191"/>
      <c r="Y53" s="1191"/>
      <c r="Z53" s="1191"/>
      <c r="AA53" s="1192"/>
      <c r="AB53" s="507">
        <f t="shared" si="68"/>
        <v>370</v>
      </c>
      <c r="AC53" s="507">
        <f t="shared" si="68"/>
        <v>1</v>
      </c>
      <c r="AD53" s="83">
        <f t="shared" si="68"/>
        <v>16</v>
      </c>
      <c r="AE53" s="1242">
        <f t="shared" si="69"/>
        <v>0</v>
      </c>
      <c r="AF53" s="503">
        <f t="shared" si="70"/>
        <v>0</v>
      </c>
      <c r="AG53" s="503">
        <f t="shared" ref="AG53:AG65" si="72">AF53*AC53</f>
        <v>0</v>
      </c>
      <c r="AH53" s="502">
        <f t="shared" si="71"/>
        <v>0</v>
      </c>
      <c r="AI53" s="511"/>
      <c r="AJ53" s="513"/>
      <c r="AK53" s="502">
        <f t="shared" si="56"/>
        <v>0</v>
      </c>
      <c r="AL53" s="502">
        <f t="shared" si="56"/>
        <v>0</v>
      </c>
      <c r="AM53" s="502">
        <f t="shared" si="56"/>
        <v>0</v>
      </c>
      <c r="AN53" s="502">
        <f t="shared" si="56"/>
        <v>0</v>
      </c>
      <c r="AO53" s="502">
        <f t="shared" si="56"/>
        <v>0</v>
      </c>
      <c r="AP53" s="502">
        <f t="shared" si="56"/>
        <v>0</v>
      </c>
      <c r="AQ53" s="4439">
        <f t="shared" si="56"/>
        <v>0</v>
      </c>
      <c r="AR53" s="1251">
        <f t="shared" si="56"/>
        <v>0</v>
      </c>
      <c r="AS53" s="1252">
        <f t="shared" si="56"/>
        <v>0</v>
      </c>
      <c r="AT53" s="1253">
        <f t="shared" si="56"/>
        <v>0</v>
      </c>
      <c r="AU53" s="1251">
        <f t="shared" si="57"/>
        <v>0</v>
      </c>
      <c r="AV53" s="502">
        <f t="shared" si="57"/>
        <v>0</v>
      </c>
      <c r="AW53" s="4439">
        <f t="shared" si="57"/>
        <v>0</v>
      </c>
      <c r="AX53" s="502">
        <f t="shared" si="57"/>
        <v>0</v>
      </c>
      <c r="AY53" s="502">
        <f t="shared" si="57"/>
        <v>0</v>
      </c>
      <c r="AZ53" s="502">
        <f t="shared" si="57"/>
        <v>0</v>
      </c>
      <c r="BA53" s="502">
        <f t="shared" si="57"/>
        <v>0</v>
      </c>
      <c r="BB53" s="502">
        <f t="shared" si="57"/>
        <v>0</v>
      </c>
      <c r="BC53" s="3276" t="str">
        <f t="shared" si="63"/>
        <v>Other</v>
      </c>
      <c r="BD53" s="3276"/>
      <c r="BE53" s="3276"/>
      <c r="BF53" s="3277"/>
      <c r="BG53" s="1256"/>
      <c r="BH53" s="2758">
        <v>4</v>
      </c>
      <c r="BI53" s="2379">
        <v>8</v>
      </c>
      <c r="BJ53" s="2654">
        <f t="shared" si="64"/>
        <v>72</v>
      </c>
      <c r="BK53" s="2380">
        <f t="shared" si="65"/>
        <v>3855.6</v>
      </c>
      <c r="BL53" s="118"/>
      <c r="BM53" s="1256"/>
      <c r="BN53" s="482"/>
    </row>
    <row r="54" spans="1:66" s="83" customFormat="1" ht="14.25" customHeight="1">
      <c r="A54" s="4429"/>
      <c r="B54" s="401" t="str">
        <f t="shared" si="66"/>
        <v>Brown sugar (medium)</v>
      </c>
      <c r="C54" s="1772"/>
      <c r="D54" s="1166" t="s">
        <v>82</v>
      </c>
      <c r="E54" s="1137"/>
      <c r="F54" s="896">
        <f>100*IF(C54=0,0,C54/$F$70)</f>
        <v>0</v>
      </c>
      <c r="G54" s="896">
        <f t="shared" si="67"/>
        <v>0</v>
      </c>
      <c r="H54" s="1169" t="s">
        <v>755</v>
      </c>
      <c r="I54" s="1194"/>
      <c r="J54" s="1195"/>
      <c r="K54" s="1191"/>
      <c r="L54" s="1191"/>
      <c r="M54" s="1191"/>
      <c r="N54" s="1191"/>
      <c r="O54" s="1192"/>
      <c r="P54" s="1193">
        <f t="shared" si="55"/>
        <v>0</v>
      </c>
      <c r="Q54" s="1222">
        <f t="shared" si="55"/>
        <v>0</v>
      </c>
      <c r="R54" s="1222">
        <f t="shared" si="55"/>
        <v>0</v>
      </c>
      <c r="S54" s="1222">
        <f t="shared" si="55"/>
        <v>0</v>
      </c>
      <c r="T54" s="1222">
        <f t="shared" si="55"/>
        <v>0</v>
      </c>
      <c r="U54" s="1223">
        <f t="shared" si="55"/>
        <v>0</v>
      </c>
      <c r="V54" s="1224"/>
      <c r="W54" s="1225"/>
      <c r="X54" s="1191"/>
      <c r="Y54" s="1191"/>
      <c r="Z54" s="1191"/>
      <c r="AA54" s="1192"/>
      <c r="AB54" s="507">
        <f t="shared" si="68"/>
        <v>370</v>
      </c>
      <c r="AC54" s="507">
        <f t="shared" si="68"/>
        <v>1</v>
      </c>
      <c r="AD54" s="83">
        <f t="shared" si="68"/>
        <v>45</v>
      </c>
      <c r="AE54" s="1242">
        <f t="shared" si="69"/>
        <v>0</v>
      </c>
      <c r="AF54" s="503">
        <f t="shared" si="70"/>
        <v>0</v>
      </c>
      <c r="AG54" s="503">
        <f t="shared" si="72"/>
        <v>0</v>
      </c>
      <c r="AH54" s="502">
        <f t="shared" si="71"/>
        <v>0</v>
      </c>
      <c r="AK54" s="502">
        <f t="shared" si="56"/>
        <v>0</v>
      </c>
      <c r="AL54" s="502">
        <f t="shared" si="56"/>
        <v>0</v>
      </c>
      <c r="AM54" s="502">
        <f t="shared" si="56"/>
        <v>0</v>
      </c>
      <c r="AN54" s="502">
        <f t="shared" si="56"/>
        <v>0</v>
      </c>
      <c r="AO54" s="502">
        <f t="shared" si="56"/>
        <v>0</v>
      </c>
      <c r="AP54" s="502">
        <f t="shared" si="56"/>
        <v>0</v>
      </c>
      <c r="AQ54" s="4439">
        <f t="shared" si="56"/>
        <v>0</v>
      </c>
      <c r="AR54" s="1251">
        <f t="shared" si="56"/>
        <v>0</v>
      </c>
      <c r="AS54" s="1252">
        <f t="shared" si="56"/>
        <v>0</v>
      </c>
      <c r="AT54" s="1253">
        <f t="shared" si="56"/>
        <v>0</v>
      </c>
      <c r="AU54" s="1251">
        <f t="shared" si="57"/>
        <v>0</v>
      </c>
      <c r="AV54" s="502">
        <f t="shared" si="57"/>
        <v>0</v>
      </c>
      <c r="AW54" s="4439">
        <f t="shared" si="57"/>
        <v>0</v>
      </c>
      <c r="AX54" s="502">
        <f t="shared" si="57"/>
        <v>0</v>
      </c>
      <c r="AY54" s="502">
        <f t="shared" si="57"/>
        <v>0</v>
      </c>
      <c r="AZ54" s="502">
        <f t="shared" si="57"/>
        <v>0</v>
      </c>
      <c r="BA54" s="502">
        <f t="shared" si="57"/>
        <v>0</v>
      </c>
      <c r="BB54" s="502">
        <f t="shared" si="57"/>
        <v>0</v>
      </c>
      <c r="BC54" s="3276" t="str">
        <f t="shared" si="63"/>
        <v>Other</v>
      </c>
      <c r="BD54" s="3276"/>
      <c r="BE54" s="3276"/>
      <c r="BF54" s="3277"/>
      <c r="BG54" s="1256"/>
      <c r="BH54" s="2758">
        <v>5</v>
      </c>
      <c r="BI54" s="2379">
        <v>8</v>
      </c>
      <c r="BJ54" s="2654">
        <f t="shared" si="64"/>
        <v>88</v>
      </c>
      <c r="BK54" s="2380">
        <f t="shared" si="65"/>
        <v>4762.8</v>
      </c>
      <c r="BL54" s="118"/>
      <c r="BM54" s="1256"/>
      <c r="BN54" s="482"/>
    </row>
    <row r="55" spans="1:66" s="83" customFormat="1" ht="14.25" customHeight="1">
      <c r="A55" s="4429"/>
      <c r="B55" s="401" t="str">
        <f t="shared" si="66"/>
        <v>Brown sugar (dark)</v>
      </c>
      <c r="C55" s="1772"/>
      <c r="D55" s="1166" t="s">
        <v>82</v>
      </c>
      <c r="E55" s="1137"/>
      <c r="F55" s="896">
        <f t="shared" ref="F55:F65" si="73">100*IF(C55=0,0,C55/$F$70)</f>
        <v>0</v>
      </c>
      <c r="G55" s="896">
        <f t="shared" si="67"/>
        <v>0</v>
      </c>
      <c r="H55" s="4444" t="s">
        <v>756</v>
      </c>
      <c r="I55" s="4139"/>
      <c r="J55" s="2759"/>
      <c r="K55" s="4445" t="str">
        <f>"ml = "&amp;FIXED(J55/5)&amp;" tsp (5ml)"</f>
        <v>ml = 0.00 tsp (5ml)</v>
      </c>
      <c r="L55" s="4141"/>
      <c r="M55" s="4141"/>
      <c r="N55" s="4141"/>
      <c r="O55" s="4139"/>
      <c r="P55" s="2760">
        <f>J55</f>
        <v>0</v>
      </c>
      <c r="Q55" s="4445" t="str">
        <f>"ml = "&amp;FIXED(P55/5)&amp;" tsp (5ml)"</f>
        <v>ml = 0.00 tsp (5ml)</v>
      </c>
      <c r="R55" s="4141"/>
      <c r="S55" s="4141"/>
      <c r="T55" s="4141"/>
      <c r="U55" s="4139"/>
      <c r="V55" s="2761"/>
      <c r="W55" s="4445" t="str">
        <f>"ml = "&amp;FIXED(V55/5)&amp;" tsp (5ml)"</f>
        <v>ml = 0.00 tsp (5ml)</v>
      </c>
      <c r="X55" s="4141"/>
      <c r="Y55" s="4141"/>
      <c r="Z55" s="4141"/>
      <c r="AA55" s="4139"/>
      <c r="AB55" s="507">
        <f t="shared" si="68"/>
        <v>370</v>
      </c>
      <c r="AC55" s="507">
        <f t="shared" si="68"/>
        <v>1</v>
      </c>
      <c r="AD55" s="83">
        <f t="shared" si="68"/>
        <v>90</v>
      </c>
      <c r="AE55" s="1242">
        <f t="shared" si="69"/>
        <v>0</v>
      </c>
      <c r="AF55" s="503">
        <f t="shared" si="70"/>
        <v>0</v>
      </c>
      <c r="AG55" s="503">
        <f t="shared" si="72"/>
        <v>0</v>
      </c>
      <c r="AH55" s="502">
        <f t="shared" si="71"/>
        <v>0</v>
      </c>
      <c r="AJ55" s="538" t="s">
        <v>757</v>
      </c>
      <c r="AK55" s="588">
        <f>SUM(AK24:AK54)</f>
        <v>187.5</v>
      </c>
      <c r="AL55" s="588">
        <f t="shared" ref="AL55:BB55" si="74">SUM(AL24:AL54)</f>
        <v>0</v>
      </c>
      <c r="AM55" s="588">
        <f t="shared" si="74"/>
        <v>0</v>
      </c>
      <c r="AN55" s="588">
        <f t="shared" si="74"/>
        <v>0</v>
      </c>
      <c r="AO55" s="588">
        <f t="shared" si="74"/>
        <v>37.5</v>
      </c>
      <c r="AP55" s="588">
        <f t="shared" si="74"/>
        <v>0</v>
      </c>
      <c r="AQ55" s="585">
        <f t="shared" si="74"/>
        <v>187.5</v>
      </c>
      <c r="AR55" s="2381">
        <f t="shared" si="74"/>
        <v>0</v>
      </c>
      <c r="AS55" s="2381">
        <f t="shared" si="74"/>
        <v>0</v>
      </c>
      <c r="AT55" s="2381">
        <f t="shared" si="74"/>
        <v>0</v>
      </c>
      <c r="AU55" s="2381">
        <f t="shared" si="74"/>
        <v>37.5</v>
      </c>
      <c r="AV55" s="588">
        <f t="shared" si="74"/>
        <v>0</v>
      </c>
      <c r="AW55" s="585">
        <f t="shared" si="74"/>
        <v>131.25</v>
      </c>
      <c r="AX55" s="588">
        <f t="shared" si="74"/>
        <v>0</v>
      </c>
      <c r="AY55" s="588">
        <f t="shared" si="74"/>
        <v>0</v>
      </c>
      <c r="AZ55" s="588">
        <f t="shared" si="74"/>
        <v>0</v>
      </c>
      <c r="BA55" s="588">
        <f t="shared" si="74"/>
        <v>37.5</v>
      </c>
      <c r="BB55" s="588">
        <f t="shared" si="74"/>
        <v>0</v>
      </c>
      <c r="BC55" s="858"/>
      <c r="BD55" s="1256"/>
      <c r="BE55" s="1256"/>
      <c r="BF55" s="1256"/>
      <c r="BG55" s="1256"/>
      <c r="BH55" s="2758">
        <v>6</v>
      </c>
      <c r="BI55" s="2379">
        <v>8</v>
      </c>
      <c r="BJ55" s="2654">
        <f t="shared" si="64"/>
        <v>104</v>
      </c>
      <c r="BK55" s="2380">
        <f t="shared" si="65"/>
        <v>5670</v>
      </c>
      <c r="BL55" s="118"/>
      <c r="BM55" s="1256"/>
      <c r="BN55" s="482"/>
    </row>
    <row r="56" spans="1:66" s="83" customFormat="1" ht="14.25" customHeight="1">
      <c r="A56" s="4429"/>
      <c r="B56" s="401" t="str">
        <f t="shared" si="66"/>
        <v>Brewing/Invert sugar</v>
      </c>
      <c r="C56" s="1772"/>
      <c r="D56" s="1166" t="s">
        <v>82</v>
      </c>
      <c r="E56" s="1137"/>
      <c r="F56" s="896">
        <f t="shared" si="73"/>
        <v>0</v>
      </c>
      <c r="G56" s="896">
        <f t="shared" si="67"/>
        <v>0</v>
      </c>
      <c r="H56" s="3278" t="s">
        <v>758</v>
      </c>
      <c r="I56" s="4139"/>
      <c r="J56" s="4446" t="s">
        <v>759</v>
      </c>
      <c r="K56" s="4446"/>
      <c r="L56" s="4446"/>
      <c r="M56" s="4446"/>
      <c r="N56" s="4446"/>
      <c r="O56" s="4446"/>
      <c r="P56" s="4446"/>
      <c r="Q56" s="4446"/>
      <c r="R56" s="4446"/>
      <c r="S56" s="4446"/>
      <c r="T56" s="4446"/>
      <c r="U56" s="4446"/>
      <c r="V56" s="4446"/>
      <c r="W56" s="4446"/>
      <c r="X56" s="4446"/>
      <c r="Y56" s="4446"/>
      <c r="Z56" s="4446"/>
      <c r="AA56" s="4446"/>
      <c r="AB56" s="507">
        <f t="shared" si="68"/>
        <v>360</v>
      </c>
      <c r="AC56" s="507">
        <f t="shared" si="68"/>
        <v>0.95</v>
      </c>
      <c r="AD56" s="83">
        <f t="shared" si="68"/>
        <v>0</v>
      </c>
      <c r="AE56" s="1242">
        <f t="shared" si="69"/>
        <v>0</v>
      </c>
      <c r="AF56" s="503">
        <f t="shared" si="70"/>
        <v>0</v>
      </c>
      <c r="AG56" s="503">
        <f t="shared" si="72"/>
        <v>0</v>
      </c>
      <c r="AH56" s="502">
        <f t="shared" si="71"/>
        <v>0</v>
      </c>
      <c r="AJ56" s="412" t="s">
        <v>760</v>
      </c>
      <c r="AK56" s="502">
        <f>SUM(J24:O54)/12.4+0.2</f>
        <v>2.6193548387096777</v>
      </c>
      <c r="AL56" s="502"/>
      <c r="AM56" s="502"/>
      <c r="AN56" s="502"/>
      <c r="AO56" s="502"/>
      <c r="AP56" s="502"/>
      <c r="AQ56" s="502">
        <f>SUM(P24:U54)/12.4+0.2</f>
        <v>2.6193548387096777</v>
      </c>
      <c r="AR56" s="511"/>
      <c r="AS56" s="511"/>
      <c r="AT56" s="511"/>
      <c r="AU56" s="3265" t="s">
        <v>761</v>
      </c>
      <c r="AV56" s="3266"/>
      <c r="AW56" s="1758">
        <f>SUM(V24:AA54)</f>
        <v>22.5</v>
      </c>
      <c r="BC56" s="858"/>
      <c r="BD56" s="114"/>
      <c r="BE56" s="114"/>
      <c r="BF56" s="1256"/>
      <c r="BG56" s="1256"/>
      <c r="BH56" s="1256"/>
      <c r="BI56" s="1256"/>
      <c r="BJ56" s="1256"/>
      <c r="BK56" s="1256"/>
      <c r="BL56" s="118"/>
      <c r="BM56" s="1256"/>
      <c r="BN56" s="482"/>
    </row>
    <row r="57" spans="1:66" s="83" customFormat="1" ht="14.25" customHeight="1">
      <c r="A57" s="4429"/>
      <c r="B57" s="401" t="str">
        <f t="shared" si="66"/>
        <v>Honey (1 lb = 454g)</v>
      </c>
      <c r="C57" s="1772"/>
      <c r="D57" s="1166" t="s">
        <v>82</v>
      </c>
      <c r="E57" s="1137"/>
      <c r="F57" s="896">
        <f t="shared" si="73"/>
        <v>0</v>
      </c>
      <c r="G57" s="896">
        <f t="shared" si="67"/>
        <v>0</v>
      </c>
      <c r="H57" s="3279" t="s">
        <v>762</v>
      </c>
      <c r="I57" s="4150"/>
      <c r="J57" s="2762">
        <v>8</v>
      </c>
      <c r="K57" s="3273" t="s">
        <v>763</v>
      </c>
      <c r="L57" s="4176"/>
      <c r="M57" s="4176"/>
      <c r="N57" s="4176"/>
      <c r="O57" s="4150"/>
      <c r="P57" s="2763">
        <v>6</v>
      </c>
      <c r="Q57" s="3274" t="s">
        <v>764</v>
      </c>
      <c r="R57" s="4176"/>
      <c r="S57" s="4176"/>
      <c r="T57" s="4176"/>
      <c r="U57" s="4150"/>
      <c r="V57" s="2764">
        <v>3</v>
      </c>
      <c r="W57" s="3275" t="s">
        <v>765</v>
      </c>
      <c r="X57" s="4176"/>
      <c r="Y57" s="4176"/>
      <c r="Z57" s="4176"/>
      <c r="AA57" s="4150"/>
      <c r="AB57" s="507">
        <f t="shared" si="68"/>
        <v>300</v>
      </c>
      <c r="AC57" s="507">
        <f t="shared" si="68"/>
        <v>0.95</v>
      </c>
      <c r="AD57" s="83">
        <f t="shared" si="68"/>
        <v>10</v>
      </c>
      <c r="AE57" s="1242">
        <f t="shared" si="69"/>
        <v>0</v>
      </c>
      <c r="AF57" s="503">
        <f t="shared" si="70"/>
        <v>0</v>
      </c>
      <c r="AG57" s="503">
        <f t="shared" si="72"/>
        <v>0</v>
      </c>
      <c r="AH57" s="502">
        <f t="shared" si="71"/>
        <v>0</v>
      </c>
      <c r="AK57" s="544" t="s">
        <v>766</v>
      </c>
      <c r="AQ57" s="544" t="s">
        <v>766</v>
      </c>
      <c r="AV57" s="318"/>
      <c r="AW57" s="544" t="s">
        <v>766</v>
      </c>
      <c r="BC57" s="858"/>
      <c r="BD57" s="114"/>
      <c r="BE57" s="114"/>
      <c r="BF57" s="1256"/>
      <c r="BG57" s="1256"/>
      <c r="BH57" s="1256"/>
      <c r="BI57" s="1256"/>
      <c r="BJ57" s="1256"/>
      <c r="BK57" s="1256"/>
      <c r="BL57" s="118"/>
      <c r="BM57" s="342"/>
      <c r="BN57" s="342"/>
    </row>
    <row r="58" spans="1:66" s="83" customFormat="1" ht="14.25" customHeight="1">
      <c r="A58" s="4429"/>
      <c r="B58" s="401" t="str">
        <f t="shared" si="66"/>
        <v>Belgian candi sugar white dry</v>
      </c>
      <c r="C58" s="1772"/>
      <c r="D58" s="1166" t="s">
        <v>82</v>
      </c>
      <c r="E58" s="1137"/>
      <c r="F58" s="896">
        <f t="shared" si="73"/>
        <v>0</v>
      </c>
      <c r="G58" s="896">
        <f t="shared" si="67"/>
        <v>0</v>
      </c>
      <c r="H58" s="4447" t="s">
        <v>767</v>
      </c>
      <c r="I58" s="4153"/>
      <c r="J58" s="4448">
        <f>1000+SUM($AF22:$AF64)/$J64</f>
        <v>1074.336839319971</v>
      </c>
      <c r="K58" s="4220"/>
      <c r="L58" s="4172"/>
      <c r="M58" s="4172"/>
      <c r="N58" s="4172"/>
      <c r="O58" s="4312"/>
      <c r="P58" s="4449">
        <f>1000+SUM($AF22:$AF49)/$P64</f>
        <v>1074.1156892148615</v>
      </c>
      <c r="Q58" s="4220"/>
      <c r="R58" s="4172"/>
      <c r="S58" s="4172"/>
      <c r="T58" s="4172"/>
      <c r="U58" s="4312"/>
      <c r="V58" s="4450">
        <f>1000+SUM($AF39:$AF49)/$V$64</f>
        <v>1026.7002518891688</v>
      </c>
      <c r="W58" s="4220"/>
      <c r="X58" s="4172"/>
      <c r="Y58" s="4172"/>
      <c r="Z58" s="4172"/>
      <c r="AA58" s="4312"/>
      <c r="AB58" s="507">
        <f t="shared" si="68"/>
        <v>373</v>
      </c>
      <c r="AC58" s="507">
        <f t="shared" si="68"/>
        <v>1</v>
      </c>
      <c r="AD58" s="83">
        <f t="shared" si="68"/>
        <v>0</v>
      </c>
      <c r="AE58" s="1242">
        <f t="shared" si="69"/>
        <v>0</v>
      </c>
      <c r="AF58" s="503">
        <f t="shared" si="70"/>
        <v>0</v>
      </c>
      <c r="AG58" s="503">
        <f t="shared" si="72"/>
        <v>0</v>
      </c>
      <c r="AH58" s="502">
        <f t="shared" si="71"/>
        <v>0</v>
      </c>
      <c r="AI58" s="3265" t="s">
        <v>768</v>
      </c>
      <c r="AJ58" s="3266"/>
      <c r="AK58" s="4439">
        <f>SUM(C39:C49)/1000</f>
        <v>0.4</v>
      </c>
      <c r="AL58" s="511"/>
      <c r="AM58" s="511"/>
      <c r="AN58" s="511"/>
      <c r="AO58" s="3265" t="s">
        <v>768</v>
      </c>
      <c r="AP58" s="3266"/>
      <c r="AQ58" s="4439">
        <f>SUM(C39:C49)/1000</f>
        <v>0.4</v>
      </c>
      <c r="AR58" s="511"/>
      <c r="AS58" s="511"/>
      <c r="AT58" s="511"/>
      <c r="AU58" s="3265" t="s">
        <v>768</v>
      </c>
      <c r="AV58" s="3266"/>
      <c r="AW58" s="4439">
        <f>SUM(C39:C49)/1000</f>
        <v>0.4</v>
      </c>
      <c r="AX58" s="511"/>
      <c r="BC58" s="858"/>
      <c r="BD58" s="114"/>
      <c r="BE58" s="114"/>
      <c r="BF58" s="1256"/>
      <c r="BG58" s="1256"/>
      <c r="BH58" s="1256"/>
      <c r="BI58" s="1256"/>
      <c r="BJ58" s="1256"/>
      <c r="BK58" s="1256"/>
      <c r="BL58" s="118"/>
      <c r="BM58" s="342"/>
      <c r="BN58" s="342"/>
    </row>
    <row r="59" spans="1:66" s="83" customFormat="1" ht="14.25" customHeight="1">
      <c r="A59" s="4429"/>
      <c r="B59" s="401" t="str">
        <f t="shared" si="66"/>
        <v>Belgian candi sugar light brown dry</v>
      </c>
      <c r="C59" s="1772"/>
      <c r="D59" s="1166" t="s">
        <v>82</v>
      </c>
      <c r="E59" s="1137"/>
      <c r="F59" s="896">
        <f t="shared" si="73"/>
        <v>0</v>
      </c>
      <c r="G59" s="896">
        <f t="shared" si="67"/>
        <v>0</v>
      </c>
      <c r="H59" s="4451" t="s">
        <v>769</v>
      </c>
      <c r="I59" s="4153"/>
      <c r="J59" s="2382">
        <v>90</v>
      </c>
      <c r="K59" s="4452">
        <v>60</v>
      </c>
      <c r="L59" s="4452">
        <v>45</v>
      </c>
      <c r="M59" s="4452">
        <v>30</v>
      </c>
      <c r="N59" s="4452">
        <v>15</v>
      </c>
      <c r="O59" s="4452">
        <v>0</v>
      </c>
      <c r="P59" s="2383">
        <v>90</v>
      </c>
      <c r="Q59" s="4453">
        <f>K59</f>
        <v>60</v>
      </c>
      <c r="R59" s="4453">
        <f>L59</f>
        <v>45</v>
      </c>
      <c r="S59" s="4453">
        <f>M59</f>
        <v>30</v>
      </c>
      <c r="T59" s="4453">
        <f>N59</f>
        <v>15</v>
      </c>
      <c r="U59" s="4453">
        <f>O59</f>
        <v>0</v>
      </c>
      <c r="V59" s="2765">
        <v>60</v>
      </c>
      <c r="W59" s="4452">
        <f>Q59</f>
        <v>60</v>
      </c>
      <c r="X59" s="4452">
        <f>R59</f>
        <v>45</v>
      </c>
      <c r="Y59" s="4452">
        <v>25</v>
      </c>
      <c r="Z59" s="4452">
        <v>15</v>
      </c>
      <c r="AA59" s="4452">
        <v>7.5</v>
      </c>
      <c r="AB59" s="507">
        <f t="shared" si="68"/>
        <v>373</v>
      </c>
      <c r="AC59" s="507">
        <f t="shared" si="68"/>
        <v>1</v>
      </c>
      <c r="AD59" s="83">
        <f t="shared" si="68"/>
        <v>13</v>
      </c>
      <c r="AE59" s="1242">
        <f t="shared" si="69"/>
        <v>0</v>
      </c>
      <c r="AF59" s="503">
        <f t="shared" si="70"/>
        <v>0</v>
      </c>
      <c r="AG59" s="503">
        <f t="shared" si="72"/>
        <v>0</v>
      </c>
      <c r="AH59" s="502">
        <f t="shared" si="71"/>
        <v>0</v>
      </c>
      <c r="AK59" s="511"/>
      <c r="AL59" s="511"/>
      <c r="AM59" s="511"/>
      <c r="AN59" s="511"/>
      <c r="AO59" s="511"/>
      <c r="AP59" s="511"/>
      <c r="AQ59" s="511"/>
      <c r="BC59" s="858"/>
      <c r="BD59" s="114"/>
      <c r="BE59" s="114"/>
      <c r="BF59" s="1256"/>
      <c r="BG59" s="1256"/>
      <c r="BH59" s="1256"/>
      <c r="BI59" s="1256"/>
      <c r="BJ59" s="1256"/>
      <c r="BK59" s="1256"/>
      <c r="BL59" s="118"/>
      <c r="BM59" s="342"/>
      <c r="BN59" s="342"/>
    </row>
    <row r="60" spans="1:66" s="83" customFormat="1" ht="14.25" customHeight="1">
      <c r="A60" s="4429"/>
      <c r="B60" s="401" t="str">
        <f t="shared" si="66"/>
        <v>Belgian candi sugar dark brown dry</v>
      </c>
      <c r="C60" s="1772"/>
      <c r="D60" s="1166" t="s">
        <v>82</v>
      </c>
      <c r="E60" s="1137"/>
      <c r="F60" s="896">
        <f t="shared" si="73"/>
        <v>0</v>
      </c>
      <c r="G60" s="896">
        <f t="shared" si="67"/>
        <v>0</v>
      </c>
      <c r="H60" s="4454" t="s">
        <v>770</v>
      </c>
      <c r="I60" s="4153"/>
      <c r="J60" s="4455">
        <f t="shared" ref="J60:O60" si="75">J61*AK55/($J64*10)</f>
        <v>46.485157110730178</v>
      </c>
      <c r="K60" s="476">
        <f t="shared" si="75"/>
        <v>0</v>
      </c>
      <c r="L60" s="476">
        <f t="shared" si="75"/>
        <v>0</v>
      </c>
      <c r="M60" s="476">
        <f t="shared" si="75"/>
        <v>0</v>
      </c>
      <c r="N60" s="1199">
        <f t="shared" si="75"/>
        <v>4.3125472403774054</v>
      </c>
      <c r="O60" s="1200">
        <f t="shared" si="75"/>
        <v>0</v>
      </c>
      <c r="P60" s="4456">
        <f t="shared" ref="P60:U60" si="76">P61*AQ55/($P64*10)</f>
        <v>62.11029978153649</v>
      </c>
      <c r="Q60" s="476">
        <f t="shared" si="76"/>
        <v>0</v>
      </c>
      <c r="R60" s="476">
        <f t="shared" si="76"/>
        <v>0</v>
      </c>
      <c r="S60" s="476">
        <f t="shared" si="76"/>
        <v>0</v>
      </c>
      <c r="T60" s="1199">
        <f t="shared" si="76"/>
        <v>5.7621317979809499</v>
      </c>
      <c r="U60" s="476">
        <f t="shared" si="76"/>
        <v>0</v>
      </c>
      <c r="V60" s="4457">
        <f t="shared" ref="V60:AA60" si="77">V61*AW55/($V64*10)</f>
        <v>125.36275273887756</v>
      </c>
      <c r="W60" s="476">
        <f t="shared" si="77"/>
        <v>0</v>
      </c>
      <c r="X60" s="476">
        <f t="shared" si="77"/>
        <v>0</v>
      </c>
      <c r="Y60" s="476">
        <f t="shared" si="77"/>
        <v>0</v>
      </c>
      <c r="Z60" s="476">
        <f t="shared" si="77"/>
        <v>17.772959448806688</v>
      </c>
      <c r="AA60" s="1243">
        <f t="shared" si="77"/>
        <v>0</v>
      </c>
      <c r="AB60" s="507">
        <f t="shared" si="68"/>
        <v>373</v>
      </c>
      <c r="AC60" s="507">
        <f t="shared" si="68"/>
        <v>1</v>
      </c>
      <c r="AD60" s="83">
        <f t="shared" si="68"/>
        <v>43</v>
      </c>
      <c r="AE60" s="1242">
        <f t="shared" si="69"/>
        <v>0</v>
      </c>
      <c r="AF60" s="503">
        <f t="shared" si="70"/>
        <v>0</v>
      </c>
      <c r="AG60" s="503">
        <f t="shared" si="72"/>
        <v>0</v>
      </c>
      <c r="AH60" s="502">
        <f t="shared" si="71"/>
        <v>0</v>
      </c>
      <c r="BC60" s="858"/>
      <c r="BD60" s="114"/>
      <c r="BE60" s="114"/>
      <c r="BF60" s="1256"/>
      <c r="BG60" s="1256"/>
      <c r="BH60" s="1256"/>
      <c r="BI60" s="1256"/>
      <c r="BJ60" s="1256"/>
      <c r="BK60" s="1256"/>
      <c r="BL60" s="118"/>
      <c r="BM60" s="342"/>
      <c r="BN60" s="342"/>
    </row>
    <row r="61" spans="1:66" s="83" customFormat="1" ht="14.25" customHeight="1">
      <c r="A61" s="4429"/>
      <c r="B61" s="401" t="str">
        <f t="shared" si="66"/>
        <v>Belgian candi sugar light syrup</v>
      </c>
      <c r="C61" s="1772"/>
      <c r="D61" s="1166" t="s">
        <v>82</v>
      </c>
      <c r="E61" s="1137"/>
      <c r="F61" s="896">
        <f t="shared" si="73"/>
        <v>0</v>
      </c>
      <c r="G61" s="896">
        <f t="shared" si="67"/>
        <v>0</v>
      </c>
      <c r="H61" s="3267" t="s">
        <v>771</v>
      </c>
      <c r="I61" s="3268"/>
      <c r="J61" s="4458">
        <f>165*POWER(0.000125,0.001*($J58-1000))*(1-EXP(-$K75*$J59))/$L75</f>
        <v>19.827173107447212</v>
      </c>
      <c r="K61" s="476">
        <f>165*POWER(0.000125,0.001*($J58-1000))*(1-EXP(-$K75*$K59))/$L75</f>
        <v>18.534935990199255</v>
      </c>
      <c r="L61" s="476">
        <f>165*POWER(0.000125,0.001*($J58-1000))*(1-EXP(-$K75*$L59))/$L75</f>
        <v>17.014667488189509</v>
      </c>
      <c r="M61" s="476">
        <f>165*POWER(0.000125,0.001*($J58-1000))*(1-EXP(-$K75*$M59))/$L75</f>
        <v>14.244557669036032</v>
      </c>
      <c r="N61" s="476">
        <f>165*POWER(0.000125,0.001*($J58-1000))*(1-EXP(-$K75*$N59))/$L75</f>
        <v>9.1970884884101327</v>
      </c>
      <c r="O61" s="1200">
        <f>165*POWER(0.000125,0.001*($J58-1000))*(1-EXP(-$K75*$O59))/$L75</f>
        <v>0</v>
      </c>
      <c r="P61" s="1201">
        <f>165*POWER(0.000125,0.001*($P58-1000))*(1-EXP(-$K75*$P59))/$L75</f>
        <v>19.866619187997465</v>
      </c>
      <c r="Q61" s="476">
        <f>165*POWER(0.000125,0.001*($P58-1000))*(1-EXP(-$K75*$Q59))/$L75</f>
        <v>18.571811170241368</v>
      </c>
      <c r="R61" s="476">
        <f>165*POWER(0.000125,0.001*($P58-1000))*(1-EXP(-$K75*$R59))/$L75</f>
        <v>17.048518100207559</v>
      </c>
      <c r="S61" s="476">
        <f>165*POWER(0.000125,0.001*($P58-1000))*(1-EXP(-$K75*$S59))/$L75</f>
        <v>14.272897158794382</v>
      </c>
      <c r="T61" s="476">
        <f>165*POWER(0.000125,0.001*($P58-1000))*(1-EXP(-$K75*$T59))/$L75</f>
        <v>9.2153860586878338</v>
      </c>
      <c r="U61" s="477">
        <f>165*POWER(0.000125,0.001*($P58-1000))*(1-EXP(-$K75*$U59))/$L75</f>
        <v>0</v>
      </c>
      <c r="V61" s="4459">
        <f>165*POWER(0.000125,0.001*($V58-1000))*(1-EXP(-$K75*$V59))/$L75</f>
        <v>28.439435907048221</v>
      </c>
      <c r="W61" s="476">
        <f>165*POWER(0.000125,0.001*($V58-1000))*(1-EXP(-$K75*$W59))/$L75</f>
        <v>28.439435907048221</v>
      </c>
      <c r="X61" s="476">
        <f>165*POWER(0.000125,0.001*($V58-1000))*(1-EXP(-$K75*$X59))/$L75</f>
        <v>26.106782659835922</v>
      </c>
      <c r="Y61" s="476">
        <f>165*POWER(0.000125,0.001*($V58-1000))*(1-EXP(-$K75*$Y59))/$L75</f>
        <v>19.770710510964438</v>
      </c>
      <c r="Z61" s="476">
        <f>165*POWER(0.000125,0.001*($V58-1000))*(1-EXP(-$K75*$Z59))/$L75</f>
        <v>14.11172980235251</v>
      </c>
      <c r="AA61" s="527">
        <f>165*POWER(0.000125,0.001*($V58-1000))*(1-EXP(-$K75*$AA59))/$L75</f>
        <v>8.1063775842294721</v>
      </c>
      <c r="AB61" s="507">
        <f t="shared" si="68"/>
        <v>300</v>
      </c>
      <c r="AC61" s="507">
        <f t="shared" si="68"/>
        <v>1</v>
      </c>
      <c r="AD61" s="83">
        <f t="shared" si="68"/>
        <v>2</v>
      </c>
      <c r="AE61" s="1242">
        <f t="shared" si="69"/>
        <v>0</v>
      </c>
      <c r="AF61" s="503">
        <f t="shared" si="70"/>
        <v>0</v>
      </c>
      <c r="AG61" s="503">
        <f t="shared" si="72"/>
        <v>0</v>
      </c>
      <c r="AH61" s="502">
        <f t="shared" si="71"/>
        <v>0</v>
      </c>
      <c r="AI61" s="511"/>
      <c r="AJ61" s="511"/>
      <c r="AL61" s="1246"/>
      <c r="AM61" s="1246"/>
      <c r="AN61" s="1246"/>
      <c r="AO61" s="1246"/>
      <c r="AP61" s="1246"/>
      <c r="BC61" s="858"/>
      <c r="BD61" s="114"/>
      <c r="BE61" s="114"/>
      <c r="BF61" s="1256"/>
      <c r="BG61" s="1256"/>
      <c r="BH61" s="1256"/>
      <c r="BI61" s="1256"/>
      <c r="BJ61" s="1256"/>
      <c r="BK61" s="1256"/>
      <c r="BL61" s="118"/>
      <c r="BM61" s="342"/>
      <c r="BN61" s="342"/>
    </row>
    <row r="62" spans="1:66" s="83" customFormat="1" ht="14.25" customHeight="1">
      <c r="A62" s="4429"/>
      <c r="B62" s="401" t="str">
        <f t="shared" si="66"/>
        <v>Belgian candi sugar amber syrup</v>
      </c>
      <c r="C62" s="1772"/>
      <c r="D62" s="1166" t="s">
        <v>82</v>
      </c>
      <c r="E62" s="1137"/>
      <c r="F62" s="896">
        <f t="shared" si="73"/>
        <v>0</v>
      </c>
      <c r="G62" s="896">
        <f t="shared" si="67"/>
        <v>0</v>
      </c>
      <c r="H62" s="3269" t="s">
        <v>772</v>
      </c>
      <c r="I62" s="4150"/>
      <c r="J62" s="1202">
        <f t="shared" ref="J62:O62" si="78">J60*$J64/$C$5</f>
        <v>43.736411266427673</v>
      </c>
      <c r="K62" s="1202">
        <f t="shared" si="78"/>
        <v>0</v>
      </c>
      <c r="L62" s="1202">
        <f t="shared" si="78"/>
        <v>0</v>
      </c>
      <c r="M62" s="1202">
        <f t="shared" si="78"/>
        <v>0</v>
      </c>
      <c r="N62" s="1202">
        <f t="shared" si="78"/>
        <v>4.0575390390044701</v>
      </c>
      <c r="O62" s="1202">
        <f t="shared" si="78"/>
        <v>0</v>
      </c>
      <c r="P62" s="1202">
        <f t="shared" ref="P62:U62" si="79">P60*$P64/$C$5</f>
        <v>43.823424679406173</v>
      </c>
      <c r="Q62" s="2384">
        <f t="shared" si="79"/>
        <v>0</v>
      </c>
      <c r="R62" s="2384">
        <f t="shared" si="79"/>
        <v>0</v>
      </c>
      <c r="S62" s="2384">
        <f t="shared" si="79"/>
        <v>0</v>
      </c>
      <c r="T62" s="2385">
        <f t="shared" si="79"/>
        <v>4.0656114964799261</v>
      </c>
      <c r="U62" s="1229">
        <f t="shared" si="79"/>
        <v>0</v>
      </c>
      <c r="V62" s="1202">
        <f t="shared" ref="V62:AA62" si="80">V60*$V64/$C$5</f>
        <v>43.913834856471517</v>
      </c>
      <c r="W62" s="2384">
        <f t="shared" si="80"/>
        <v>0</v>
      </c>
      <c r="X62" s="2384">
        <f t="shared" si="80"/>
        <v>0</v>
      </c>
      <c r="Y62" s="2384">
        <f t="shared" si="80"/>
        <v>0</v>
      </c>
      <c r="Z62" s="2384">
        <f t="shared" si="80"/>
        <v>6.2257631480966964</v>
      </c>
      <c r="AA62" s="1203">
        <f t="shared" si="80"/>
        <v>0</v>
      </c>
      <c r="AB62" s="507">
        <f t="shared" si="68"/>
        <v>300</v>
      </c>
      <c r="AC62" s="507">
        <f t="shared" si="68"/>
        <v>1</v>
      </c>
      <c r="AD62" s="83">
        <f t="shared" si="68"/>
        <v>89</v>
      </c>
      <c r="AE62" s="1242">
        <f t="shared" si="69"/>
        <v>0</v>
      </c>
      <c r="AF62" s="503">
        <f t="shared" si="70"/>
        <v>0</v>
      </c>
      <c r="AG62" s="503">
        <f t="shared" si="72"/>
        <v>0</v>
      </c>
      <c r="AH62" s="502">
        <f t="shared" si="71"/>
        <v>0</v>
      </c>
      <c r="AI62" s="511"/>
      <c r="AJ62" s="511"/>
      <c r="AK62" s="1246"/>
      <c r="AL62" s="1246"/>
      <c r="AM62" s="1246"/>
      <c r="AN62" s="1246"/>
      <c r="AO62" s="1246"/>
      <c r="AP62" s="1246"/>
      <c r="BC62" s="114"/>
      <c r="BD62" s="73"/>
      <c r="BE62" s="114"/>
      <c r="BF62" s="1256"/>
      <c r="BG62" s="1256"/>
      <c r="BH62" s="1256"/>
      <c r="BI62" s="1256"/>
      <c r="BJ62" s="1256"/>
      <c r="BK62" s="1256"/>
      <c r="BL62" s="118"/>
      <c r="BM62" s="342"/>
      <c r="BN62" s="342"/>
    </row>
    <row r="63" spans="1:66" s="83" customFormat="1" ht="14.25" customHeight="1">
      <c r="A63" s="4429"/>
      <c r="B63" s="401" t="str">
        <f t="shared" si="66"/>
        <v>Belgian candi sugar dark syrup</v>
      </c>
      <c r="C63" s="1772"/>
      <c r="D63" s="1166" t="s">
        <v>82</v>
      </c>
      <c r="E63" s="1137"/>
      <c r="F63" s="896">
        <f t="shared" si="73"/>
        <v>0</v>
      </c>
      <c r="G63" s="896">
        <f t="shared" si="67"/>
        <v>0</v>
      </c>
      <c r="H63" s="4460" t="s">
        <v>773</v>
      </c>
      <c r="I63" s="4461"/>
      <c r="J63" s="3270" t="str">
        <f>FIXED((SUM(J62:O62)),1)&amp;" ̸ "&amp;FIXED((J55*69/C5),1)&amp;" EBU"</f>
        <v>47.8 ̸ 0.0 EBU</v>
      </c>
      <c r="K63" s="3271"/>
      <c r="L63" s="3271"/>
      <c r="M63" s="3271"/>
      <c r="N63" s="3271"/>
      <c r="O63" s="3271"/>
      <c r="P63" s="3270" t="str">
        <f>FIXED((SUM(P62:U62)),1)&amp;" ̸ "&amp;FIXED((P55*69/C5),1)&amp;" EBU"</f>
        <v>47.9 ̸ 0.0 EBU</v>
      </c>
      <c r="Q63" s="4462"/>
      <c r="R63" s="4462"/>
      <c r="S63" s="4462"/>
      <c r="T63" s="4462"/>
      <c r="U63" s="4463"/>
      <c r="V63" s="3272" t="str">
        <f>FIXED((SUM(V62:AA62)),1)&amp;" ̸ "&amp;FIXED((V55*69/C5),1)&amp;" EBU"</f>
        <v>50.1 ̸ 0.0 EBU</v>
      </c>
      <c r="W63" s="4160"/>
      <c r="X63" s="4160"/>
      <c r="Y63" s="4160"/>
      <c r="Z63" s="4160"/>
      <c r="AA63" s="4153"/>
      <c r="AB63" s="507">
        <f t="shared" si="68"/>
        <v>300</v>
      </c>
      <c r="AC63" s="507">
        <f t="shared" si="68"/>
        <v>1</v>
      </c>
      <c r="AD63" s="83">
        <f t="shared" si="68"/>
        <v>178</v>
      </c>
      <c r="AE63" s="1242">
        <f t="shared" si="69"/>
        <v>0</v>
      </c>
      <c r="AF63" s="503">
        <f t="shared" si="70"/>
        <v>0</v>
      </c>
      <c r="AG63" s="503">
        <f t="shared" si="72"/>
        <v>0</v>
      </c>
      <c r="AH63" s="502">
        <f t="shared" si="71"/>
        <v>0</v>
      </c>
      <c r="AI63" s="511"/>
      <c r="AJ63" s="511"/>
      <c r="AK63" s="1246"/>
      <c r="AL63" s="1246"/>
      <c r="AM63" s="1246"/>
      <c r="AN63" s="1246"/>
      <c r="AO63" s="1246"/>
      <c r="AP63" s="1246"/>
      <c r="BD63" s="73"/>
      <c r="BE63" s="114"/>
      <c r="BF63" s="1256"/>
      <c r="BG63" s="1256"/>
      <c r="BH63" s="1256"/>
      <c r="BI63" s="1256"/>
      <c r="BJ63" s="1256"/>
      <c r="BK63" s="1256"/>
      <c r="BL63" s="118"/>
      <c r="BM63" s="118"/>
      <c r="BN63" s="342"/>
    </row>
    <row r="64" spans="1:66" s="83" customFormat="1" ht="14.25" customHeight="1">
      <c r="A64" s="4429"/>
      <c r="B64" s="401" t="str">
        <f t="shared" si="66"/>
        <v>Other 1</v>
      </c>
      <c r="C64" s="1772"/>
      <c r="D64" s="1166" t="s">
        <v>82</v>
      </c>
      <c r="E64" s="1137"/>
      <c r="F64" s="896">
        <f t="shared" si="73"/>
        <v>0</v>
      </c>
      <c r="G64" s="896">
        <f t="shared" si="67"/>
        <v>0</v>
      </c>
      <c r="H64" s="3255" t="s">
        <v>774</v>
      </c>
      <c r="I64" s="4139"/>
      <c r="J64" s="2386">
        <f>J57-0.001*$AK$56</f>
        <v>7.9973806451612903</v>
      </c>
      <c r="K64" s="1204" t="str">
        <f>FIXED((J62+K62+L62+M62+N62+O62+FIXED((J55*69/C5))))</f>
        <v>47.79</v>
      </c>
      <c r="L64" s="3256" t="str">
        <f>FIXED((K64),1)&amp;" EBU"</f>
        <v>47.8 EBU</v>
      </c>
      <c r="M64" s="3256"/>
      <c r="N64" s="3257" t="str">
        <f>"(min boil vol. "&amp;FIXED((AK56),1)&amp;" litres)"</f>
        <v>(min boil vol. 2.6 litres)</v>
      </c>
      <c r="O64" s="3258"/>
      <c r="P64" s="2387">
        <f>P57-0.001*$AQ$56</f>
        <v>5.9973806451612903</v>
      </c>
      <c r="Q64" s="1230" t="str">
        <f>FIXED((P62+Q62+R62+S62+T62+U62+FIXED((P55*69/C5))),1)</f>
        <v>47.9</v>
      </c>
      <c r="R64" s="3259" t="str">
        <f>FIXED((Q64),1)&amp;" EBU"</f>
        <v>47.9 EBU</v>
      </c>
      <c r="S64" s="3259"/>
      <c r="T64" s="3257" t="str">
        <f>"( min boil vol. "&amp;FIXED((AQ56),1)&amp;" litres)"</f>
        <v>( min boil vol. 2.6 litres)</v>
      </c>
      <c r="U64" s="3258"/>
      <c r="V64" s="2388">
        <f>V57-0.001*$AW$56</f>
        <v>2.9775</v>
      </c>
      <c r="W64" s="2389" t="str">
        <f>FIXED((V62+W62+Y62+X62+Z62+AA62+FIXED((V55*69/C5))),1)</f>
        <v>50.1</v>
      </c>
      <c r="X64" s="3260" t="str">
        <f>FIXED((W64),1)&amp;" EBU"</f>
        <v>50.1 EBU</v>
      </c>
      <c r="Y64" s="3260"/>
      <c r="Z64" s="3261" t="str">
        <f>"(min boil vol. of "&amp;FIXED((0.1+AW58+(AW56)/12.3+0.1),1)&amp;" litres)"</f>
        <v>(min boil vol. of 2.4 litres)</v>
      </c>
      <c r="AA64" s="3262"/>
      <c r="AB64" s="507">
        <f t="shared" si="68"/>
        <v>0</v>
      </c>
      <c r="AC64" s="507">
        <f t="shared" si="68"/>
        <v>0</v>
      </c>
      <c r="AD64" s="83">
        <f t="shared" si="68"/>
        <v>0</v>
      </c>
      <c r="AE64" s="1242">
        <f t="shared" si="69"/>
        <v>0</v>
      </c>
      <c r="AF64" s="503">
        <f t="shared" si="70"/>
        <v>0</v>
      </c>
      <c r="AG64" s="503">
        <f t="shared" si="72"/>
        <v>0</v>
      </c>
      <c r="AH64" s="502">
        <f t="shared" si="71"/>
        <v>0</v>
      </c>
      <c r="AI64" s="543"/>
      <c r="AJ64" s="543"/>
      <c r="AK64" s="1246"/>
      <c r="AL64" s="1246"/>
      <c r="AM64" s="1246"/>
      <c r="AN64" s="1246"/>
      <c r="AO64" s="1246"/>
      <c r="AP64" s="1246"/>
      <c r="AQ64" s="511"/>
      <c r="AR64" s="511"/>
      <c r="AS64" s="511"/>
      <c r="AT64" s="511"/>
      <c r="AU64" s="511"/>
      <c r="AV64" s="511"/>
      <c r="AX64" s="511"/>
      <c r="BC64" s="114"/>
      <c r="BD64" s="73"/>
      <c r="BE64" s="114"/>
      <c r="BF64" s="1256"/>
      <c r="BG64" s="1256"/>
      <c r="BH64" s="1256"/>
      <c r="BI64" s="1256"/>
      <c r="BJ64" s="1256"/>
      <c r="BK64" s="1256"/>
      <c r="BL64" s="118"/>
      <c r="BM64" s="118"/>
      <c r="BN64" s="342"/>
    </row>
    <row r="65" spans="1:66" s="83" customFormat="1" ht="14.25" customHeight="1">
      <c r="A65" s="4464"/>
      <c r="B65" s="401" t="str">
        <f t="shared" si="66"/>
        <v>Lactose (non-fermentable - FIXED)</v>
      </c>
      <c r="C65" s="1774"/>
      <c r="D65" s="1170" t="s">
        <v>82</v>
      </c>
      <c r="E65" s="1171"/>
      <c r="F65" s="896">
        <f t="shared" si="73"/>
        <v>0</v>
      </c>
      <c r="G65" s="896">
        <f t="shared" si="67"/>
        <v>0</v>
      </c>
      <c r="H65" s="1172" t="s">
        <v>775</v>
      </c>
      <c r="I65" s="1205"/>
      <c r="J65" s="3253" t="str">
        <f>"Using all the fermetables &amp; making the boil vol. up to "&amp;J57&amp;" litres (cell J65), (min boil vol. "&amp;FIXED((AK56),1)&amp;" litres) &amp; boiling for "&amp;J59&amp;" minutes (cell J67) gives the stated bitterness of "&amp;L64&amp;" (cell L72)."</f>
        <v>Using all the fermetables &amp; making the boil vol. up to 8 litres (cell J65), (min boil vol. 2.6 litres) &amp; boiling for 90 minutes (cell J67) gives the stated bitterness of 47.8 EBU (cell L72).</v>
      </c>
      <c r="K65" s="4176"/>
      <c r="L65" s="4176"/>
      <c r="M65" s="4176"/>
      <c r="N65" s="4176"/>
      <c r="O65" s="4150"/>
      <c r="P65" s="3254" t="str">
        <f>"Omitting any sugars from the boil &amp; making the boil vol. "&amp;P57&amp;" litres (cell P65) &amp; boiled for "&amp;P59&amp;" minutes (cell P67), min boil vol. "&amp;FIXED((AQ56),1)&amp;" litres) gives a bitterness of "&amp;R64&amp;" (cell R72).   Any sugar is then added to the fermenting vessel &amp; stirred in."</f>
        <v>Omitting any sugars from the boil &amp; making the boil vol. 6 litres (cell P65) &amp; boiled for 90 minutes (cell P67), min boil vol. 2.6 litres) gives a bitterness of 47.9 EBU (cell R72).   Any sugar is then added to the fermenting vessel &amp; stirred in.</v>
      </c>
      <c r="Q65" s="4176"/>
      <c r="R65" s="4176"/>
      <c r="S65" s="4176"/>
      <c r="T65" s="4176"/>
      <c r="U65" s="4150"/>
      <c r="V65" s="4465" t="str">
        <f>"Add the hops &amp; coloured malts to a suggested minimum of boiling water vol. of "&amp;FIXED((0.1+AW58+(AW56)/12.3+0.1),1)&amp;" litres ("&amp;V57&amp;" used - cell V65) for "&amp;V59&amp;" mins. (V67) to give a bitterness of "&amp;X64&amp;" (cell X72), use a sieve ̸ colander of "&amp;FIXED(0.1+AW58+(AW56)/17,1)&amp;" litres (minimum) to strain the spent grains ̸ hops. Use this hot, hop ""tea"" &amp; the sparging water to help dissovle the extract ̸ any other sugars."</f>
        <v>Add the hops &amp; coloured malts to a suggested minimum of boiling water vol. of 2.4 litres (3 used - cell V65) for 60 mins. (V67) to give a bitterness of 50.1 EBU (cell X72), use a sieve ̸ colander of 1.8 litres (minimum) to strain the spent grains ̸ hops. Use this hot, hop "tea" &amp; the sparging water to help dissovle the extract ̸ any other sugars.</v>
      </c>
      <c r="W65" s="4160"/>
      <c r="X65" s="4160"/>
      <c r="Y65" s="4160"/>
      <c r="Z65" s="4160"/>
      <c r="AA65" s="4153"/>
      <c r="AB65" s="507">
        <f t="shared" si="68"/>
        <v>380</v>
      </c>
      <c r="AC65" s="507">
        <f t="shared" si="68"/>
        <v>1</v>
      </c>
      <c r="AD65" s="83">
        <f t="shared" si="68"/>
        <v>30</v>
      </c>
      <c r="AE65" s="1242">
        <f t="shared" si="69"/>
        <v>0</v>
      </c>
      <c r="AF65" s="503">
        <f t="shared" si="70"/>
        <v>0</v>
      </c>
      <c r="AG65" s="503">
        <f t="shared" si="72"/>
        <v>0</v>
      </c>
      <c r="AH65" s="502">
        <f t="shared" si="71"/>
        <v>0</v>
      </c>
      <c r="AI65" s="502"/>
      <c r="AL65" s="511"/>
      <c r="AM65" s="542"/>
      <c r="AN65" s="542"/>
      <c r="AO65" s="542"/>
      <c r="AP65" s="543"/>
      <c r="AQ65" s="511"/>
      <c r="AR65" s="511"/>
      <c r="AS65" s="511"/>
      <c r="AT65" s="511"/>
      <c r="AU65" s="511"/>
      <c r="AV65" s="511"/>
      <c r="AX65" s="511"/>
      <c r="BC65" s="114"/>
      <c r="BD65" s="73"/>
      <c r="BE65" s="114"/>
      <c r="BF65" s="1256"/>
      <c r="BG65" s="1256"/>
      <c r="BH65" s="1256"/>
      <c r="BI65" s="1256"/>
      <c r="BJ65" s="1256"/>
      <c r="BK65" s="1256"/>
      <c r="BL65" s="118"/>
      <c r="BM65" s="118"/>
      <c r="BN65" s="342"/>
    </row>
    <row r="66" spans="1:66" s="83" customFormat="1" ht="14.25" customHeight="1">
      <c r="A66" s="1271"/>
      <c r="B66" s="1985" t="s">
        <v>776</v>
      </c>
      <c r="C66" s="1986">
        <f>C5*C68+AE66</f>
        <v>453.55</v>
      </c>
      <c r="D66" s="4466" t="str">
        <f>"g = "&amp;FIXED(100*(AF68+SUM(AF52:AF64))/(AF68+SUM(AF22:AF64)),1)&amp;"% of the fermentable sugars."</f>
        <v>g = 27.7% of the fermentable sugars.</v>
      </c>
      <c r="E66" s="4176"/>
      <c r="F66" s="4176"/>
      <c r="G66" s="4176"/>
      <c r="H66" s="4467" t="s">
        <v>777</v>
      </c>
      <c r="I66" s="4153"/>
      <c r="J66" s="4393"/>
      <c r="K66" s="4160"/>
      <c r="L66" s="4160"/>
      <c r="M66" s="4160"/>
      <c r="N66" s="4160"/>
      <c r="O66" s="4153"/>
      <c r="P66" s="4393"/>
      <c r="Q66" s="4160"/>
      <c r="R66" s="4160"/>
      <c r="S66" s="4160"/>
      <c r="T66" s="4160"/>
      <c r="U66" s="4153"/>
      <c r="V66" s="4393"/>
      <c r="W66" s="4160"/>
      <c r="X66" s="4160"/>
      <c r="Y66" s="4160"/>
      <c r="Z66" s="4160"/>
      <c r="AA66" s="4153"/>
      <c r="AE66" s="1242">
        <f>SUM(AE52:AE65)/375</f>
        <v>400</v>
      </c>
      <c r="AI66" s="544"/>
      <c r="AJ66" s="544"/>
      <c r="AL66" s="544"/>
      <c r="AM66" s="544"/>
      <c r="AN66" s="544"/>
      <c r="AO66" s="544"/>
      <c r="AP66" s="544"/>
      <c r="AQ66" s="544"/>
      <c r="BC66" s="858"/>
      <c r="BD66" s="73"/>
      <c r="BE66" s="114"/>
      <c r="BF66" s="1256"/>
      <c r="BG66" s="1256"/>
      <c r="BH66" s="1256"/>
      <c r="BI66" s="1256"/>
      <c r="BJ66" s="1256"/>
      <c r="BK66" s="1256"/>
      <c r="BL66" s="118"/>
      <c r="BM66" s="118"/>
      <c r="BN66" s="342"/>
    </row>
    <row r="67" spans="1:66" s="83" customFormat="1" ht="14.25" customHeight="1">
      <c r="A67" s="1272"/>
      <c r="B67" s="4468" t="s">
        <v>778</v>
      </c>
      <c r="C67" s="3263"/>
      <c r="D67" s="3263"/>
      <c r="E67" s="3263"/>
      <c r="F67" s="3263"/>
      <c r="G67" s="3264"/>
      <c r="H67" s="4393"/>
      <c r="I67" s="4153"/>
      <c r="J67" s="4393"/>
      <c r="K67" s="4160"/>
      <c r="L67" s="4160"/>
      <c r="M67" s="4160"/>
      <c r="N67" s="4160"/>
      <c r="O67" s="4153"/>
      <c r="P67" s="4393"/>
      <c r="Q67" s="4160"/>
      <c r="R67" s="4160"/>
      <c r="S67" s="4160"/>
      <c r="T67" s="4160"/>
      <c r="U67" s="4153"/>
      <c r="V67" s="4393"/>
      <c r="W67" s="4160"/>
      <c r="X67" s="4160"/>
      <c r="Y67" s="4160"/>
      <c r="Z67" s="4160"/>
      <c r="AA67" s="4153"/>
      <c r="AB67" s="118">
        <f>K$64/$AF$75</f>
        <v>0.66096224054996799</v>
      </c>
      <c r="AC67" s="118">
        <f>Q$64/$AF$75</f>
        <v>0.66248360163932762</v>
      </c>
      <c r="AD67" s="118">
        <f>W$64/$AF$75</f>
        <v>0.69291082342652022</v>
      </c>
      <c r="AJ67" s="545"/>
      <c r="AL67" s="545"/>
      <c r="AM67" s="545"/>
      <c r="AN67" s="545"/>
      <c r="AO67" s="545"/>
      <c r="AP67" s="545"/>
      <c r="AQ67" s="503"/>
      <c r="AR67" s="511"/>
      <c r="AW67" s="511"/>
      <c r="AX67" s="511"/>
      <c r="AY67" s="511"/>
      <c r="AZ67" s="511"/>
      <c r="BA67" s="511"/>
      <c r="BB67" s="511"/>
      <c r="BC67" s="858"/>
      <c r="BD67" s="73"/>
      <c r="BE67" s="114"/>
      <c r="BF67" s="1256"/>
      <c r="BG67" s="1256"/>
      <c r="BH67" s="1256"/>
      <c r="BI67" s="1256"/>
      <c r="BJ67" s="1256"/>
      <c r="BK67" s="1256"/>
      <c r="BL67" s="118"/>
      <c r="BM67" s="118"/>
      <c r="BN67" s="342"/>
    </row>
    <row r="68" spans="1:66" s="83" customFormat="1" ht="14.25" customHeight="1">
      <c r="A68" s="1272"/>
      <c r="B68" s="1984" t="str">
        <f>"Priming sugar (sucrose, 1 level tsp = "&amp;BG81&amp;"g )"</f>
        <v>Priming sugar (sucrose, 1 level tsp = 3.15g )</v>
      </c>
      <c r="C68" s="1987">
        <v>6.3</v>
      </c>
      <c r="D68" s="4469" t="s">
        <v>779</v>
      </c>
      <c r="E68" s="4469"/>
      <c r="F68" s="896">
        <f>C68</f>
        <v>6.3</v>
      </c>
      <c r="G68" s="896">
        <f>IF(AF68=0,0,AF68*100/$AF$69)</f>
        <v>3.2674687032837397</v>
      </c>
      <c r="H68" s="4393"/>
      <c r="I68" s="4153"/>
      <c r="J68" s="4393"/>
      <c r="K68" s="4160"/>
      <c r="L68" s="4160"/>
      <c r="M68" s="4160"/>
      <c r="N68" s="4160"/>
      <c r="O68" s="4153"/>
      <c r="P68" s="4393"/>
      <c r="Q68" s="4160"/>
      <c r="R68" s="4160"/>
      <c r="S68" s="4160"/>
      <c r="T68" s="4160"/>
      <c r="U68" s="4153"/>
      <c r="V68" s="4393"/>
      <c r="W68" s="4160"/>
      <c r="X68" s="4160"/>
      <c r="Y68" s="4160"/>
      <c r="Z68" s="4160"/>
      <c r="AA68" s="4153"/>
      <c r="AB68" s="2390"/>
      <c r="AC68" s="2391">
        <f>89.6/342</f>
        <v>0.26198830409356721</v>
      </c>
      <c r="AD68" s="503"/>
      <c r="AE68" s="503"/>
      <c r="AF68" s="513">
        <f>0.001*C68*375*C$5</f>
        <v>20.081249999999997</v>
      </c>
      <c r="AG68" s="503"/>
      <c r="AH68" s="503">
        <f>SUM(AH22:AH65)/C5</f>
        <v>146.10588235294119</v>
      </c>
      <c r="AI68" s="502" t="s">
        <v>780</v>
      </c>
      <c r="AJ68" s="545"/>
      <c r="AL68" s="545"/>
      <c r="AN68" s="545"/>
      <c r="AO68" s="545"/>
      <c r="AP68" s="1324"/>
      <c r="BC68" s="858"/>
      <c r="BD68" s="73"/>
      <c r="BE68" s="114"/>
      <c r="BF68" s="1256"/>
      <c r="BG68" s="1256"/>
      <c r="BH68" s="1256"/>
      <c r="BI68" s="1256"/>
      <c r="BJ68" s="1256"/>
      <c r="BK68" s="1256"/>
      <c r="BL68" s="118"/>
      <c r="BM68" s="118"/>
      <c r="BN68" s="342"/>
    </row>
    <row r="69" spans="1:66" s="83" customFormat="1" ht="14.25" customHeight="1">
      <c r="A69" s="1272"/>
      <c r="B69" s="412" t="s">
        <v>781</v>
      </c>
      <c r="C69" s="1990">
        <f>C68/BG81</f>
        <v>2</v>
      </c>
      <c r="D69" s="3246" t="s">
        <v>782</v>
      </c>
      <c r="E69" s="3246"/>
      <c r="F69" s="3247" t="s">
        <v>783</v>
      </c>
      <c r="G69" s="3239"/>
      <c r="H69" s="4446" t="s">
        <v>784</v>
      </c>
      <c r="I69" s="4446"/>
      <c r="J69" s="4220"/>
      <c r="K69" s="4172"/>
      <c r="L69" s="4172"/>
      <c r="M69" s="4172"/>
      <c r="N69" s="4172"/>
      <c r="O69" s="4312"/>
      <c r="P69" s="4220"/>
      <c r="Q69" s="4172"/>
      <c r="R69" s="4172"/>
      <c r="S69" s="4172"/>
      <c r="T69" s="4172"/>
      <c r="U69" s="4312"/>
      <c r="V69" s="4220"/>
      <c r="W69" s="4172"/>
      <c r="X69" s="4172"/>
      <c r="Y69" s="4172"/>
      <c r="Z69" s="4172"/>
      <c r="AA69" s="4312"/>
      <c r="AB69" s="2392" t="s">
        <v>538</v>
      </c>
      <c r="AC69" s="4470" t="s">
        <v>539</v>
      </c>
      <c r="AD69" s="3248" t="s">
        <v>785</v>
      </c>
      <c r="AE69" s="3248"/>
      <c r="AF69" s="513">
        <f>AF68+SUM(AF22:AF65)</f>
        <v>614.58124999999995</v>
      </c>
      <c r="AG69" s="503"/>
      <c r="AH69" s="503"/>
      <c r="AI69" s="503"/>
      <c r="AJ69" s="545"/>
      <c r="AL69" s="545"/>
      <c r="AM69" s="545"/>
      <c r="AN69" s="545"/>
      <c r="AO69" s="545"/>
      <c r="AP69" s="1324"/>
      <c r="BC69" s="858"/>
      <c r="BD69" s="73"/>
      <c r="BE69" s="114"/>
      <c r="BF69" s="1256"/>
      <c r="BG69" s="1256"/>
      <c r="BH69" s="1256"/>
      <c r="BI69" s="1256"/>
      <c r="BJ69" s="1256"/>
      <c r="BK69" s="1256"/>
      <c r="BL69" s="118"/>
      <c r="BM69" s="118"/>
      <c r="BN69" s="342"/>
    </row>
    <row r="70" spans="1:66" s="83" customFormat="1" ht="14.25" customHeight="1">
      <c r="A70" s="1272"/>
      <c r="B70" s="412" t="s">
        <v>786</v>
      </c>
      <c r="C70" s="1991">
        <v>500</v>
      </c>
      <c r="D70" s="3249" t="s">
        <v>787</v>
      </c>
      <c r="E70" s="4160"/>
      <c r="F70" s="927">
        <f>(SUM(C22:C65)+C68*C5)</f>
        <v>1853.55</v>
      </c>
      <c r="G70" s="1273">
        <f>AF69</f>
        <v>614.58124999999995</v>
      </c>
      <c r="H70" s="4471" t="s">
        <v>788</v>
      </c>
      <c r="I70" s="4153"/>
      <c r="J70" s="118"/>
      <c r="L70" s="118"/>
      <c r="M70" s="118"/>
      <c r="N70" s="328"/>
      <c r="O70" s="118"/>
      <c r="P70" s="118"/>
      <c r="Q70" s="118"/>
      <c r="R70" s="328"/>
      <c r="S70" s="3230" t="s">
        <v>789</v>
      </c>
      <c r="T70" s="3231"/>
      <c r="U70" s="3232"/>
      <c r="V70" s="3250" t="s">
        <v>790</v>
      </c>
      <c r="W70" s="3250"/>
      <c r="X70" s="3251" t="s">
        <v>791</v>
      </c>
      <c r="Y70" s="3251"/>
      <c r="Z70" s="3252" t="s">
        <v>792</v>
      </c>
      <c r="AA70" s="3252"/>
      <c r="AB70" s="4472" t="s">
        <v>544</v>
      </c>
      <c r="AC70" s="4473" t="s">
        <v>545</v>
      </c>
      <c r="AF70" s="522"/>
      <c r="AI70" s="503"/>
      <c r="AJ70" s="545"/>
      <c r="AK70" s="545"/>
      <c r="AL70" s="1321"/>
      <c r="AM70" s="1321"/>
      <c r="AN70" s="1321"/>
      <c r="AO70" s="1321"/>
      <c r="AP70" s="1321"/>
      <c r="AQ70" s="1321"/>
      <c r="BC70" s="858"/>
      <c r="BD70" s="73"/>
      <c r="BE70" s="114"/>
      <c r="BF70" s="1256"/>
      <c r="BG70" s="1256"/>
      <c r="BH70" s="1256"/>
      <c r="BI70" s="1256"/>
      <c r="BJ70" s="1256"/>
      <c r="BK70" s="1256"/>
      <c r="BL70" s="118"/>
      <c r="BM70" s="118"/>
      <c r="BN70" s="342"/>
    </row>
    <row r="71" spans="1:66" s="83" customFormat="1" ht="14.25" customHeight="1">
      <c r="A71" s="1272"/>
      <c r="B71" s="412" t="s">
        <v>793</v>
      </c>
      <c r="C71" s="3236" t="str">
        <f>FIXED(C68*C70/1000)&amp;"g or "&amp;FIXED(C68*C70/(1000*BG81))&amp;" level 5ml tsp."</f>
        <v>3.15g or 1.00 level 5ml tsp.</v>
      </c>
      <c r="D71" s="3237"/>
      <c r="E71" s="3237"/>
      <c r="F71" s="3238" t="s">
        <v>794</v>
      </c>
      <c r="G71" s="3239"/>
      <c r="H71" s="4393"/>
      <c r="I71" s="4153"/>
      <c r="J71" s="118"/>
      <c r="K71" s="118"/>
      <c r="L71" s="118"/>
      <c r="M71" s="118"/>
      <c r="N71" s="118"/>
      <c r="O71" s="118"/>
      <c r="P71" s="118"/>
      <c r="R71" s="118"/>
      <c r="S71" s="3233"/>
      <c r="T71" s="3234"/>
      <c r="U71" s="3235"/>
      <c r="V71" s="4474" t="s">
        <v>795</v>
      </c>
      <c r="W71" s="1305" t="s">
        <v>796</v>
      </c>
      <c r="X71" s="594" t="s">
        <v>795</v>
      </c>
      <c r="Y71" s="1313" t="s">
        <v>796</v>
      </c>
      <c r="Z71" s="4474" t="s">
        <v>795</v>
      </c>
      <c r="AA71" s="596" t="s">
        <v>796</v>
      </c>
      <c r="AB71" s="4345">
        <v>0</v>
      </c>
      <c r="AC71" s="4346">
        <v>1.7130000000000001</v>
      </c>
      <c r="AD71" s="520"/>
      <c r="AE71" s="521" t="s">
        <v>535</v>
      </c>
      <c r="AF71" s="513">
        <f>SUM(AG22:AG49)/C5</f>
        <v>39.743529411764705</v>
      </c>
      <c r="AG71" s="502" t="s">
        <v>797</v>
      </c>
      <c r="AH71" s="502" t="s">
        <v>798</v>
      </c>
      <c r="AI71" s="485"/>
      <c r="AJ71" s="545"/>
      <c r="AO71" s="1321"/>
      <c r="AP71" s="1321"/>
      <c r="AQ71" s="1321"/>
      <c r="AS71" s="1325"/>
      <c r="AT71" s="1325"/>
      <c r="AU71" s="1325"/>
      <c r="BC71" s="114"/>
      <c r="BD71" s="73"/>
      <c r="BE71" s="118"/>
      <c r="BF71" s="118"/>
      <c r="BG71" s="118"/>
      <c r="BH71" s="118"/>
      <c r="BI71" s="118"/>
      <c r="BJ71" s="118"/>
      <c r="BK71" s="118"/>
      <c r="BM71" s="118"/>
      <c r="BN71" s="342"/>
    </row>
    <row r="72" spans="1:66" s="83" customFormat="1" ht="14.25" customHeight="1">
      <c r="A72" s="1274"/>
      <c r="B72" s="1988" t="s">
        <v>799</v>
      </c>
      <c r="C72" s="1992">
        <f>C68*$AC$68+VLOOKUP($C$6,$AB$71:$AC$119,2)</f>
        <v>2.5275263157894736</v>
      </c>
      <c r="D72" s="3240"/>
      <c r="E72" s="3241"/>
      <c r="F72" s="929">
        <f>SUM(F22:F68)/100</f>
        <v>1.0341094925952903</v>
      </c>
      <c r="G72" s="930">
        <f>SUM(G22:G68)/100</f>
        <v>1.0000000000000002</v>
      </c>
      <c r="H72" s="4393"/>
      <c r="I72" s="4153"/>
      <c r="J72" s="118"/>
      <c r="K72" s="3242" t="s">
        <v>800</v>
      </c>
      <c r="L72" s="3242"/>
      <c r="M72" s="3242"/>
      <c r="N72" s="3242"/>
      <c r="O72" s="118"/>
      <c r="P72" s="118"/>
      <c r="Q72" s="118"/>
      <c r="R72" s="73"/>
      <c r="S72" s="4475" t="s">
        <v>801</v>
      </c>
      <c r="T72" s="4476"/>
      <c r="U72" s="4477"/>
      <c r="V72" s="2393">
        <v>9</v>
      </c>
      <c r="W72" s="2394">
        <v>0</v>
      </c>
      <c r="X72" s="2395">
        <f>V72</f>
        <v>9</v>
      </c>
      <c r="Y72" s="2396">
        <f>W72</f>
        <v>0</v>
      </c>
      <c r="Z72" s="2397">
        <f>X72</f>
        <v>9</v>
      </c>
      <c r="AA72" s="1314">
        <f>Y72</f>
        <v>0</v>
      </c>
      <c r="AB72" s="4345">
        <v>1</v>
      </c>
      <c r="AC72" s="4346">
        <v>1.6459999999999999</v>
      </c>
      <c r="AD72" s="485"/>
      <c r="AE72" s="521" t="s">
        <v>540</v>
      </c>
      <c r="AF72" s="522">
        <f>((SUM(AG52:AG65)+C68*(0.375*C5))/C5)</f>
        <v>20.009558823529414</v>
      </c>
      <c r="AG72" s="83" t="s">
        <v>802</v>
      </c>
      <c r="AH72" s="524"/>
      <c r="AI72" s="485"/>
      <c r="AJ72" s="524"/>
      <c r="AK72" s="1257">
        <v>1</v>
      </c>
      <c r="AL72" s="1090">
        <f>V72*60+W72</f>
        <v>540</v>
      </c>
      <c r="AM72" s="1258">
        <f>X72*60+Y72</f>
        <v>540</v>
      </c>
      <c r="AN72" s="1091">
        <f>Z72*60+AA72</f>
        <v>540</v>
      </c>
      <c r="AO72" s="1321"/>
      <c r="AP72" s="1321"/>
      <c r="AQ72" s="1321"/>
      <c r="AS72" s="1325"/>
      <c r="AT72" s="1326"/>
      <c r="AU72" s="1326"/>
      <c r="BC72" s="114"/>
      <c r="BD72" s="114"/>
      <c r="BE72" s="114"/>
      <c r="BF72" s="114"/>
      <c r="BG72" s="114"/>
      <c r="BH72" s="114"/>
      <c r="BI72" s="114"/>
      <c r="BJ72" s="114"/>
      <c r="BK72" s="114"/>
      <c r="BL72" s="114"/>
      <c r="BN72" s="342"/>
    </row>
    <row r="73" spans="1:66" s="83" customFormat="1" ht="14.25" customHeight="1">
      <c r="A73" s="1272"/>
      <c r="B73" s="1989" t="s">
        <v>803</v>
      </c>
      <c r="C73" s="1993" t="s">
        <v>804</v>
      </c>
      <c r="D73" s="3244" t="s">
        <v>805</v>
      </c>
      <c r="E73" s="3245"/>
      <c r="F73" s="1995"/>
      <c r="G73" s="1996"/>
      <c r="H73" s="4393"/>
      <c r="I73" s="4153"/>
      <c r="J73" s="118"/>
      <c r="K73" s="3081" t="s">
        <v>806</v>
      </c>
      <c r="L73" s="3082"/>
      <c r="M73" s="118"/>
      <c r="N73" s="118"/>
      <c r="O73" s="118"/>
      <c r="P73" s="118"/>
      <c r="Q73" s="73"/>
      <c r="R73" s="118"/>
      <c r="S73" s="4478" t="s">
        <v>807</v>
      </c>
      <c r="T73" s="4479"/>
      <c r="U73" s="4480"/>
      <c r="V73" s="1306">
        <f t="shared" ref="V73:V78" si="81">INT(AL73/60)</f>
        <v>9</v>
      </c>
      <c r="W73" s="1307">
        <f t="shared" ref="W73:W78" si="82">60*(MOD(AL73/60,60)-V73)</f>
        <v>30</v>
      </c>
      <c r="X73" s="1306">
        <f t="shared" ref="X73:X78" si="83">INT(AM73/60)</f>
        <v>9</v>
      </c>
      <c r="Y73" s="1307">
        <f t="shared" ref="Y73:Y78" si="84">60*(MOD(AM73/60,60)-X73)</f>
        <v>30</v>
      </c>
      <c r="Z73" s="1315">
        <f t="shared" ref="Z73:Z78" si="85">INT(AN73/60)</f>
        <v>9</v>
      </c>
      <c r="AA73" s="1316">
        <f t="shared" ref="AA73:AA78" si="86">60*(MOD(AN73/60,60)-Z73)</f>
        <v>0</v>
      </c>
      <c r="AB73" s="4345">
        <v>2</v>
      </c>
      <c r="AC73" s="4352">
        <v>1.5840000000000001</v>
      </c>
      <c r="AD73" s="485"/>
      <c r="AE73" s="521" t="s">
        <v>808</v>
      </c>
      <c r="AF73" s="522">
        <f>(SUM(AG52:AG65)/C5)</f>
        <v>17.647058823529413</v>
      </c>
      <c r="AG73" s="83" t="s">
        <v>809</v>
      </c>
      <c r="AI73" s="485"/>
      <c r="AJ73" s="524"/>
      <c r="AK73" s="1257">
        <v>2</v>
      </c>
      <c r="AL73" s="4481">
        <f>AL78-K59</f>
        <v>570</v>
      </c>
      <c r="AM73" s="1259">
        <f>AM78-Q59</f>
        <v>570</v>
      </c>
      <c r="AN73" s="1093">
        <f>AN78-W59</f>
        <v>540</v>
      </c>
      <c r="AO73" s="1321"/>
      <c r="AP73" s="1321"/>
      <c r="AQ73" s="1321"/>
      <c r="BC73" s="114"/>
      <c r="BD73" s="114"/>
      <c r="BE73" s="114"/>
      <c r="BF73" s="114"/>
      <c r="BG73" s="114"/>
      <c r="BH73" s="114"/>
      <c r="BI73" s="114"/>
      <c r="BJ73" s="114"/>
      <c r="BK73" s="114"/>
      <c r="BL73" s="114"/>
      <c r="BM73" s="118"/>
      <c r="BN73" s="342"/>
    </row>
    <row r="74" spans="1:66" s="83" customFormat="1" ht="14.25" customHeight="1">
      <c r="A74" s="429"/>
      <c r="B74" s="1696" t="s">
        <v>810</v>
      </c>
      <c r="C74" s="1994">
        <v>76</v>
      </c>
      <c r="D74" s="4482" t="s">
        <v>811</v>
      </c>
      <c r="E74" s="4482"/>
      <c r="F74" s="4482"/>
      <c r="G74" s="4461"/>
      <c r="H74" s="4220"/>
      <c r="I74" s="4312"/>
      <c r="J74" s="118"/>
      <c r="K74" s="2398">
        <v>0.04</v>
      </c>
      <c r="L74" s="2398">
        <v>4.1500000000000004</v>
      </c>
      <c r="M74" s="4483" t="s">
        <v>812</v>
      </c>
      <c r="N74" s="3226"/>
      <c r="O74" s="118"/>
      <c r="P74" s="118"/>
      <c r="Q74" s="118"/>
      <c r="R74" s="73"/>
      <c r="S74" s="4478" t="s">
        <v>813</v>
      </c>
      <c r="T74" s="4479"/>
      <c r="U74" s="4480"/>
      <c r="V74" s="1306">
        <f t="shared" si="81"/>
        <v>9</v>
      </c>
      <c r="W74" s="1307">
        <f t="shared" si="82"/>
        <v>45</v>
      </c>
      <c r="X74" s="1306">
        <f t="shared" si="83"/>
        <v>9</v>
      </c>
      <c r="Y74" s="1307">
        <f t="shared" si="84"/>
        <v>45</v>
      </c>
      <c r="Z74" s="1315">
        <f t="shared" si="85"/>
        <v>9</v>
      </c>
      <c r="AA74" s="1316">
        <f t="shared" si="86"/>
        <v>15</v>
      </c>
      <c r="AB74" s="4345">
        <v>3</v>
      </c>
      <c r="AC74" s="4352">
        <v>1.53</v>
      </c>
      <c r="AD74" s="485"/>
      <c r="AE74" s="485"/>
      <c r="AF74" s="522" t="s">
        <v>570</v>
      </c>
      <c r="AI74" s="485"/>
      <c r="AJ74" s="524"/>
      <c r="AK74" s="1257">
        <v>3</v>
      </c>
      <c r="AL74" s="4481">
        <f>AL78-L59</f>
        <v>585</v>
      </c>
      <c r="AM74" s="1259">
        <f>AM78-R59</f>
        <v>585</v>
      </c>
      <c r="AN74" s="1093">
        <f>AN78-X59</f>
        <v>555</v>
      </c>
      <c r="AO74" s="1321"/>
      <c r="AP74" s="1321"/>
      <c r="AQ74" s="1321"/>
      <c r="AR74" s="502"/>
      <c r="AS74" s="502"/>
      <c r="AT74" s="502"/>
      <c r="AU74" s="502"/>
      <c r="AV74" s="502"/>
      <c r="AW74" s="502"/>
      <c r="AX74" s="502"/>
      <c r="AY74" s="502"/>
      <c r="AZ74" s="502"/>
      <c r="BA74" s="502"/>
      <c r="BB74" s="511"/>
      <c r="BC74" s="114"/>
      <c r="BD74" s="114"/>
      <c r="BE74" s="114"/>
      <c r="BF74" s="114"/>
      <c r="BG74" s="114"/>
      <c r="BH74" s="114"/>
      <c r="BI74" s="114"/>
      <c r="BJ74" s="114"/>
      <c r="BK74" s="114"/>
      <c r="BL74" s="114"/>
      <c r="BM74" s="118"/>
      <c r="BN74" s="342"/>
    </row>
    <row r="75" spans="1:66" s="83" customFormat="1" ht="14.25" customHeight="1">
      <c r="A75" s="429"/>
      <c r="B75" s="2399" t="s">
        <v>814</v>
      </c>
      <c r="C75" s="2400" t="str">
        <f>FIXED((100*(1-(AF77/AF76))),1)&amp;"%"</f>
        <v>82.1%</v>
      </c>
      <c r="D75" s="3227" t="s">
        <v>815</v>
      </c>
      <c r="E75" s="4141"/>
      <c r="F75" s="4484"/>
      <c r="G75" s="2766" t="str">
        <f>FIXED(100*(1-(((0.1808*AF76)+(0.8192*AF77))/AF76)),1)&amp;"%"</f>
        <v>67.2%</v>
      </c>
      <c r="H75" s="1275"/>
      <c r="I75" s="548"/>
      <c r="J75" s="118"/>
      <c r="K75" s="2401">
        <v>0.04</v>
      </c>
      <c r="L75" s="2401">
        <v>4.1500000000000004</v>
      </c>
      <c r="M75" s="4485" t="s">
        <v>816</v>
      </c>
      <c r="N75" s="3228"/>
      <c r="P75" s="118"/>
      <c r="Q75" s="73"/>
      <c r="R75" s="118"/>
      <c r="S75" s="4478" t="s">
        <v>817</v>
      </c>
      <c r="T75" s="4479"/>
      <c r="U75" s="4480"/>
      <c r="V75" s="1306">
        <f t="shared" si="81"/>
        <v>10</v>
      </c>
      <c r="W75" s="1307">
        <f t="shared" si="82"/>
        <v>0</v>
      </c>
      <c r="X75" s="1306">
        <f t="shared" si="83"/>
        <v>10</v>
      </c>
      <c r="Y75" s="1307">
        <f t="shared" si="84"/>
        <v>0</v>
      </c>
      <c r="Z75" s="1315">
        <f t="shared" si="85"/>
        <v>9</v>
      </c>
      <c r="AA75" s="1316">
        <f t="shared" si="86"/>
        <v>35.000000000000036</v>
      </c>
      <c r="AB75" s="4345">
        <v>4</v>
      </c>
      <c r="AC75" s="4352">
        <v>1.4730000000000001</v>
      </c>
      <c r="AD75" s="485"/>
      <c r="AE75" s="412" t="s">
        <v>818</v>
      </c>
      <c r="AF75" s="513">
        <f>(AF68+(SUM(AF22:AF65)))/C5</f>
        <v>72.303676470588229</v>
      </c>
      <c r="AG75" s="523" t="s">
        <v>797</v>
      </c>
      <c r="AH75" s="502" t="s">
        <v>528</v>
      </c>
      <c r="AJ75" s="544"/>
      <c r="AK75" s="1257">
        <v>4</v>
      </c>
      <c r="AL75" s="4481">
        <f>AL78-M59</f>
        <v>600</v>
      </c>
      <c r="AM75" s="1259">
        <f>AM78-S59</f>
        <v>600</v>
      </c>
      <c r="AN75" s="1093">
        <f>AN78-Y59</f>
        <v>575</v>
      </c>
      <c r="AO75" s="1321"/>
      <c r="AP75" s="1321"/>
      <c r="AQ75" s="1321"/>
      <c r="AR75" s="502"/>
      <c r="AS75" s="502"/>
      <c r="AT75" s="502"/>
      <c r="AU75" s="502"/>
      <c r="AV75" s="502"/>
      <c r="AW75" s="502"/>
      <c r="AX75" s="502"/>
      <c r="AY75" s="502"/>
      <c r="AZ75" s="502"/>
      <c r="BA75" s="502"/>
      <c r="BB75" s="511"/>
      <c r="BC75" s="114"/>
      <c r="BD75" s="73"/>
      <c r="BE75" s="3243" t="s">
        <v>819</v>
      </c>
      <c r="BF75" s="3243"/>
      <c r="BG75" s="3243"/>
      <c r="BH75" s="3243"/>
      <c r="BI75" s="3243"/>
      <c r="BJ75" s="3243"/>
      <c r="BK75" s="3243"/>
      <c r="BL75" s="3243"/>
      <c r="BM75" s="118"/>
      <c r="BN75" s="482"/>
    </row>
    <row r="76" spans="1:66" s="83" customFormat="1" ht="14.25" customHeight="1">
      <c r="A76" s="548"/>
      <c r="B76" s="1276"/>
      <c r="C76" s="1276"/>
      <c r="D76" s="1276"/>
      <c r="E76" s="1276"/>
      <c r="F76" s="1276"/>
      <c r="G76" s="1276"/>
      <c r="H76" s="1276"/>
      <c r="I76" s="1276"/>
      <c r="J76" s="118"/>
      <c r="K76" s="118"/>
      <c r="L76" s="118"/>
      <c r="M76" s="118"/>
      <c r="N76" s="118"/>
      <c r="O76" s="118"/>
      <c r="P76" s="118"/>
      <c r="Q76" s="118"/>
      <c r="R76" s="73"/>
      <c r="S76" s="4478" t="s">
        <v>820</v>
      </c>
      <c r="T76" s="4479"/>
      <c r="U76" s="4480"/>
      <c r="V76" s="1306">
        <f t="shared" si="81"/>
        <v>10</v>
      </c>
      <c r="W76" s="1307">
        <f t="shared" si="82"/>
        <v>15</v>
      </c>
      <c r="X76" s="1306">
        <f t="shared" si="83"/>
        <v>10</v>
      </c>
      <c r="Y76" s="1307">
        <f t="shared" si="84"/>
        <v>15</v>
      </c>
      <c r="Z76" s="1315">
        <f t="shared" si="85"/>
        <v>9</v>
      </c>
      <c r="AA76" s="1316">
        <f t="shared" si="86"/>
        <v>45</v>
      </c>
      <c r="AB76" s="4345">
        <v>5</v>
      </c>
      <c r="AC76" s="4352">
        <v>1.4239999999999999</v>
      </c>
      <c r="AD76" s="485"/>
      <c r="AE76" s="412" t="s">
        <v>821</v>
      </c>
      <c r="AF76" s="513">
        <f>(SUM(AF22:AF65))/C5</f>
        <v>69.941176470588232</v>
      </c>
      <c r="AG76" s="523" t="s">
        <v>797</v>
      </c>
      <c r="AH76" s="502" t="s">
        <v>798</v>
      </c>
      <c r="AI76" s="625"/>
      <c r="AJ76" s="544"/>
      <c r="AK76" s="1257">
        <v>5</v>
      </c>
      <c r="AL76" s="4481">
        <f>AL78-N59</f>
        <v>615</v>
      </c>
      <c r="AM76" s="1259">
        <f>AM78-T59</f>
        <v>615</v>
      </c>
      <c r="AN76" s="1093">
        <f>AN78-Z59</f>
        <v>585</v>
      </c>
      <c r="AO76" s="1321"/>
      <c r="AP76" s="1321"/>
      <c r="AQ76" s="1321"/>
      <c r="AR76" s="511"/>
      <c r="AS76" s="511"/>
      <c r="AT76" s="511"/>
      <c r="AU76" s="511"/>
      <c r="AV76" s="511"/>
      <c r="AW76" s="511"/>
      <c r="AX76" s="502"/>
      <c r="AY76" s="502"/>
      <c r="AZ76" s="502"/>
      <c r="BA76" s="502"/>
      <c r="BB76" s="511"/>
      <c r="BC76" s="114"/>
      <c r="BD76" s="73"/>
      <c r="BE76" s="2839" t="s">
        <v>333</v>
      </c>
      <c r="BF76" s="2839"/>
      <c r="BG76" s="2839"/>
      <c r="BH76" s="2839"/>
      <c r="BI76" s="2839"/>
      <c r="BJ76" s="2839"/>
      <c r="BK76" s="2839"/>
      <c r="BL76" s="2839"/>
      <c r="BM76" s="118"/>
      <c r="BN76" s="482"/>
    </row>
    <row r="77" spans="1:66" s="83" customFormat="1" ht="14.25" customHeight="1">
      <c r="A77" s="548"/>
      <c r="B77" s="1276"/>
      <c r="C77" s="1276"/>
      <c r="D77" s="118"/>
      <c r="E77" s="118"/>
      <c r="F77" s="118"/>
      <c r="G77" s="118"/>
      <c r="H77" s="118"/>
      <c r="I77" s="1276"/>
      <c r="J77" s="118"/>
      <c r="K77" s="118"/>
      <c r="L77" s="118"/>
      <c r="M77" s="118"/>
      <c r="N77" s="118"/>
      <c r="O77" s="118"/>
      <c r="P77" s="118"/>
      <c r="Q77" s="73"/>
      <c r="R77" s="118"/>
      <c r="S77" s="4486" t="s">
        <v>822</v>
      </c>
      <c r="T77" s="4487"/>
      <c r="U77" s="4488"/>
      <c r="V77" s="4489">
        <f t="shared" si="81"/>
        <v>10</v>
      </c>
      <c r="W77" s="1307">
        <f t="shared" si="82"/>
        <v>30</v>
      </c>
      <c r="X77" s="1308">
        <f t="shared" si="83"/>
        <v>10</v>
      </c>
      <c r="Y77" s="1317">
        <f t="shared" si="84"/>
        <v>30</v>
      </c>
      <c r="Z77" s="1315">
        <f t="shared" si="85"/>
        <v>9</v>
      </c>
      <c r="AA77" s="1316">
        <f t="shared" si="86"/>
        <v>52.5</v>
      </c>
      <c r="AB77" s="4345">
        <v>6</v>
      </c>
      <c r="AC77" s="4352">
        <v>1.377</v>
      </c>
      <c r="AD77" s="524"/>
      <c r="AE77" s="412" t="s">
        <v>823</v>
      </c>
      <c r="AF77" s="513">
        <f>(AF75-AF68/C5-AF71-AF73)+AF65/23</f>
        <v>12.550588235294114</v>
      </c>
      <c r="AG77" s="523" t="s">
        <v>824</v>
      </c>
      <c r="AH77" s="502" t="s">
        <v>798</v>
      </c>
      <c r="AI77" s="625"/>
      <c r="AJ77" s="520"/>
      <c r="AK77" s="1257" t="s">
        <v>714</v>
      </c>
      <c r="AL77" s="4481">
        <f>AL78-O59</f>
        <v>630</v>
      </c>
      <c r="AM77" s="1260">
        <f>AM78-U59</f>
        <v>630</v>
      </c>
      <c r="AN77" s="1093">
        <f>AN78-AA59</f>
        <v>592.5</v>
      </c>
      <c r="AO77" s="1321"/>
      <c r="AP77" s="1321"/>
      <c r="AQ77" s="1321"/>
      <c r="AR77" s="533"/>
      <c r="AS77" s="533"/>
      <c r="AT77" s="533"/>
      <c r="AU77" s="533"/>
      <c r="AV77" s="533"/>
      <c r="AW77" s="533"/>
      <c r="AX77" s="533"/>
      <c r="AY77" s="533"/>
      <c r="AZ77" s="533"/>
      <c r="BA77" s="533"/>
      <c r="BB77" s="533"/>
      <c r="BC77" s="114"/>
      <c r="BD77" s="73"/>
      <c r="BE77" s="2839" t="s">
        <v>336</v>
      </c>
      <c r="BF77" s="2839"/>
      <c r="BG77" s="2839"/>
      <c r="BH77" s="2839"/>
      <c r="BI77" s="2839"/>
      <c r="BJ77" s="2839"/>
      <c r="BK77" s="2839"/>
      <c r="BL77" s="2839"/>
      <c r="BM77" s="118"/>
      <c r="BN77" s="482"/>
    </row>
    <row r="78" spans="1:66" s="83" customFormat="1" ht="14.25" customHeight="1">
      <c r="A78" s="548"/>
      <c r="B78" s="118"/>
      <c r="C78" s="118"/>
      <c r="D78" s="118"/>
      <c r="E78" s="118"/>
      <c r="F78" s="118"/>
      <c r="G78" s="118"/>
      <c r="H78" s="118"/>
      <c r="I78" s="1276"/>
      <c r="J78" s="118"/>
      <c r="K78" s="2402">
        <v>1</v>
      </c>
      <c r="L78" s="3081" t="s">
        <v>255</v>
      </c>
      <c r="M78" s="3082"/>
      <c r="N78" s="2403">
        <v>28</v>
      </c>
      <c r="O78" s="3183" t="s">
        <v>825</v>
      </c>
      <c r="P78" s="3184"/>
      <c r="Q78" s="2405" t="str">
        <f>FIXED((K78*'Beer Data Sheet'!$T$17/N78),1)&amp;" EBU"</f>
        <v>2.5 EBU</v>
      </c>
      <c r="R78" s="73"/>
      <c r="S78" s="3185" t="s">
        <v>826</v>
      </c>
      <c r="T78" s="4476"/>
      <c r="U78" s="4477"/>
      <c r="V78" s="2406">
        <f t="shared" si="81"/>
        <v>10</v>
      </c>
      <c r="W78" s="2407">
        <f t="shared" si="82"/>
        <v>30</v>
      </c>
      <c r="X78" s="2406">
        <f t="shared" si="83"/>
        <v>10</v>
      </c>
      <c r="Y78" s="2407">
        <f t="shared" si="84"/>
        <v>30</v>
      </c>
      <c r="Z78" s="2408">
        <f t="shared" si="85"/>
        <v>10</v>
      </c>
      <c r="AA78" s="2409">
        <f t="shared" si="86"/>
        <v>0</v>
      </c>
      <c r="AB78" s="4345">
        <v>7</v>
      </c>
      <c r="AC78" s="4352">
        <v>1.331</v>
      </c>
      <c r="AE78" s="412" t="s">
        <v>827</v>
      </c>
      <c r="AF78" s="1318">
        <f>(AF75-AF71-AF72)</f>
        <v>12.550588235294111</v>
      </c>
      <c r="AG78" s="523" t="s">
        <v>824</v>
      </c>
      <c r="AH78" s="502" t="s">
        <v>528</v>
      </c>
      <c r="AI78" s="625"/>
      <c r="AJ78" s="1322"/>
      <c r="AK78" s="83" t="s">
        <v>828</v>
      </c>
      <c r="AL78" s="1097">
        <f>AL72+J59</f>
        <v>630</v>
      </c>
      <c r="AM78" s="1261">
        <f>AM72+P59</f>
        <v>630</v>
      </c>
      <c r="AN78" s="1098">
        <f>AN72+V59</f>
        <v>600</v>
      </c>
      <c r="AO78" s="511"/>
      <c r="AP78" s="511"/>
      <c r="AQ78" s="511"/>
      <c r="AR78" s="511"/>
      <c r="AS78" s="511"/>
      <c r="AT78" s="511"/>
      <c r="AU78" s="511"/>
      <c r="AV78" s="511"/>
      <c r="AW78" s="511"/>
      <c r="AX78" s="511"/>
      <c r="AY78" s="511"/>
      <c r="AZ78" s="511"/>
      <c r="BA78" s="511"/>
      <c r="BB78" s="511"/>
      <c r="BC78" s="114"/>
      <c r="BD78" s="73"/>
      <c r="BE78" s="2839" t="s">
        <v>567</v>
      </c>
      <c r="BF78" s="2839"/>
      <c r="BG78" s="2839"/>
      <c r="BH78" s="2839"/>
      <c r="BI78" s="2839"/>
      <c r="BJ78" s="2839"/>
      <c r="BK78" s="2839"/>
      <c r="BL78" s="2839"/>
      <c r="BM78" s="118"/>
      <c r="BN78" s="482"/>
    </row>
    <row r="79" spans="1:66" s="83" customFormat="1" ht="14.25" customHeight="1">
      <c r="A79" s="548"/>
      <c r="B79" s="118"/>
      <c r="C79" s="118"/>
      <c r="D79" s="118"/>
      <c r="E79" s="118"/>
      <c r="F79" s="118"/>
      <c r="G79" s="118"/>
      <c r="H79" s="118"/>
      <c r="I79" s="1276"/>
      <c r="J79" s="118"/>
      <c r="K79" s="3224" t="s">
        <v>829</v>
      </c>
      <c r="L79" s="3224"/>
      <c r="M79" s="3224"/>
      <c r="N79" s="3224"/>
      <c r="O79" s="3224"/>
      <c r="P79" s="3224"/>
      <c r="Q79" s="3224"/>
      <c r="R79" s="118"/>
      <c r="S79" s="3187" t="s">
        <v>830</v>
      </c>
      <c r="T79" s="4424"/>
      <c r="U79" s="4490"/>
      <c r="V79" s="1309">
        <f>J59</f>
        <v>90</v>
      </c>
      <c r="W79" s="1310" t="s">
        <v>831</v>
      </c>
      <c r="X79" s="1309">
        <f>P59</f>
        <v>90</v>
      </c>
      <c r="Y79" s="1310" t="s">
        <v>831</v>
      </c>
      <c r="Z79" s="1319">
        <f>V59</f>
        <v>60</v>
      </c>
      <c r="AA79" s="1320" t="s">
        <v>831</v>
      </c>
      <c r="AB79" s="4345">
        <v>8</v>
      </c>
      <c r="AC79" s="4352">
        <v>1.282</v>
      </c>
      <c r="AE79" s="511"/>
      <c r="AF79" s="511"/>
      <c r="AG79" s="511"/>
      <c r="AH79" s="511"/>
      <c r="AI79" s="511"/>
      <c r="AJ79" s="511"/>
      <c r="AL79" s="511"/>
      <c r="AM79" s="511"/>
      <c r="AN79" s="511"/>
      <c r="AO79" s="511"/>
      <c r="AP79" s="511"/>
      <c r="AQ79" s="511"/>
      <c r="AR79" s="511"/>
      <c r="AS79" s="511"/>
      <c r="AT79" s="511"/>
      <c r="AU79" s="511"/>
      <c r="AV79" s="511"/>
      <c r="AW79" s="511"/>
      <c r="AX79" s="511"/>
      <c r="AY79" s="511"/>
      <c r="AZ79" s="511"/>
      <c r="BA79" s="511"/>
      <c r="BB79" s="511"/>
      <c r="BC79" s="114"/>
      <c r="BD79" s="114"/>
      <c r="BE79" s="3229" t="s">
        <v>341</v>
      </c>
      <c r="BF79" s="3229"/>
      <c r="BG79" s="3229"/>
      <c r="BH79" s="3229"/>
      <c r="BI79" s="3229"/>
      <c r="BJ79" s="3229"/>
      <c r="BK79" s="3229"/>
      <c r="BL79" s="3229"/>
      <c r="BM79" s="118"/>
      <c r="BN79" s="482"/>
    </row>
    <row r="80" spans="1:66" s="83" customFormat="1" ht="14.25" customHeight="1">
      <c r="A80" s="3223" t="s">
        <v>832</v>
      </c>
      <c r="B80" s="3223"/>
      <c r="C80" s="118"/>
      <c r="D80" s="118"/>
      <c r="E80" s="118"/>
      <c r="F80" s="118"/>
      <c r="G80" s="118"/>
      <c r="H80" s="118"/>
      <c r="I80" s="1276"/>
      <c r="J80" s="1276"/>
      <c r="K80" s="3225"/>
      <c r="L80" s="3225"/>
      <c r="M80" s="3225"/>
      <c r="N80" s="3225"/>
      <c r="O80" s="3225"/>
      <c r="P80" s="3225"/>
      <c r="Q80" s="3225"/>
      <c r="R80" s="73"/>
      <c r="S80" s="1311"/>
      <c r="T80" s="114"/>
      <c r="U80" s="114"/>
      <c r="V80" s="114"/>
      <c r="W80" s="114"/>
      <c r="X80" s="114"/>
      <c r="Y80" s="114"/>
      <c r="Z80" s="114"/>
      <c r="AA80" s="114"/>
      <c r="AB80" s="4345">
        <v>9</v>
      </c>
      <c r="AC80" s="4352">
        <v>1.2370000000000001</v>
      </c>
      <c r="AE80" s="511"/>
      <c r="AF80" s="511"/>
      <c r="AG80" s="511"/>
      <c r="AH80" s="511"/>
      <c r="AI80" s="511"/>
      <c r="AJ80" s="511"/>
      <c r="AL80" s="511"/>
      <c r="AM80" s="511"/>
      <c r="AN80" s="511"/>
      <c r="AO80" s="511"/>
      <c r="AP80" s="511"/>
      <c r="AQ80" s="511"/>
      <c r="AR80" s="511"/>
      <c r="AS80" s="511"/>
      <c r="AT80" s="511"/>
      <c r="AU80" s="511"/>
      <c r="AV80" s="511"/>
      <c r="AW80" s="511"/>
      <c r="AX80" s="511"/>
      <c r="AY80" s="511"/>
      <c r="AZ80" s="511"/>
      <c r="BA80" s="511"/>
      <c r="BB80" s="511"/>
      <c r="BC80" s="114"/>
      <c r="BD80" s="114"/>
      <c r="BE80" s="342"/>
      <c r="BF80" s="342"/>
      <c r="BG80" s="342"/>
      <c r="BH80" s="342"/>
      <c r="BI80" s="342"/>
      <c r="BJ80" s="342"/>
      <c r="BK80" s="342"/>
      <c r="BL80" s="342"/>
      <c r="BM80" s="118"/>
      <c r="BN80" s="482"/>
    </row>
    <row r="81" spans="1:66" s="83" customFormat="1" ht="14.25" customHeight="1">
      <c r="A81" s="1277"/>
      <c r="B81" s="1830"/>
      <c r="C81" s="1830"/>
      <c r="D81" s="1830"/>
      <c r="E81" s="1830"/>
      <c r="F81" s="1830"/>
      <c r="G81" s="1830"/>
      <c r="H81" s="1830"/>
      <c r="I81" s="1830"/>
      <c r="J81" s="1830"/>
      <c r="K81" s="1830"/>
      <c r="L81" s="1830"/>
      <c r="M81" s="1830"/>
      <c r="N81" s="1830"/>
      <c r="O81" s="1830"/>
      <c r="P81" s="1830"/>
      <c r="Q81" s="1830"/>
      <c r="R81" s="1830"/>
      <c r="S81" s="1830"/>
      <c r="T81" s="1830"/>
      <c r="U81" s="1830"/>
      <c r="V81" s="1830"/>
      <c r="W81" s="1830"/>
      <c r="X81" s="1830"/>
      <c r="Y81" s="1830"/>
      <c r="Z81" s="1830"/>
      <c r="AA81" s="114"/>
      <c r="AB81" s="4345">
        <v>10</v>
      </c>
      <c r="AC81" s="4352">
        <v>1.194</v>
      </c>
      <c r="AE81" s="511"/>
      <c r="AF81" s="511"/>
      <c r="AG81" s="511"/>
      <c r="AH81" s="511"/>
      <c r="AI81" s="511"/>
      <c r="AJ81" s="511"/>
      <c r="AL81" s="511"/>
      <c r="AM81" s="511"/>
      <c r="AN81" s="511"/>
      <c r="AO81" s="511"/>
      <c r="AP81" s="511"/>
      <c r="AQ81" s="511"/>
      <c r="AR81" s="511"/>
      <c r="AS81" s="511"/>
      <c r="AT81" s="511"/>
      <c r="AU81" s="511"/>
      <c r="AV81" s="511"/>
      <c r="AW81" s="511"/>
      <c r="AX81" s="511"/>
      <c r="AY81" s="511"/>
      <c r="AZ81" s="511"/>
      <c r="BA81" s="511"/>
      <c r="BC81" s="114"/>
      <c r="BD81" s="3186" t="s">
        <v>833</v>
      </c>
      <c r="BE81" s="3186"/>
      <c r="BF81" s="3186"/>
      <c r="BG81" s="612">
        <v>3.15</v>
      </c>
      <c r="BH81" s="118" t="s">
        <v>82</v>
      </c>
      <c r="BI81" s="342"/>
      <c r="BJ81" s="342"/>
      <c r="BK81" s="342"/>
      <c r="BL81" s="342"/>
      <c r="BM81" s="118"/>
      <c r="BN81" s="482"/>
    </row>
    <row r="82" spans="1:66" s="83" customFormat="1" ht="14.25" customHeight="1">
      <c r="A82" s="118"/>
      <c r="B82" s="1830"/>
      <c r="C82" s="1830"/>
      <c r="D82" s="1830"/>
      <c r="E82" s="1830"/>
      <c r="F82" s="1830"/>
      <c r="G82" s="1830"/>
      <c r="H82" s="1830"/>
      <c r="I82" s="1830"/>
      <c r="J82" s="1830"/>
      <c r="K82" s="1830"/>
      <c r="L82" s="1830"/>
      <c r="M82" s="1830"/>
      <c r="N82" s="1830"/>
      <c r="O82" s="1830"/>
      <c r="P82" s="1830"/>
      <c r="Q82" s="1830"/>
      <c r="R82" s="1830"/>
      <c r="S82" s="1830"/>
      <c r="T82" s="1830"/>
      <c r="U82" s="1830"/>
      <c r="V82" s="1830"/>
      <c r="W82" s="1830"/>
      <c r="X82" s="1830"/>
      <c r="Y82" s="1830"/>
      <c r="Z82" s="1830"/>
      <c r="AA82" s="114"/>
      <c r="AB82" s="4345">
        <v>11</v>
      </c>
      <c r="AC82" s="4352">
        <v>1.1539999999999999</v>
      </c>
      <c r="AE82" s="511"/>
      <c r="AF82" s="511"/>
      <c r="AG82" s="511"/>
      <c r="AH82" s="511"/>
      <c r="AI82" s="511"/>
      <c r="AJ82" s="511"/>
      <c r="AL82" s="511"/>
      <c r="AM82" s="511"/>
      <c r="AN82" s="511"/>
      <c r="AO82" s="511"/>
      <c r="AP82" s="511"/>
      <c r="AQ82" s="511"/>
      <c r="AR82" s="511"/>
      <c r="AS82" s="511"/>
      <c r="AT82" s="511"/>
      <c r="AU82" s="511"/>
      <c r="AV82" s="511"/>
      <c r="AW82" s="511"/>
      <c r="AX82" s="511"/>
      <c r="AY82" s="511"/>
      <c r="AZ82" s="511"/>
      <c r="BA82" s="511"/>
      <c r="BC82" s="114"/>
      <c r="BD82" s="118"/>
      <c r="BE82" s="3188" t="s">
        <v>834</v>
      </c>
      <c r="BF82" s="4141"/>
      <c r="BG82" s="4139"/>
      <c r="BI82" s="342"/>
      <c r="BJ82" s="342"/>
      <c r="BK82" s="342"/>
      <c r="BL82" s="342"/>
      <c r="BM82" s="118"/>
      <c r="BN82" s="482"/>
    </row>
    <row r="83" spans="1:66" s="83" customFormat="1" ht="14.25" customHeight="1">
      <c r="A83" s="118"/>
      <c r="B83" s="1830"/>
      <c r="C83" s="1830"/>
      <c r="D83" s="1830"/>
      <c r="E83" s="1830"/>
      <c r="F83" s="1830"/>
      <c r="G83" s="1830"/>
      <c r="H83" s="1830"/>
      <c r="I83" s="1830"/>
      <c r="J83" s="1830"/>
      <c r="K83" s="1830"/>
      <c r="L83" s="1830"/>
      <c r="M83" s="1830"/>
      <c r="N83" s="1830"/>
      <c r="O83" s="1830"/>
      <c r="P83" s="1830"/>
      <c r="Q83" s="1830"/>
      <c r="R83" s="1830"/>
      <c r="S83" s="1830"/>
      <c r="T83" s="1830"/>
      <c r="U83" s="1830"/>
      <c r="V83" s="1830"/>
      <c r="W83" s="1830"/>
      <c r="X83" s="1830"/>
      <c r="Y83" s="1830"/>
      <c r="Z83" s="1830"/>
      <c r="AA83" s="114"/>
      <c r="AB83" s="4345">
        <v>12</v>
      </c>
      <c r="AC83" s="4352">
        <v>1.117</v>
      </c>
      <c r="AE83" s="511"/>
      <c r="AF83" s="511"/>
      <c r="AG83" s="511"/>
      <c r="AH83" s="511"/>
      <c r="AI83" s="511"/>
      <c r="AJ83" s="511"/>
      <c r="AL83" s="511"/>
      <c r="AM83" s="511"/>
      <c r="AN83" s="511"/>
      <c r="AO83" s="511"/>
      <c r="AP83" s="511"/>
      <c r="AQ83" s="511"/>
      <c r="AR83" s="511"/>
      <c r="AS83" s="511"/>
      <c r="AT83" s="511"/>
      <c r="AU83" s="511"/>
      <c r="AV83" s="511"/>
      <c r="AW83" s="511"/>
      <c r="AX83" s="511"/>
      <c r="AY83" s="511"/>
      <c r="AZ83" s="511"/>
      <c r="BA83" s="511"/>
      <c r="BD83" s="118"/>
      <c r="BE83" s="2410" t="s">
        <v>91</v>
      </c>
      <c r="BF83" s="2410" t="s">
        <v>622</v>
      </c>
      <c r="BG83" s="2201" t="s">
        <v>623</v>
      </c>
      <c r="BH83" s="118"/>
      <c r="BI83" s="342"/>
      <c r="BJ83" s="342"/>
      <c r="BK83" s="342"/>
      <c r="BL83" s="342"/>
      <c r="BM83" s="118"/>
      <c r="BN83" s="482"/>
    </row>
    <row r="84" spans="1:66" s="83" customFormat="1" ht="14.25" customHeight="1">
      <c r="A84" s="73"/>
      <c r="B84" s="1830"/>
      <c r="C84" s="1830"/>
      <c r="D84" s="1830"/>
      <c r="E84" s="1830"/>
      <c r="F84" s="1830"/>
      <c r="G84" s="1830"/>
      <c r="H84" s="1830"/>
      <c r="I84" s="1830"/>
      <c r="J84" s="1830"/>
      <c r="K84" s="1830"/>
      <c r="L84" s="1830"/>
      <c r="M84" s="1830"/>
      <c r="N84" s="1830"/>
      <c r="O84" s="1830"/>
      <c r="P84" s="1830"/>
      <c r="Q84" s="1830"/>
      <c r="R84" s="1830"/>
      <c r="S84" s="1830"/>
      <c r="T84" s="1830"/>
      <c r="U84" s="1830"/>
      <c r="V84" s="1830"/>
      <c r="W84" s="1830"/>
      <c r="X84" s="1830"/>
      <c r="Y84" s="1830"/>
      <c r="Z84" s="1830"/>
      <c r="AA84" s="114"/>
      <c r="AB84" s="4345">
        <v>13</v>
      </c>
      <c r="AC84" s="4352">
        <v>1.083</v>
      </c>
      <c r="AE84" s="511"/>
      <c r="AF84" s="511"/>
      <c r="AG84" s="511"/>
      <c r="AH84" s="511"/>
      <c r="AI84" s="511"/>
      <c r="AJ84" s="511"/>
      <c r="AL84" s="511"/>
      <c r="AM84" s="511"/>
      <c r="AN84" s="511"/>
      <c r="AO84" s="511"/>
      <c r="AP84" s="511"/>
      <c r="AQ84" s="511"/>
      <c r="AR84" s="511"/>
      <c r="AS84" s="511"/>
      <c r="AT84" s="511"/>
      <c r="AU84" s="511"/>
      <c r="AV84" s="511"/>
      <c r="AW84" s="511"/>
      <c r="AX84" s="511"/>
      <c r="AY84" s="511"/>
      <c r="AZ84" s="511"/>
      <c r="BA84" s="511"/>
      <c r="BC84" s="114"/>
      <c r="BD84" s="118"/>
      <c r="BE84" s="2410">
        <f>BF84*BG81</f>
        <v>3.15</v>
      </c>
      <c r="BF84" s="1727">
        <v>1</v>
      </c>
      <c r="BG84" s="2411">
        <f>BF84/BG81</f>
        <v>0.31746031746031744</v>
      </c>
      <c r="BH84" s="118"/>
      <c r="BI84" s="342"/>
      <c r="BJ84" s="342"/>
      <c r="BK84" s="342"/>
      <c r="BL84" s="342"/>
      <c r="BM84" s="118"/>
      <c r="BN84" s="482"/>
    </row>
    <row r="85" spans="1:66" s="83" customFormat="1" ht="14.25" customHeight="1">
      <c r="A85" s="73"/>
      <c r="B85" s="1830"/>
      <c r="C85" s="1830"/>
      <c r="D85" s="1830"/>
      <c r="E85" s="1830"/>
      <c r="F85" s="1830"/>
      <c r="G85" s="1830"/>
      <c r="H85" s="1830"/>
      <c r="I85" s="1830"/>
      <c r="J85" s="1830"/>
      <c r="K85" s="1830"/>
      <c r="L85" s="1830"/>
      <c r="M85" s="1830"/>
      <c r="N85" s="1830"/>
      <c r="O85" s="1830"/>
      <c r="P85" s="1830"/>
      <c r="Q85" s="1830"/>
      <c r="R85" s="1830"/>
      <c r="S85" s="1830"/>
      <c r="T85" s="1830"/>
      <c r="U85" s="1830"/>
      <c r="V85" s="1830"/>
      <c r="W85" s="1830"/>
      <c r="X85" s="1830"/>
      <c r="Y85" s="1830"/>
      <c r="Z85" s="1830"/>
      <c r="AA85" s="114"/>
      <c r="AB85" s="4345">
        <f>(AB84+AB86)/2</f>
        <v>13.5</v>
      </c>
      <c r="AC85" s="4345">
        <f>(AC84+AC86)/2</f>
        <v>1.0665</v>
      </c>
      <c r="AE85" s="511"/>
      <c r="AF85" s="511"/>
      <c r="AG85" s="511"/>
      <c r="AH85" s="511"/>
      <c r="AI85" s="511"/>
      <c r="AJ85" s="511"/>
      <c r="AL85" s="511"/>
      <c r="AM85" s="511"/>
      <c r="AN85" s="511"/>
      <c r="AO85" s="511"/>
      <c r="AP85" s="511"/>
      <c r="AQ85" s="511"/>
      <c r="AR85" s="511"/>
      <c r="AS85" s="511"/>
      <c r="AT85" s="511"/>
      <c r="AU85" s="511"/>
      <c r="AV85" s="511"/>
      <c r="AW85" s="511"/>
      <c r="AX85" s="511"/>
      <c r="AY85" s="511"/>
      <c r="AZ85" s="511"/>
      <c r="BA85" s="511"/>
      <c r="BC85" s="114"/>
      <c r="BD85" s="342"/>
      <c r="BE85" s="342"/>
      <c r="BF85" s="342"/>
      <c r="BG85" s="342"/>
      <c r="BH85" s="342"/>
      <c r="BI85" s="342"/>
      <c r="BJ85" s="342"/>
      <c r="BK85" s="342"/>
      <c r="BL85" s="342"/>
      <c r="BM85" s="118"/>
      <c r="BN85" s="482"/>
    </row>
    <row r="86" spans="1:66" s="83" customFormat="1" ht="14.25" customHeight="1">
      <c r="A86" s="114"/>
      <c r="B86" s="1830"/>
      <c r="C86" s="1830"/>
      <c r="D86" s="1830"/>
      <c r="E86" s="1830"/>
      <c r="F86" s="1830"/>
      <c r="G86" s="1830"/>
      <c r="H86" s="1830"/>
      <c r="I86" s="1830"/>
      <c r="J86" s="1830"/>
      <c r="K86" s="1830"/>
      <c r="L86" s="1830"/>
      <c r="M86" s="1830"/>
      <c r="N86" s="1830"/>
      <c r="O86" s="1830"/>
      <c r="P86" s="1830"/>
      <c r="Q86" s="1830"/>
      <c r="R86" s="1830"/>
      <c r="S86" s="1830"/>
      <c r="T86" s="1830"/>
      <c r="U86" s="1830"/>
      <c r="V86" s="1830"/>
      <c r="W86" s="1830"/>
      <c r="X86" s="1830"/>
      <c r="Y86" s="1830"/>
      <c r="Z86" s="1830"/>
      <c r="AA86" s="114"/>
      <c r="AB86" s="4345">
        <v>14</v>
      </c>
      <c r="AC86" s="4352">
        <v>1.05</v>
      </c>
      <c r="AE86" s="511"/>
      <c r="AF86" s="511"/>
      <c r="AG86" s="511"/>
      <c r="AH86" s="511"/>
      <c r="AI86" s="511"/>
      <c r="AJ86" s="511"/>
      <c r="AL86" s="511"/>
      <c r="AM86" s="511"/>
      <c r="AN86" s="511"/>
      <c r="AO86" s="511"/>
      <c r="AP86" s="511"/>
      <c r="AQ86" s="511"/>
      <c r="AR86" s="511"/>
      <c r="AS86" s="511"/>
      <c r="AT86" s="511"/>
      <c r="AU86" s="511"/>
      <c r="AV86" s="511"/>
      <c r="AW86" s="511"/>
      <c r="AX86" s="511"/>
      <c r="AY86" s="511"/>
      <c r="AZ86" s="511"/>
      <c r="BA86" s="511"/>
      <c r="BC86" s="114"/>
      <c r="BD86" s="114"/>
      <c r="BE86" s="118"/>
      <c r="BF86" s="118"/>
      <c r="BG86" s="118"/>
      <c r="BH86" s="118"/>
      <c r="BI86" s="114"/>
      <c r="BJ86" s="118"/>
      <c r="BK86" s="118"/>
      <c r="BL86" s="118"/>
      <c r="BM86" s="118"/>
      <c r="BN86" s="482"/>
    </row>
    <row r="87" spans="1:66" s="83" customFormat="1" ht="14.25" customHeight="1">
      <c r="A87" s="118"/>
      <c r="B87" s="1830"/>
      <c r="C87" s="1830"/>
      <c r="D87" s="1830"/>
      <c r="E87" s="1830"/>
      <c r="F87" s="1830"/>
      <c r="G87" s="1830"/>
      <c r="H87" s="1830"/>
      <c r="I87" s="1830"/>
      <c r="J87" s="1830"/>
      <c r="K87" s="1830"/>
      <c r="L87" s="1830"/>
      <c r="M87" s="1830"/>
      <c r="N87" s="1830"/>
      <c r="O87" s="1830"/>
      <c r="P87" s="1830"/>
      <c r="Q87" s="1830"/>
      <c r="R87" s="1830"/>
      <c r="S87" s="1830"/>
      <c r="T87" s="1830"/>
      <c r="U87" s="1830"/>
      <c r="V87" s="1830"/>
      <c r="W87" s="1830"/>
      <c r="X87" s="1830"/>
      <c r="Y87" s="1830"/>
      <c r="Z87" s="1830"/>
      <c r="AA87" s="114"/>
      <c r="AB87" s="4345">
        <f>(AB86+AB88)/2</f>
        <v>14.5</v>
      </c>
      <c r="AC87" s="4345">
        <f>(AC86+AC88)/2</f>
        <v>1.034</v>
      </c>
      <c r="AE87" s="511"/>
      <c r="AF87" s="511"/>
      <c r="AG87" s="511"/>
      <c r="AH87" s="511"/>
      <c r="AI87" s="511"/>
      <c r="AJ87" s="511"/>
      <c r="AL87" s="511"/>
      <c r="AM87" s="511"/>
      <c r="AN87" s="511"/>
      <c r="AO87" s="511"/>
      <c r="AP87" s="511"/>
      <c r="AQ87" s="511"/>
      <c r="AR87" s="511"/>
      <c r="AS87" s="511"/>
      <c r="AT87" s="511"/>
      <c r="AU87" s="511"/>
      <c r="AV87" s="511"/>
      <c r="AW87" s="511"/>
      <c r="AX87" s="511"/>
      <c r="AY87" s="511"/>
      <c r="AZ87" s="511"/>
      <c r="BA87" s="511"/>
      <c r="BC87" s="114"/>
      <c r="BD87" s="73"/>
      <c r="BE87" s="1327" t="s">
        <v>334</v>
      </c>
      <c r="BF87" s="1054"/>
      <c r="BG87" s="118"/>
      <c r="BH87" s="118"/>
      <c r="BI87" s="118"/>
      <c r="BJ87" s="118"/>
      <c r="BK87" s="118"/>
      <c r="BL87" s="118"/>
      <c r="BM87" s="118"/>
      <c r="BN87" s="482"/>
    </row>
    <row r="88" spans="1:66" s="83" customFormat="1" ht="14.25" customHeight="1">
      <c r="A88" s="118"/>
      <c r="B88" s="1830"/>
      <c r="C88" s="1830"/>
      <c r="D88" s="1830"/>
      <c r="E88" s="1830"/>
      <c r="F88" s="1830"/>
      <c r="G88" s="1830"/>
      <c r="H88" s="1830"/>
      <c r="I88" s="1830"/>
      <c r="J88" s="1830"/>
      <c r="K88" s="1830"/>
      <c r="L88" s="1830"/>
      <c r="M88" s="1830"/>
      <c r="N88" s="1830"/>
      <c r="O88" s="1830"/>
      <c r="P88" s="1830"/>
      <c r="Q88" s="1830"/>
      <c r="R88" s="1830"/>
      <c r="S88" s="1830"/>
      <c r="T88" s="1830"/>
      <c r="U88" s="1830"/>
      <c r="V88" s="1830"/>
      <c r="W88" s="1830"/>
      <c r="X88" s="1830"/>
      <c r="Y88" s="1830"/>
      <c r="Z88" s="1830"/>
      <c r="AA88" s="114"/>
      <c r="AB88" s="4345">
        <v>15</v>
      </c>
      <c r="AC88" s="4352">
        <v>1.018</v>
      </c>
      <c r="AE88" s="511"/>
      <c r="AF88" s="511"/>
      <c r="AG88" s="511"/>
      <c r="AH88" s="511"/>
      <c r="AI88" s="511"/>
      <c r="AJ88" s="511"/>
      <c r="AL88" s="511"/>
      <c r="AM88" s="511"/>
      <c r="AN88" s="511"/>
      <c r="AO88" s="511"/>
      <c r="AP88" s="511"/>
      <c r="AQ88" s="511"/>
      <c r="AR88" s="511"/>
      <c r="AS88" s="511"/>
      <c r="AT88" s="511"/>
      <c r="AU88" s="511"/>
      <c r="AV88" s="511"/>
      <c r="AW88" s="511"/>
      <c r="AX88" s="511"/>
      <c r="AY88" s="511"/>
      <c r="AZ88" s="511"/>
      <c r="BA88" s="511"/>
      <c r="BC88" s="114"/>
      <c r="BD88" s="73"/>
      <c r="BE88" s="2287">
        <v>3</v>
      </c>
      <c r="BF88" s="3189" t="str">
        <f>"grams ̸ litre is equiv. to "&amp;FIXED(BJ88*BE88,1)&amp;"g per"</f>
        <v>grams ̸ litre is equiv. to 63.9g per</v>
      </c>
      <c r="BG88" s="3189"/>
      <c r="BH88" s="3189"/>
      <c r="BI88" s="3189"/>
      <c r="BJ88" s="2412">
        <v>21.3</v>
      </c>
      <c r="BK88" s="3078" t="s">
        <v>835</v>
      </c>
      <c r="BL88" s="3096"/>
      <c r="BM88" s="118"/>
      <c r="BN88" s="482"/>
    </row>
    <row r="89" spans="1:66" s="83" customFormat="1" ht="14.25" customHeight="1">
      <c r="A89" s="118"/>
      <c r="B89" s="1830"/>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14"/>
      <c r="AB89" s="4345">
        <f>(AB88+AB90)/2</f>
        <v>15.5</v>
      </c>
      <c r="AC89" s="4345">
        <f>(AC88+AC90)/2</f>
        <v>1.0015000000000001</v>
      </c>
      <c r="AE89" s="511"/>
      <c r="AF89" s="511"/>
      <c r="AG89" s="511"/>
      <c r="AH89" s="511"/>
      <c r="AI89" s="511"/>
      <c r="AJ89" s="511"/>
      <c r="AL89" s="511"/>
      <c r="AM89" s="511"/>
      <c r="AN89" s="511"/>
      <c r="AO89" s="511"/>
      <c r="AP89" s="511"/>
      <c r="AQ89" s="511"/>
      <c r="AR89" s="511"/>
      <c r="AS89" s="511"/>
      <c r="AT89" s="511"/>
      <c r="AU89" s="511"/>
      <c r="AV89" s="511"/>
      <c r="AW89" s="511"/>
      <c r="AX89" s="511"/>
      <c r="AY89" s="511"/>
      <c r="AZ89" s="511"/>
      <c r="BA89" s="511"/>
      <c r="BC89" s="114"/>
      <c r="BD89" s="73"/>
      <c r="BE89" s="118"/>
      <c r="BF89" s="118"/>
      <c r="BG89" s="118"/>
      <c r="BH89" s="118"/>
      <c r="BI89" s="118"/>
      <c r="BJ89" s="118"/>
      <c r="BK89" s="118"/>
      <c r="BL89" s="118"/>
      <c r="BM89" s="118"/>
      <c r="BN89" s="482"/>
    </row>
    <row r="90" spans="1:66" s="83" customFormat="1" ht="14.25" customHeight="1">
      <c r="A90" s="118"/>
      <c r="B90" s="1830"/>
      <c r="C90" s="1830"/>
      <c r="D90" s="1830"/>
      <c r="E90" s="1830"/>
      <c r="F90" s="1830"/>
      <c r="G90" s="1830"/>
      <c r="H90" s="1830"/>
      <c r="I90" s="1830"/>
      <c r="J90" s="1830"/>
      <c r="K90" s="1830"/>
      <c r="L90" s="1830"/>
      <c r="M90" s="1830"/>
      <c r="N90" s="1830"/>
      <c r="O90" s="1830"/>
      <c r="P90" s="1830"/>
      <c r="Q90" s="1830"/>
      <c r="R90" s="1830"/>
      <c r="S90" s="1830"/>
      <c r="T90" s="1830"/>
      <c r="U90" s="1830"/>
      <c r="V90" s="1830"/>
      <c r="W90" s="1830"/>
      <c r="X90" s="1830"/>
      <c r="Y90" s="1830"/>
      <c r="Z90" s="1830"/>
      <c r="AA90" s="114"/>
      <c r="AB90" s="4345">
        <v>16</v>
      </c>
      <c r="AC90" s="4352">
        <v>0.98499999999999999</v>
      </c>
      <c r="AE90" s="511"/>
      <c r="AF90" s="511"/>
      <c r="AG90" s="511"/>
      <c r="AH90" s="511"/>
      <c r="AI90" s="511"/>
      <c r="AJ90" s="511"/>
      <c r="AL90" s="511"/>
      <c r="AM90" s="511"/>
      <c r="AN90" s="511"/>
      <c r="AO90" s="511"/>
      <c r="AP90" s="511"/>
      <c r="AQ90" s="511"/>
      <c r="AR90" s="511"/>
      <c r="AS90" s="511"/>
      <c r="AT90" s="511"/>
      <c r="AU90" s="511"/>
      <c r="AV90" s="511"/>
      <c r="AW90" s="511"/>
      <c r="AX90" s="511"/>
      <c r="AY90" s="511"/>
      <c r="AZ90" s="511"/>
      <c r="BA90" s="511"/>
      <c r="BC90" s="114"/>
      <c r="BD90" s="73"/>
      <c r="BE90" s="2199" t="s">
        <v>338</v>
      </c>
      <c r="BF90" s="2915" t="s">
        <v>339</v>
      </c>
      <c r="BG90" s="2930"/>
      <c r="BH90" s="2915" t="s">
        <v>340</v>
      </c>
      <c r="BI90" s="2930"/>
      <c r="BJ90" s="118"/>
      <c r="BK90" s="118"/>
      <c r="BL90" s="118"/>
      <c r="BM90" s="118"/>
      <c r="BN90" s="482"/>
    </row>
    <row r="91" spans="1:66" s="83" customFormat="1" ht="14.25" customHeight="1">
      <c r="A91" s="118"/>
      <c r="B91" s="1830"/>
      <c r="C91" s="1830"/>
      <c r="D91" s="1830"/>
      <c r="E91" s="1830"/>
      <c r="F91" s="1830"/>
      <c r="G91" s="1830"/>
      <c r="H91" s="1830"/>
      <c r="I91" s="1830"/>
      <c r="J91" s="1830"/>
      <c r="K91" s="1830"/>
      <c r="L91" s="1830"/>
      <c r="M91" s="1830"/>
      <c r="N91" s="1830"/>
      <c r="O91" s="1830"/>
      <c r="P91" s="1830"/>
      <c r="Q91" s="1830"/>
      <c r="R91" s="1830"/>
      <c r="S91" s="1830"/>
      <c r="T91" s="1830"/>
      <c r="U91" s="1830"/>
      <c r="V91" s="1830"/>
      <c r="W91" s="1830"/>
      <c r="X91" s="1830"/>
      <c r="Y91" s="1830"/>
      <c r="Z91" s="1830"/>
      <c r="AA91" s="114"/>
      <c r="AB91" s="4345">
        <f>(AB90+AB92)/2</f>
        <v>16.5</v>
      </c>
      <c r="AC91" s="4345">
        <f>(AC90+AC92)/2</f>
        <v>0.97049999999999992</v>
      </c>
      <c r="AE91" s="511"/>
      <c r="AF91" s="511"/>
      <c r="AG91" s="511"/>
      <c r="AH91" s="511"/>
      <c r="AI91" s="511"/>
      <c r="AJ91" s="511"/>
      <c r="AL91" s="511"/>
      <c r="AM91" s="511"/>
      <c r="AN91" s="511"/>
      <c r="AO91" s="511"/>
      <c r="AP91" s="511"/>
      <c r="AQ91" s="511"/>
      <c r="AR91" s="511"/>
      <c r="AS91" s="511"/>
      <c r="AT91" s="511"/>
      <c r="AU91" s="511"/>
      <c r="AV91" s="511"/>
      <c r="AW91" s="511"/>
      <c r="AX91" s="511"/>
      <c r="AY91" s="511"/>
      <c r="AZ91" s="511"/>
      <c r="BA91" s="511"/>
      <c r="BC91" s="114"/>
      <c r="BD91" s="73"/>
      <c r="BE91" s="2413">
        <f>BF91*0.2489/0.262</f>
        <v>0.95</v>
      </c>
      <c r="BF91" s="2932">
        <v>1</v>
      </c>
      <c r="BG91" s="2934"/>
      <c r="BH91" s="3181">
        <f>BF91*0.262/0.2489</f>
        <v>1.0526315789473684</v>
      </c>
      <c r="BI91" s="3182"/>
      <c r="BJ91" s="118"/>
      <c r="BK91" s="118"/>
      <c r="BL91" s="118"/>
      <c r="BM91" s="118"/>
      <c r="BN91" s="482"/>
    </row>
    <row r="92" spans="1:66" s="83" customFormat="1" ht="14.25" customHeight="1">
      <c r="A92" s="118"/>
      <c r="B92" s="1830"/>
      <c r="C92" s="1830"/>
      <c r="D92" s="1830"/>
      <c r="E92" s="1830"/>
      <c r="F92" s="1830"/>
      <c r="G92" s="1830"/>
      <c r="H92" s="1830"/>
      <c r="I92" s="1830"/>
      <c r="J92" s="1830"/>
      <c r="K92" s="1830"/>
      <c r="L92" s="1830"/>
      <c r="M92" s="1830"/>
      <c r="N92" s="1830"/>
      <c r="O92" s="1830"/>
      <c r="P92" s="1830"/>
      <c r="Q92" s="1830"/>
      <c r="R92" s="1830"/>
      <c r="S92" s="1830"/>
      <c r="T92" s="1830"/>
      <c r="U92" s="1830"/>
      <c r="V92" s="1830"/>
      <c r="W92" s="1830"/>
      <c r="X92" s="1830"/>
      <c r="Y92" s="1830"/>
      <c r="Z92" s="1830"/>
      <c r="AA92" s="114"/>
      <c r="AB92" s="4345">
        <v>17</v>
      </c>
      <c r="AC92" s="4352">
        <v>0.95599999999999996</v>
      </c>
      <c r="AE92" s="511"/>
      <c r="AF92" s="511"/>
      <c r="AG92" s="511"/>
      <c r="AH92" s="511"/>
      <c r="AI92" s="511"/>
      <c r="AJ92" s="511"/>
      <c r="AL92" s="511"/>
      <c r="AM92" s="511"/>
      <c r="AN92" s="511"/>
      <c r="AO92" s="511"/>
      <c r="AP92" s="511"/>
      <c r="AQ92" s="511"/>
      <c r="AR92" s="511"/>
      <c r="AS92" s="511"/>
      <c r="AT92" s="511"/>
      <c r="AU92" s="511"/>
      <c r="AV92" s="511"/>
      <c r="AW92" s="511"/>
      <c r="AX92" s="511"/>
      <c r="AY92" s="511"/>
      <c r="AZ92" s="511"/>
      <c r="BA92" s="511"/>
      <c r="BC92" s="114"/>
      <c r="BD92" s="73"/>
      <c r="BE92" s="118"/>
      <c r="BF92" s="118"/>
      <c r="BG92" s="118"/>
      <c r="BH92" s="118"/>
      <c r="BI92" s="118"/>
      <c r="BJ92" s="118"/>
      <c r="BK92" s="118"/>
      <c r="BL92" s="118"/>
      <c r="BM92" s="118"/>
      <c r="BN92" s="482"/>
    </row>
    <row r="93" spans="1:66" s="83" customFormat="1" ht="14.25" customHeight="1">
      <c r="A93" s="118"/>
      <c r="B93" s="1830"/>
      <c r="C93" s="1830"/>
      <c r="D93" s="1830"/>
      <c r="E93" s="1830"/>
      <c r="F93" s="1830"/>
      <c r="G93" s="1830"/>
      <c r="H93" s="1830"/>
      <c r="I93" s="1830"/>
      <c r="J93" s="1830"/>
      <c r="K93" s="1830"/>
      <c r="L93" s="1830"/>
      <c r="M93" s="1830"/>
      <c r="N93" s="1830"/>
      <c r="O93" s="1830"/>
      <c r="P93" s="1830"/>
      <c r="Q93" s="1830"/>
      <c r="R93" s="1830"/>
      <c r="S93" s="1830"/>
      <c r="T93" s="1830"/>
      <c r="U93" s="1830"/>
      <c r="V93" s="1830"/>
      <c r="W93" s="1830"/>
      <c r="X93" s="1830"/>
      <c r="Y93" s="1830"/>
      <c r="Z93" s="1830"/>
      <c r="AA93" s="114"/>
      <c r="AB93" s="4345">
        <f>(AB92+AB94)/2</f>
        <v>17.5</v>
      </c>
      <c r="AC93" s="4345">
        <f>(AC92+AC94)/2</f>
        <v>0.94199999999999995</v>
      </c>
      <c r="AE93" s="511"/>
      <c r="AF93" s="511"/>
      <c r="AG93" s="511"/>
      <c r="AH93" s="511"/>
      <c r="AI93" s="511"/>
      <c r="AJ93" s="511"/>
      <c r="AL93" s="511"/>
      <c r="AM93" s="511"/>
      <c r="AN93" s="511"/>
      <c r="AO93" s="511"/>
      <c r="AP93" s="511"/>
      <c r="AQ93" s="511"/>
      <c r="AR93" s="511"/>
      <c r="AS93" s="511"/>
      <c r="AT93" s="511"/>
      <c r="AU93" s="511"/>
      <c r="AV93" s="511"/>
      <c r="AW93" s="511"/>
      <c r="AX93" s="511"/>
      <c r="AY93" s="511"/>
      <c r="AZ93" s="511"/>
      <c r="BA93" s="511"/>
      <c r="BC93" s="114"/>
      <c r="BD93" s="73"/>
      <c r="BE93" s="2915" t="s">
        <v>338</v>
      </c>
      <c r="BF93" s="2930"/>
      <c r="BG93" s="3117" t="s">
        <v>339</v>
      </c>
      <c r="BH93" s="3117"/>
      <c r="BI93" s="2915" t="s">
        <v>340</v>
      </c>
      <c r="BJ93" s="2930"/>
      <c r="BK93" s="118"/>
      <c r="BL93" s="118"/>
      <c r="BM93" s="118"/>
      <c r="BN93" s="482"/>
    </row>
    <row r="94" spans="1:66" s="83" customFormat="1" ht="14.25" customHeight="1">
      <c r="A94" s="118"/>
      <c r="B94" s="1830"/>
      <c r="C94" s="1830"/>
      <c r="D94" s="1830"/>
      <c r="E94" s="1830"/>
      <c r="F94" s="1830"/>
      <c r="G94" s="1830"/>
      <c r="H94" s="1830"/>
      <c r="I94" s="1830"/>
      <c r="J94" s="1830"/>
      <c r="K94" s="1830"/>
      <c r="L94" s="1830"/>
      <c r="M94" s="1830"/>
      <c r="N94" s="1830"/>
      <c r="O94" s="1830"/>
      <c r="P94" s="1830"/>
      <c r="Q94" s="1830"/>
      <c r="R94" s="1830"/>
      <c r="S94" s="1830"/>
      <c r="T94" s="1830"/>
      <c r="U94" s="1830"/>
      <c r="V94" s="1830"/>
      <c r="W94" s="1830"/>
      <c r="X94" s="1830"/>
      <c r="Y94" s="1830"/>
      <c r="Z94" s="1830"/>
      <c r="AA94" s="114"/>
      <c r="AB94" s="4345">
        <v>18</v>
      </c>
      <c r="AC94" s="4352">
        <v>0.92800000000000005</v>
      </c>
      <c r="AE94" s="511"/>
      <c r="AF94" s="511"/>
      <c r="AG94" s="511"/>
      <c r="AH94" s="511"/>
      <c r="AI94" s="511"/>
      <c r="AJ94" s="511"/>
      <c r="AL94" s="511"/>
      <c r="AM94" s="511"/>
      <c r="AN94" s="511"/>
      <c r="AO94" s="511"/>
      <c r="AP94" s="511"/>
      <c r="AQ94" s="511"/>
      <c r="AR94" s="511"/>
      <c r="AS94" s="511"/>
      <c r="AT94" s="511"/>
      <c r="AU94" s="511"/>
      <c r="AV94" s="511"/>
      <c r="AW94" s="511"/>
      <c r="AX94" s="511"/>
      <c r="AY94" s="511"/>
      <c r="AZ94" s="511"/>
      <c r="BA94" s="511"/>
      <c r="BC94" s="1312"/>
      <c r="BD94" s="73"/>
      <c r="BE94" s="3213">
        <f>BG94*0.2489/0.262</f>
        <v>0.95</v>
      </c>
      <c r="BF94" s="3214"/>
      <c r="BG94" s="2932">
        <v>1</v>
      </c>
      <c r="BH94" s="2934"/>
      <c r="BI94" s="3215">
        <f>BG94*0.262/0.2489</f>
        <v>1.0526315789473684</v>
      </c>
      <c r="BJ94" s="3216"/>
      <c r="BK94" s="118"/>
      <c r="BL94" s="118"/>
      <c r="BM94" s="118"/>
      <c r="BN94" s="482"/>
    </row>
    <row r="95" spans="1:66" s="83" customFormat="1" ht="14.25" customHeight="1">
      <c r="A95" s="73"/>
      <c r="B95" s="1830"/>
      <c r="C95" s="1830"/>
      <c r="D95" s="1830"/>
      <c r="E95" s="1830"/>
      <c r="F95" s="1830"/>
      <c r="G95" s="1830"/>
      <c r="H95" s="1830"/>
      <c r="I95" s="1830"/>
      <c r="J95" s="1830"/>
      <c r="K95" s="1830"/>
      <c r="L95" s="1830"/>
      <c r="M95" s="1830"/>
      <c r="N95" s="1830"/>
      <c r="O95" s="1830"/>
      <c r="P95" s="1830"/>
      <c r="Q95" s="1830"/>
      <c r="R95" s="1830"/>
      <c r="S95" s="1830"/>
      <c r="T95" s="1830"/>
      <c r="U95" s="1830"/>
      <c r="V95" s="1830"/>
      <c r="W95" s="1830"/>
      <c r="X95" s="1830"/>
      <c r="Y95" s="1830"/>
      <c r="Z95" s="1830"/>
      <c r="AA95" s="114"/>
      <c r="AB95" s="4345">
        <f>(AB94+AB96)/2</f>
        <v>18.5</v>
      </c>
      <c r="AC95" s="4345">
        <f>(AC94+AC96)/2</f>
        <v>0.91500000000000004</v>
      </c>
      <c r="AE95" s="511"/>
      <c r="AF95" s="511"/>
      <c r="AG95" s="511"/>
      <c r="AH95" s="511"/>
      <c r="AI95" s="511"/>
      <c r="AJ95" s="511"/>
      <c r="AL95" s="511"/>
      <c r="AM95" s="511"/>
      <c r="AN95" s="511"/>
      <c r="AO95" s="511"/>
      <c r="AP95" s="511"/>
      <c r="AQ95" s="511"/>
      <c r="AR95" s="511"/>
      <c r="AS95" s="511"/>
      <c r="AT95" s="511"/>
      <c r="AU95" s="511"/>
      <c r="AV95" s="511"/>
      <c r="AW95" s="511"/>
      <c r="AX95" s="511"/>
      <c r="AY95" s="511"/>
      <c r="AZ95" s="511"/>
      <c r="BA95" s="511"/>
      <c r="BC95" s="1312"/>
      <c r="BD95" s="73"/>
      <c r="BE95" s="3217" t="str">
        <f>1*FIXED(BG94)&amp;" unit(s) of sucrose = "&amp;1*FIXED(BH91)&amp;" units of dextrose"</f>
        <v>1 unit(s) of sucrose = 1.05 units of dextrose</v>
      </c>
      <c r="BF95" s="3217"/>
      <c r="BG95" s="3217"/>
      <c r="BH95" s="3217"/>
      <c r="BI95" s="3217"/>
      <c r="BJ95" s="3217"/>
      <c r="BK95" s="118"/>
      <c r="BL95" s="118"/>
      <c r="BM95" s="118"/>
      <c r="BN95" s="482"/>
    </row>
    <row r="96" spans="1:66" s="83" customFormat="1" ht="14.25" customHeight="1">
      <c r="A96" s="73"/>
      <c r="B96" s="1830"/>
      <c r="C96" s="1830"/>
      <c r="D96" s="1830"/>
      <c r="E96" s="1830"/>
      <c r="F96" s="1830"/>
      <c r="G96" s="1830"/>
      <c r="H96" s="1830"/>
      <c r="I96" s="1830"/>
      <c r="J96" s="1830"/>
      <c r="K96" s="1830"/>
      <c r="L96" s="1830"/>
      <c r="M96" s="1830"/>
      <c r="N96" s="1830"/>
      <c r="O96" s="1830"/>
      <c r="P96" s="1830"/>
      <c r="Q96" s="1830"/>
      <c r="R96" s="1830"/>
      <c r="S96" s="1830"/>
      <c r="T96" s="1830"/>
      <c r="U96" s="1830"/>
      <c r="V96" s="1830"/>
      <c r="W96" s="1830"/>
      <c r="X96" s="1830"/>
      <c r="Y96" s="1830"/>
      <c r="Z96" s="1830"/>
      <c r="AA96" s="114"/>
      <c r="AB96" s="4345">
        <v>19</v>
      </c>
      <c r="AC96" s="4352">
        <v>0.90200000000000002</v>
      </c>
      <c r="AE96" s="511"/>
      <c r="AF96" s="511"/>
      <c r="AG96" s="511"/>
      <c r="AH96" s="511"/>
      <c r="AI96" s="511"/>
      <c r="AJ96" s="511"/>
      <c r="AL96" s="511"/>
      <c r="AM96" s="511"/>
      <c r="AN96" s="511"/>
      <c r="AO96" s="511"/>
      <c r="AP96" s="511"/>
      <c r="AQ96" s="511"/>
      <c r="AR96" s="511"/>
      <c r="AS96" s="511"/>
      <c r="AT96" s="511"/>
      <c r="AU96" s="511"/>
      <c r="AV96" s="511"/>
      <c r="AW96" s="511"/>
      <c r="AX96" s="511"/>
      <c r="AY96" s="511"/>
      <c r="AZ96" s="511"/>
      <c r="BA96" s="511"/>
      <c r="BC96" s="1312"/>
      <c r="BD96" s="1312"/>
      <c r="BE96" s="3218" t="str">
        <f>1*FIXED(BG94)&amp;" unit(s) of dextrose = "&amp;1*FIXED(BE94)&amp;" units of sucrose"</f>
        <v>1 unit(s) of dextrose = 0.95 units of sucrose</v>
      </c>
      <c r="BF96" s="3218"/>
      <c r="BG96" s="3218"/>
      <c r="BH96" s="3218"/>
      <c r="BI96" s="3218"/>
      <c r="BJ96" s="3218"/>
      <c r="BK96" s="118"/>
      <c r="BL96" s="118"/>
      <c r="BM96" s="114"/>
      <c r="BN96" s="482"/>
    </row>
    <row r="97" spans="1:66" s="83" customFormat="1" ht="14.25" customHeight="1">
      <c r="A97" s="73"/>
      <c r="B97" s="1830"/>
      <c r="C97" s="1830"/>
      <c r="D97" s="1830"/>
      <c r="E97" s="1830"/>
      <c r="F97" s="1830"/>
      <c r="G97" s="1830"/>
      <c r="H97" s="1830"/>
      <c r="I97" s="1830"/>
      <c r="J97" s="1830"/>
      <c r="K97" s="1830"/>
      <c r="L97" s="1830"/>
      <c r="M97" s="1830"/>
      <c r="N97" s="1830"/>
      <c r="O97" s="1830"/>
      <c r="P97" s="1830"/>
      <c r="Q97" s="1830"/>
      <c r="R97" s="1830"/>
      <c r="S97" s="1830"/>
      <c r="T97" s="1830"/>
      <c r="U97" s="1830"/>
      <c r="V97" s="1830"/>
      <c r="W97" s="1830"/>
      <c r="X97" s="1830"/>
      <c r="Y97" s="1830"/>
      <c r="Z97" s="1830"/>
      <c r="AA97" s="114"/>
      <c r="AB97" s="4345">
        <f>(AB96+AB98)/2</f>
        <v>19.5</v>
      </c>
      <c r="AC97" s="4345">
        <f>(AC96+AC98)/2</f>
        <v>0.88949999999999996</v>
      </c>
      <c r="AE97" s="511"/>
      <c r="AF97" s="511"/>
      <c r="AG97" s="511"/>
      <c r="AH97" s="511"/>
      <c r="AI97" s="511"/>
      <c r="AJ97" s="511"/>
      <c r="AL97" s="511"/>
      <c r="AM97" s="511"/>
      <c r="AN97" s="511"/>
      <c r="AO97" s="511"/>
      <c r="AP97" s="511"/>
      <c r="AQ97" s="511"/>
      <c r="AR97" s="511"/>
      <c r="AS97" s="511"/>
      <c r="AT97" s="511"/>
      <c r="AU97" s="511"/>
      <c r="AV97" s="511"/>
      <c r="AW97" s="511"/>
      <c r="AX97" s="511"/>
      <c r="AY97" s="511"/>
      <c r="AZ97" s="511"/>
      <c r="BA97" s="511"/>
      <c r="BC97" s="1312"/>
      <c r="BD97" s="1312"/>
      <c r="BE97" s="114"/>
      <c r="BF97" s="114"/>
      <c r="BG97" s="114"/>
      <c r="BH97" s="114"/>
      <c r="BI97" s="114"/>
      <c r="BJ97" s="114"/>
      <c r="BK97" s="118"/>
      <c r="BL97" s="118"/>
      <c r="BM97" s="114"/>
      <c r="BN97" s="482"/>
    </row>
    <row r="98" spans="1:66" s="83" customFormat="1" ht="14.25" customHeight="1">
      <c r="A98" s="73"/>
      <c r="B98" s="1830"/>
      <c r="C98" s="1830"/>
      <c r="D98" s="1830"/>
      <c r="E98" s="1830"/>
      <c r="F98" s="1830"/>
      <c r="G98" s="1830"/>
      <c r="H98" s="1830"/>
      <c r="I98" s="1830"/>
      <c r="J98" s="1830"/>
      <c r="K98" s="1830"/>
      <c r="L98" s="1830"/>
      <c r="M98" s="1830"/>
      <c r="N98" s="1830"/>
      <c r="O98" s="1830"/>
      <c r="P98" s="1830"/>
      <c r="Q98" s="1830"/>
      <c r="R98" s="1830"/>
      <c r="S98" s="1830"/>
      <c r="T98" s="1830"/>
      <c r="U98" s="1830"/>
      <c r="V98" s="1830"/>
      <c r="W98" s="1830"/>
      <c r="X98" s="1830"/>
      <c r="Y98" s="1830"/>
      <c r="Z98" s="1830"/>
      <c r="AA98" s="114"/>
      <c r="AB98" s="4345">
        <v>20</v>
      </c>
      <c r="AC98" s="4352">
        <v>0.877</v>
      </c>
      <c r="AE98" s="511"/>
      <c r="AF98" s="511"/>
      <c r="AG98" s="511"/>
      <c r="AH98" s="511"/>
      <c r="AI98" s="511"/>
      <c r="AJ98" s="511"/>
      <c r="AL98" s="511"/>
      <c r="AM98" s="511"/>
      <c r="AN98" s="511"/>
      <c r="AO98" s="511"/>
      <c r="AP98" s="511"/>
      <c r="AQ98" s="511"/>
      <c r="AR98" s="511"/>
      <c r="AS98" s="511"/>
      <c r="AT98" s="511"/>
      <c r="AU98" s="511"/>
      <c r="AV98" s="511"/>
      <c r="AW98" s="511"/>
      <c r="AX98" s="511"/>
      <c r="AY98" s="511"/>
      <c r="AZ98" s="511"/>
      <c r="BA98" s="511"/>
      <c r="BC98" s="1312"/>
      <c r="BD98" s="1312"/>
      <c r="BE98" s="3219" t="s">
        <v>836</v>
      </c>
      <c r="BF98" s="3219"/>
      <c r="BG98" s="3219"/>
      <c r="BH98" s="73"/>
      <c r="BI98" s="73"/>
      <c r="BJ98" s="73"/>
      <c r="BK98" s="73"/>
      <c r="BL98" s="73"/>
      <c r="BM98" s="114"/>
      <c r="BN98" s="482"/>
    </row>
    <row r="99" spans="1:66" s="83" customFormat="1" ht="14.25" customHeight="1">
      <c r="A99" s="73"/>
      <c r="B99" s="1830"/>
      <c r="C99" s="1830"/>
      <c r="D99" s="1830"/>
      <c r="E99" s="1830"/>
      <c r="F99" s="1830"/>
      <c r="G99" s="1830"/>
      <c r="H99" s="1830"/>
      <c r="I99" s="1830"/>
      <c r="J99" s="1830"/>
      <c r="K99" s="1830"/>
      <c r="L99" s="1830"/>
      <c r="M99" s="1830"/>
      <c r="N99" s="1830"/>
      <c r="O99" s="1830"/>
      <c r="P99" s="1830"/>
      <c r="Q99" s="1830"/>
      <c r="R99" s="1830"/>
      <c r="S99" s="1830"/>
      <c r="T99" s="1830"/>
      <c r="U99" s="1830"/>
      <c r="V99" s="1830"/>
      <c r="W99" s="1830"/>
      <c r="X99" s="1830"/>
      <c r="Y99" s="1830"/>
      <c r="Z99" s="1830"/>
      <c r="AA99" s="114"/>
      <c r="AB99" s="4345">
        <f>(AB98+AB100)/2</f>
        <v>20.5</v>
      </c>
      <c r="AC99" s="4345">
        <f>(AC98+AC100)/2</f>
        <v>0.86450000000000005</v>
      </c>
      <c r="AE99" s="511"/>
      <c r="AF99" s="511"/>
      <c r="AG99" s="511"/>
      <c r="AH99" s="511"/>
      <c r="AI99" s="511"/>
      <c r="AJ99" s="511"/>
      <c r="AL99" s="511"/>
      <c r="AM99" s="511"/>
      <c r="AN99" s="511"/>
      <c r="AO99" s="511"/>
      <c r="AP99" s="511"/>
      <c r="AQ99" s="511"/>
      <c r="AR99" s="511"/>
      <c r="AS99" s="511"/>
      <c r="AT99" s="511"/>
      <c r="AU99" s="511"/>
      <c r="AV99" s="511"/>
      <c r="AW99" s="511"/>
      <c r="AX99" s="511"/>
      <c r="AY99" s="511"/>
      <c r="AZ99" s="511"/>
      <c r="BA99" s="511"/>
      <c r="BC99" s="1312"/>
      <c r="BD99" s="1312"/>
      <c r="BE99" s="3212" t="s">
        <v>837</v>
      </c>
      <c r="BF99" s="3212"/>
      <c r="BG99" s="3212"/>
      <c r="BH99" s="3212"/>
      <c r="BI99" s="3212"/>
      <c r="BJ99" s="3212"/>
      <c r="BK99" s="3212"/>
      <c r="BL99" s="3212"/>
      <c r="BM99" s="114"/>
      <c r="BN99" s="482"/>
    </row>
    <row r="100" spans="1:66" s="83" customFormat="1" ht="14.25" customHeight="1">
      <c r="A100" s="73"/>
      <c r="B100" s="1830"/>
      <c r="C100" s="1830"/>
      <c r="D100" s="1830"/>
      <c r="E100" s="1830"/>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14"/>
      <c r="AB100" s="4345">
        <v>21</v>
      </c>
      <c r="AC100" s="4352">
        <v>0.85199999999999998</v>
      </c>
      <c r="AE100" s="511"/>
      <c r="AF100" s="511"/>
      <c r="AG100" s="511"/>
      <c r="AH100" s="511"/>
      <c r="AI100" s="511"/>
      <c r="AJ100" s="511"/>
      <c r="AL100" s="511"/>
      <c r="AM100" s="511"/>
      <c r="AN100" s="511"/>
      <c r="AO100" s="511"/>
      <c r="AP100" s="511"/>
      <c r="AQ100" s="511"/>
      <c r="AR100" s="511"/>
      <c r="AS100" s="511"/>
      <c r="AT100" s="511"/>
      <c r="AU100" s="511"/>
      <c r="AV100" s="511"/>
      <c r="AW100" s="511"/>
      <c r="AX100" s="511"/>
      <c r="AY100" s="511"/>
      <c r="AZ100" s="511"/>
      <c r="BA100" s="511"/>
      <c r="BC100" s="1312"/>
      <c r="BD100" s="1312"/>
      <c r="BE100" s="3212"/>
      <c r="BF100" s="3212"/>
      <c r="BG100" s="3212"/>
      <c r="BH100" s="3212"/>
      <c r="BI100" s="3212"/>
      <c r="BJ100" s="3212"/>
      <c r="BK100" s="3212"/>
      <c r="BL100" s="3212"/>
      <c r="BM100" s="1095"/>
      <c r="BN100" s="482"/>
    </row>
    <row r="101" spans="1:66" s="83" customFormat="1" ht="14.25" customHeight="1">
      <c r="A101" s="73"/>
      <c r="B101" s="1830"/>
      <c r="C101" s="1830"/>
      <c r="D101" s="1830"/>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14"/>
      <c r="AB101" s="4345">
        <f>(AB100+AB102)/2</f>
        <v>21.5</v>
      </c>
      <c r="AC101" s="4345">
        <f>(AC100+AC102)/2</f>
        <v>0.83949999999999991</v>
      </c>
      <c r="AE101" s="511"/>
      <c r="AF101" s="511"/>
      <c r="AG101" s="511"/>
      <c r="AH101" s="511"/>
      <c r="AI101" s="511"/>
      <c r="AJ101" s="511"/>
      <c r="AL101" s="511"/>
      <c r="AM101" s="511"/>
      <c r="AN101" s="511"/>
      <c r="AO101" s="511"/>
      <c r="AP101" s="511"/>
      <c r="AQ101" s="511"/>
      <c r="AR101" s="511"/>
      <c r="AS101" s="511"/>
      <c r="AT101" s="511"/>
      <c r="AU101" s="511"/>
      <c r="AV101" s="511"/>
      <c r="AW101" s="511"/>
      <c r="AX101" s="511"/>
      <c r="AY101" s="511"/>
      <c r="AZ101" s="511"/>
      <c r="BA101" s="511"/>
      <c r="BC101" s="1312"/>
      <c r="BD101" s="1312"/>
      <c r="BE101" s="3212"/>
      <c r="BF101" s="3212"/>
      <c r="BG101" s="3212"/>
      <c r="BH101" s="3212"/>
      <c r="BI101" s="3212"/>
      <c r="BJ101" s="3212"/>
      <c r="BK101" s="3212"/>
      <c r="BL101" s="3212"/>
      <c r="BM101" s="1095"/>
      <c r="BN101" s="482"/>
    </row>
    <row r="102" spans="1:66" s="83" customFormat="1" ht="14.25" customHeight="1">
      <c r="A102" s="73"/>
      <c r="B102" s="1830"/>
      <c r="C102" s="1830"/>
      <c r="D102" s="1830"/>
      <c r="E102" s="1830"/>
      <c r="F102" s="1830"/>
      <c r="G102" s="1830"/>
      <c r="H102" s="1830"/>
      <c r="I102" s="1830"/>
      <c r="J102" s="1830"/>
      <c r="K102" s="1830"/>
      <c r="L102" s="1830"/>
      <c r="M102" s="1830"/>
      <c r="N102" s="1830"/>
      <c r="O102" s="1830"/>
      <c r="P102" s="1830"/>
      <c r="Q102" s="1830"/>
      <c r="R102" s="1830"/>
      <c r="S102" s="1830"/>
      <c r="T102" s="1830"/>
      <c r="U102" s="1830"/>
      <c r="V102" s="1830"/>
      <c r="W102" s="1830"/>
      <c r="X102" s="1830"/>
      <c r="Y102" s="1830"/>
      <c r="Z102" s="1830"/>
      <c r="AA102" s="114"/>
      <c r="AB102" s="4345">
        <v>22</v>
      </c>
      <c r="AC102" s="4352">
        <v>0.82699999999999996</v>
      </c>
      <c r="AE102" s="511"/>
      <c r="AF102" s="511"/>
      <c r="AG102" s="511"/>
      <c r="AH102" s="511"/>
      <c r="AI102" s="511"/>
      <c r="AJ102" s="511"/>
      <c r="AL102" s="511"/>
      <c r="AM102" s="511"/>
      <c r="AN102" s="511"/>
      <c r="AO102" s="511"/>
      <c r="AP102" s="511"/>
      <c r="AQ102" s="511"/>
      <c r="AR102" s="511"/>
      <c r="AS102" s="511"/>
      <c r="AT102" s="511"/>
      <c r="AU102" s="511"/>
      <c r="AV102" s="511"/>
      <c r="AW102" s="511"/>
      <c r="AX102" s="511"/>
      <c r="AY102" s="511"/>
      <c r="AZ102" s="511"/>
      <c r="BA102" s="511"/>
      <c r="BC102" s="1312"/>
      <c r="BD102" s="1312"/>
      <c r="BE102" s="1922"/>
      <c r="BF102" s="1922"/>
      <c r="BG102" s="1922"/>
      <c r="BH102" s="1922"/>
      <c r="BI102" s="1922"/>
      <c r="BJ102" s="1922"/>
      <c r="BK102" s="1922"/>
      <c r="BL102" s="1922"/>
      <c r="BM102" s="1095"/>
      <c r="BN102" s="482"/>
    </row>
    <row r="103" spans="1:66" s="83" customFormat="1" ht="14.25" customHeight="1">
      <c r="A103" s="73"/>
      <c r="B103" s="1830"/>
      <c r="C103" s="1830"/>
      <c r="D103" s="1830"/>
      <c r="E103" s="1830"/>
      <c r="F103" s="1830"/>
      <c r="G103" s="1830"/>
      <c r="H103" s="1830"/>
      <c r="I103" s="1830"/>
      <c r="J103" s="1830"/>
      <c r="K103" s="1830"/>
      <c r="L103" s="1830"/>
      <c r="M103" s="1830"/>
      <c r="N103" s="1830"/>
      <c r="O103" s="1830"/>
      <c r="P103" s="1830"/>
      <c r="Q103" s="1830"/>
      <c r="R103" s="1830"/>
      <c r="S103" s="1830"/>
      <c r="T103" s="1830"/>
      <c r="U103" s="1830"/>
      <c r="V103" s="1830"/>
      <c r="W103" s="1830"/>
      <c r="X103" s="1830"/>
      <c r="Y103" s="1830"/>
      <c r="Z103" s="1830"/>
      <c r="AA103" s="114"/>
      <c r="AB103" s="4345">
        <f>(AB102+AB104)/2</f>
        <v>22.5</v>
      </c>
      <c r="AC103" s="4345">
        <f>(AC102+AC104)/2</f>
        <v>0.8145</v>
      </c>
      <c r="AE103" s="511"/>
      <c r="AF103" s="511"/>
      <c r="AG103" s="511"/>
      <c r="AH103" s="511"/>
      <c r="AI103" s="511"/>
      <c r="AJ103" s="511"/>
      <c r="AL103" s="511"/>
      <c r="AM103" s="511"/>
      <c r="AN103" s="511"/>
      <c r="AO103" s="511"/>
      <c r="AP103" s="511"/>
      <c r="AQ103" s="511"/>
      <c r="AR103" s="511"/>
      <c r="AS103" s="511"/>
      <c r="AT103" s="511"/>
      <c r="AU103" s="511"/>
      <c r="AV103" s="511"/>
      <c r="AW103" s="511"/>
      <c r="AX103" s="511"/>
      <c r="AY103" s="511"/>
      <c r="AZ103" s="511"/>
      <c r="BA103" s="511"/>
      <c r="BC103" s="1312"/>
      <c r="BD103" s="1312"/>
      <c r="BE103" s="1922"/>
      <c r="BF103" s="1922"/>
      <c r="BG103" s="2123"/>
      <c r="BH103" s="2123"/>
      <c r="BI103" s="2123"/>
      <c r="BJ103" s="2162"/>
      <c r="BK103" s="2162"/>
      <c r="BL103" s="2162"/>
      <c r="BM103" s="2162"/>
      <c r="BN103" s="482"/>
    </row>
    <row r="104" spans="1:66" s="83" customFormat="1" ht="14.25" customHeight="1">
      <c r="A104" s="114"/>
      <c r="B104" s="1830"/>
      <c r="C104" s="1830"/>
      <c r="D104" s="1830"/>
      <c r="E104" s="1830"/>
      <c r="F104" s="1830"/>
      <c r="G104" s="1830"/>
      <c r="H104" s="1830"/>
      <c r="I104" s="1830"/>
      <c r="J104" s="1830"/>
      <c r="K104" s="1830"/>
      <c r="L104" s="1830"/>
      <c r="M104" s="1830"/>
      <c r="N104" s="1830"/>
      <c r="O104" s="1830"/>
      <c r="P104" s="1830"/>
      <c r="Q104" s="1830"/>
      <c r="R104" s="1830"/>
      <c r="S104" s="1830"/>
      <c r="T104" s="1830"/>
      <c r="U104" s="1830"/>
      <c r="V104" s="1830"/>
      <c r="W104" s="1830"/>
      <c r="X104" s="1830"/>
      <c r="Y104" s="1830"/>
      <c r="Z104" s="1830"/>
      <c r="AA104" s="114"/>
      <c r="AB104" s="4345">
        <v>23</v>
      </c>
      <c r="AC104" s="4352">
        <v>0.80200000000000005</v>
      </c>
      <c r="AE104" s="511"/>
      <c r="AF104" s="511"/>
      <c r="AG104" s="511"/>
      <c r="AH104" s="511"/>
      <c r="AI104" s="511"/>
      <c r="AJ104" s="511"/>
      <c r="AL104" s="511"/>
      <c r="AM104" s="511"/>
      <c r="AN104" s="511"/>
      <c r="AO104" s="511"/>
      <c r="AP104" s="511"/>
      <c r="AQ104" s="511"/>
      <c r="AR104" s="511"/>
      <c r="AS104" s="511"/>
      <c r="AT104" s="511"/>
      <c r="AU104" s="511"/>
      <c r="AV104" s="511"/>
      <c r="AW104" s="511"/>
      <c r="AX104" s="511"/>
      <c r="AY104" s="511"/>
      <c r="AZ104" s="511"/>
      <c r="BA104" s="511"/>
      <c r="BC104" s="1312"/>
      <c r="BD104" s="1312"/>
      <c r="BE104" s="1922"/>
      <c r="BF104" s="1922"/>
      <c r="BH104" s="1112"/>
      <c r="BI104" s="1112"/>
      <c r="BJ104" s="2162" t="s">
        <v>838</v>
      </c>
      <c r="BK104" s="2162"/>
      <c r="BL104" s="2162"/>
      <c r="BM104" s="2162"/>
      <c r="BN104" s="482"/>
    </row>
    <row r="105" spans="1:66" s="83" customFormat="1" ht="14.25" customHeight="1">
      <c r="A105" s="114"/>
      <c r="B105" s="1830"/>
      <c r="C105" s="1830"/>
      <c r="D105" s="1830"/>
      <c r="E105" s="1830"/>
      <c r="F105" s="1830"/>
      <c r="G105" s="1830"/>
      <c r="H105" s="1830"/>
      <c r="I105" s="1830"/>
      <c r="J105" s="1830"/>
      <c r="K105" s="1830"/>
      <c r="L105" s="1830"/>
      <c r="M105" s="1830"/>
      <c r="N105" s="1830"/>
      <c r="O105" s="1830"/>
      <c r="P105" s="1830"/>
      <c r="Q105" s="1830"/>
      <c r="R105" s="1830"/>
      <c r="S105" s="1830"/>
      <c r="T105" s="1830"/>
      <c r="U105" s="1830"/>
      <c r="V105" s="1830"/>
      <c r="W105" s="1830"/>
      <c r="X105" s="1830"/>
      <c r="Y105" s="1830"/>
      <c r="Z105" s="1830"/>
      <c r="AA105" s="114"/>
      <c r="AB105" s="4345">
        <f>(AB104+AB106)/2</f>
        <v>23.5</v>
      </c>
      <c r="AC105" s="4345">
        <f>(AC104+AC106)/2</f>
        <v>0.79150000000000009</v>
      </c>
      <c r="AE105" s="511"/>
      <c r="AF105" s="511"/>
      <c r="AG105" s="511"/>
      <c r="AH105" s="511"/>
      <c r="AI105" s="511"/>
      <c r="AJ105" s="511"/>
      <c r="AL105" s="511"/>
      <c r="AM105" s="511"/>
      <c r="AN105" s="511"/>
      <c r="AO105" s="511"/>
      <c r="AP105" s="511"/>
      <c r="AQ105" s="511"/>
      <c r="AR105" s="511"/>
      <c r="AS105" s="511"/>
      <c r="AT105" s="511"/>
      <c r="AU105" s="511"/>
      <c r="AV105" s="511"/>
      <c r="AW105" s="511"/>
      <c r="AX105" s="511"/>
      <c r="AY105" s="511"/>
      <c r="AZ105" s="511"/>
      <c r="BA105" s="511"/>
      <c r="BC105" s="1312"/>
      <c r="BD105" s="1312"/>
      <c r="BE105" s="1922"/>
      <c r="BF105" s="1922"/>
      <c r="BG105" s="3220" t="s">
        <v>839</v>
      </c>
      <c r="BH105" s="3220"/>
      <c r="BI105" s="3220"/>
      <c r="BJ105" s="131" t="s">
        <v>840</v>
      </c>
      <c r="BK105" s="131"/>
      <c r="BL105" s="131"/>
      <c r="BM105" s="1114"/>
      <c r="BN105" s="482"/>
    </row>
    <row r="106" spans="1:66" s="83" customFormat="1" ht="13.15" customHeight="1">
      <c r="A106" s="114"/>
      <c r="B106" s="1830"/>
      <c r="C106" s="1830"/>
      <c r="D106" s="1830"/>
      <c r="E106" s="1830"/>
      <c r="F106" s="1830"/>
      <c r="G106" s="1830"/>
      <c r="H106" s="1830"/>
      <c r="I106" s="1830"/>
      <c r="J106" s="1830"/>
      <c r="K106" s="1830"/>
      <c r="L106" s="1830"/>
      <c r="M106" s="1830"/>
      <c r="N106" s="1830"/>
      <c r="O106" s="1830"/>
      <c r="P106" s="1830"/>
      <c r="Q106" s="1830"/>
      <c r="R106" s="1830"/>
      <c r="S106" s="1830"/>
      <c r="T106" s="1830"/>
      <c r="U106" s="1830"/>
      <c r="V106" s="1830"/>
      <c r="W106" s="1830"/>
      <c r="X106" s="1830"/>
      <c r="Y106" s="1830"/>
      <c r="Z106" s="1830"/>
      <c r="AA106" s="114"/>
      <c r="AB106" s="4345">
        <v>24</v>
      </c>
      <c r="AC106" s="4352">
        <v>0.78100000000000003</v>
      </c>
      <c r="AE106" s="511"/>
      <c r="AF106" s="511"/>
      <c r="AG106" s="511"/>
      <c r="AH106" s="511"/>
      <c r="AI106" s="511"/>
      <c r="AJ106" s="511"/>
      <c r="AL106" s="511"/>
      <c r="AM106" s="511"/>
      <c r="AN106" s="511"/>
      <c r="AO106" s="511"/>
      <c r="AP106" s="511"/>
      <c r="AQ106" s="511"/>
      <c r="AR106" s="511"/>
      <c r="AS106" s="511"/>
      <c r="AT106" s="511"/>
      <c r="AU106" s="511"/>
      <c r="AV106" s="511"/>
      <c r="AW106" s="511"/>
      <c r="AX106" s="511"/>
      <c r="AY106" s="511"/>
      <c r="AZ106" s="511"/>
      <c r="BA106" s="511"/>
      <c r="BC106" s="114"/>
      <c r="BD106" s="1312"/>
      <c r="BE106" s="1922"/>
      <c r="BF106" s="1922"/>
      <c r="BH106" s="3221" t="s">
        <v>841</v>
      </c>
      <c r="BI106" s="3221"/>
      <c r="BJ106" s="131" t="s">
        <v>842</v>
      </c>
      <c r="BK106" s="131"/>
      <c r="BL106" s="131"/>
      <c r="BM106" s="131"/>
      <c r="BN106" s="975"/>
    </row>
    <row r="107" spans="1:66" s="83" customFormat="1" ht="14.25" customHeight="1">
      <c r="A107" s="114"/>
      <c r="B107" s="1830"/>
      <c r="C107" s="1830"/>
      <c r="D107" s="1830"/>
      <c r="E107" s="1830"/>
      <c r="F107" s="1830"/>
      <c r="G107" s="1830"/>
      <c r="H107" s="1830"/>
      <c r="I107" s="1830"/>
      <c r="J107" s="1830"/>
      <c r="K107" s="1830"/>
      <c r="L107" s="1830"/>
      <c r="M107" s="1830"/>
      <c r="N107" s="1830"/>
      <c r="O107" s="1830"/>
      <c r="P107" s="1830"/>
      <c r="Q107" s="1830"/>
      <c r="R107" s="1830"/>
      <c r="S107" s="1830"/>
      <c r="T107" s="1830"/>
      <c r="U107" s="1830"/>
      <c r="V107" s="1830"/>
      <c r="W107" s="1830"/>
      <c r="X107" s="1830"/>
      <c r="Y107" s="1830"/>
      <c r="Z107" s="1830"/>
      <c r="AA107" s="114"/>
      <c r="AB107" s="4345">
        <f>(AB106+AB108)/2</f>
        <v>24.5</v>
      </c>
      <c r="AC107" s="4345">
        <f>(AC106+AC108)/2</f>
        <v>0.77</v>
      </c>
      <c r="AE107" s="511"/>
      <c r="AF107" s="511"/>
      <c r="AG107" s="511"/>
      <c r="AH107" s="511"/>
      <c r="AI107" s="511"/>
      <c r="AJ107" s="511"/>
      <c r="AL107" s="511"/>
      <c r="AM107" s="511"/>
      <c r="AN107" s="511"/>
      <c r="AO107" s="511"/>
      <c r="AP107" s="511"/>
      <c r="AQ107" s="511"/>
      <c r="AR107" s="511"/>
      <c r="AS107" s="511"/>
      <c r="AT107" s="511"/>
      <c r="AU107" s="511"/>
      <c r="AV107" s="511"/>
      <c r="AW107" s="511"/>
      <c r="AX107" s="511"/>
      <c r="AY107" s="511"/>
      <c r="AZ107" s="511"/>
      <c r="BA107" s="511"/>
      <c r="BC107" s="1304"/>
      <c r="BD107" s="114"/>
      <c r="BE107" s="1922"/>
      <c r="BF107" s="1922"/>
      <c r="BG107" s="1304"/>
      <c r="BH107" s="114"/>
      <c r="BJ107" s="1112" t="s">
        <v>843</v>
      </c>
      <c r="BK107" s="1112"/>
      <c r="BL107" s="1112"/>
      <c r="BM107" s="1112"/>
      <c r="BN107" s="482"/>
    </row>
    <row r="108" spans="1:66" s="83" customFormat="1" ht="14.25" customHeight="1">
      <c r="A108" s="3222" t="s">
        <v>844</v>
      </c>
      <c r="B108" s="3222"/>
      <c r="C108" s="3222"/>
      <c r="D108" s="3222"/>
      <c r="E108" s="3222"/>
      <c r="F108" s="3222"/>
      <c r="G108" s="3222"/>
      <c r="H108" s="3222"/>
      <c r="I108" s="858"/>
      <c r="J108" s="858"/>
      <c r="K108" s="1304"/>
      <c r="L108" s="1304"/>
      <c r="M108" s="1304"/>
      <c r="N108" s="1304"/>
      <c r="O108" s="1304"/>
      <c r="Q108" s="1304"/>
      <c r="R108" s="1304"/>
      <c r="S108" s="1304"/>
      <c r="T108" s="1304"/>
      <c r="U108" s="1304"/>
      <c r="V108" s="1304"/>
      <c r="W108" s="1304"/>
      <c r="X108" s="1304"/>
      <c r="Y108" s="1304"/>
      <c r="Z108" s="1304"/>
      <c r="AA108" s="114"/>
      <c r="AB108" s="4345">
        <v>25</v>
      </c>
      <c r="AC108" s="4352">
        <v>0.75900000000000001</v>
      </c>
      <c r="AE108" s="511"/>
      <c r="AF108" s="511"/>
      <c r="AG108" s="511"/>
      <c r="AH108" s="511"/>
      <c r="AI108" s="511"/>
      <c r="AJ108" s="511"/>
      <c r="AL108" s="511"/>
      <c r="AM108" s="511"/>
      <c r="AN108" s="511"/>
      <c r="AO108" s="511"/>
      <c r="AP108" s="511"/>
      <c r="AQ108" s="511"/>
      <c r="AR108" s="511"/>
      <c r="AS108" s="511"/>
      <c r="AT108" s="511"/>
      <c r="AU108" s="511"/>
      <c r="AV108" s="511"/>
      <c r="AW108" s="511"/>
      <c r="AX108" s="511"/>
      <c r="AY108" s="511"/>
      <c r="AZ108" s="511"/>
      <c r="BA108" s="511"/>
      <c r="BC108" s="1304"/>
      <c r="BD108" s="114"/>
      <c r="BE108" s="114"/>
      <c r="BF108" s="1922"/>
      <c r="BG108" s="130"/>
      <c r="BH108" s="130"/>
      <c r="BI108" s="130"/>
      <c r="BJ108" s="628"/>
      <c r="BK108" s="628"/>
      <c r="BL108" s="628"/>
      <c r="BM108" s="628"/>
      <c r="BN108" s="482"/>
    </row>
    <row r="109" spans="1:66" s="83" customFormat="1" ht="14.25" customHeight="1">
      <c r="A109" s="1278"/>
      <c r="B109" s="1278"/>
      <c r="C109" s="1278"/>
      <c r="D109" s="1278"/>
      <c r="E109" s="1278"/>
      <c r="F109" s="1278"/>
      <c r="G109" s="1278"/>
      <c r="H109" s="1278"/>
      <c r="I109" s="118"/>
      <c r="J109" s="118"/>
      <c r="K109" s="118"/>
      <c r="L109" s="118"/>
      <c r="M109" s="118"/>
      <c r="N109" s="118"/>
      <c r="O109" s="118"/>
      <c r="P109" s="1304"/>
      <c r="Q109" s="1278"/>
      <c r="R109" s="1278"/>
      <c r="S109" s="1278"/>
      <c r="T109" s="1278"/>
      <c r="U109" s="1278"/>
      <c r="V109" s="1278"/>
      <c r="W109" s="1278"/>
      <c r="X109" s="1278"/>
      <c r="Y109" s="1278"/>
      <c r="Z109" s="1278"/>
      <c r="AA109" s="1278"/>
      <c r="AB109" s="4345">
        <f>(AB108+AB110)/2</f>
        <v>25.5</v>
      </c>
      <c r="AC109" s="4345">
        <f>(AC108+AC110)/2</f>
        <v>0.74849999999999994</v>
      </c>
      <c r="AE109" s="511"/>
      <c r="AF109" s="511"/>
      <c r="AG109" s="511"/>
      <c r="AH109" s="511"/>
      <c r="AI109" s="511"/>
      <c r="AJ109" s="511"/>
      <c r="AL109" s="511"/>
      <c r="AM109" s="511"/>
      <c r="AN109" s="511"/>
      <c r="AO109" s="511"/>
      <c r="AP109" s="511"/>
      <c r="AQ109" s="511"/>
      <c r="AR109" s="511"/>
      <c r="AS109" s="511"/>
      <c r="AT109" s="511"/>
      <c r="AU109" s="511"/>
      <c r="AV109" s="511"/>
      <c r="AW109" s="511"/>
      <c r="AX109" s="511"/>
      <c r="AY109" s="511"/>
      <c r="AZ109" s="511"/>
      <c r="BA109" s="511"/>
      <c r="BC109" s="73"/>
      <c r="BD109" s="118"/>
      <c r="BE109" s="118"/>
      <c r="BF109" s="118"/>
      <c r="BG109" s="118"/>
      <c r="BH109" s="118"/>
      <c r="BI109" s="118"/>
      <c r="BJ109" s="118"/>
      <c r="BK109" s="118"/>
      <c r="BL109" s="118"/>
      <c r="BM109" s="118"/>
      <c r="BN109" s="482"/>
    </row>
    <row r="110" spans="1:66" s="83" customFormat="1" ht="14.25" customHeight="1">
      <c r="A110" s="3209" t="s">
        <v>845</v>
      </c>
      <c r="B110" s="3209"/>
      <c r="C110" s="1278"/>
      <c r="D110" s="1278"/>
      <c r="E110" s="1278"/>
      <c r="F110" s="1278"/>
      <c r="G110" s="1278"/>
      <c r="H110" s="1278"/>
      <c r="I110" s="118"/>
      <c r="J110" s="118"/>
      <c r="K110" s="118"/>
      <c r="L110" s="118"/>
      <c r="M110" s="118"/>
      <c r="N110" s="118"/>
      <c r="O110" s="118"/>
      <c r="P110" s="118"/>
      <c r="Q110" s="1278"/>
      <c r="R110" s="1278"/>
      <c r="S110" s="1278"/>
      <c r="T110" s="118"/>
      <c r="U110" s="118"/>
      <c r="V110" s="118"/>
      <c r="W110" s="118"/>
      <c r="X110" s="118"/>
      <c r="Y110" s="118"/>
      <c r="Z110" s="118"/>
      <c r="AA110" s="118"/>
      <c r="AB110" s="4345">
        <v>26</v>
      </c>
      <c r="AC110" s="4352">
        <v>0.73799999999999999</v>
      </c>
      <c r="AE110" s="511"/>
      <c r="AF110" s="511"/>
      <c r="AG110" s="511"/>
      <c r="AH110" s="511"/>
      <c r="AI110" s="511"/>
      <c r="AJ110" s="511"/>
      <c r="AL110" s="511"/>
      <c r="AM110" s="511"/>
      <c r="AN110" s="511"/>
      <c r="AO110" s="511"/>
      <c r="AP110" s="511"/>
      <c r="AQ110" s="511"/>
      <c r="AR110" s="511"/>
      <c r="AS110" s="511"/>
      <c r="AT110" s="511"/>
      <c r="AU110" s="511"/>
      <c r="AV110" s="511"/>
      <c r="AW110" s="511"/>
      <c r="AX110" s="511"/>
      <c r="AY110" s="511"/>
      <c r="AZ110" s="511"/>
      <c r="BA110" s="511"/>
      <c r="BC110" s="73"/>
      <c r="BD110" s="118"/>
      <c r="BE110" s="118"/>
      <c r="BF110" s="118"/>
      <c r="BG110" s="118"/>
      <c r="BH110" s="118"/>
      <c r="BI110" s="118"/>
      <c r="BK110" s="73"/>
      <c r="BL110" s="73"/>
      <c r="BM110" s="73"/>
      <c r="BN110" s="482"/>
    </row>
    <row r="111" spans="1:66" s="83" customFormat="1" ht="14.25" customHeight="1">
      <c r="A111" s="1086"/>
      <c r="B111" s="3210" t="s">
        <v>846</v>
      </c>
      <c r="C111" s="4176"/>
      <c r="D111" s="4176"/>
      <c r="E111" s="4176"/>
      <c r="F111" s="4176"/>
      <c r="G111" s="4176"/>
      <c r="H111" s="4150"/>
      <c r="I111" s="118"/>
      <c r="J111" s="3211" t="s">
        <v>847</v>
      </c>
      <c r="K111" s="3211"/>
      <c r="L111" s="3211"/>
      <c r="M111" s="3211"/>
      <c r="N111" s="3211"/>
      <c r="O111" s="1921"/>
      <c r="P111" s="118"/>
      <c r="Q111" s="1278"/>
      <c r="R111" s="1278"/>
      <c r="S111" s="1278"/>
      <c r="T111" s="118"/>
      <c r="U111" s="1312"/>
      <c r="V111" s="118"/>
      <c r="W111" s="118"/>
      <c r="X111" s="118"/>
      <c r="Y111" s="118"/>
      <c r="Z111" s="118"/>
      <c r="AA111" s="118"/>
      <c r="AB111" s="4345">
        <v>27</v>
      </c>
      <c r="AC111" s="4352">
        <v>0.71799999999999997</v>
      </c>
      <c r="AE111" s="511"/>
      <c r="AF111" s="511"/>
      <c r="AG111" s="511"/>
      <c r="AH111" s="511"/>
      <c r="AI111" s="511"/>
      <c r="AJ111" s="511"/>
      <c r="AL111" s="511"/>
      <c r="AM111" s="511"/>
      <c r="AN111" s="511"/>
      <c r="AO111" s="511"/>
      <c r="AP111" s="511"/>
      <c r="AQ111" s="511"/>
      <c r="AR111" s="511"/>
      <c r="AS111" s="511"/>
      <c r="AT111" s="511"/>
      <c r="AU111" s="511"/>
      <c r="AV111" s="511"/>
      <c r="AW111" s="511"/>
      <c r="AX111" s="511"/>
      <c r="AY111" s="511"/>
      <c r="AZ111" s="511"/>
      <c r="BA111" s="511"/>
      <c r="BC111" s="73"/>
      <c r="BD111" s="73"/>
      <c r="BE111" s="73"/>
      <c r="BF111" s="73"/>
      <c r="BG111" s="73"/>
      <c r="BH111" s="73"/>
      <c r="BI111" s="73"/>
      <c r="BJ111" s="73"/>
      <c r="BK111" s="73"/>
      <c r="BL111" s="73"/>
      <c r="BM111" s="73"/>
      <c r="BN111" s="482"/>
    </row>
    <row r="112" spans="1:66" s="83" customFormat="1" ht="14.25" customHeight="1">
      <c r="A112" s="4439" t="s">
        <v>848</v>
      </c>
      <c r="B112" s="502"/>
      <c r="C112" s="1294" t="s">
        <v>123</v>
      </c>
      <c r="D112" s="505" t="s">
        <v>271</v>
      </c>
      <c r="E112" s="505"/>
      <c r="G112" s="1279"/>
      <c r="H112" s="1280"/>
      <c r="I112" s="118"/>
      <c r="J112" s="1729" t="s">
        <v>270</v>
      </c>
      <c r="K112" s="1729" t="s">
        <v>271</v>
      </c>
      <c r="L112" s="1729" t="s">
        <v>294</v>
      </c>
      <c r="M112" s="118"/>
      <c r="N112" s="118"/>
      <c r="O112" s="118"/>
      <c r="P112" s="118"/>
      <c r="Q112" s="1278"/>
      <c r="R112" s="1278"/>
      <c r="S112" s="1278"/>
      <c r="T112" s="118"/>
      <c r="U112" s="118"/>
      <c r="V112" s="118"/>
      <c r="W112" s="118"/>
      <c r="X112" s="118"/>
      <c r="Y112" s="118"/>
      <c r="Z112" s="118"/>
      <c r="AA112" s="118"/>
      <c r="AB112" s="4345">
        <v>28</v>
      </c>
      <c r="AC112" s="4352">
        <v>0.69899999999999995</v>
      </c>
      <c r="AE112" s="511"/>
      <c r="AF112" s="511"/>
      <c r="AG112" s="511"/>
      <c r="AH112" s="511"/>
      <c r="AI112" s="511"/>
      <c r="AJ112" s="511"/>
      <c r="AL112" s="511"/>
      <c r="AM112" s="511"/>
      <c r="AN112" s="511"/>
      <c r="AO112" s="511"/>
      <c r="AP112" s="511"/>
      <c r="AQ112" s="511"/>
      <c r="AR112" s="511"/>
      <c r="AS112" s="511"/>
      <c r="AT112" s="511"/>
      <c r="AU112" s="511"/>
      <c r="AV112" s="511"/>
      <c r="AW112" s="511"/>
      <c r="AX112" s="511"/>
      <c r="AY112" s="511"/>
      <c r="AZ112" s="511"/>
      <c r="BA112" s="511"/>
      <c r="BC112" s="118"/>
      <c r="BD112" s="118"/>
      <c r="BE112" s="118"/>
      <c r="BF112" s="118"/>
      <c r="BG112" s="118"/>
      <c r="BH112" s="118"/>
      <c r="BI112" s="118"/>
      <c r="BJ112" s="118"/>
      <c r="BK112" s="118"/>
      <c r="BL112" s="118"/>
      <c r="BM112" s="118"/>
      <c r="BN112" s="482"/>
    </row>
    <row r="113" spans="1:66" s="83" customFormat="1" ht="14.25" customHeight="1">
      <c r="A113" s="4439"/>
      <c r="B113" s="502" t="s">
        <v>849</v>
      </c>
      <c r="C113" s="1700" t="s">
        <v>850</v>
      </c>
      <c r="D113" s="505" t="s">
        <v>270</v>
      </c>
      <c r="E113" s="505"/>
      <c r="G113" s="1282"/>
      <c r="H113" s="1283"/>
      <c r="I113" s="118"/>
      <c r="J113" s="2414">
        <f>K113*2.65-1.4</f>
        <v>9.9949999999999992</v>
      </c>
      <c r="K113" s="1727">
        <v>4.3</v>
      </c>
      <c r="L113" s="2414">
        <f>0.552+0.375*K113</f>
        <v>2.1644999999999999</v>
      </c>
      <c r="M113" s="118"/>
      <c r="N113" s="118"/>
      <c r="O113" s="118"/>
      <c r="P113" s="118"/>
      <c r="Q113" s="1278"/>
      <c r="R113" s="1278"/>
      <c r="S113" s="1278"/>
      <c r="T113" s="118"/>
      <c r="U113" s="118"/>
      <c r="V113" s="118"/>
      <c r="W113" s="118"/>
      <c r="X113" s="118"/>
      <c r="Y113" s="118"/>
      <c r="Z113" s="118"/>
      <c r="AA113" s="118"/>
      <c r="AB113" s="4345">
        <v>29</v>
      </c>
      <c r="AC113" s="4346">
        <v>0.68200000000000005</v>
      </c>
      <c r="AE113" s="511"/>
      <c r="AF113" s="511"/>
      <c r="AG113" s="511"/>
      <c r="AH113" s="511"/>
      <c r="AI113" s="511"/>
      <c r="AJ113" s="511"/>
      <c r="AL113" s="511"/>
      <c r="AM113" s="511"/>
      <c r="AN113" s="511"/>
      <c r="AO113" s="511"/>
      <c r="AP113" s="511"/>
      <c r="AQ113" s="511"/>
      <c r="AR113" s="511"/>
      <c r="AS113" s="511"/>
      <c r="AT113" s="511"/>
      <c r="AU113" s="511"/>
      <c r="AV113" s="511"/>
      <c r="AW113" s="511"/>
      <c r="AX113" s="511"/>
      <c r="AY113" s="511"/>
      <c r="AZ113" s="511"/>
      <c r="BA113" s="511"/>
      <c r="BC113" s="118"/>
      <c r="BD113" s="118"/>
      <c r="BE113" s="118"/>
      <c r="BF113" s="118"/>
      <c r="BG113" s="118"/>
      <c r="BH113" s="118"/>
      <c r="BI113" s="118"/>
      <c r="BJ113" s="118"/>
      <c r="BK113" s="118"/>
      <c r="BL113" s="118"/>
      <c r="BM113" s="118"/>
      <c r="BN113" s="482"/>
    </row>
    <row r="114" spans="1:66" s="83" customFormat="1" ht="14.25" customHeight="1">
      <c r="A114" s="1284"/>
      <c r="B114" s="1285" t="s">
        <v>851</v>
      </c>
      <c r="C114" s="1286">
        <v>310</v>
      </c>
      <c r="D114" s="1287">
        <v>5.5</v>
      </c>
      <c r="E114" s="1998"/>
      <c r="F114" s="1288"/>
      <c r="G114" s="1289"/>
      <c r="H114" s="1283"/>
      <c r="I114" s="118"/>
      <c r="J114" s="3204" t="s">
        <v>852</v>
      </c>
      <c r="K114" s="3204"/>
      <c r="L114" s="3204"/>
      <c r="M114" s="3204"/>
      <c r="N114" s="3204"/>
      <c r="O114" s="3204"/>
      <c r="P114" s="118"/>
      <c r="Q114" s="118"/>
      <c r="R114" s="118"/>
      <c r="S114" s="118"/>
      <c r="T114" s="118"/>
      <c r="U114" s="118"/>
      <c r="V114" s="118"/>
      <c r="W114" s="118"/>
      <c r="X114" s="118"/>
      <c r="Y114" s="118"/>
      <c r="Z114" s="118"/>
      <c r="AA114" s="118"/>
      <c r="AB114" s="4395">
        <v>30</v>
      </c>
      <c r="AC114" s="4396">
        <v>0.66500000000000004</v>
      </c>
      <c r="AE114" s="511"/>
      <c r="AF114" s="511"/>
      <c r="AG114" s="511"/>
      <c r="AH114" s="511"/>
      <c r="AI114" s="511"/>
      <c r="AJ114" s="511"/>
      <c r="AL114" s="511"/>
      <c r="AM114" s="511"/>
      <c r="AN114" s="511"/>
      <c r="AO114" s="511"/>
      <c r="AP114" s="511"/>
      <c r="AQ114" s="511"/>
      <c r="AR114" s="511"/>
      <c r="AS114" s="511"/>
      <c r="AT114" s="511"/>
      <c r="AU114" s="511"/>
      <c r="AV114" s="511"/>
      <c r="AW114" s="511"/>
      <c r="AX114" s="511"/>
      <c r="AY114" s="511"/>
      <c r="AZ114" s="511"/>
      <c r="BA114" s="511"/>
      <c r="BC114" s="118"/>
      <c r="BD114" s="118"/>
      <c r="BE114" s="118"/>
      <c r="BF114" s="118"/>
      <c r="BG114" s="118"/>
      <c r="BH114" s="118"/>
      <c r="BI114" s="118"/>
      <c r="BJ114" s="118"/>
      <c r="BK114" s="118"/>
      <c r="BL114" s="118"/>
      <c r="BM114" s="118"/>
      <c r="BN114" s="482"/>
    </row>
    <row r="115" spans="1:66" s="83" customFormat="1" ht="14.25" customHeight="1">
      <c r="A115" s="1290"/>
      <c r="B115" s="1291" t="s">
        <v>853</v>
      </c>
      <c r="C115" s="1292">
        <v>310</v>
      </c>
      <c r="D115" s="1293">
        <v>10</v>
      </c>
      <c r="E115" s="1997"/>
      <c r="F115" s="1295"/>
      <c r="G115" s="1296"/>
      <c r="H115" s="1283"/>
      <c r="I115" s="118"/>
      <c r="J115" s="118"/>
      <c r="K115" s="118"/>
      <c r="L115" s="118"/>
      <c r="M115" s="118"/>
      <c r="N115" s="118"/>
      <c r="O115" s="118"/>
      <c r="P115" s="118"/>
      <c r="Q115" s="118"/>
      <c r="R115" s="118"/>
      <c r="S115" s="118"/>
      <c r="T115" s="118"/>
      <c r="U115" s="118"/>
      <c r="V115" s="118"/>
      <c r="W115" s="118"/>
      <c r="X115" s="118"/>
      <c r="Y115" s="118"/>
      <c r="Z115" s="118"/>
      <c r="AA115" s="118"/>
      <c r="AE115" s="511"/>
      <c r="AF115" s="511"/>
      <c r="AG115" s="511"/>
      <c r="AH115" s="511"/>
      <c r="AI115" s="511"/>
      <c r="AJ115" s="511"/>
      <c r="AL115" s="511"/>
      <c r="AM115" s="511"/>
      <c r="AN115" s="511"/>
      <c r="AO115" s="511"/>
      <c r="AP115" s="511"/>
      <c r="AQ115" s="511"/>
      <c r="AR115" s="511"/>
      <c r="AS115" s="511"/>
      <c r="AT115" s="511"/>
      <c r="AU115" s="511"/>
      <c r="AV115" s="511"/>
      <c r="AW115" s="511"/>
      <c r="AX115" s="511"/>
      <c r="AY115" s="511"/>
      <c r="AZ115" s="511"/>
      <c r="BA115" s="511"/>
      <c r="BC115" s="118"/>
      <c r="BD115" s="118"/>
      <c r="BE115" s="118"/>
      <c r="BF115" s="118"/>
      <c r="BG115" s="118"/>
      <c r="BH115" s="118"/>
      <c r="BI115" s="118"/>
      <c r="BJ115" s="118"/>
      <c r="BK115" s="118"/>
      <c r="BL115" s="118"/>
      <c r="BM115" s="118"/>
      <c r="BN115" s="482"/>
    </row>
    <row r="116" spans="1:66" s="83" customFormat="1" ht="14.25" customHeight="1">
      <c r="A116" s="1290"/>
      <c r="B116" s="1291" t="s">
        <v>854</v>
      </c>
      <c r="C116" s="1293">
        <v>310</v>
      </c>
      <c r="D116" s="1293">
        <v>18</v>
      </c>
      <c r="E116" s="1701"/>
      <c r="F116" s="1295"/>
      <c r="G116" s="1296"/>
      <c r="H116" s="1283"/>
      <c r="I116" s="118"/>
      <c r="J116" s="118"/>
      <c r="K116" s="118"/>
      <c r="L116" s="118"/>
      <c r="M116" s="118"/>
      <c r="N116" s="118"/>
      <c r="O116" s="118"/>
      <c r="P116" s="118"/>
      <c r="Q116" s="118"/>
      <c r="R116" s="118"/>
      <c r="S116" s="118"/>
      <c r="T116" s="118"/>
      <c r="U116" s="118"/>
      <c r="V116" s="118"/>
      <c r="W116" s="118"/>
      <c r="X116" s="118"/>
      <c r="Y116" s="118"/>
      <c r="Z116" s="118"/>
      <c r="AA116" s="118"/>
      <c r="AE116" s="511"/>
      <c r="AF116" s="511"/>
      <c r="AG116" s="511"/>
      <c r="AH116" s="511"/>
      <c r="AI116" s="511"/>
      <c r="AJ116" s="511"/>
      <c r="AL116" s="511"/>
      <c r="AM116" s="511"/>
      <c r="AN116" s="511"/>
      <c r="AO116" s="511"/>
      <c r="AP116" s="511"/>
      <c r="AQ116" s="511"/>
      <c r="AR116" s="511"/>
      <c r="AS116" s="511"/>
      <c r="AT116" s="511"/>
      <c r="AU116" s="511"/>
      <c r="AV116" s="511"/>
      <c r="AW116" s="511"/>
      <c r="AX116" s="511"/>
      <c r="AY116" s="511"/>
      <c r="AZ116" s="511"/>
      <c r="BA116" s="511"/>
      <c r="BC116" s="118"/>
      <c r="BD116" s="118"/>
      <c r="BE116" s="118"/>
      <c r="BF116" s="118"/>
      <c r="BG116" s="118"/>
      <c r="BH116" s="118"/>
      <c r="BI116" s="118"/>
      <c r="BJ116" s="118"/>
      <c r="BK116" s="118"/>
      <c r="BL116" s="118"/>
      <c r="BM116" s="118"/>
      <c r="BN116" s="482"/>
    </row>
    <row r="117" spans="1:66" s="83" customFormat="1" ht="14.25" customHeight="1">
      <c r="A117" s="1290"/>
      <c r="B117" s="1291" t="s">
        <v>855</v>
      </c>
      <c r="C117" s="1292">
        <v>310</v>
      </c>
      <c r="D117" s="1293">
        <v>55</v>
      </c>
      <c r="E117" s="1294"/>
      <c r="F117" s="1295"/>
      <c r="G117" s="1295"/>
      <c r="H117" s="318"/>
      <c r="I117" s="118"/>
      <c r="J117" s="118"/>
      <c r="K117" s="118"/>
      <c r="L117" s="118"/>
      <c r="M117" s="118"/>
      <c r="N117" s="118"/>
      <c r="O117" s="118"/>
      <c r="P117" s="118"/>
      <c r="Q117" s="118"/>
      <c r="R117" s="118"/>
      <c r="S117" s="118"/>
      <c r="T117" s="118"/>
      <c r="U117" s="118"/>
      <c r="V117" s="118"/>
      <c r="W117" s="118"/>
      <c r="X117" s="118"/>
      <c r="Y117" s="118"/>
      <c r="Z117" s="118"/>
      <c r="AA117" s="118"/>
      <c r="AE117" s="511"/>
      <c r="AF117" s="511"/>
      <c r="AG117" s="511"/>
      <c r="AH117" s="511"/>
      <c r="AI117" s="511"/>
      <c r="AJ117" s="511"/>
      <c r="AL117" s="511"/>
      <c r="AM117" s="511"/>
      <c r="AN117" s="511"/>
      <c r="AO117" s="511"/>
      <c r="AP117" s="511"/>
      <c r="AQ117" s="511"/>
      <c r="AR117" s="511"/>
      <c r="AS117" s="511"/>
      <c r="AT117" s="511"/>
      <c r="AU117" s="511"/>
      <c r="AV117" s="511"/>
      <c r="AW117" s="511"/>
      <c r="AX117" s="511"/>
      <c r="AY117" s="511"/>
      <c r="AZ117" s="511"/>
      <c r="BA117" s="511"/>
      <c r="BC117" s="118"/>
      <c r="BD117" s="118"/>
      <c r="BE117" s="118"/>
      <c r="BF117" s="118"/>
      <c r="BG117" s="118"/>
      <c r="BH117" s="118"/>
      <c r="BI117" s="118"/>
      <c r="BJ117" s="118"/>
      <c r="BK117" s="118"/>
      <c r="BL117" s="118"/>
      <c r="BM117" s="118"/>
      <c r="BN117" s="482"/>
    </row>
    <row r="118" spans="1:66" s="83" customFormat="1" ht="14.25" customHeight="1">
      <c r="A118" s="1290"/>
      <c r="B118" s="1291" t="s">
        <v>856</v>
      </c>
      <c r="C118" s="1292">
        <v>310</v>
      </c>
      <c r="D118" s="1297">
        <v>95</v>
      </c>
      <c r="E118" s="1294"/>
      <c r="F118" s="1295"/>
      <c r="G118" s="1295"/>
      <c r="H118" s="318"/>
      <c r="I118" s="118"/>
      <c r="J118" s="118"/>
      <c r="K118" s="118"/>
      <c r="L118" s="118"/>
      <c r="M118" s="118"/>
      <c r="N118" s="118"/>
      <c r="O118" s="118"/>
      <c r="P118" s="118"/>
      <c r="Q118" s="118"/>
      <c r="R118" s="118"/>
      <c r="S118" s="118"/>
      <c r="T118" s="118"/>
      <c r="U118" s="118"/>
      <c r="V118" s="118"/>
      <c r="W118" s="118"/>
      <c r="X118" s="118"/>
      <c r="Y118" s="118"/>
      <c r="Z118" s="118"/>
      <c r="AA118" s="118"/>
      <c r="AE118" s="511"/>
      <c r="AF118" s="511"/>
      <c r="AG118" s="511"/>
      <c r="AH118" s="511"/>
      <c r="AI118" s="511"/>
      <c r="AJ118" s="511"/>
      <c r="AL118" s="511"/>
      <c r="AM118" s="511"/>
      <c r="AN118" s="511"/>
      <c r="AO118" s="511"/>
      <c r="AP118" s="511"/>
      <c r="AQ118" s="511"/>
      <c r="AR118" s="511"/>
      <c r="AS118" s="511"/>
      <c r="AT118" s="511"/>
      <c r="AU118" s="511"/>
      <c r="AV118" s="511"/>
      <c r="AW118" s="511"/>
      <c r="AX118" s="511"/>
      <c r="AY118" s="511"/>
      <c r="AZ118" s="511"/>
      <c r="BA118" s="511"/>
      <c r="BC118" s="118"/>
      <c r="BD118" s="118"/>
      <c r="BE118" s="118"/>
      <c r="BF118" s="118"/>
      <c r="BG118" s="118"/>
      <c r="BH118" s="118"/>
      <c r="BI118" s="118"/>
      <c r="BJ118" s="118"/>
      <c r="BK118" s="118"/>
      <c r="BL118" s="118"/>
      <c r="BM118" s="118"/>
      <c r="BN118" s="482"/>
    </row>
    <row r="119" spans="1:66" s="83" customFormat="1" ht="14.25" customHeight="1">
      <c r="A119" s="1290"/>
      <c r="B119" s="1298" t="s">
        <v>857</v>
      </c>
      <c r="C119" s="1292">
        <v>310</v>
      </c>
      <c r="D119" s="1297">
        <v>9</v>
      </c>
      <c r="E119" s="1294"/>
      <c r="F119" s="1295"/>
      <c r="G119" s="1295"/>
      <c r="H119" s="318"/>
      <c r="I119" s="118"/>
      <c r="J119" s="118"/>
      <c r="K119" s="118"/>
      <c r="L119" s="118"/>
      <c r="M119" s="118"/>
      <c r="N119" s="118"/>
      <c r="O119" s="118"/>
      <c r="P119" s="118"/>
      <c r="Q119" s="118"/>
      <c r="R119" s="118"/>
      <c r="S119" s="118"/>
      <c r="T119" s="118"/>
      <c r="U119" s="118"/>
      <c r="V119" s="118"/>
      <c r="W119" s="118"/>
      <c r="X119" s="118"/>
      <c r="Y119" s="118"/>
      <c r="Z119" s="118"/>
      <c r="AA119" s="118"/>
      <c r="AE119" s="511"/>
      <c r="AF119" s="511"/>
      <c r="AG119" s="511"/>
      <c r="AH119" s="511"/>
      <c r="AI119" s="511"/>
      <c r="AJ119" s="511"/>
      <c r="AL119" s="511"/>
      <c r="AM119" s="511"/>
      <c r="AN119" s="511"/>
      <c r="AO119" s="511"/>
      <c r="AP119" s="511"/>
      <c r="AQ119" s="511"/>
      <c r="AR119" s="511"/>
      <c r="AS119" s="511"/>
      <c r="AT119" s="511"/>
      <c r="AU119" s="511"/>
      <c r="AV119" s="511"/>
      <c r="AW119" s="511"/>
      <c r="AX119" s="511"/>
      <c r="AY119" s="511"/>
      <c r="AZ119" s="511"/>
      <c r="BA119" s="511"/>
      <c r="BC119" s="118"/>
      <c r="BD119" s="118"/>
      <c r="BE119" s="118"/>
      <c r="BF119" s="118"/>
      <c r="BG119" s="118"/>
      <c r="BH119" s="118"/>
      <c r="BI119" s="118"/>
      <c r="BJ119" s="118"/>
      <c r="BK119" s="118"/>
      <c r="BL119" s="118"/>
      <c r="BM119" s="118"/>
      <c r="BN119" s="482"/>
    </row>
    <row r="120" spans="1:66" s="83" customFormat="1" ht="14.25" customHeight="1">
      <c r="A120" s="1290"/>
      <c r="B120" s="1298" t="s">
        <v>858</v>
      </c>
      <c r="C120" s="1293"/>
      <c r="D120" s="1293"/>
      <c r="E120" s="1294"/>
      <c r="F120" s="1295"/>
      <c r="G120" s="1295"/>
      <c r="H120" s="318"/>
      <c r="I120" s="118"/>
      <c r="J120" s="118"/>
      <c r="K120" s="118"/>
      <c r="L120" s="118"/>
      <c r="M120" s="118"/>
      <c r="N120" s="118"/>
      <c r="O120" s="118"/>
      <c r="P120" s="118"/>
      <c r="Q120" s="118"/>
      <c r="R120" s="118"/>
      <c r="S120" s="118"/>
      <c r="T120" s="118"/>
      <c r="U120" s="118"/>
      <c r="V120" s="118"/>
      <c r="W120" s="118"/>
      <c r="X120" s="118"/>
      <c r="Y120" s="118"/>
      <c r="Z120" s="118"/>
      <c r="AA120" s="118"/>
      <c r="BC120" s="118"/>
      <c r="BD120" s="118"/>
      <c r="BE120" s="118"/>
      <c r="BF120" s="118"/>
      <c r="BG120" s="118"/>
      <c r="BH120" s="118"/>
      <c r="BI120" s="118"/>
      <c r="BJ120" s="118"/>
      <c r="BK120" s="118"/>
      <c r="BL120" s="118"/>
      <c r="BM120" s="118"/>
      <c r="BN120" s="482"/>
    </row>
    <row r="121" spans="1:66" s="83" customFormat="1" ht="14.25" customHeight="1">
      <c r="A121" s="1290"/>
      <c r="B121" s="1299"/>
      <c r="C121" s="1294" t="s">
        <v>123</v>
      </c>
      <c r="D121" s="1294" t="s">
        <v>271</v>
      </c>
      <c r="E121" s="1294"/>
      <c r="F121" s="1295"/>
      <c r="G121" s="1295"/>
      <c r="H121" s="318"/>
      <c r="I121" s="118"/>
      <c r="J121" s="118"/>
      <c r="K121" s="118"/>
      <c r="L121" s="118"/>
      <c r="M121" s="118"/>
      <c r="N121" s="118"/>
      <c r="O121" s="118"/>
      <c r="P121" s="118"/>
      <c r="Q121" s="118"/>
      <c r="R121" s="118"/>
      <c r="S121" s="118"/>
      <c r="T121" s="118"/>
      <c r="U121" s="118"/>
      <c r="V121" s="118"/>
      <c r="W121" s="118"/>
      <c r="X121" s="118"/>
      <c r="Y121" s="118"/>
      <c r="Z121" s="118"/>
      <c r="AA121" s="118"/>
      <c r="BC121" s="118"/>
      <c r="BD121" s="118"/>
      <c r="BE121" s="118"/>
      <c r="BF121" s="118"/>
      <c r="BG121" s="118"/>
      <c r="BH121" s="118"/>
      <c r="BI121" s="118"/>
      <c r="BJ121" s="118"/>
      <c r="BK121" s="118"/>
      <c r="BL121" s="118"/>
      <c r="BM121" s="118"/>
      <c r="BN121" s="482"/>
    </row>
    <row r="122" spans="1:66" s="83" customFormat="1" ht="14.25" customHeight="1">
      <c r="A122" s="1290"/>
      <c r="B122" s="1299" t="s">
        <v>859</v>
      </c>
      <c r="C122" s="1700" t="s">
        <v>850</v>
      </c>
      <c r="D122" s="1294" t="s">
        <v>270</v>
      </c>
      <c r="E122" s="1294"/>
      <c r="F122" s="1295"/>
      <c r="G122" s="1295"/>
      <c r="H122" s="318"/>
      <c r="I122" s="118"/>
      <c r="J122" s="118"/>
      <c r="K122" s="118"/>
      <c r="L122" s="118"/>
      <c r="M122" s="118"/>
      <c r="N122" s="118"/>
      <c r="O122" s="118"/>
      <c r="P122" s="118"/>
      <c r="Q122" s="118"/>
      <c r="R122" s="118"/>
      <c r="S122" s="118"/>
      <c r="T122" s="118"/>
      <c r="U122" s="118"/>
      <c r="V122" s="118"/>
      <c r="W122" s="118"/>
      <c r="X122" s="118"/>
      <c r="Y122" s="118"/>
      <c r="Z122" s="118"/>
      <c r="AA122" s="118"/>
      <c r="BC122" s="118"/>
      <c r="BD122" s="118"/>
      <c r="BE122" s="118"/>
      <c r="BF122" s="118"/>
      <c r="BG122" s="118"/>
      <c r="BH122" s="118"/>
      <c r="BI122" s="118"/>
      <c r="BJ122" s="118"/>
      <c r="BK122" s="118"/>
      <c r="BL122" s="118"/>
      <c r="BM122" s="118"/>
      <c r="BN122" s="482"/>
    </row>
    <row r="123" spans="1:66" s="83" customFormat="1" ht="14.25" customHeight="1">
      <c r="A123" s="1290"/>
      <c r="B123" s="1300" t="s">
        <v>851</v>
      </c>
      <c r="C123" s="1292">
        <v>365</v>
      </c>
      <c r="D123" s="1293">
        <v>5.5</v>
      </c>
      <c r="E123" s="1294"/>
      <c r="F123" s="1295"/>
      <c r="G123" s="1295"/>
      <c r="H123" s="318"/>
      <c r="I123" s="118"/>
      <c r="J123" s="118"/>
      <c r="K123" s="118"/>
      <c r="L123" s="118"/>
      <c r="M123" s="118"/>
      <c r="N123" s="118"/>
      <c r="O123" s="118"/>
      <c r="P123" s="118"/>
      <c r="Q123" s="118"/>
      <c r="R123" s="118"/>
      <c r="S123" s="118"/>
      <c r="T123" s="118"/>
      <c r="U123" s="118"/>
      <c r="V123" s="118"/>
      <c r="W123" s="118"/>
      <c r="X123" s="118"/>
      <c r="Y123" s="118"/>
      <c r="Z123" s="118"/>
      <c r="AA123" s="118"/>
      <c r="BC123" s="118"/>
      <c r="BD123" s="118"/>
      <c r="BE123" s="118"/>
      <c r="BF123" s="118"/>
      <c r="BG123" s="118"/>
      <c r="BH123" s="118"/>
      <c r="BI123" s="118"/>
      <c r="BJ123" s="118"/>
      <c r="BK123" s="118"/>
      <c r="BL123" s="118"/>
      <c r="BM123" s="118"/>
      <c r="BN123" s="482"/>
    </row>
    <row r="124" spans="1:66" s="83" customFormat="1" ht="14.25" customHeight="1">
      <c r="A124" s="1290"/>
      <c r="B124" s="1300" t="s">
        <v>853</v>
      </c>
      <c r="C124" s="1292">
        <v>365</v>
      </c>
      <c r="D124" s="1293">
        <v>10</v>
      </c>
      <c r="E124" s="1294"/>
      <c r="F124" s="1295"/>
      <c r="G124" s="1295"/>
      <c r="H124" s="318"/>
      <c r="I124" s="118"/>
      <c r="J124" s="118"/>
      <c r="K124" s="118"/>
      <c r="L124" s="118"/>
      <c r="M124" s="118"/>
      <c r="N124" s="118"/>
      <c r="O124" s="118"/>
      <c r="P124" s="118"/>
      <c r="Q124" s="118"/>
      <c r="R124" s="118"/>
      <c r="S124" s="118"/>
      <c r="T124" s="118"/>
      <c r="U124" s="118"/>
      <c r="V124" s="118"/>
      <c r="W124" s="118"/>
      <c r="X124" s="118"/>
      <c r="Y124" s="118"/>
      <c r="Z124" s="118"/>
      <c r="AA124" s="118"/>
      <c r="BC124" s="118"/>
      <c r="BD124" s="118"/>
      <c r="BE124" s="118"/>
      <c r="BF124" s="118"/>
      <c r="BG124" s="118"/>
      <c r="BH124" s="118"/>
      <c r="BI124" s="118"/>
      <c r="BJ124" s="118"/>
      <c r="BK124" s="118"/>
      <c r="BL124" s="118"/>
      <c r="BM124" s="118"/>
      <c r="BN124" s="482"/>
    </row>
    <row r="125" spans="1:66" s="83" customFormat="1" ht="14.25" customHeight="1">
      <c r="A125" s="1290"/>
      <c r="B125" s="1300" t="s">
        <v>860</v>
      </c>
      <c r="C125" s="1292">
        <v>365</v>
      </c>
      <c r="D125" s="1293">
        <v>34</v>
      </c>
      <c r="E125" s="1294"/>
      <c r="F125" s="1295"/>
      <c r="G125" s="1295"/>
      <c r="H125" s="318"/>
      <c r="I125" s="118"/>
      <c r="J125" s="118"/>
      <c r="K125" s="118"/>
      <c r="L125" s="118"/>
      <c r="M125" s="118"/>
      <c r="N125" s="118"/>
      <c r="O125" s="118"/>
      <c r="P125" s="118"/>
      <c r="Q125" s="118"/>
      <c r="R125" s="118"/>
      <c r="S125" s="118"/>
      <c r="T125" s="118"/>
      <c r="U125" s="118"/>
      <c r="V125" s="118"/>
      <c r="W125" s="118"/>
      <c r="X125" s="118"/>
      <c r="Y125" s="118"/>
      <c r="Z125" s="118"/>
      <c r="AA125" s="118"/>
      <c r="BC125" s="118"/>
      <c r="BD125" s="118"/>
      <c r="BE125" s="118"/>
      <c r="BF125" s="118"/>
      <c r="BG125" s="118"/>
      <c r="BH125" s="118"/>
      <c r="BI125" s="118"/>
      <c r="BJ125" s="118"/>
      <c r="BK125" s="118"/>
      <c r="BL125" s="118"/>
      <c r="BM125" s="118"/>
      <c r="BN125" s="482"/>
    </row>
    <row r="126" spans="1:66" s="83" customFormat="1" ht="14.25" customHeight="1">
      <c r="A126" s="1290"/>
      <c r="B126" s="1300" t="s">
        <v>855</v>
      </c>
      <c r="C126" s="1292">
        <v>365</v>
      </c>
      <c r="D126" s="1293">
        <v>57</v>
      </c>
      <c r="E126" s="1294"/>
      <c r="F126" s="1295"/>
      <c r="G126" s="1295"/>
      <c r="H126" s="318"/>
      <c r="I126" s="118"/>
      <c r="J126" s="118"/>
      <c r="K126" s="118"/>
      <c r="L126" s="118"/>
      <c r="M126" s="118"/>
      <c r="N126" s="118"/>
      <c r="O126" s="118"/>
      <c r="P126" s="118"/>
      <c r="Q126" s="118"/>
      <c r="R126" s="118"/>
      <c r="S126" s="118"/>
      <c r="T126" s="118"/>
      <c r="U126" s="118"/>
      <c r="V126" s="118"/>
      <c r="W126" s="118"/>
      <c r="X126" s="118"/>
      <c r="Y126" s="118"/>
      <c r="Z126" s="118"/>
      <c r="AA126" s="118"/>
      <c r="BC126" s="118"/>
      <c r="BD126" s="118"/>
      <c r="BE126" s="118"/>
      <c r="BF126" s="118"/>
      <c r="BG126" s="118"/>
      <c r="BH126" s="118"/>
      <c r="BI126" s="118"/>
      <c r="BJ126" s="118"/>
      <c r="BK126" s="118"/>
      <c r="BL126" s="118"/>
      <c r="BM126" s="118"/>
      <c r="BN126" s="482"/>
    </row>
    <row r="127" spans="1:66" s="83" customFormat="1" ht="14.25" customHeight="1">
      <c r="A127" s="1290"/>
      <c r="B127" s="1301" t="s">
        <v>857</v>
      </c>
      <c r="C127" s="1292">
        <v>365</v>
      </c>
      <c r="D127" s="1293">
        <v>6</v>
      </c>
      <c r="E127" s="1294"/>
      <c r="F127" s="1295"/>
      <c r="G127" s="1295"/>
      <c r="H127" s="318"/>
      <c r="I127" s="118"/>
      <c r="J127" s="118"/>
      <c r="K127" s="118"/>
      <c r="L127" s="118"/>
      <c r="M127" s="118"/>
      <c r="N127" s="118"/>
      <c r="O127" s="118"/>
      <c r="P127" s="118"/>
      <c r="Q127" s="118"/>
      <c r="R127" s="118"/>
      <c r="S127" s="118"/>
      <c r="T127" s="118"/>
      <c r="U127" s="118"/>
      <c r="V127" s="118"/>
      <c r="W127" s="118"/>
      <c r="X127" s="118"/>
      <c r="Y127" s="118"/>
      <c r="Z127" s="118"/>
      <c r="AA127" s="118"/>
      <c r="BC127" s="118"/>
      <c r="BD127" s="118"/>
      <c r="BE127" s="118"/>
      <c r="BF127" s="118"/>
      <c r="BG127" s="118"/>
      <c r="BH127" s="118"/>
      <c r="BI127" s="118"/>
      <c r="BJ127" s="118"/>
      <c r="BK127" s="118"/>
      <c r="BL127" s="118"/>
      <c r="BM127" s="118"/>
      <c r="BN127" s="482"/>
    </row>
    <row r="128" spans="1:66" s="83" customFormat="1" ht="14.25" customHeight="1">
      <c r="A128" s="1290"/>
      <c r="B128" s="1301" t="s">
        <v>858</v>
      </c>
      <c r="C128" s="1292"/>
      <c r="D128" s="1293"/>
      <c r="E128" s="1294"/>
      <c r="F128" s="1295"/>
      <c r="G128" s="1295"/>
      <c r="H128" s="318"/>
      <c r="I128" s="118"/>
      <c r="J128" s="118"/>
      <c r="K128" s="118"/>
      <c r="L128" s="118"/>
      <c r="M128" s="118"/>
      <c r="N128" s="118"/>
      <c r="O128" s="118"/>
      <c r="P128" s="118"/>
      <c r="Q128" s="118"/>
      <c r="R128" s="118"/>
      <c r="S128" s="118"/>
      <c r="T128" s="118"/>
      <c r="U128" s="118"/>
      <c r="V128" s="118"/>
      <c r="W128" s="118"/>
      <c r="X128" s="118"/>
      <c r="Y128" s="118"/>
      <c r="Z128" s="118"/>
      <c r="AA128" s="118"/>
      <c r="BC128" s="118"/>
      <c r="BD128" s="118"/>
      <c r="BE128" s="118"/>
      <c r="BF128" s="118"/>
      <c r="BG128" s="118"/>
      <c r="BH128" s="118"/>
      <c r="BI128" s="118"/>
      <c r="BJ128" s="118"/>
      <c r="BK128" s="118"/>
      <c r="BL128" s="118"/>
      <c r="BM128" s="118"/>
      <c r="BN128" s="482"/>
    </row>
    <row r="129" spans="1:66" s="83" customFormat="1" ht="14.25" customHeight="1">
      <c r="A129" s="1290"/>
      <c r="B129" s="1299"/>
      <c r="C129" s="1294" t="s">
        <v>123</v>
      </c>
      <c r="D129" s="1294" t="s">
        <v>271</v>
      </c>
      <c r="E129" s="1294" t="s">
        <v>861</v>
      </c>
      <c r="F129" s="1295"/>
      <c r="G129" s="1295"/>
      <c r="H129" s="318"/>
      <c r="I129" s="118"/>
      <c r="J129" s="118"/>
      <c r="K129" s="118"/>
      <c r="L129" s="118"/>
      <c r="M129" s="118"/>
      <c r="N129" s="118"/>
      <c r="O129" s="118"/>
      <c r="P129" s="118"/>
      <c r="Q129" s="118"/>
      <c r="R129" s="118"/>
      <c r="S129" s="118"/>
      <c r="T129" s="118"/>
      <c r="U129" s="118"/>
      <c r="V129" s="118"/>
      <c r="W129" s="118"/>
      <c r="X129" s="118"/>
      <c r="Y129" s="118"/>
      <c r="Z129" s="118"/>
      <c r="AA129" s="118"/>
      <c r="BC129" s="118"/>
      <c r="BD129" s="118"/>
      <c r="BE129" s="118"/>
      <c r="BF129" s="118"/>
      <c r="BG129" s="118"/>
      <c r="BH129" s="118"/>
      <c r="BI129" s="118"/>
      <c r="BJ129" s="118"/>
      <c r="BK129" s="118"/>
      <c r="BL129" s="118"/>
      <c r="BM129" s="118"/>
      <c r="BN129" s="482"/>
    </row>
    <row r="130" spans="1:66" s="83" customFormat="1" ht="14.25" customHeight="1">
      <c r="A130" s="1290"/>
      <c r="B130" s="1299" t="s">
        <v>862</v>
      </c>
      <c r="C130" s="1700" t="s">
        <v>850</v>
      </c>
      <c r="D130" s="1294" t="s">
        <v>270</v>
      </c>
      <c r="E130" s="1294" t="s">
        <v>248</v>
      </c>
      <c r="F130" s="1295"/>
      <c r="G130" s="1295"/>
      <c r="H130" s="318"/>
      <c r="I130" s="118"/>
      <c r="J130" s="118"/>
      <c r="K130" s="118"/>
      <c r="L130" s="118"/>
      <c r="M130" s="118"/>
      <c r="N130" s="118"/>
      <c r="O130" s="118"/>
      <c r="P130" s="118"/>
      <c r="Q130" s="118"/>
      <c r="R130" s="118"/>
      <c r="S130" s="118"/>
      <c r="T130" s="118"/>
      <c r="U130" s="118"/>
      <c r="V130" s="118"/>
      <c r="W130" s="118"/>
      <c r="X130" s="118"/>
      <c r="Y130" s="118"/>
      <c r="Z130" s="118"/>
      <c r="AA130" s="118"/>
      <c r="AI130" s="502"/>
      <c r="AJ130" s="511"/>
      <c r="AK130" s="1323"/>
      <c r="AL130" s="1323"/>
      <c r="AM130" s="1323"/>
      <c r="AN130" s="1323"/>
      <c r="AO130" s="1323"/>
      <c r="AP130" s="1323"/>
      <c r="AQ130" s="1323"/>
      <c r="AR130" s="1323"/>
      <c r="AS130" s="1323"/>
      <c r="AT130" s="1323"/>
      <c r="AU130" s="1323"/>
      <c r="AV130" s="1323"/>
      <c r="AW130" s="1323"/>
      <c r="AX130" s="511"/>
      <c r="AY130" s="511"/>
      <c r="AZ130" s="511"/>
      <c r="BA130" s="511"/>
      <c r="BC130" s="118"/>
      <c r="BD130" s="118"/>
      <c r="BE130" s="118"/>
      <c r="BF130" s="118"/>
      <c r="BG130" s="118"/>
      <c r="BH130" s="118"/>
      <c r="BI130" s="118"/>
      <c r="BJ130" s="118"/>
      <c r="BK130" s="118"/>
      <c r="BL130" s="118"/>
      <c r="BM130" s="118"/>
      <c r="BN130" s="482"/>
    </row>
    <row r="131" spans="1:66" s="83" customFormat="1" ht="14.25" customHeight="1">
      <c r="A131" s="1290"/>
      <c r="B131" s="1302" t="s">
        <v>853</v>
      </c>
      <c r="C131" s="1292">
        <v>310</v>
      </c>
      <c r="D131" s="1293">
        <v>10</v>
      </c>
      <c r="E131" s="1293">
        <v>30</v>
      </c>
      <c r="F131" s="1295"/>
      <c r="G131" s="1295"/>
      <c r="H131" s="318"/>
      <c r="I131" s="118"/>
      <c r="J131" s="118"/>
      <c r="K131" s="118"/>
      <c r="L131" s="118"/>
      <c r="M131" s="118"/>
      <c r="N131" s="118"/>
      <c r="O131" s="118"/>
      <c r="P131" s="118"/>
      <c r="Q131" s="118"/>
      <c r="R131" s="118"/>
      <c r="S131" s="118"/>
      <c r="T131" s="118"/>
      <c r="U131" s="118"/>
      <c r="V131" s="118"/>
      <c r="W131" s="118"/>
      <c r="X131" s="118"/>
      <c r="Y131" s="118"/>
      <c r="Z131" s="118"/>
      <c r="AA131" s="118"/>
      <c r="AI131" s="502"/>
      <c r="AJ131" s="511"/>
      <c r="AK131" s="1323"/>
      <c r="AL131" s="1323"/>
      <c r="AM131" s="1323"/>
      <c r="AN131" s="1323"/>
      <c r="AO131" s="1323"/>
      <c r="AP131" s="1323"/>
      <c r="AQ131" s="1323"/>
      <c r="AR131" s="1323"/>
      <c r="AS131" s="1323"/>
      <c r="AT131" s="1323"/>
      <c r="AU131" s="1323"/>
      <c r="AV131" s="1323"/>
      <c r="AW131" s="1323"/>
      <c r="AX131" s="511"/>
      <c r="AY131" s="511"/>
      <c r="AZ131" s="511"/>
      <c r="BA131" s="511"/>
      <c r="BC131" s="118"/>
      <c r="BD131" s="118"/>
      <c r="BE131" s="118"/>
      <c r="BF131" s="118"/>
      <c r="BG131" s="118"/>
      <c r="BH131" s="118"/>
      <c r="BI131" s="118"/>
      <c r="BJ131" s="118"/>
      <c r="BK131" s="118"/>
      <c r="BL131" s="118"/>
      <c r="BM131" s="118"/>
      <c r="BN131" s="482"/>
    </row>
    <row r="132" spans="1:66" s="83" customFormat="1" ht="14.25" customHeight="1">
      <c r="A132" s="1290"/>
      <c r="B132" s="1302" t="s">
        <v>854</v>
      </c>
      <c r="C132" s="1292">
        <v>310</v>
      </c>
      <c r="D132" s="1293">
        <v>18</v>
      </c>
      <c r="E132" s="1293">
        <v>50</v>
      </c>
      <c r="F132" s="1295"/>
      <c r="G132" s="1295"/>
      <c r="H132" s="318"/>
      <c r="I132" s="118"/>
      <c r="J132" s="118"/>
      <c r="K132" s="118"/>
      <c r="L132" s="118"/>
      <c r="M132" s="118"/>
      <c r="N132" s="118"/>
      <c r="O132" s="118"/>
      <c r="P132" s="118"/>
      <c r="Q132" s="118"/>
      <c r="R132" s="118"/>
      <c r="S132" s="118"/>
      <c r="T132" s="118"/>
      <c r="U132" s="118"/>
      <c r="V132" s="118"/>
      <c r="W132" s="118"/>
      <c r="X132" s="118"/>
      <c r="Y132" s="118"/>
      <c r="Z132" s="118"/>
      <c r="AA132" s="118"/>
      <c r="AI132" s="502"/>
      <c r="AJ132" s="511"/>
      <c r="AK132" s="1323"/>
      <c r="AL132" s="1323"/>
      <c r="AM132" s="1323"/>
      <c r="AN132" s="1323"/>
      <c r="AO132" s="1323"/>
      <c r="AP132" s="1323"/>
      <c r="AQ132" s="1323"/>
      <c r="AR132" s="1323"/>
      <c r="AS132" s="1323"/>
      <c r="AT132" s="1323"/>
      <c r="AU132" s="1323"/>
      <c r="AV132" s="1323"/>
      <c r="AW132" s="1323"/>
      <c r="AX132" s="511"/>
      <c r="AY132" s="511"/>
      <c r="AZ132" s="511"/>
      <c r="BA132" s="511"/>
      <c r="BC132" s="118"/>
      <c r="BD132" s="118"/>
      <c r="BE132" s="118"/>
      <c r="BF132" s="118"/>
      <c r="BG132" s="118"/>
      <c r="BH132" s="118"/>
      <c r="BI132" s="118"/>
      <c r="BJ132" s="118"/>
      <c r="BK132" s="118"/>
      <c r="BL132" s="118"/>
      <c r="BM132" s="118"/>
      <c r="BN132" s="482"/>
    </row>
    <row r="133" spans="1:66" s="83" customFormat="1" ht="14.25" customHeight="1">
      <c r="A133" s="1290"/>
      <c r="B133" s="1302" t="s">
        <v>855</v>
      </c>
      <c r="C133" s="1292">
        <v>310</v>
      </c>
      <c r="D133" s="1293">
        <v>55</v>
      </c>
      <c r="E133" s="1293">
        <v>50</v>
      </c>
      <c r="F133" s="1295"/>
      <c r="G133" s="1295"/>
      <c r="H133" s="318"/>
      <c r="I133" s="118"/>
      <c r="J133" s="118"/>
      <c r="K133" s="118"/>
      <c r="L133" s="118"/>
      <c r="M133" s="118"/>
      <c r="N133" s="118"/>
      <c r="O133" s="118"/>
      <c r="P133" s="118"/>
      <c r="Q133" s="118"/>
      <c r="R133" s="118"/>
      <c r="S133" s="118"/>
      <c r="T133" s="118"/>
      <c r="U133" s="118"/>
      <c r="V133" s="118"/>
      <c r="W133" s="118"/>
      <c r="X133" s="118"/>
      <c r="Y133" s="118"/>
      <c r="Z133" s="118"/>
      <c r="AA133" s="118"/>
      <c r="AI133" s="502"/>
      <c r="AJ133" s="511"/>
      <c r="AK133" s="1323"/>
      <c r="AL133" s="1323"/>
      <c r="AM133" s="1323"/>
      <c r="AN133" s="1323"/>
      <c r="AO133" s="1323"/>
      <c r="AP133" s="1323"/>
      <c r="AQ133" s="1323"/>
      <c r="AR133" s="1323"/>
      <c r="AS133" s="1323"/>
      <c r="AT133" s="1323"/>
      <c r="AU133" s="1323"/>
      <c r="AV133" s="1323"/>
      <c r="AW133" s="1323"/>
      <c r="AX133" s="511"/>
      <c r="AY133" s="511"/>
      <c r="AZ133" s="511"/>
      <c r="BA133" s="511"/>
      <c r="BC133" s="118"/>
      <c r="BD133" s="118"/>
      <c r="BE133" s="118"/>
      <c r="BF133" s="118"/>
      <c r="BG133" s="118"/>
      <c r="BH133" s="118"/>
      <c r="BI133" s="118"/>
      <c r="BJ133" s="118"/>
      <c r="BK133" s="118"/>
      <c r="BL133" s="118"/>
      <c r="BM133" s="118"/>
      <c r="BN133" s="482"/>
    </row>
    <row r="134" spans="1:66" s="83" customFormat="1" ht="14.25" customHeight="1">
      <c r="A134" s="1290"/>
      <c r="B134" s="1303" t="s">
        <v>858</v>
      </c>
      <c r="C134" s="1292"/>
      <c r="D134" s="1293"/>
      <c r="E134" s="1293"/>
      <c r="F134" s="1295"/>
      <c r="G134" s="1295"/>
      <c r="H134" s="318"/>
      <c r="I134" s="118"/>
      <c r="J134" s="118"/>
      <c r="K134" s="118"/>
      <c r="L134" s="118"/>
      <c r="M134" s="118"/>
      <c r="N134" s="118"/>
      <c r="O134" s="118"/>
      <c r="P134" s="118"/>
      <c r="Q134" s="118"/>
      <c r="R134" s="118"/>
      <c r="S134" s="118"/>
      <c r="T134" s="118"/>
      <c r="U134" s="118"/>
      <c r="V134" s="118"/>
      <c r="W134" s="118"/>
      <c r="X134" s="118"/>
      <c r="Y134" s="118"/>
      <c r="Z134" s="118"/>
      <c r="AA134" s="118"/>
      <c r="BC134" s="118"/>
      <c r="BD134" s="118"/>
      <c r="BE134" s="118"/>
      <c r="BF134" s="118"/>
      <c r="BG134" s="118"/>
      <c r="BH134" s="118"/>
      <c r="BI134" s="118"/>
      <c r="BJ134" s="118"/>
      <c r="BK134" s="118"/>
      <c r="BL134" s="118"/>
      <c r="BM134" s="118"/>
      <c r="BN134" s="482"/>
    </row>
    <row r="135" spans="1:66" s="83" customFormat="1" ht="14.25" customHeight="1">
      <c r="A135" s="1290"/>
      <c r="B135" s="1299"/>
      <c r="C135" s="1294" t="s">
        <v>123</v>
      </c>
      <c r="D135" s="1294" t="s">
        <v>271</v>
      </c>
      <c r="E135" s="1294" t="s">
        <v>861</v>
      </c>
      <c r="F135" s="1295"/>
      <c r="G135" s="1295"/>
      <c r="H135" s="318"/>
      <c r="I135" s="118"/>
      <c r="J135" s="118"/>
      <c r="K135" s="118"/>
      <c r="L135" s="118"/>
      <c r="M135" s="118"/>
      <c r="N135" s="118"/>
      <c r="O135" s="118"/>
      <c r="P135" s="118"/>
      <c r="Q135" s="118"/>
      <c r="R135" s="118"/>
      <c r="S135" s="118"/>
      <c r="T135" s="118"/>
      <c r="U135" s="118"/>
      <c r="V135" s="118"/>
      <c r="W135" s="118"/>
      <c r="X135" s="118"/>
      <c r="Y135" s="118"/>
      <c r="Z135" s="118"/>
      <c r="AA135" s="118"/>
      <c r="BC135" s="118"/>
      <c r="BD135" s="118"/>
      <c r="BE135" s="118"/>
      <c r="BF135" s="118"/>
      <c r="BG135" s="118"/>
      <c r="BH135" s="118"/>
      <c r="BI135" s="118"/>
      <c r="BJ135" s="118"/>
      <c r="BK135" s="118"/>
      <c r="BL135" s="118"/>
      <c r="BM135" s="118"/>
      <c r="BN135" s="482"/>
    </row>
    <row r="136" spans="1:66" s="83" customFormat="1" ht="14.25" customHeight="1">
      <c r="A136" s="1290"/>
      <c r="B136" s="1299" t="s">
        <v>863</v>
      </c>
      <c r="C136" s="1700" t="s">
        <v>850</v>
      </c>
      <c r="D136" s="1294" t="s">
        <v>270</v>
      </c>
      <c r="E136" s="1294" t="s">
        <v>248</v>
      </c>
      <c r="F136" s="1295"/>
      <c r="G136" s="1295"/>
      <c r="H136" s="318"/>
      <c r="I136" s="118"/>
      <c r="J136" s="118"/>
      <c r="K136" s="118"/>
      <c r="L136" s="118"/>
      <c r="M136" s="118"/>
      <c r="N136" s="118"/>
      <c r="O136" s="118"/>
      <c r="P136" s="118"/>
      <c r="Q136" s="118"/>
      <c r="R136" s="118"/>
      <c r="S136" s="118"/>
      <c r="T136" s="118"/>
      <c r="U136" s="118"/>
      <c r="V136" s="118"/>
      <c r="W136" s="118"/>
      <c r="X136" s="118"/>
      <c r="Y136" s="118"/>
      <c r="Z136" s="118"/>
      <c r="AA136" s="118"/>
      <c r="BC136" s="118"/>
      <c r="BD136" s="118"/>
      <c r="BE136" s="118"/>
      <c r="BF136" s="118"/>
      <c r="BG136" s="118"/>
      <c r="BH136" s="118"/>
      <c r="BI136" s="118"/>
      <c r="BJ136" s="118"/>
      <c r="BK136" s="118"/>
      <c r="BL136" s="118"/>
      <c r="BM136" s="118"/>
      <c r="BN136" s="482"/>
    </row>
    <row r="137" spans="1:66" s="83" customFormat="1" ht="14.25" customHeight="1">
      <c r="A137" s="1290"/>
      <c r="B137" s="1302" t="s">
        <v>853</v>
      </c>
      <c r="C137" s="1292">
        <v>365</v>
      </c>
      <c r="D137" s="1293">
        <v>10</v>
      </c>
      <c r="E137" s="1293">
        <v>36</v>
      </c>
      <c r="F137" s="1295"/>
      <c r="G137" s="1295"/>
      <c r="H137" s="318"/>
      <c r="I137" s="118"/>
      <c r="J137" s="118"/>
      <c r="K137" s="118"/>
      <c r="L137" s="118"/>
      <c r="M137" s="118"/>
      <c r="N137" s="118"/>
      <c r="O137" s="118"/>
      <c r="P137" s="118"/>
      <c r="Q137" s="118"/>
      <c r="R137" s="118"/>
      <c r="S137" s="118"/>
      <c r="T137" s="118"/>
      <c r="U137" s="118"/>
      <c r="V137" s="118"/>
      <c r="W137" s="118"/>
      <c r="X137" s="118"/>
      <c r="Y137" s="118"/>
      <c r="Z137" s="118"/>
      <c r="AA137" s="118"/>
      <c r="BC137" s="118"/>
      <c r="BD137" s="118"/>
      <c r="BE137" s="118"/>
      <c r="BF137" s="118"/>
      <c r="BG137" s="118"/>
      <c r="BH137" s="118"/>
      <c r="BI137" s="118"/>
      <c r="BJ137" s="118"/>
      <c r="BK137" s="118"/>
      <c r="BL137" s="118"/>
      <c r="BM137" s="118"/>
      <c r="BN137" s="482"/>
    </row>
    <row r="138" spans="1:66" s="83" customFormat="1" ht="14.25" customHeight="1">
      <c r="A138" s="1290"/>
      <c r="B138" s="1303" t="s">
        <v>858</v>
      </c>
      <c r="C138" s="1292"/>
      <c r="D138" s="1293"/>
      <c r="E138" s="1293"/>
      <c r="F138" s="1295"/>
      <c r="G138" s="1295"/>
      <c r="H138" s="318"/>
      <c r="I138" s="118"/>
      <c r="J138" s="118"/>
      <c r="K138" s="118"/>
      <c r="L138" s="118"/>
      <c r="M138" s="118"/>
      <c r="N138" s="118"/>
      <c r="O138" s="118"/>
      <c r="P138" s="118"/>
      <c r="Q138" s="118"/>
      <c r="R138" s="118"/>
      <c r="S138" s="118"/>
      <c r="T138" s="118"/>
      <c r="U138" s="118"/>
      <c r="V138" s="118"/>
      <c r="W138" s="118"/>
      <c r="X138" s="118"/>
      <c r="Y138" s="118"/>
      <c r="Z138" s="118"/>
      <c r="AA138" s="118"/>
      <c r="AB138" s="352"/>
      <c r="AC138" s="502"/>
      <c r="AD138" s="502"/>
      <c r="AE138" s="502"/>
      <c r="AF138" s="502"/>
      <c r="AG138" s="502"/>
      <c r="AH138" s="502"/>
      <c r="BC138" s="118"/>
      <c r="BD138" s="118"/>
      <c r="BE138" s="118"/>
      <c r="BF138" s="118"/>
      <c r="BG138" s="118"/>
      <c r="BH138" s="118"/>
      <c r="BI138" s="118"/>
      <c r="BJ138" s="118"/>
      <c r="BK138" s="118"/>
      <c r="BL138" s="118"/>
      <c r="BM138" s="118"/>
      <c r="BN138" s="482"/>
    </row>
    <row r="139" spans="1:66" s="83" customFormat="1" ht="14.25" customHeight="1">
      <c r="A139" s="1290"/>
      <c r="C139" s="1294" t="s">
        <v>123</v>
      </c>
      <c r="D139" s="1294" t="s">
        <v>271</v>
      </c>
      <c r="F139" s="1295"/>
      <c r="G139" s="1295"/>
      <c r="H139" s="318"/>
      <c r="I139" s="3206" t="s">
        <v>864</v>
      </c>
      <c r="J139" s="118"/>
      <c r="K139" s="118"/>
      <c r="L139" s="118"/>
      <c r="M139" s="118"/>
      <c r="N139" s="118"/>
      <c r="O139" s="118"/>
      <c r="P139" s="118"/>
      <c r="Q139" s="118"/>
      <c r="R139" s="118"/>
      <c r="S139" s="118"/>
      <c r="T139" s="118"/>
      <c r="U139" s="118"/>
      <c r="V139" s="118"/>
      <c r="W139" s="118"/>
      <c r="X139" s="118"/>
      <c r="Y139" s="118"/>
      <c r="Z139" s="118"/>
      <c r="AA139" s="118"/>
      <c r="AB139" s="352"/>
      <c r="AC139" s="502"/>
      <c r="AD139" s="502"/>
      <c r="AE139" s="502"/>
      <c r="AF139" s="502"/>
      <c r="AG139" s="502"/>
      <c r="AH139" s="502"/>
      <c r="BC139" s="118"/>
      <c r="BD139" s="118"/>
      <c r="BE139" s="118"/>
      <c r="BF139" s="118"/>
      <c r="BG139" s="118"/>
      <c r="BH139" s="118"/>
      <c r="BI139" s="118"/>
      <c r="BJ139" s="118"/>
      <c r="BK139" s="118"/>
      <c r="BL139" s="118"/>
      <c r="BM139" s="118"/>
      <c r="BN139" s="482"/>
    </row>
    <row r="140" spans="1:66" s="83" customFormat="1" ht="14.25" customHeight="1">
      <c r="A140" s="4491" t="s">
        <v>865</v>
      </c>
      <c r="B140" s="4492"/>
      <c r="C140" s="1700" t="s">
        <v>850</v>
      </c>
      <c r="D140" s="1700" t="s">
        <v>866</v>
      </c>
      <c r="E140" s="1700" t="s">
        <v>867</v>
      </c>
      <c r="F140" s="1700" t="s">
        <v>270</v>
      </c>
      <c r="G140" s="1700" t="s">
        <v>868</v>
      </c>
      <c r="H140" s="1702" t="s">
        <v>869</v>
      </c>
      <c r="I140" s="3206"/>
      <c r="J140" s="118"/>
      <c r="K140" s="118"/>
      <c r="L140" s="118"/>
      <c r="M140" s="118"/>
      <c r="N140" s="118"/>
      <c r="O140" s="118"/>
      <c r="P140" s="118"/>
      <c r="Q140" s="118"/>
      <c r="R140" s="118"/>
      <c r="S140" s="118"/>
      <c r="T140" s="118"/>
      <c r="U140" s="118"/>
      <c r="V140" s="118"/>
      <c r="W140" s="118"/>
      <c r="X140" s="118"/>
      <c r="Y140" s="118"/>
      <c r="Z140" s="118"/>
      <c r="AA140" s="118"/>
      <c r="BC140" s="118"/>
      <c r="BD140" s="118"/>
      <c r="BE140" s="118"/>
      <c r="BF140" s="118"/>
      <c r="BG140" s="118"/>
      <c r="BH140" s="118"/>
      <c r="BI140" s="118"/>
      <c r="BJ140" s="118"/>
      <c r="BK140" s="118"/>
      <c r="BL140" s="118"/>
      <c r="BM140" s="118"/>
      <c r="BN140" s="482"/>
    </row>
    <row r="141" spans="1:66" s="83" customFormat="1" ht="14.25" customHeight="1">
      <c r="A141" s="1290"/>
      <c r="B141" s="1328" t="s">
        <v>870</v>
      </c>
      <c r="C141" s="1286">
        <f t="shared" ref="C141:C151" si="87">G141*$C$7/100</f>
        <v>198.75</v>
      </c>
      <c r="D141" s="1286">
        <f t="shared" ref="D141:D151" si="88">(F141*E141)/100</f>
        <v>908.8</v>
      </c>
      <c r="E141" s="1287">
        <v>71</v>
      </c>
      <c r="F141" s="1287">
        <v>1280</v>
      </c>
      <c r="G141" s="1287">
        <v>265</v>
      </c>
      <c r="H141" s="1329" t="s">
        <v>871</v>
      </c>
      <c r="I141" s="1380">
        <f t="shared" ref="I141:I151" si="89">C39/C$5</f>
        <v>11.764705882352942</v>
      </c>
      <c r="J141" s="118"/>
      <c r="K141" s="118"/>
      <c r="L141" s="118"/>
      <c r="M141" s="118"/>
      <c r="N141" s="118"/>
      <c r="O141" s="118"/>
      <c r="P141" s="118"/>
      <c r="Q141" s="118"/>
      <c r="R141" s="118"/>
      <c r="S141" s="118"/>
      <c r="T141" s="118"/>
      <c r="U141" s="118"/>
      <c r="V141" s="118"/>
      <c r="W141" s="118"/>
      <c r="X141" s="118"/>
      <c r="Y141" s="118"/>
      <c r="Z141" s="118"/>
      <c r="AA141" s="118"/>
      <c r="BC141" s="118"/>
      <c r="BD141" s="118"/>
      <c r="BE141" s="118"/>
      <c r="BF141" s="118"/>
      <c r="BG141" s="118"/>
      <c r="BH141" s="118"/>
      <c r="BI141" s="118"/>
      <c r="BJ141" s="118"/>
      <c r="BK141" s="118"/>
      <c r="BL141" s="118"/>
      <c r="BM141" s="118"/>
      <c r="BN141" s="482"/>
    </row>
    <row r="142" spans="1:66" s="83" customFormat="1" ht="14.25" customHeight="1">
      <c r="A142" s="1290"/>
      <c r="B142" s="1330" t="s">
        <v>283</v>
      </c>
      <c r="C142" s="1292">
        <f t="shared" si="87"/>
        <v>198.75</v>
      </c>
      <c r="D142" s="1292">
        <f t="shared" si="88"/>
        <v>18.5</v>
      </c>
      <c r="E142" s="1293">
        <v>74</v>
      </c>
      <c r="F142" s="1293">
        <v>25</v>
      </c>
      <c r="G142" s="1293">
        <v>265</v>
      </c>
      <c r="H142" s="1331" t="s">
        <v>871</v>
      </c>
      <c r="I142" s="1380">
        <f t="shared" si="89"/>
        <v>0</v>
      </c>
      <c r="J142" s="118"/>
      <c r="K142" s="118"/>
      <c r="L142" s="118"/>
      <c r="M142" s="118"/>
      <c r="N142" s="118"/>
      <c r="O142" s="118"/>
      <c r="P142" s="118"/>
      <c r="Q142" s="118"/>
      <c r="R142" s="118"/>
      <c r="S142" s="118"/>
      <c r="T142" s="118"/>
      <c r="U142" s="118"/>
      <c r="V142" s="118"/>
      <c r="W142" s="118"/>
      <c r="X142" s="118"/>
      <c r="Y142" s="118"/>
      <c r="Z142" s="118"/>
      <c r="AA142" s="118"/>
      <c r="BC142" s="118"/>
      <c r="BD142" s="118"/>
      <c r="BE142" s="118"/>
      <c r="BF142" s="118"/>
      <c r="BG142" s="118"/>
      <c r="BH142" s="118"/>
      <c r="BI142" s="118"/>
      <c r="BJ142" s="118"/>
      <c r="BK142" s="118"/>
      <c r="BL142" s="118"/>
      <c r="BM142" s="118"/>
      <c r="BN142" s="482"/>
    </row>
    <row r="143" spans="1:66" s="83" customFormat="1" ht="14.25" customHeight="1">
      <c r="A143" s="1290"/>
      <c r="B143" s="1330" t="s">
        <v>872</v>
      </c>
      <c r="C143" s="1292">
        <f t="shared" si="87"/>
        <v>198.75</v>
      </c>
      <c r="D143" s="1292">
        <f t="shared" si="88"/>
        <v>8.8800000000000008</v>
      </c>
      <c r="E143" s="1293">
        <v>74</v>
      </c>
      <c r="F143" s="1293">
        <v>12</v>
      </c>
      <c r="G143" s="1293">
        <v>265</v>
      </c>
      <c r="H143" s="1331" t="s">
        <v>871</v>
      </c>
      <c r="I143" s="1380">
        <f t="shared" si="89"/>
        <v>0</v>
      </c>
      <c r="J143" s="118"/>
      <c r="K143" s="118"/>
      <c r="L143" s="118"/>
      <c r="M143" s="118"/>
      <c r="N143" s="118"/>
      <c r="O143" s="118"/>
      <c r="P143" s="118"/>
      <c r="Q143" s="118"/>
      <c r="R143" s="118"/>
      <c r="S143" s="118"/>
      <c r="T143" s="118"/>
      <c r="U143" s="118"/>
      <c r="V143" s="118"/>
      <c r="W143" s="118"/>
      <c r="X143" s="118"/>
      <c r="Y143" s="118"/>
      <c r="Z143" s="118"/>
      <c r="AA143" s="118"/>
      <c r="BC143" s="118"/>
      <c r="BD143" s="118"/>
      <c r="BE143" s="118"/>
      <c r="BF143" s="118"/>
      <c r="BG143" s="118"/>
      <c r="BH143" s="118"/>
      <c r="BI143" s="118"/>
      <c r="BJ143" s="118"/>
      <c r="BK143" s="118"/>
      <c r="BL143" s="118"/>
      <c r="BM143" s="118"/>
      <c r="BN143" s="482"/>
    </row>
    <row r="144" spans="1:66" s="83" customFormat="1" ht="14.25" customHeight="1">
      <c r="A144" s="1290"/>
      <c r="B144" s="1332" t="s">
        <v>282</v>
      </c>
      <c r="C144" s="1292">
        <f t="shared" si="87"/>
        <v>198.75</v>
      </c>
      <c r="D144" s="1292">
        <f t="shared" si="88"/>
        <v>7.4</v>
      </c>
      <c r="E144" s="1293">
        <v>74</v>
      </c>
      <c r="F144" s="1293">
        <v>10</v>
      </c>
      <c r="G144" s="1293">
        <v>265</v>
      </c>
      <c r="H144" s="1331" t="s">
        <v>871</v>
      </c>
      <c r="I144" s="1380">
        <f t="shared" si="89"/>
        <v>0</v>
      </c>
      <c r="J144" s="118"/>
      <c r="K144" s="118"/>
      <c r="L144" s="118"/>
      <c r="M144" s="118"/>
      <c r="N144" s="118"/>
      <c r="O144" s="118"/>
      <c r="P144" s="118"/>
      <c r="Q144" s="118"/>
      <c r="R144" s="118"/>
      <c r="S144" s="118"/>
      <c r="T144" s="118"/>
      <c r="U144" s="118"/>
      <c r="V144" s="118"/>
      <c r="W144" s="118"/>
      <c r="X144" s="118"/>
      <c r="Y144" s="118"/>
      <c r="Z144" s="118"/>
      <c r="AA144" s="118"/>
      <c r="BC144" s="118"/>
      <c r="BD144" s="118"/>
      <c r="BE144" s="118"/>
      <c r="BF144" s="118"/>
      <c r="BG144" s="118"/>
      <c r="BH144" s="118"/>
      <c r="BI144" s="118"/>
      <c r="BJ144" s="118"/>
      <c r="BK144" s="118"/>
      <c r="BL144" s="118"/>
      <c r="BM144" s="118"/>
      <c r="BN144" s="482"/>
    </row>
    <row r="145" spans="1:66" s="83" customFormat="1" ht="14.25" customHeight="1">
      <c r="A145" s="1290"/>
      <c r="B145" s="1330" t="s">
        <v>873</v>
      </c>
      <c r="C145" s="1292">
        <f t="shared" si="87"/>
        <v>198.75</v>
      </c>
      <c r="D145" s="1292">
        <f t="shared" si="88"/>
        <v>763.2</v>
      </c>
      <c r="E145" s="1293">
        <v>72</v>
      </c>
      <c r="F145" s="1293">
        <v>1060</v>
      </c>
      <c r="G145" s="1293">
        <v>265</v>
      </c>
      <c r="H145" s="1333" t="s">
        <v>874</v>
      </c>
      <c r="I145" s="1380">
        <f t="shared" si="89"/>
        <v>0</v>
      </c>
      <c r="J145" s="118"/>
      <c r="K145" s="118"/>
      <c r="L145" s="118"/>
      <c r="M145" s="118"/>
      <c r="N145" s="118"/>
      <c r="O145" s="118"/>
      <c r="P145" s="118"/>
      <c r="Q145" s="118"/>
      <c r="R145" s="118"/>
      <c r="S145" s="118"/>
      <c r="T145" s="118"/>
      <c r="U145" s="118"/>
      <c r="V145" s="118"/>
      <c r="W145" s="118"/>
      <c r="X145" s="118"/>
      <c r="Y145" s="118"/>
      <c r="Z145" s="118"/>
      <c r="AA145" s="118"/>
      <c r="BC145" s="118"/>
      <c r="BD145" s="118"/>
      <c r="BE145" s="118"/>
      <c r="BF145" s="118"/>
      <c r="BG145" s="118"/>
      <c r="BH145" s="118"/>
      <c r="BI145" s="118"/>
      <c r="BJ145" s="118"/>
      <c r="BK145" s="118"/>
      <c r="BL145" s="118"/>
      <c r="BM145" s="118"/>
      <c r="BN145" s="482"/>
    </row>
    <row r="146" spans="1:66" s="83" customFormat="1" ht="14.25" customHeight="1">
      <c r="A146" s="1290"/>
      <c r="B146" s="1330" t="s">
        <v>875</v>
      </c>
      <c r="C146" s="1292">
        <f t="shared" si="87"/>
        <v>198.75</v>
      </c>
      <c r="D146" s="1292">
        <f t="shared" si="88"/>
        <v>148</v>
      </c>
      <c r="E146" s="1293">
        <v>74</v>
      </c>
      <c r="F146" s="1293">
        <v>200</v>
      </c>
      <c r="G146" s="1293">
        <v>265</v>
      </c>
      <c r="H146" s="1331" t="s">
        <v>876</v>
      </c>
      <c r="I146" s="1380">
        <f t="shared" si="89"/>
        <v>0</v>
      </c>
      <c r="J146" s="118"/>
      <c r="K146" s="118"/>
      <c r="L146" s="118"/>
      <c r="M146" s="118"/>
      <c r="N146" s="118"/>
      <c r="O146" s="118"/>
      <c r="P146" s="118"/>
      <c r="Q146" s="118"/>
      <c r="R146" s="118"/>
      <c r="S146" s="118"/>
      <c r="T146" s="118"/>
      <c r="U146" s="118"/>
      <c r="V146" s="118"/>
      <c r="W146" s="118"/>
      <c r="X146" s="118"/>
      <c r="Y146" s="118"/>
      <c r="Z146" s="118"/>
      <c r="AA146" s="118"/>
      <c r="BC146" s="118"/>
      <c r="BD146" s="118"/>
      <c r="BE146" s="118"/>
      <c r="BF146" s="118"/>
      <c r="BG146" s="118"/>
      <c r="BH146" s="118"/>
      <c r="BI146" s="118"/>
      <c r="BJ146" s="118"/>
      <c r="BK146" s="118"/>
      <c r="BL146" s="118"/>
      <c r="BM146" s="118"/>
      <c r="BN146" s="482"/>
    </row>
    <row r="147" spans="1:66" s="83" customFormat="1" ht="14.25" customHeight="1">
      <c r="A147" s="1290"/>
      <c r="B147" s="1330" t="s">
        <v>877</v>
      </c>
      <c r="C147" s="1292">
        <f t="shared" si="87"/>
        <v>198.75</v>
      </c>
      <c r="D147" s="1292">
        <f t="shared" si="88"/>
        <v>77.7</v>
      </c>
      <c r="E147" s="1293">
        <v>74</v>
      </c>
      <c r="F147" s="1293">
        <v>105</v>
      </c>
      <c r="G147" s="1293">
        <v>265</v>
      </c>
      <c r="H147" s="1331" t="s">
        <v>876</v>
      </c>
      <c r="I147" s="1380">
        <f t="shared" si="89"/>
        <v>35.294117647058826</v>
      </c>
      <c r="J147" s="118"/>
      <c r="K147" s="118"/>
      <c r="L147" s="118"/>
      <c r="M147" s="118"/>
      <c r="N147" s="118"/>
      <c r="O147" s="118"/>
      <c r="P147" s="118"/>
      <c r="Q147" s="118"/>
      <c r="R147" s="118"/>
      <c r="S147" s="118"/>
      <c r="T147" s="118"/>
      <c r="U147" s="118"/>
      <c r="V147" s="118"/>
      <c r="W147" s="118"/>
      <c r="X147" s="118"/>
      <c r="Y147" s="118"/>
      <c r="Z147" s="118"/>
      <c r="AA147" s="118"/>
      <c r="BC147" s="118"/>
      <c r="BD147" s="118"/>
      <c r="BE147" s="118"/>
      <c r="BF147" s="118"/>
      <c r="BG147" s="118"/>
      <c r="BH147" s="118"/>
      <c r="BI147" s="118"/>
      <c r="BJ147" s="118"/>
      <c r="BK147" s="118"/>
      <c r="BL147" s="118"/>
      <c r="BM147" s="118"/>
      <c r="BN147" s="482"/>
    </row>
    <row r="148" spans="1:66" s="83" customFormat="1" ht="14.25" customHeight="1">
      <c r="A148" s="1290"/>
      <c r="B148" s="1330" t="s">
        <v>878</v>
      </c>
      <c r="C148" s="1292">
        <f t="shared" si="87"/>
        <v>198.75</v>
      </c>
      <c r="D148" s="1292">
        <f t="shared" si="88"/>
        <v>103.6</v>
      </c>
      <c r="E148" s="1293">
        <v>74</v>
      </c>
      <c r="F148" s="1293">
        <v>140</v>
      </c>
      <c r="G148" s="1293">
        <v>265</v>
      </c>
      <c r="H148" s="1331" t="s">
        <v>876</v>
      </c>
      <c r="I148" s="1380">
        <f t="shared" si="89"/>
        <v>0</v>
      </c>
      <c r="J148" s="118"/>
      <c r="K148" s="118"/>
      <c r="L148" s="118"/>
      <c r="M148" s="118"/>
      <c r="N148" s="118"/>
      <c r="O148" s="118"/>
      <c r="P148" s="118"/>
      <c r="Q148" s="118"/>
      <c r="R148" s="118"/>
      <c r="S148" s="118"/>
      <c r="T148" s="118"/>
      <c r="U148" s="118"/>
      <c r="V148" s="118"/>
      <c r="W148" s="118"/>
      <c r="X148" s="118"/>
      <c r="Y148" s="118"/>
      <c r="Z148" s="118"/>
      <c r="AA148" s="118"/>
      <c r="BC148" s="118"/>
      <c r="BD148" s="118"/>
      <c r="BE148" s="118"/>
      <c r="BF148" s="118"/>
      <c r="BG148" s="118"/>
      <c r="BH148" s="118"/>
      <c r="BI148" s="118"/>
      <c r="BJ148" s="118"/>
      <c r="BK148" s="118"/>
      <c r="BL148" s="118"/>
      <c r="BM148" s="118"/>
      <c r="BN148" s="482"/>
    </row>
    <row r="149" spans="1:66" s="83" customFormat="1" ht="14.25" customHeight="1">
      <c r="A149" s="1290"/>
      <c r="B149" s="1330" t="s">
        <v>879</v>
      </c>
      <c r="C149" s="1292">
        <f t="shared" si="87"/>
        <v>198.75</v>
      </c>
      <c r="D149" s="1292">
        <f t="shared" si="88"/>
        <v>902.8</v>
      </c>
      <c r="E149" s="1293">
        <v>74</v>
      </c>
      <c r="F149" s="1293">
        <v>1220</v>
      </c>
      <c r="G149" s="1293">
        <v>265</v>
      </c>
      <c r="H149" s="1331" t="s">
        <v>871</v>
      </c>
      <c r="I149" s="1380">
        <f t="shared" si="89"/>
        <v>0</v>
      </c>
      <c r="J149" s="118"/>
      <c r="K149" s="118"/>
      <c r="L149" s="118"/>
      <c r="M149" s="118"/>
      <c r="N149" s="118"/>
      <c r="O149" s="118"/>
      <c r="P149" s="118"/>
      <c r="Q149" s="118"/>
      <c r="R149" s="118"/>
      <c r="S149" s="118"/>
      <c r="T149" s="118"/>
      <c r="U149" s="118"/>
      <c r="V149" s="118"/>
      <c r="W149" s="118"/>
      <c r="X149" s="118"/>
      <c r="Y149" s="118"/>
      <c r="Z149" s="118"/>
      <c r="AA149" s="118"/>
      <c r="BC149" s="118"/>
      <c r="BD149" s="118"/>
      <c r="BE149" s="118"/>
      <c r="BF149" s="118"/>
      <c r="BG149" s="118"/>
      <c r="BH149" s="118"/>
      <c r="BI149" s="118"/>
      <c r="BJ149" s="118"/>
      <c r="BK149" s="118"/>
      <c r="BL149" s="118"/>
      <c r="BM149" s="118"/>
      <c r="BN149" s="482"/>
    </row>
    <row r="150" spans="1:66" s="83" customFormat="1" ht="14.25" customHeight="1">
      <c r="A150" s="1290"/>
      <c r="B150" s="1334" t="s">
        <v>880</v>
      </c>
      <c r="C150" s="1292">
        <f t="shared" si="87"/>
        <v>0</v>
      </c>
      <c r="D150" s="1292">
        <f t="shared" si="88"/>
        <v>0</v>
      </c>
      <c r="E150" s="1293"/>
      <c r="F150" s="1293"/>
      <c r="G150" s="1293"/>
      <c r="H150" s="1331"/>
      <c r="I150" s="1380">
        <f t="shared" si="89"/>
        <v>0</v>
      </c>
      <c r="J150" s="118"/>
      <c r="K150" s="118"/>
      <c r="L150" s="118"/>
      <c r="M150" s="118"/>
      <c r="N150" s="118"/>
      <c r="O150" s="118"/>
      <c r="P150" s="118"/>
      <c r="Q150" s="118"/>
      <c r="R150" s="118"/>
      <c r="S150" s="118"/>
      <c r="T150" s="118"/>
      <c r="U150" s="118"/>
      <c r="V150" s="118"/>
      <c r="W150" s="118"/>
      <c r="X150" s="118"/>
      <c r="Y150" s="118"/>
      <c r="Z150" s="118"/>
      <c r="AA150" s="118"/>
      <c r="BC150" s="118"/>
      <c r="BD150" s="118"/>
      <c r="BE150" s="118"/>
      <c r="BF150" s="118"/>
      <c r="BG150" s="118"/>
      <c r="BH150" s="118"/>
      <c r="BI150" s="118"/>
      <c r="BJ150" s="118"/>
      <c r="BK150" s="118"/>
      <c r="BL150" s="118"/>
      <c r="BM150" s="118"/>
      <c r="BN150" s="482"/>
    </row>
    <row r="151" spans="1:66" s="83" customFormat="1" ht="14.25" customHeight="1">
      <c r="A151" s="1290"/>
      <c r="B151" s="1334" t="s">
        <v>881</v>
      </c>
      <c r="C151" s="1292">
        <f t="shared" si="87"/>
        <v>0</v>
      </c>
      <c r="D151" s="1292">
        <f t="shared" si="88"/>
        <v>0</v>
      </c>
      <c r="E151" s="1337"/>
      <c r="F151" s="1862"/>
      <c r="G151" s="1862"/>
      <c r="H151" s="1335"/>
      <c r="I151" s="1380">
        <f t="shared" si="89"/>
        <v>0</v>
      </c>
      <c r="J151" s="118"/>
      <c r="K151" s="118"/>
      <c r="L151" s="118"/>
      <c r="M151" s="118"/>
      <c r="N151" s="118"/>
      <c r="O151" s="118"/>
      <c r="P151" s="118"/>
      <c r="Q151" s="118"/>
      <c r="R151" s="118"/>
      <c r="S151" s="118"/>
      <c r="T151" s="118"/>
      <c r="U151" s="118"/>
      <c r="V151" s="118"/>
      <c r="W151" s="118"/>
      <c r="X151" s="118"/>
      <c r="Y151" s="118"/>
      <c r="Z151" s="118"/>
      <c r="AA151" s="118"/>
      <c r="BC151" s="118"/>
      <c r="BD151" s="118"/>
      <c r="BE151" s="118"/>
      <c r="BF151" s="118"/>
      <c r="BG151" s="118"/>
      <c r="BH151" s="118"/>
      <c r="BI151" s="118"/>
      <c r="BJ151" s="118"/>
      <c r="BK151" s="118"/>
      <c r="BL151" s="118"/>
      <c r="BM151" s="118"/>
      <c r="BN151" s="482"/>
    </row>
    <row r="152" spans="1:66" s="83" customFormat="1" ht="14.25" customHeight="1">
      <c r="A152" s="1290"/>
      <c r="B152" s="1703"/>
      <c r="C152" s="1294" t="s">
        <v>123</v>
      </c>
      <c r="D152" s="1700" t="s">
        <v>688</v>
      </c>
      <c r="E152" s="1700" t="s">
        <v>271</v>
      </c>
      <c r="F152" s="560" t="s">
        <v>882</v>
      </c>
      <c r="G152" s="1704"/>
      <c r="H152" s="314"/>
      <c r="I152" s="118"/>
      <c r="J152" s="118"/>
      <c r="K152" s="118"/>
      <c r="L152" s="118"/>
      <c r="M152" s="118"/>
      <c r="N152" s="118"/>
      <c r="O152" s="118"/>
      <c r="P152" s="118"/>
      <c r="Q152" s="118"/>
      <c r="R152" s="118"/>
      <c r="S152" s="118"/>
      <c r="T152" s="118"/>
      <c r="U152" s="118"/>
      <c r="V152" s="118"/>
      <c r="W152" s="118"/>
      <c r="X152" s="118"/>
      <c r="Y152" s="118"/>
      <c r="Z152" s="118"/>
      <c r="AA152" s="118"/>
      <c r="BC152" s="118"/>
      <c r="BD152" s="118"/>
      <c r="BE152" s="118"/>
      <c r="BF152" s="118"/>
      <c r="BG152" s="118"/>
      <c r="BH152" s="118"/>
      <c r="BI152" s="118"/>
      <c r="BJ152" s="118"/>
      <c r="BK152" s="118"/>
      <c r="BL152" s="118"/>
      <c r="BM152" s="118"/>
      <c r="BN152" s="482"/>
    </row>
    <row r="153" spans="1:66" s="83" customFormat="1" ht="14.25" customHeight="1">
      <c r="A153" s="4493" t="s">
        <v>723</v>
      </c>
      <c r="B153" s="4494"/>
      <c r="C153" s="1700" t="s">
        <v>850</v>
      </c>
      <c r="D153" s="1700" t="s">
        <v>698</v>
      </c>
      <c r="E153" s="1700" t="s">
        <v>866</v>
      </c>
      <c r="F153" s="1705"/>
      <c r="G153" s="1339"/>
      <c r="H153" s="1699"/>
      <c r="I153" s="118"/>
      <c r="J153" s="118"/>
      <c r="K153" s="118"/>
      <c r="L153" s="118"/>
      <c r="M153" s="118"/>
      <c r="N153" s="118"/>
      <c r="O153" s="118"/>
      <c r="P153" s="118"/>
      <c r="Q153" s="118"/>
      <c r="R153" s="118"/>
      <c r="S153" s="118"/>
      <c r="T153" s="118"/>
      <c r="U153" s="118"/>
      <c r="V153" s="118"/>
      <c r="W153" s="118"/>
      <c r="X153" s="118"/>
      <c r="Y153" s="118"/>
      <c r="Z153" s="118"/>
      <c r="AA153" s="118"/>
      <c r="BC153" s="118"/>
      <c r="BD153" s="118"/>
      <c r="BE153" s="118"/>
      <c r="BF153" s="118"/>
      <c r="BG153" s="118"/>
      <c r="BH153" s="118"/>
      <c r="BI153" s="118"/>
      <c r="BJ153" s="118"/>
      <c r="BK153" s="118"/>
      <c r="BL153" s="118"/>
      <c r="BM153" s="118"/>
      <c r="BN153" s="482"/>
    </row>
    <row r="154" spans="1:66" s="83" customFormat="1" ht="14.25" customHeight="1">
      <c r="A154" s="1290"/>
      <c r="B154" s="1336" t="s">
        <v>883</v>
      </c>
      <c r="C154" s="1292">
        <v>375</v>
      </c>
      <c r="D154" s="1293">
        <v>1</v>
      </c>
      <c r="E154" s="1337"/>
      <c r="F154" s="1338"/>
      <c r="G154" s="1339"/>
      <c r="H154" s="1699"/>
      <c r="I154" s="118"/>
      <c r="J154" s="118"/>
      <c r="K154" s="118"/>
      <c r="L154" s="118"/>
      <c r="M154" s="118"/>
      <c r="N154" s="118"/>
      <c r="O154" s="118"/>
      <c r="P154" s="118"/>
      <c r="Q154" s="118"/>
      <c r="R154" s="118"/>
      <c r="S154" s="118"/>
      <c r="T154" s="118"/>
      <c r="U154" s="118"/>
      <c r="V154" s="118"/>
      <c r="W154" s="118"/>
      <c r="X154" s="118"/>
      <c r="Y154" s="118"/>
      <c r="Z154" s="118"/>
      <c r="AA154" s="118"/>
      <c r="BC154" s="118"/>
      <c r="BD154" s="118"/>
      <c r="BE154" s="118"/>
      <c r="BF154" s="118"/>
      <c r="BG154" s="118"/>
      <c r="BH154" s="118"/>
      <c r="BI154" s="118"/>
      <c r="BJ154" s="118"/>
      <c r="BK154" s="118"/>
      <c r="BL154" s="118"/>
      <c r="BM154" s="118"/>
      <c r="BN154" s="482"/>
    </row>
    <row r="155" spans="1:66" s="1115" customFormat="1" ht="14.25" customHeight="1">
      <c r="A155" s="1290"/>
      <c r="B155" s="1336" t="s">
        <v>884</v>
      </c>
      <c r="C155" s="1292">
        <v>370</v>
      </c>
      <c r="D155" s="1293">
        <v>1</v>
      </c>
      <c r="E155" s="1337">
        <v>16</v>
      </c>
      <c r="F155" s="1340"/>
      <c r="G155" s="1339"/>
      <c r="H155" s="1699"/>
      <c r="I155" s="118"/>
      <c r="J155" s="118"/>
      <c r="K155" s="118"/>
      <c r="L155" s="118"/>
      <c r="M155" s="118"/>
      <c r="N155" s="118"/>
      <c r="O155" s="118"/>
      <c r="P155" s="118"/>
      <c r="Q155" s="118"/>
      <c r="R155" s="118"/>
      <c r="S155" s="118"/>
      <c r="T155" s="118"/>
      <c r="U155" s="118"/>
      <c r="V155" s="118"/>
      <c r="W155" s="118"/>
      <c r="X155" s="118"/>
      <c r="Y155" s="118"/>
      <c r="Z155" s="118"/>
      <c r="AA155" s="118"/>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118"/>
      <c r="BD155" s="118"/>
      <c r="BE155" s="118"/>
      <c r="BF155" s="118"/>
      <c r="BG155" s="118"/>
      <c r="BH155" s="118"/>
      <c r="BI155" s="118"/>
      <c r="BJ155" s="118"/>
      <c r="BK155" s="118"/>
      <c r="BL155" s="118"/>
      <c r="BM155" s="118"/>
      <c r="BN155" s="482"/>
    </row>
    <row r="156" spans="1:66" s="1115" customFormat="1" ht="14.25" customHeight="1">
      <c r="A156" s="1290"/>
      <c r="B156" s="1341" t="s">
        <v>885</v>
      </c>
      <c r="C156" s="1342">
        <v>370</v>
      </c>
      <c r="D156" s="1343">
        <v>1</v>
      </c>
      <c r="E156" s="1344">
        <v>45</v>
      </c>
      <c r="F156" s="1340"/>
      <c r="G156" s="1339"/>
      <c r="H156" s="1699"/>
      <c r="I156" s="118"/>
      <c r="J156" s="118"/>
      <c r="K156" s="1559"/>
      <c r="L156" s="118"/>
      <c r="M156" s="118"/>
      <c r="N156" s="118"/>
      <c r="O156" s="118"/>
      <c r="P156" s="118"/>
      <c r="Q156" s="118"/>
      <c r="R156" s="118"/>
      <c r="S156" s="118"/>
      <c r="T156" s="118"/>
      <c r="U156" s="118"/>
      <c r="V156" s="118"/>
      <c r="W156" s="118"/>
      <c r="X156" s="118"/>
      <c r="Y156" s="118"/>
      <c r="Z156" s="118"/>
      <c r="AA156" s="118"/>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118"/>
      <c r="BD156" s="118"/>
      <c r="BE156" s="118"/>
      <c r="BF156" s="118"/>
      <c r="BG156" s="118"/>
      <c r="BH156" s="118"/>
      <c r="BI156" s="118"/>
      <c r="BJ156" s="118"/>
      <c r="BK156" s="118"/>
      <c r="BL156" s="118"/>
      <c r="BM156" s="118"/>
      <c r="BN156" s="482"/>
    </row>
    <row r="157" spans="1:66" s="1115" customFormat="1" ht="14.25" customHeight="1">
      <c r="A157" s="1706"/>
      <c r="B157" s="1345" t="s">
        <v>886</v>
      </c>
      <c r="C157" s="1342">
        <v>370</v>
      </c>
      <c r="D157" s="1343">
        <v>1</v>
      </c>
      <c r="E157" s="1344">
        <v>90</v>
      </c>
      <c r="F157" s="1346"/>
      <c r="G157" s="1339"/>
      <c r="H157" s="1699"/>
      <c r="I157" s="118"/>
      <c r="J157" s="118"/>
      <c r="K157" s="118"/>
      <c r="L157" s="118"/>
      <c r="M157" s="118"/>
      <c r="N157" s="118"/>
      <c r="O157" s="118"/>
      <c r="P157" s="118"/>
      <c r="Q157" s="118"/>
      <c r="R157" s="118"/>
      <c r="S157" s="118"/>
      <c r="T157" s="118"/>
      <c r="U157" s="118"/>
      <c r="V157" s="118"/>
      <c r="W157" s="118"/>
      <c r="X157" s="118"/>
      <c r="Y157" s="118"/>
      <c r="Z157" s="118"/>
      <c r="AA157" s="118"/>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118"/>
      <c r="BD157" s="118"/>
      <c r="BE157" s="118"/>
      <c r="BF157" s="118"/>
      <c r="BG157" s="118"/>
      <c r="BH157" s="118"/>
      <c r="BI157" s="118"/>
      <c r="BJ157" s="118"/>
      <c r="BK157" s="118"/>
      <c r="BL157" s="118"/>
      <c r="BM157" s="118"/>
      <c r="BN157" s="482"/>
    </row>
    <row r="158" spans="1:66" s="1115" customFormat="1" ht="14.25" customHeight="1">
      <c r="A158" s="4439"/>
      <c r="B158" s="1347" t="s">
        <v>887</v>
      </c>
      <c r="C158" s="1292">
        <v>360</v>
      </c>
      <c r="D158" s="1293">
        <v>0.95</v>
      </c>
      <c r="E158" s="1337"/>
      <c r="F158" s="1346"/>
      <c r="G158" s="1339"/>
      <c r="H158" s="1699"/>
      <c r="I158" s="118"/>
      <c r="J158" s="118"/>
      <c r="K158" s="118"/>
      <c r="L158" s="118"/>
      <c r="M158" s="118"/>
      <c r="N158" s="118"/>
      <c r="O158" s="118"/>
      <c r="P158" s="118"/>
      <c r="Q158" s="118"/>
      <c r="R158" s="118"/>
      <c r="S158" s="118"/>
      <c r="T158" s="118"/>
      <c r="U158" s="118"/>
      <c r="V158" s="118"/>
      <c r="W158" s="118"/>
      <c r="X158" s="118"/>
      <c r="Y158" s="118"/>
      <c r="Z158" s="118"/>
      <c r="AA158" s="118"/>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118"/>
      <c r="BD158" s="118"/>
      <c r="BE158" s="118"/>
      <c r="BF158" s="118"/>
      <c r="BG158" s="118"/>
      <c r="BH158" s="118"/>
      <c r="BI158" s="118"/>
      <c r="BJ158" s="118"/>
      <c r="BK158" s="118"/>
      <c r="BL158" s="118"/>
      <c r="BM158" s="118"/>
      <c r="BN158" s="482"/>
    </row>
    <row r="159" spans="1:66" s="1115" customFormat="1" ht="14.25" customHeight="1">
      <c r="A159" s="4439"/>
      <c r="B159" s="1348" t="s">
        <v>888</v>
      </c>
      <c r="C159" s="1292">
        <f>0.8*375</f>
        <v>300</v>
      </c>
      <c r="D159" s="1293">
        <v>0.95</v>
      </c>
      <c r="E159" s="1349">
        <v>10</v>
      </c>
      <c r="F159" s="1346"/>
      <c r="G159" s="1339"/>
      <c r="H159" s="1699"/>
      <c r="I159" s="118"/>
      <c r="J159" s="118"/>
      <c r="K159" s="118"/>
      <c r="L159" s="118"/>
      <c r="M159" s="118"/>
      <c r="N159" s="118"/>
      <c r="O159" s="118"/>
      <c r="P159" s="118"/>
      <c r="Q159" s="118"/>
      <c r="R159" s="118"/>
      <c r="S159" s="118"/>
      <c r="T159" s="118"/>
      <c r="U159" s="118"/>
      <c r="V159" s="118"/>
      <c r="W159" s="118"/>
      <c r="X159" s="118"/>
      <c r="Y159" s="118"/>
      <c r="Z159" s="118"/>
      <c r="AA159" s="118"/>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118"/>
      <c r="BD159" s="118"/>
      <c r="BE159" s="118"/>
      <c r="BF159" s="118"/>
      <c r="BG159" s="118"/>
      <c r="BH159" s="118"/>
      <c r="BI159" s="118"/>
      <c r="BJ159" s="118"/>
      <c r="BK159" s="118"/>
      <c r="BL159" s="118"/>
      <c r="BM159" s="118"/>
      <c r="BN159" s="482"/>
    </row>
    <row r="160" spans="1:66" s="1115" customFormat="1" ht="14.25" customHeight="1">
      <c r="A160" s="4439"/>
      <c r="B160" s="1345" t="s">
        <v>889</v>
      </c>
      <c r="C160" s="1342">
        <v>373</v>
      </c>
      <c r="D160" s="1343">
        <v>1</v>
      </c>
      <c r="E160" s="1350"/>
      <c r="F160" s="1351" t="s">
        <v>890</v>
      </c>
      <c r="G160" s="3207" t="s">
        <v>891</v>
      </c>
      <c r="H160" s="3208"/>
      <c r="I160" s="118"/>
      <c r="J160" s="118"/>
      <c r="L160" s="118"/>
      <c r="M160" s="118"/>
      <c r="N160" s="118"/>
      <c r="O160" s="118"/>
      <c r="P160" s="118"/>
      <c r="Q160" s="118"/>
      <c r="R160" s="118"/>
      <c r="S160" s="118"/>
      <c r="T160" s="118"/>
      <c r="U160" s="118"/>
      <c r="V160" s="118"/>
      <c r="W160" s="118"/>
      <c r="X160" s="118"/>
      <c r="Y160" s="118"/>
      <c r="Z160" s="118"/>
      <c r="AA160" s="118"/>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118"/>
      <c r="BD160" s="118"/>
      <c r="BE160" s="118"/>
      <c r="BF160" s="118"/>
      <c r="BG160" s="118"/>
      <c r="BH160" s="118"/>
      <c r="BI160" s="118"/>
      <c r="BJ160" s="118"/>
      <c r="BK160" s="118"/>
      <c r="BL160" s="118"/>
      <c r="BM160" s="118"/>
      <c r="BN160" s="482"/>
    </row>
    <row r="161" spans="1:66" s="1115" customFormat="1" ht="14.25" customHeight="1">
      <c r="A161" s="4439"/>
      <c r="B161" s="1345" t="s">
        <v>892</v>
      </c>
      <c r="C161" s="1342">
        <v>373</v>
      </c>
      <c r="D161" s="1343">
        <v>1</v>
      </c>
      <c r="E161" s="1350">
        <v>13</v>
      </c>
      <c r="F161" s="1351" t="s">
        <v>890</v>
      </c>
      <c r="G161" s="4495" t="s">
        <v>893</v>
      </c>
      <c r="H161" s="4496"/>
      <c r="I161" s="118"/>
      <c r="J161" s="118"/>
      <c r="K161" s="118"/>
      <c r="L161" s="118"/>
      <c r="M161" s="118"/>
      <c r="N161" s="118"/>
      <c r="O161" s="118"/>
      <c r="P161" s="118"/>
      <c r="Q161" s="118"/>
      <c r="R161" s="118"/>
      <c r="S161" s="118"/>
      <c r="T161" s="118"/>
      <c r="U161" s="118"/>
      <c r="V161" s="118"/>
      <c r="W161" s="118"/>
      <c r="X161" s="118"/>
      <c r="Y161" s="118"/>
      <c r="Z161" s="118"/>
      <c r="AA161" s="118"/>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118"/>
      <c r="BD161" s="118"/>
      <c r="BE161" s="118"/>
      <c r="BF161" s="118"/>
      <c r="BG161" s="118"/>
      <c r="BH161" s="118"/>
      <c r="BI161" s="118"/>
      <c r="BJ161" s="118"/>
      <c r="BK161" s="118"/>
      <c r="BL161" s="118"/>
      <c r="BM161" s="118"/>
      <c r="BN161" s="482"/>
    </row>
    <row r="162" spans="1:66" s="1115" customFormat="1" ht="14.25" customHeight="1">
      <c r="A162" s="4439"/>
      <c r="B162" s="1345" t="s">
        <v>894</v>
      </c>
      <c r="C162" s="1342">
        <v>373</v>
      </c>
      <c r="D162" s="1343">
        <v>1</v>
      </c>
      <c r="E162" s="1350">
        <v>43</v>
      </c>
      <c r="F162" s="1351" t="s">
        <v>890</v>
      </c>
      <c r="G162" s="1339"/>
      <c r="H162" s="1707"/>
      <c r="I162" s="118"/>
      <c r="J162" s="118"/>
      <c r="K162" s="118"/>
      <c r="L162" s="118"/>
      <c r="M162" s="118"/>
      <c r="N162" s="118"/>
      <c r="O162" s="118"/>
      <c r="P162" s="118"/>
      <c r="Q162" s="118"/>
      <c r="R162" s="118"/>
      <c r="S162" s="118"/>
      <c r="T162" s="118"/>
      <c r="U162" s="118"/>
      <c r="V162" s="118"/>
      <c r="W162" s="118"/>
      <c r="X162" s="118"/>
      <c r="Y162" s="118"/>
      <c r="Z162" s="118"/>
      <c r="AA162" s="118"/>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118"/>
      <c r="BD162" s="118"/>
      <c r="BE162" s="118"/>
      <c r="BF162" s="118"/>
      <c r="BG162" s="118"/>
      <c r="BH162" s="118"/>
      <c r="BI162" s="118"/>
      <c r="BJ162" s="118"/>
      <c r="BK162" s="118"/>
      <c r="BL162" s="118"/>
      <c r="BM162" s="118"/>
      <c r="BN162" s="482"/>
    </row>
    <row r="163" spans="1:66" s="1115" customFormat="1" ht="14.25" customHeight="1">
      <c r="A163" s="4439"/>
      <c r="B163" s="1345" t="s">
        <v>895</v>
      </c>
      <c r="C163" s="1342">
        <v>300</v>
      </c>
      <c r="D163" s="1343">
        <v>1</v>
      </c>
      <c r="E163" s="1350">
        <v>2</v>
      </c>
      <c r="F163" s="1351" t="s">
        <v>896</v>
      </c>
      <c r="G163" s="1339"/>
      <c r="H163" s="1699"/>
      <c r="I163" s="118"/>
      <c r="J163" s="118"/>
      <c r="K163" s="118"/>
      <c r="L163" s="118"/>
      <c r="M163" s="118"/>
      <c r="N163" s="118"/>
      <c r="O163" s="118"/>
      <c r="P163" s="118"/>
      <c r="Q163" s="118"/>
      <c r="R163" s="118"/>
      <c r="S163" s="118"/>
      <c r="T163" s="118"/>
      <c r="U163" s="118"/>
      <c r="V163" s="118"/>
      <c r="W163" s="118"/>
      <c r="X163" s="118"/>
      <c r="Y163" s="118"/>
      <c r="Z163" s="118"/>
      <c r="AA163" s="118"/>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118"/>
      <c r="BD163" s="118"/>
      <c r="BE163" s="118"/>
      <c r="BF163" s="118"/>
      <c r="BG163" s="118"/>
      <c r="BH163" s="118"/>
      <c r="BI163" s="118"/>
      <c r="BJ163" s="118"/>
      <c r="BK163" s="118"/>
      <c r="BL163" s="118"/>
      <c r="BM163" s="118"/>
      <c r="BN163" s="482"/>
    </row>
    <row r="164" spans="1:66" s="1115" customFormat="1" ht="14.25" customHeight="1">
      <c r="A164" s="4439"/>
      <c r="B164" s="1345" t="s">
        <v>897</v>
      </c>
      <c r="C164" s="1342">
        <v>300</v>
      </c>
      <c r="D164" s="1343">
        <v>1</v>
      </c>
      <c r="E164" s="1350">
        <v>89</v>
      </c>
      <c r="F164" s="1351" t="s">
        <v>896</v>
      </c>
      <c r="G164" s="1339"/>
      <c r="H164" s="1699"/>
      <c r="I164" s="118"/>
      <c r="J164" s="118"/>
      <c r="K164" s="118"/>
      <c r="L164" s="118"/>
      <c r="M164" s="118"/>
      <c r="N164" s="118"/>
      <c r="O164" s="118"/>
      <c r="P164" s="118"/>
      <c r="Q164" s="118"/>
      <c r="R164" s="118"/>
      <c r="S164" s="118"/>
      <c r="T164" s="118"/>
      <c r="U164" s="118"/>
      <c r="V164" s="118"/>
      <c r="W164" s="118"/>
      <c r="X164" s="118"/>
      <c r="Y164" s="118"/>
      <c r="Z164" s="118"/>
      <c r="AA164" s="118"/>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118"/>
      <c r="BD164" s="118"/>
      <c r="BE164" s="118"/>
      <c r="BF164" s="118"/>
      <c r="BG164" s="118"/>
      <c r="BH164" s="118"/>
      <c r="BI164" s="118"/>
      <c r="BJ164" s="118"/>
      <c r="BK164" s="118"/>
      <c r="BL164" s="118"/>
      <c r="BM164" s="118"/>
      <c r="BN164" s="482"/>
    </row>
    <row r="165" spans="1:66" s="1115" customFormat="1" ht="14.25" customHeight="1">
      <c r="A165" s="4439"/>
      <c r="B165" s="1345" t="s">
        <v>898</v>
      </c>
      <c r="C165" s="1342">
        <v>300</v>
      </c>
      <c r="D165" s="1343">
        <v>1</v>
      </c>
      <c r="E165" s="1350">
        <v>178</v>
      </c>
      <c r="F165" s="1351" t="s">
        <v>896</v>
      </c>
      <c r="G165" s="1339"/>
      <c r="H165" s="1699"/>
      <c r="I165" s="118"/>
      <c r="J165" s="118"/>
      <c r="K165" s="118"/>
      <c r="L165" s="118"/>
      <c r="M165" s="118"/>
      <c r="N165" s="118"/>
      <c r="O165" s="118"/>
      <c r="P165" s="118"/>
      <c r="Q165" s="118"/>
      <c r="R165" s="118"/>
      <c r="S165" s="118"/>
      <c r="T165" s="118"/>
      <c r="U165" s="118"/>
      <c r="V165" s="118"/>
      <c r="W165" s="118"/>
      <c r="X165" s="118"/>
      <c r="Y165" s="118"/>
      <c r="Z165" s="118"/>
      <c r="AA165" s="118"/>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118"/>
      <c r="BD165" s="118"/>
      <c r="BE165" s="118"/>
      <c r="BF165" s="118"/>
      <c r="BG165" s="118"/>
      <c r="BH165" s="118"/>
      <c r="BI165" s="118"/>
      <c r="BJ165" s="118"/>
      <c r="BK165" s="118"/>
      <c r="BL165" s="118"/>
      <c r="BM165" s="118"/>
      <c r="BN165" s="482"/>
    </row>
    <row r="166" spans="1:66" s="1115" customFormat="1" ht="14.25" customHeight="1">
      <c r="A166" s="4439"/>
      <c r="B166" s="1345" t="s">
        <v>443</v>
      </c>
      <c r="C166" s="1342"/>
      <c r="D166" s="1343"/>
      <c r="E166" s="1350"/>
      <c r="F166" s="1351"/>
      <c r="G166" s="1339"/>
      <c r="H166" s="1708"/>
      <c r="I166" s="118"/>
      <c r="J166" s="118"/>
      <c r="K166" s="118"/>
      <c r="L166" s="118"/>
      <c r="M166" s="118"/>
      <c r="N166" s="118"/>
      <c r="O166" s="118"/>
      <c r="P166" s="118"/>
      <c r="Q166" s="118"/>
      <c r="R166" s="118"/>
      <c r="S166" s="118"/>
      <c r="T166" s="118"/>
      <c r="U166" s="118"/>
      <c r="V166" s="118"/>
      <c r="W166" s="118"/>
      <c r="X166" s="118"/>
      <c r="Y166" s="118"/>
      <c r="Z166" s="118"/>
      <c r="AA166" s="118"/>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118"/>
      <c r="BD166" s="118"/>
      <c r="BE166" s="118"/>
      <c r="BF166" s="118"/>
      <c r="BG166" s="118"/>
      <c r="BH166" s="118"/>
      <c r="BI166" s="118"/>
      <c r="BJ166" s="118"/>
      <c r="BK166" s="118"/>
      <c r="BL166" s="118"/>
      <c r="BM166" s="118"/>
      <c r="BN166" s="482"/>
    </row>
    <row r="167" spans="1:66" s="1115" customFormat="1" ht="14.25" customHeight="1">
      <c r="A167" s="4439"/>
      <c r="B167" s="1352" t="s">
        <v>899</v>
      </c>
      <c r="C167" s="1353">
        <v>380</v>
      </c>
      <c r="D167" s="1354">
        <v>1</v>
      </c>
      <c r="E167" s="1355">
        <v>30</v>
      </c>
      <c r="F167" s="3205" t="s">
        <v>900</v>
      </c>
      <c r="G167" s="4497"/>
      <c r="H167" s="1709"/>
      <c r="I167" s="118"/>
      <c r="J167" s="118"/>
      <c r="K167" s="118"/>
      <c r="L167" s="118"/>
      <c r="M167" s="118"/>
      <c r="N167" s="118"/>
      <c r="O167" s="118"/>
      <c r="P167" s="118"/>
      <c r="Q167" s="118"/>
      <c r="R167" s="118"/>
      <c r="S167" s="118"/>
      <c r="T167" s="118"/>
      <c r="U167" s="118"/>
      <c r="V167" s="118"/>
      <c r="W167" s="118"/>
      <c r="X167" s="118"/>
      <c r="Y167" s="118"/>
      <c r="Z167" s="118"/>
      <c r="AA167" s="118"/>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118"/>
      <c r="BD167" s="118"/>
      <c r="BE167" s="118"/>
      <c r="BF167" s="118"/>
      <c r="BG167" s="118"/>
      <c r="BH167" s="118"/>
      <c r="BI167" s="118"/>
      <c r="BJ167" s="118"/>
      <c r="BK167" s="118"/>
      <c r="BL167" s="118"/>
      <c r="BM167" s="118"/>
      <c r="BN167" s="482"/>
    </row>
    <row r="168" spans="1:66" s="1115" customFormat="1" ht="14.25" customHeight="1">
      <c r="A168" s="1710"/>
      <c r="B168" s="582"/>
      <c r="C168" s="582"/>
      <c r="D168" s="582"/>
      <c r="E168" s="582"/>
      <c r="F168" s="582"/>
      <c r="G168" s="1378"/>
      <c r="H168" s="1379"/>
      <c r="I168" s="118"/>
      <c r="J168" s="118"/>
      <c r="K168" s="118"/>
      <c r="L168" s="118"/>
      <c r="M168" s="118"/>
      <c r="N168" s="118"/>
      <c r="O168" s="118"/>
      <c r="P168" s="118"/>
      <c r="Q168" s="118"/>
      <c r="R168" s="118"/>
      <c r="S168" s="118"/>
      <c r="T168" s="118"/>
      <c r="U168" s="118"/>
      <c r="V168" s="118"/>
      <c r="W168" s="118"/>
      <c r="X168" s="118"/>
      <c r="Y168" s="118"/>
      <c r="Z168" s="118"/>
      <c r="AA168" s="118"/>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118"/>
      <c r="BD168" s="118"/>
      <c r="BE168" s="118"/>
      <c r="BF168" s="118"/>
      <c r="BG168" s="118"/>
      <c r="BH168" s="118"/>
      <c r="BI168" s="118"/>
      <c r="BJ168" s="118"/>
      <c r="BK168" s="118"/>
      <c r="BL168" s="118"/>
      <c r="BM168" s="118"/>
      <c r="BN168" s="482"/>
    </row>
    <row r="169" spans="1:66" s="1115" customFormat="1" ht="14.25" customHeight="1">
      <c r="A169" s="611"/>
      <c r="B169" s="611"/>
      <c r="C169" s="611"/>
      <c r="D169" s="611"/>
      <c r="E169" s="611"/>
      <c r="F169" s="611"/>
      <c r="G169" s="1711"/>
      <c r="H169" s="1711"/>
      <c r="I169" s="118"/>
      <c r="J169" s="118"/>
      <c r="K169" s="118"/>
      <c r="L169" s="118"/>
      <c r="M169" s="118"/>
      <c r="N169" s="118"/>
      <c r="O169" s="118"/>
      <c r="P169" s="118"/>
      <c r="Q169" s="118"/>
      <c r="R169" s="118"/>
      <c r="S169" s="118"/>
      <c r="T169" s="118"/>
      <c r="U169" s="118"/>
      <c r="V169" s="118"/>
      <c r="W169" s="118"/>
      <c r="X169" s="118"/>
      <c r="Y169" s="118"/>
      <c r="Z169" s="118"/>
      <c r="AA169" s="118"/>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118"/>
      <c r="BD169" s="118"/>
      <c r="BE169" s="118"/>
      <c r="BF169" s="118"/>
      <c r="BG169" s="118"/>
      <c r="BH169" s="118"/>
      <c r="BI169" s="118"/>
      <c r="BJ169" s="118"/>
      <c r="BK169" s="118"/>
      <c r="BL169" s="118"/>
      <c r="BM169" s="118"/>
      <c r="BN169" s="482"/>
    </row>
    <row r="170" spans="1:66" s="1115" customFormat="1" ht="14.25" customHeight="1">
      <c r="A170" s="4498" t="s">
        <v>901</v>
      </c>
      <c r="B170" s="4498"/>
      <c r="C170" s="4498"/>
      <c r="D170" s="4498"/>
      <c r="E170" s="4498"/>
      <c r="F170" s="4498"/>
      <c r="G170" s="4498"/>
      <c r="H170" s="328"/>
      <c r="I170" s="118"/>
      <c r="J170" s="118"/>
      <c r="K170" s="118"/>
      <c r="L170" s="118"/>
      <c r="M170" s="118"/>
      <c r="N170" s="118"/>
      <c r="O170" s="118"/>
      <c r="P170" s="118"/>
      <c r="Q170" s="118"/>
      <c r="R170" s="118"/>
      <c r="S170" s="118"/>
      <c r="T170" s="118"/>
      <c r="U170" s="118"/>
      <c r="V170" s="118"/>
      <c r="W170" s="118"/>
      <c r="X170" s="118"/>
      <c r="Y170" s="118"/>
      <c r="Z170" s="118"/>
      <c r="AA170" s="118"/>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118"/>
      <c r="BD170" s="118"/>
      <c r="BE170" s="118"/>
      <c r="BF170" s="118"/>
      <c r="BG170" s="118"/>
      <c r="BH170" s="118"/>
      <c r="BI170" s="118"/>
      <c r="BJ170" s="118"/>
      <c r="BK170" s="118"/>
      <c r="BL170" s="118"/>
      <c r="BM170" s="118"/>
      <c r="BN170" s="482"/>
    </row>
    <row r="171" spans="1:66" s="1115" customFormat="1" ht="14.25" customHeight="1">
      <c r="A171" s="1356"/>
      <c r="B171" s="1357"/>
      <c r="C171" s="1358" t="s">
        <v>123</v>
      </c>
      <c r="D171" s="1358" t="s">
        <v>688</v>
      </c>
      <c r="E171" s="1358" t="s">
        <v>271</v>
      </c>
      <c r="F171" s="587" t="s">
        <v>882</v>
      </c>
      <c r="G171" s="1359"/>
      <c r="H171" s="1360"/>
      <c r="I171" s="118"/>
      <c r="J171" s="118"/>
      <c r="K171" s="118"/>
      <c r="L171" s="118"/>
      <c r="M171" s="118"/>
      <c r="N171" s="118"/>
      <c r="O171" s="118"/>
      <c r="P171" s="118"/>
      <c r="Q171" s="118"/>
      <c r="R171" s="118"/>
      <c r="S171" s="118"/>
      <c r="T171" s="118"/>
      <c r="U171" s="118"/>
      <c r="V171" s="118"/>
      <c r="W171" s="118"/>
      <c r="X171" s="118"/>
      <c r="Y171" s="118"/>
      <c r="Z171" s="118"/>
      <c r="AA171" s="118"/>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118"/>
      <c r="BD171" s="118"/>
      <c r="BE171" s="118"/>
      <c r="BF171" s="118"/>
      <c r="BG171" s="118"/>
      <c r="BH171" s="118"/>
      <c r="BI171" s="118"/>
      <c r="BJ171" s="118"/>
      <c r="BK171" s="118"/>
      <c r="BL171" s="118"/>
      <c r="BM171" s="118"/>
      <c r="BN171" s="482"/>
    </row>
    <row r="172" spans="1:66" s="1115" customFormat="1" ht="14.25" customHeight="1">
      <c r="A172" s="1361"/>
      <c r="B172" s="1362"/>
      <c r="C172" s="1281" t="s">
        <v>850</v>
      </c>
      <c r="D172" s="1281" t="s">
        <v>698</v>
      </c>
      <c r="E172" s="1281" t="s">
        <v>866</v>
      </c>
      <c r="F172" s="1363"/>
      <c r="G172" s="1364"/>
      <c r="H172" s="1365"/>
      <c r="I172" s="118"/>
      <c r="J172" s="118"/>
      <c r="K172" s="118"/>
      <c r="L172" s="118"/>
      <c r="M172" s="118"/>
      <c r="N172" s="118"/>
      <c r="O172" s="118"/>
      <c r="P172" s="118"/>
      <c r="Q172" s="118"/>
      <c r="R172" s="118"/>
      <c r="S172" s="118"/>
      <c r="T172" s="118"/>
      <c r="U172" s="118"/>
      <c r="V172" s="118"/>
      <c r="W172" s="118"/>
      <c r="X172" s="118"/>
      <c r="Y172" s="118"/>
      <c r="Z172" s="118"/>
      <c r="AA172" s="118"/>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118"/>
      <c r="BD172" s="118"/>
      <c r="BE172" s="118"/>
      <c r="BF172" s="118"/>
      <c r="BG172" s="118"/>
      <c r="BH172" s="118"/>
      <c r="BI172" s="118"/>
      <c r="BJ172" s="118"/>
      <c r="BK172" s="118"/>
      <c r="BL172" s="118"/>
      <c r="BM172" s="118"/>
      <c r="BN172" s="482"/>
    </row>
    <row r="173" spans="1:66" s="1115" customFormat="1" ht="14.25" customHeight="1">
      <c r="A173" s="4499" t="s">
        <v>723</v>
      </c>
      <c r="B173" s="4500"/>
      <c r="C173" s="1366"/>
      <c r="D173" s="1366"/>
      <c r="E173" s="1366"/>
      <c r="F173" s="1366"/>
      <c r="G173" s="1364"/>
      <c r="H173" s="1365"/>
      <c r="I173" s="118"/>
      <c r="J173" s="118"/>
      <c r="K173" s="118"/>
      <c r="L173" s="118"/>
      <c r="M173" s="118"/>
      <c r="N173" s="118"/>
      <c r="O173" s="118"/>
      <c r="P173" s="118"/>
      <c r="Q173" s="118"/>
      <c r="R173" s="118"/>
      <c r="S173" s="118"/>
      <c r="T173" s="118"/>
      <c r="U173" s="118"/>
      <c r="V173" s="118"/>
      <c r="W173" s="118"/>
      <c r="X173" s="118"/>
      <c r="Y173" s="118"/>
      <c r="Z173" s="118"/>
      <c r="AA173" s="118"/>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118"/>
      <c r="BD173" s="118"/>
      <c r="BE173" s="118"/>
      <c r="BF173" s="118"/>
      <c r="BG173" s="118"/>
      <c r="BH173" s="118"/>
      <c r="BI173" s="118"/>
      <c r="BJ173" s="118"/>
      <c r="BK173" s="118"/>
      <c r="BL173" s="118"/>
      <c r="BM173" s="118"/>
      <c r="BN173" s="482"/>
    </row>
    <row r="174" spans="1:66" s="1115" customFormat="1" ht="14.25" customHeight="1">
      <c r="A174" s="1367"/>
      <c r="B174" s="1336" t="s">
        <v>883</v>
      </c>
      <c r="C174" s="1292">
        <v>375</v>
      </c>
      <c r="D174" s="1293">
        <v>1</v>
      </c>
      <c r="E174" s="1337"/>
      <c r="F174" s="1338"/>
      <c r="G174" s="1364"/>
      <c r="H174" s="1365"/>
      <c r="I174" s="118"/>
      <c r="J174" s="118"/>
      <c r="K174" s="118"/>
      <c r="L174" s="118"/>
      <c r="M174" s="118"/>
      <c r="N174" s="118"/>
      <c r="O174" s="118"/>
      <c r="P174" s="118"/>
      <c r="Q174" s="118"/>
      <c r="R174" s="118"/>
      <c r="S174" s="118"/>
      <c r="T174" s="118"/>
      <c r="U174" s="118"/>
      <c r="V174" s="118"/>
      <c r="W174" s="118"/>
      <c r="X174" s="118"/>
      <c r="Y174" s="118"/>
      <c r="Z174" s="118"/>
      <c r="AA174" s="118"/>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118"/>
      <c r="BD174" s="118"/>
      <c r="BE174" s="118"/>
      <c r="BF174" s="118"/>
      <c r="BG174" s="118"/>
      <c r="BH174" s="118"/>
      <c r="BI174" s="118"/>
      <c r="BJ174" s="118"/>
      <c r="BK174" s="118"/>
      <c r="BL174" s="118"/>
      <c r="BM174" s="118"/>
      <c r="BN174" s="482"/>
    </row>
    <row r="175" spans="1:66" s="1115" customFormat="1" ht="14.25" customHeight="1">
      <c r="A175" s="1367"/>
      <c r="B175" s="1336" t="s">
        <v>884</v>
      </c>
      <c r="C175" s="1292">
        <v>370</v>
      </c>
      <c r="D175" s="1293">
        <v>1</v>
      </c>
      <c r="E175" s="1337">
        <v>16</v>
      </c>
      <c r="F175" s="1340"/>
      <c r="G175" s="1364"/>
      <c r="H175" s="1365"/>
      <c r="I175" s="118"/>
      <c r="J175" s="118"/>
      <c r="K175" s="118"/>
      <c r="L175" s="118"/>
      <c r="M175" s="118"/>
      <c r="N175" s="118"/>
      <c r="O175" s="118"/>
      <c r="P175" s="118"/>
      <c r="Q175" s="118"/>
      <c r="R175" s="118"/>
      <c r="S175" s="118"/>
      <c r="T175" s="118"/>
      <c r="U175" s="118"/>
      <c r="V175" s="118"/>
      <c r="W175" s="118"/>
      <c r="X175" s="118"/>
      <c r="Y175" s="118"/>
      <c r="Z175" s="118"/>
      <c r="AA175" s="118"/>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118"/>
      <c r="BD175" s="118"/>
      <c r="BE175" s="118"/>
      <c r="BF175" s="118"/>
      <c r="BG175" s="118"/>
      <c r="BH175" s="118"/>
      <c r="BI175" s="118"/>
      <c r="BJ175" s="118"/>
      <c r="BK175" s="118"/>
      <c r="BL175" s="118"/>
      <c r="BM175" s="118"/>
      <c r="BN175" s="482"/>
    </row>
    <row r="176" spans="1:66" s="1115" customFormat="1" ht="14.25" customHeight="1">
      <c r="A176" s="1367"/>
      <c r="B176" s="1341" t="s">
        <v>885</v>
      </c>
      <c r="C176" s="1342">
        <v>370</v>
      </c>
      <c r="D176" s="1343">
        <v>1</v>
      </c>
      <c r="E176" s="1344">
        <v>45</v>
      </c>
      <c r="F176" s="1340"/>
      <c r="G176" s="1364"/>
      <c r="H176" s="1365"/>
      <c r="I176" s="118"/>
      <c r="J176" s="118"/>
      <c r="K176" s="118"/>
      <c r="L176" s="118"/>
      <c r="M176" s="118"/>
      <c r="N176" s="118"/>
      <c r="O176" s="118"/>
      <c r="P176" s="118"/>
      <c r="Q176" s="118"/>
      <c r="R176" s="118"/>
      <c r="S176" s="118"/>
      <c r="T176" s="118"/>
      <c r="U176" s="118"/>
      <c r="V176" s="118"/>
      <c r="W176" s="118"/>
      <c r="X176" s="118"/>
      <c r="Y176" s="118"/>
      <c r="Z176" s="118"/>
      <c r="AA176" s="118"/>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118"/>
      <c r="BD176" s="118"/>
      <c r="BE176" s="118"/>
      <c r="BF176" s="118"/>
      <c r="BG176" s="118"/>
      <c r="BH176" s="118"/>
      <c r="BI176" s="118"/>
      <c r="BJ176" s="118"/>
      <c r="BK176" s="118"/>
      <c r="BL176" s="118"/>
      <c r="BM176" s="118"/>
      <c r="BN176" s="482"/>
    </row>
    <row r="177" spans="1:66" s="1115" customFormat="1" ht="14.25" customHeight="1">
      <c r="A177" s="1367"/>
      <c r="B177" s="1345" t="s">
        <v>886</v>
      </c>
      <c r="C177" s="1342">
        <v>370</v>
      </c>
      <c r="D177" s="1343">
        <v>1</v>
      </c>
      <c r="E177" s="1344">
        <v>90</v>
      </c>
      <c r="F177" s="1346"/>
      <c r="G177" s="1364"/>
      <c r="H177" s="1365"/>
      <c r="I177" s="118"/>
      <c r="J177" s="118"/>
      <c r="K177" s="118"/>
      <c r="L177" s="118"/>
      <c r="M177" s="118"/>
      <c r="N177" s="118"/>
      <c r="O177" s="118"/>
      <c r="P177" s="118"/>
      <c r="Q177" s="118"/>
      <c r="R177" s="118"/>
      <c r="S177" s="118"/>
      <c r="T177" s="118"/>
      <c r="U177" s="118"/>
      <c r="V177" s="118"/>
      <c r="W177" s="118"/>
      <c r="X177" s="118"/>
      <c r="Y177" s="118"/>
      <c r="Z177" s="118"/>
      <c r="AA177" s="118"/>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118"/>
      <c r="BD177" s="118"/>
      <c r="BE177" s="118"/>
      <c r="BF177" s="118"/>
      <c r="BG177" s="118"/>
      <c r="BH177" s="118"/>
      <c r="BI177" s="118"/>
      <c r="BJ177" s="118"/>
      <c r="BK177" s="118"/>
      <c r="BL177" s="118"/>
      <c r="BM177" s="118"/>
      <c r="BN177" s="482"/>
    </row>
    <row r="178" spans="1:66" s="1115" customFormat="1" ht="14.25" customHeight="1">
      <c r="A178" s="1367"/>
      <c r="B178" s="1347" t="s">
        <v>887</v>
      </c>
      <c r="C178" s="1292">
        <v>360</v>
      </c>
      <c r="D178" s="1293">
        <v>0.95</v>
      </c>
      <c r="E178" s="1337"/>
      <c r="F178" s="1346"/>
      <c r="G178" s="1364"/>
      <c r="H178" s="1365"/>
      <c r="I178" s="118"/>
      <c r="J178" s="118"/>
      <c r="K178" s="118"/>
      <c r="L178" s="118"/>
      <c r="M178" s="118"/>
      <c r="N178" s="118"/>
      <c r="O178" s="118"/>
      <c r="P178" s="118"/>
      <c r="Q178" s="118"/>
      <c r="R178" s="118"/>
      <c r="S178" s="118"/>
      <c r="T178" s="118"/>
      <c r="U178" s="118"/>
      <c r="V178" s="118"/>
      <c r="W178" s="118"/>
      <c r="X178" s="118"/>
      <c r="Y178" s="118"/>
      <c r="Z178" s="118"/>
      <c r="AA178" s="118"/>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118"/>
      <c r="BD178" s="118"/>
      <c r="BE178" s="118"/>
      <c r="BF178" s="118"/>
      <c r="BG178" s="118"/>
      <c r="BH178" s="118"/>
      <c r="BI178" s="118"/>
      <c r="BJ178" s="118"/>
      <c r="BK178" s="118"/>
      <c r="BL178" s="118"/>
      <c r="BM178" s="118"/>
      <c r="BN178" s="482"/>
    </row>
    <row r="179" spans="1:66" s="1115" customFormat="1" ht="14.25" customHeight="1">
      <c r="A179" s="1367"/>
      <c r="B179" s="1348" t="s">
        <v>888</v>
      </c>
      <c r="C179" s="1292">
        <f>0.8*375</f>
        <v>300</v>
      </c>
      <c r="D179" s="1293">
        <v>0.95</v>
      </c>
      <c r="E179" s="1349">
        <v>10</v>
      </c>
      <c r="F179" s="1346"/>
      <c r="G179" s="1364"/>
      <c r="H179" s="1365"/>
      <c r="I179" s="118"/>
      <c r="J179" s="118"/>
      <c r="K179" s="118"/>
      <c r="L179" s="118"/>
      <c r="M179" s="118"/>
      <c r="N179" s="118"/>
      <c r="O179" s="118"/>
      <c r="P179" s="118"/>
      <c r="Q179" s="118"/>
      <c r="R179" s="118"/>
      <c r="S179" s="118"/>
      <c r="T179" s="118"/>
      <c r="U179" s="118"/>
      <c r="V179" s="118"/>
      <c r="W179" s="118"/>
      <c r="X179" s="118"/>
      <c r="Y179" s="118"/>
      <c r="Z179" s="118"/>
      <c r="AA179" s="118"/>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118"/>
      <c r="BD179" s="118"/>
      <c r="BE179" s="118"/>
      <c r="BF179" s="118"/>
      <c r="BG179" s="118"/>
      <c r="BH179" s="118"/>
      <c r="BI179" s="118"/>
      <c r="BJ179" s="118"/>
      <c r="BK179" s="118"/>
      <c r="BL179" s="118"/>
      <c r="BM179" s="118"/>
      <c r="BN179" s="482"/>
    </row>
    <row r="180" spans="1:66" s="1115" customFormat="1" ht="14.25" customHeight="1">
      <c r="A180" s="1367"/>
      <c r="B180" s="1345" t="s">
        <v>889</v>
      </c>
      <c r="C180" s="1342">
        <v>373</v>
      </c>
      <c r="D180" s="1343">
        <v>1</v>
      </c>
      <c r="E180" s="1350"/>
      <c r="F180" s="1351" t="s">
        <v>890</v>
      </c>
      <c r="G180" s="1364"/>
      <c r="H180" s="1365"/>
      <c r="I180" s="118"/>
      <c r="J180" s="118"/>
      <c r="K180" s="118"/>
      <c r="L180" s="118"/>
      <c r="M180" s="118"/>
      <c r="N180" s="118"/>
      <c r="O180" s="118"/>
      <c r="P180" s="118"/>
      <c r="Q180" s="118"/>
      <c r="R180" s="118"/>
      <c r="S180" s="118"/>
      <c r="T180" s="118"/>
      <c r="U180" s="118"/>
      <c r="V180" s="118"/>
      <c r="W180" s="118"/>
      <c r="X180" s="118"/>
      <c r="Y180" s="118"/>
      <c r="Z180" s="118"/>
      <c r="AA180" s="118"/>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118"/>
      <c r="BD180" s="118"/>
      <c r="BE180" s="118"/>
      <c r="BF180" s="118"/>
      <c r="BG180" s="118"/>
      <c r="BH180" s="118"/>
      <c r="BI180" s="118"/>
      <c r="BJ180" s="118"/>
      <c r="BK180" s="118"/>
      <c r="BL180" s="118"/>
      <c r="BM180" s="118"/>
      <c r="BN180" s="482"/>
    </row>
    <row r="181" spans="1:66" s="1115" customFormat="1" ht="14.25" customHeight="1">
      <c r="A181" s="1367"/>
      <c r="B181" s="1345" t="s">
        <v>892</v>
      </c>
      <c r="C181" s="1342">
        <v>373</v>
      </c>
      <c r="D181" s="1343">
        <v>1</v>
      </c>
      <c r="E181" s="1350">
        <v>13</v>
      </c>
      <c r="F181" s="1351" t="s">
        <v>890</v>
      </c>
      <c r="G181" s="1364"/>
      <c r="H181" s="1365"/>
      <c r="I181" s="118"/>
      <c r="J181" s="118"/>
      <c r="K181" s="118"/>
      <c r="L181" s="118"/>
      <c r="M181" s="118"/>
      <c r="N181" s="118"/>
      <c r="O181" s="118"/>
      <c r="P181" s="118"/>
      <c r="Q181" s="118"/>
      <c r="R181" s="118"/>
      <c r="S181" s="118"/>
      <c r="T181" s="118"/>
      <c r="U181" s="118"/>
      <c r="V181" s="118"/>
      <c r="W181" s="118"/>
      <c r="X181" s="118"/>
      <c r="Y181" s="118"/>
      <c r="Z181" s="118"/>
      <c r="AA181" s="118"/>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118"/>
      <c r="BD181" s="118"/>
      <c r="BE181" s="118"/>
      <c r="BF181" s="118"/>
      <c r="BG181" s="118"/>
      <c r="BH181" s="118"/>
      <c r="BI181" s="118"/>
      <c r="BJ181" s="118"/>
      <c r="BK181" s="118"/>
      <c r="BL181" s="118"/>
      <c r="BM181" s="118"/>
      <c r="BN181" s="482"/>
    </row>
    <row r="182" spans="1:66" s="1115" customFormat="1" ht="14.25" customHeight="1">
      <c r="A182" s="1361"/>
      <c r="B182" s="1345" t="s">
        <v>894</v>
      </c>
      <c r="C182" s="1342">
        <v>373</v>
      </c>
      <c r="D182" s="1343">
        <v>1</v>
      </c>
      <c r="E182" s="1350">
        <v>43</v>
      </c>
      <c r="F182" s="1351" t="s">
        <v>890</v>
      </c>
      <c r="G182" s="1364"/>
      <c r="H182" s="1365"/>
      <c r="I182" s="118"/>
      <c r="J182" s="118"/>
      <c r="K182" s="118"/>
      <c r="L182" s="118"/>
      <c r="M182" s="118"/>
      <c r="N182" s="118"/>
      <c r="O182" s="118"/>
      <c r="P182" s="118"/>
      <c r="Q182" s="118"/>
      <c r="R182" s="118"/>
      <c r="S182" s="118"/>
      <c r="T182" s="118"/>
      <c r="U182" s="118"/>
      <c r="V182" s="118"/>
      <c r="W182" s="118"/>
      <c r="X182" s="118"/>
      <c r="Y182" s="118"/>
      <c r="Z182" s="118"/>
      <c r="AA182" s="118"/>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118"/>
      <c r="BD182" s="118"/>
      <c r="BE182" s="118"/>
      <c r="BF182" s="118"/>
      <c r="BG182" s="118"/>
      <c r="BH182" s="118"/>
      <c r="BI182" s="118"/>
      <c r="BJ182" s="118"/>
      <c r="BK182" s="118"/>
      <c r="BL182" s="118"/>
      <c r="BM182" s="118"/>
      <c r="BN182" s="482"/>
    </row>
    <row r="183" spans="1:66" s="1115" customFormat="1" ht="14.25" customHeight="1">
      <c r="A183" s="1368"/>
      <c r="B183" s="1345" t="s">
        <v>895</v>
      </c>
      <c r="C183" s="1342">
        <v>300</v>
      </c>
      <c r="D183" s="1343">
        <v>1</v>
      </c>
      <c r="E183" s="1350">
        <v>2</v>
      </c>
      <c r="F183" s="1351" t="s">
        <v>896</v>
      </c>
      <c r="G183" s="1364"/>
      <c r="H183" s="1365"/>
      <c r="I183" s="118"/>
      <c r="J183" s="118"/>
      <c r="K183" s="118"/>
      <c r="L183" s="118"/>
      <c r="M183" s="118"/>
      <c r="N183" s="118"/>
      <c r="O183" s="118"/>
      <c r="P183" s="118"/>
      <c r="Q183" s="118"/>
      <c r="R183" s="118"/>
      <c r="S183" s="118"/>
      <c r="T183" s="118"/>
      <c r="U183" s="118"/>
      <c r="V183" s="118"/>
      <c r="W183" s="118"/>
      <c r="X183" s="118"/>
      <c r="Y183" s="118"/>
      <c r="Z183" s="118"/>
      <c r="AA183" s="118"/>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118"/>
      <c r="BD183" s="118"/>
      <c r="BE183" s="118"/>
      <c r="BF183" s="118"/>
      <c r="BG183" s="118"/>
      <c r="BH183" s="118"/>
      <c r="BI183" s="118"/>
      <c r="BJ183" s="118"/>
      <c r="BK183" s="118"/>
      <c r="BL183" s="118"/>
      <c r="BM183" s="118"/>
      <c r="BN183" s="482"/>
    </row>
    <row r="184" spans="1:66" s="1115" customFormat="1" ht="14.25" customHeight="1">
      <c r="A184" s="1361"/>
      <c r="B184" s="1345" t="s">
        <v>897</v>
      </c>
      <c r="C184" s="1342">
        <v>300</v>
      </c>
      <c r="D184" s="1343">
        <v>1</v>
      </c>
      <c r="E184" s="1350">
        <v>89</v>
      </c>
      <c r="F184" s="1351" t="s">
        <v>896</v>
      </c>
      <c r="G184" s="1364"/>
      <c r="H184" s="1365"/>
      <c r="I184" s="118"/>
      <c r="J184" s="118"/>
      <c r="K184" s="118"/>
      <c r="L184" s="118"/>
      <c r="M184" s="118"/>
      <c r="N184" s="118"/>
      <c r="O184" s="118"/>
      <c r="P184" s="118"/>
      <c r="Q184" s="118"/>
      <c r="R184" s="118"/>
      <c r="S184" s="118"/>
      <c r="T184" s="118"/>
      <c r="U184" s="118"/>
      <c r="V184" s="118"/>
      <c r="W184" s="118"/>
      <c r="X184" s="118"/>
      <c r="Y184" s="118"/>
      <c r="Z184" s="118"/>
      <c r="AA184" s="118"/>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118"/>
      <c r="BD184" s="118"/>
      <c r="BE184" s="118"/>
      <c r="BF184" s="118"/>
      <c r="BG184" s="118"/>
      <c r="BH184" s="118"/>
      <c r="BI184" s="118"/>
      <c r="BJ184" s="118"/>
      <c r="BK184" s="118"/>
      <c r="BL184" s="118"/>
      <c r="BM184" s="118"/>
      <c r="BN184" s="482"/>
    </row>
    <row r="185" spans="1:66" s="1115" customFormat="1" ht="14.25" customHeight="1">
      <c r="A185" s="1361"/>
      <c r="B185" s="1345" t="s">
        <v>898</v>
      </c>
      <c r="C185" s="1342">
        <v>300</v>
      </c>
      <c r="D185" s="1343">
        <v>1</v>
      </c>
      <c r="E185" s="1350">
        <v>178</v>
      </c>
      <c r="F185" s="1351" t="s">
        <v>896</v>
      </c>
      <c r="G185" s="1364"/>
      <c r="H185" s="1365"/>
      <c r="I185" s="118"/>
      <c r="J185" s="118"/>
      <c r="K185" s="118"/>
      <c r="L185" s="118"/>
      <c r="M185" s="118"/>
      <c r="N185" s="118"/>
      <c r="O185" s="118"/>
      <c r="P185" s="118"/>
      <c r="Q185" s="118"/>
      <c r="R185" s="118"/>
      <c r="S185" s="118"/>
      <c r="T185" s="118"/>
      <c r="U185" s="118"/>
      <c r="V185" s="118"/>
      <c r="W185" s="118"/>
      <c r="X185" s="118"/>
      <c r="Y185" s="118"/>
      <c r="Z185" s="118"/>
      <c r="AA185" s="118"/>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118"/>
      <c r="BD185" s="118"/>
      <c r="BE185" s="118"/>
      <c r="BF185" s="118"/>
      <c r="BG185" s="118"/>
      <c r="BH185" s="118"/>
      <c r="BI185" s="118"/>
      <c r="BJ185" s="118"/>
      <c r="BK185" s="118"/>
      <c r="BL185" s="118"/>
      <c r="BM185" s="118"/>
      <c r="BN185" s="482"/>
    </row>
    <row r="186" spans="1:66" s="1115" customFormat="1" ht="14.25" customHeight="1">
      <c r="A186" s="1369"/>
      <c r="B186" s="1923"/>
      <c r="C186" s="1923"/>
      <c r="D186" s="1923"/>
      <c r="E186" s="1923"/>
      <c r="F186" s="1923"/>
      <c r="G186" s="1364"/>
      <c r="H186" s="1365"/>
      <c r="I186" s="118"/>
      <c r="J186" s="118"/>
      <c r="K186" s="118"/>
      <c r="L186" s="118"/>
      <c r="M186" s="118"/>
      <c r="N186" s="118"/>
      <c r="O186" s="118"/>
      <c r="P186" s="118"/>
      <c r="Q186" s="118"/>
      <c r="R186" s="118"/>
      <c r="S186" s="118"/>
      <c r="T186" s="118"/>
      <c r="U186" s="118"/>
      <c r="V186" s="118"/>
      <c r="W186" s="118"/>
      <c r="X186" s="118"/>
      <c r="Y186" s="118"/>
      <c r="Z186" s="118"/>
      <c r="AA186" s="118"/>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118"/>
      <c r="BD186" s="118"/>
      <c r="BE186" s="118"/>
      <c r="BF186" s="118"/>
      <c r="BG186" s="118"/>
      <c r="BH186" s="118"/>
      <c r="BI186" s="118"/>
      <c r="BJ186" s="118"/>
      <c r="BK186" s="118"/>
      <c r="BL186" s="118"/>
      <c r="BM186" s="118"/>
      <c r="BN186" s="482"/>
    </row>
    <row r="187" spans="1:66" s="1115" customFormat="1" ht="14.25" customHeight="1">
      <c r="A187" s="1369"/>
      <c r="B187" s="1295" t="s">
        <v>902</v>
      </c>
      <c r="C187" s="4501" t="s">
        <v>903</v>
      </c>
      <c r="D187" s="4502"/>
      <c r="E187" s="4502"/>
      <c r="F187" s="4502"/>
      <c r="G187" s="4502"/>
      <c r="H187" s="4503"/>
      <c r="I187" s="118"/>
      <c r="J187" s="118"/>
      <c r="K187" s="118"/>
      <c r="L187" s="118"/>
      <c r="M187" s="118"/>
      <c r="N187" s="118"/>
      <c r="O187" s="118"/>
      <c r="P187" s="118"/>
      <c r="Q187" s="118"/>
      <c r="R187" s="118"/>
      <c r="S187" s="118"/>
      <c r="T187" s="118"/>
      <c r="U187" s="118"/>
      <c r="V187" s="118"/>
      <c r="W187" s="118"/>
      <c r="X187" s="118"/>
      <c r="Y187" s="118"/>
      <c r="Z187" s="118"/>
      <c r="AA187" s="118"/>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118"/>
      <c r="BD187" s="118"/>
      <c r="BE187" s="118"/>
      <c r="BF187" s="118"/>
      <c r="BG187" s="118"/>
      <c r="BH187" s="118"/>
      <c r="BI187" s="118"/>
      <c r="BJ187" s="118"/>
      <c r="BK187" s="118"/>
      <c r="BL187" s="118"/>
      <c r="BM187" s="118"/>
      <c r="BN187" s="482"/>
    </row>
    <row r="188" spans="1:66" s="1115" customFormat="1" ht="14.25" customHeight="1">
      <c r="A188" s="1369"/>
      <c r="B188" s="1341" t="s">
        <v>904</v>
      </c>
      <c r="C188" s="1343">
        <v>360</v>
      </c>
      <c r="D188" s="1343">
        <v>1</v>
      </c>
      <c r="E188" s="1960">
        <v>30</v>
      </c>
      <c r="F188" s="1961" t="s">
        <v>890</v>
      </c>
      <c r="G188" s="1370"/>
      <c r="H188" s="1365"/>
      <c r="I188" s="118"/>
      <c r="J188" s="118"/>
      <c r="K188" s="118"/>
      <c r="L188" s="118"/>
      <c r="M188" s="118"/>
      <c r="N188" s="118"/>
      <c r="O188" s="118"/>
      <c r="P188" s="118"/>
      <c r="Q188" s="118"/>
      <c r="R188" s="118"/>
      <c r="S188" s="118"/>
      <c r="T188" s="118"/>
      <c r="U188" s="118"/>
      <c r="V188" s="118"/>
      <c r="W188" s="118"/>
      <c r="X188" s="118"/>
      <c r="Y188" s="118"/>
      <c r="Z188" s="118"/>
      <c r="AA188" s="118"/>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118"/>
      <c r="BD188" s="118"/>
      <c r="BE188" s="118"/>
      <c r="BF188" s="118"/>
      <c r="BG188" s="118"/>
      <c r="BH188" s="118"/>
      <c r="BI188" s="118"/>
      <c r="BJ188" s="118"/>
      <c r="BK188" s="118"/>
      <c r="BL188" s="118"/>
      <c r="BM188" s="118"/>
      <c r="BN188" s="482"/>
    </row>
    <row r="189" spans="1:66" s="1115" customFormat="1" ht="14.25" customHeight="1">
      <c r="A189" s="1369"/>
      <c r="B189" s="1341" t="s">
        <v>905</v>
      </c>
      <c r="C189" s="1343">
        <v>360</v>
      </c>
      <c r="D189" s="1343">
        <v>1</v>
      </c>
      <c r="E189" s="1960">
        <v>65</v>
      </c>
      <c r="F189" s="1961" t="s">
        <v>890</v>
      </c>
      <c r="G189" s="1370"/>
      <c r="H189" s="1365"/>
      <c r="I189" s="118"/>
      <c r="J189" s="118"/>
      <c r="K189" s="118"/>
      <c r="L189" s="118"/>
      <c r="M189" s="118"/>
      <c r="N189" s="118"/>
      <c r="O189" s="118"/>
      <c r="P189" s="118"/>
      <c r="Q189" s="118"/>
      <c r="R189" s="118"/>
      <c r="S189" s="118"/>
      <c r="T189" s="118"/>
      <c r="U189" s="118"/>
      <c r="V189" s="118"/>
      <c r="W189" s="118"/>
      <c r="X189" s="118"/>
      <c r="Y189" s="118"/>
      <c r="Z189" s="118"/>
      <c r="AA189" s="118"/>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118"/>
      <c r="BD189" s="118"/>
      <c r="BE189" s="118"/>
      <c r="BF189" s="118"/>
      <c r="BG189" s="118"/>
      <c r="BH189" s="118"/>
      <c r="BI189" s="118"/>
      <c r="BJ189" s="118"/>
      <c r="BK189" s="118"/>
      <c r="BL189" s="118"/>
      <c r="BM189" s="118"/>
      <c r="BN189" s="482"/>
    </row>
    <row r="190" spans="1:66" s="1115" customFormat="1" ht="14.25" customHeight="1">
      <c r="A190" s="1369"/>
      <c r="B190" s="1341" t="s">
        <v>906</v>
      </c>
      <c r="C190" s="1343">
        <v>360</v>
      </c>
      <c r="D190" s="1343">
        <v>1</v>
      </c>
      <c r="E190" s="1960">
        <v>130</v>
      </c>
      <c r="F190" s="1961" t="s">
        <v>890</v>
      </c>
      <c r="G190" s="1370"/>
      <c r="H190" s="1365"/>
      <c r="I190" s="118"/>
      <c r="J190" s="118"/>
      <c r="K190" s="118"/>
      <c r="L190" s="118"/>
      <c r="M190" s="118"/>
      <c r="N190" s="118"/>
      <c r="O190" s="118"/>
      <c r="P190" s="118"/>
      <c r="Q190" s="118"/>
      <c r="R190" s="118"/>
      <c r="S190" s="118"/>
      <c r="T190" s="118"/>
      <c r="U190" s="118"/>
      <c r="V190" s="118"/>
      <c r="W190" s="118"/>
      <c r="X190" s="118"/>
      <c r="Y190" s="118"/>
      <c r="Z190" s="118"/>
      <c r="AA190" s="118"/>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118"/>
      <c r="BD190" s="118"/>
      <c r="BE190" s="118"/>
      <c r="BF190" s="118"/>
      <c r="BG190" s="118"/>
      <c r="BH190" s="118"/>
      <c r="BI190" s="118"/>
      <c r="BJ190" s="118"/>
      <c r="BK190" s="118"/>
      <c r="BL190" s="118"/>
      <c r="BM190" s="118"/>
      <c r="BN190" s="482"/>
    </row>
    <row r="191" spans="1:66" s="1115" customFormat="1" ht="14.25" customHeight="1">
      <c r="A191" s="1369"/>
      <c r="B191" s="1341" t="s">
        <v>907</v>
      </c>
      <c r="C191" s="1343">
        <v>360</v>
      </c>
      <c r="D191" s="1343">
        <v>1</v>
      </c>
      <c r="E191" s="1960">
        <v>600</v>
      </c>
      <c r="F191" s="1961" t="s">
        <v>890</v>
      </c>
      <c r="G191" s="1370"/>
      <c r="H191" s="1365"/>
      <c r="I191" s="118"/>
      <c r="J191" s="118"/>
      <c r="K191" s="118"/>
      <c r="L191" s="118"/>
      <c r="M191" s="118"/>
      <c r="N191" s="118"/>
      <c r="O191" s="118"/>
      <c r="P191" s="118"/>
      <c r="Q191" s="118"/>
      <c r="R191" s="118"/>
      <c r="S191" s="118"/>
      <c r="T191" s="118"/>
      <c r="U191" s="118"/>
      <c r="V191" s="118"/>
      <c r="W191" s="118"/>
      <c r="X191" s="118"/>
      <c r="Y191" s="118"/>
      <c r="Z191" s="118"/>
      <c r="AA191" s="118"/>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118"/>
      <c r="BD191" s="118"/>
      <c r="BE191" s="118"/>
      <c r="BF191" s="118"/>
      <c r="BG191" s="118"/>
      <c r="BH191" s="118"/>
      <c r="BI191" s="118"/>
      <c r="BJ191" s="118"/>
      <c r="BK191" s="118"/>
      <c r="BL191" s="118"/>
      <c r="BM191" s="118"/>
      <c r="BN191" s="482"/>
    </row>
    <row r="192" spans="1:66" s="1115" customFormat="1" ht="14.25" customHeight="1">
      <c r="A192" s="1369"/>
      <c r="B192" s="1371"/>
      <c r="C192" s="1371"/>
      <c r="D192" s="1371"/>
      <c r="E192" s="1372"/>
      <c r="F192" s="1373"/>
      <c r="G192" s="1370"/>
      <c r="H192" s="1365"/>
      <c r="I192" s="118"/>
      <c r="J192" s="118"/>
      <c r="K192" s="118"/>
      <c r="L192" s="118"/>
      <c r="M192" s="118"/>
      <c r="N192" s="118"/>
      <c r="O192" s="118"/>
      <c r="P192" s="118"/>
      <c r="Q192" s="118"/>
      <c r="R192" s="118"/>
      <c r="S192" s="118"/>
      <c r="T192" s="118"/>
      <c r="U192" s="118"/>
      <c r="V192" s="118"/>
      <c r="W192" s="118"/>
      <c r="X192" s="118"/>
      <c r="Y192" s="118"/>
      <c r="Z192" s="118"/>
      <c r="AA192" s="118"/>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118"/>
      <c r="BD192" s="118"/>
      <c r="BE192" s="118"/>
      <c r="BF192" s="118"/>
      <c r="BG192" s="118"/>
      <c r="BH192" s="118"/>
      <c r="BI192" s="118"/>
      <c r="BJ192" s="118"/>
      <c r="BK192" s="118"/>
      <c r="BL192" s="118"/>
      <c r="BM192" s="118"/>
      <c r="BN192" s="482"/>
    </row>
    <row r="193" spans="1:66" s="1115" customFormat="1" ht="14.25" customHeight="1">
      <c r="A193" s="1369"/>
      <c r="B193" s="1371" t="s">
        <v>908</v>
      </c>
      <c r="C193" s="1371"/>
      <c r="D193" s="1371"/>
      <c r="E193" s="1372"/>
      <c r="F193" s="1373"/>
      <c r="G193" s="1370"/>
      <c r="H193" s="1365"/>
      <c r="I193" s="118"/>
      <c r="J193" s="118"/>
      <c r="K193" s="118"/>
      <c r="L193" s="118"/>
      <c r="M193" s="118"/>
      <c r="N193" s="118"/>
      <c r="O193" s="118"/>
      <c r="P193" s="118"/>
      <c r="Q193" s="118"/>
      <c r="R193" s="118"/>
      <c r="S193" s="118"/>
      <c r="T193" s="118"/>
      <c r="U193" s="118"/>
      <c r="V193" s="118"/>
      <c r="W193" s="118"/>
      <c r="X193" s="118"/>
      <c r="Y193" s="118"/>
      <c r="Z193" s="118"/>
      <c r="AA193" s="118"/>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118"/>
      <c r="BD193" s="118"/>
      <c r="BE193" s="118"/>
      <c r="BF193" s="118"/>
      <c r="BG193" s="118"/>
      <c r="BH193" s="118"/>
      <c r="BI193" s="118"/>
      <c r="BJ193" s="118"/>
      <c r="BK193" s="118"/>
      <c r="BL193" s="118"/>
      <c r="BM193" s="118"/>
      <c r="BN193" s="482"/>
    </row>
    <row r="194" spans="1:66" s="1115" customFormat="1" ht="14.25" customHeight="1">
      <c r="A194" s="1369"/>
      <c r="B194" s="1341" t="s">
        <v>909</v>
      </c>
      <c r="C194" s="1343">
        <v>319</v>
      </c>
      <c r="D194" s="1343">
        <v>1</v>
      </c>
      <c r="E194" s="1960">
        <v>24</v>
      </c>
      <c r="F194" s="1961" t="s">
        <v>896</v>
      </c>
      <c r="G194" s="1370"/>
      <c r="H194" s="1365"/>
      <c r="I194" s="118"/>
      <c r="J194" s="118"/>
      <c r="K194" s="118"/>
      <c r="L194" s="118"/>
      <c r="M194" s="118"/>
      <c r="N194" s="118"/>
      <c r="O194" s="118"/>
      <c r="P194" s="118"/>
      <c r="Q194" s="118"/>
      <c r="R194" s="118"/>
      <c r="S194" s="118"/>
      <c r="T194" s="118"/>
      <c r="U194" s="118"/>
      <c r="V194" s="118"/>
      <c r="W194" s="118"/>
      <c r="X194" s="118"/>
      <c r="Y194" s="118"/>
      <c r="Z194" s="118"/>
      <c r="AA194" s="118"/>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118"/>
      <c r="BD194" s="118"/>
      <c r="BE194" s="118"/>
      <c r="BF194" s="118"/>
      <c r="BG194" s="118"/>
      <c r="BH194" s="118"/>
      <c r="BI194" s="118"/>
      <c r="BJ194" s="118"/>
      <c r="BK194" s="118"/>
      <c r="BL194" s="118"/>
      <c r="BM194" s="118"/>
      <c r="BN194" s="482"/>
    </row>
    <row r="195" spans="1:66" s="1115" customFormat="1" ht="14.25" customHeight="1">
      <c r="A195" s="1369"/>
      <c r="B195" s="1341" t="s">
        <v>910</v>
      </c>
      <c r="C195" s="1343">
        <v>319</v>
      </c>
      <c r="D195" s="1343">
        <v>1</v>
      </c>
      <c r="E195" s="1960">
        <v>53</v>
      </c>
      <c r="F195" s="1961" t="s">
        <v>896</v>
      </c>
      <c r="G195" s="1370"/>
      <c r="H195" s="1365"/>
      <c r="I195" s="118"/>
      <c r="J195" s="118"/>
      <c r="K195" s="118"/>
      <c r="L195" s="118"/>
      <c r="M195" s="118"/>
      <c r="N195" s="118"/>
      <c r="O195" s="118"/>
      <c r="P195" s="118"/>
      <c r="Q195" s="118"/>
      <c r="R195" s="118"/>
      <c r="S195" s="118"/>
      <c r="T195" s="118"/>
      <c r="U195" s="118"/>
      <c r="V195" s="118"/>
      <c r="W195" s="118"/>
      <c r="X195" s="118"/>
      <c r="Y195" s="118"/>
      <c r="Z195" s="118"/>
      <c r="AA195" s="118"/>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118"/>
      <c r="BD195" s="118"/>
      <c r="BE195" s="118"/>
      <c r="BF195" s="118"/>
      <c r="BG195" s="118"/>
      <c r="BH195" s="118"/>
      <c r="BI195" s="118"/>
      <c r="BJ195" s="118"/>
      <c r="BK195" s="118"/>
      <c r="BL195" s="118"/>
      <c r="BM195" s="118"/>
      <c r="BN195" s="482"/>
    </row>
    <row r="196" spans="1:66" s="1115" customFormat="1" ht="14.25" customHeight="1">
      <c r="A196" s="1369"/>
      <c r="B196" s="1341" t="s">
        <v>911</v>
      </c>
      <c r="C196" s="1343">
        <v>319</v>
      </c>
      <c r="D196" s="1343">
        <v>1</v>
      </c>
      <c r="E196" s="1960">
        <v>105</v>
      </c>
      <c r="F196" s="1961" t="s">
        <v>896</v>
      </c>
      <c r="G196" s="1370"/>
      <c r="H196" s="1365"/>
      <c r="I196" s="118"/>
      <c r="J196" s="118"/>
      <c r="K196" s="118"/>
      <c r="L196" s="118"/>
      <c r="M196" s="118"/>
      <c r="N196" s="118"/>
      <c r="O196" s="118"/>
      <c r="P196" s="118"/>
      <c r="Q196" s="118"/>
      <c r="R196" s="118"/>
      <c r="S196" s="118"/>
      <c r="T196" s="118"/>
      <c r="U196" s="118"/>
      <c r="V196" s="118"/>
      <c r="W196" s="118"/>
      <c r="X196" s="118"/>
      <c r="Y196" s="118"/>
      <c r="Z196" s="118"/>
      <c r="AA196" s="118"/>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118"/>
      <c r="BD196" s="118"/>
      <c r="BE196" s="118"/>
      <c r="BF196" s="118"/>
      <c r="BG196" s="118"/>
      <c r="BH196" s="118"/>
      <c r="BI196" s="118"/>
      <c r="BJ196" s="118"/>
      <c r="BK196" s="118"/>
      <c r="BL196" s="118"/>
      <c r="BM196" s="118"/>
      <c r="BN196" s="482"/>
    </row>
    <row r="197" spans="1:66" s="1115" customFormat="1" ht="14.25" customHeight="1">
      <c r="A197" s="1374"/>
      <c r="B197" s="1962" t="s">
        <v>912</v>
      </c>
      <c r="C197" s="1963">
        <v>319</v>
      </c>
      <c r="D197" s="1963">
        <v>0.85</v>
      </c>
      <c r="E197" s="1964">
        <v>530</v>
      </c>
      <c r="F197" s="1965" t="s">
        <v>896</v>
      </c>
      <c r="G197" s="1375"/>
      <c r="H197" s="1376"/>
      <c r="I197" s="118"/>
      <c r="J197" s="118"/>
      <c r="K197" s="118"/>
      <c r="L197" s="118"/>
      <c r="M197" s="118"/>
      <c r="N197" s="118"/>
      <c r="O197" s="118"/>
      <c r="P197" s="118"/>
      <c r="Q197" s="118"/>
      <c r="R197" s="118"/>
      <c r="S197" s="118"/>
      <c r="T197" s="118"/>
      <c r="U197" s="118"/>
      <c r="V197" s="118"/>
      <c r="W197" s="118"/>
      <c r="X197" s="118"/>
      <c r="Y197" s="118"/>
      <c r="Z197" s="118"/>
      <c r="AA197" s="118"/>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118"/>
      <c r="BD197" s="118"/>
      <c r="BE197" s="118"/>
      <c r="BF197" s="118"/>
      <c r="BG197" s="118"/>
      <c r="BH197" s="118"/>
      <c r="BI197" s="118"/>
      <c r="BJ197" s="118"/>
      <c r="BK197" s="118"/>
      <c r="BL197" s="118"/>
      <c r="BM197" s="118"/>
      <c r="BN197" s="482"/>
    </row>
    <row r="198" spans="1:66" s="1115" customFormat="1" ht="14.25" customHeight="1">
      <c r="A198" s="1377"/>
      <c r="B198" s="1378"/>
      <c r="C198" s="1378"/>
      <c r="D198" s="1378"/>
      <c r="E198" s="1378"/>
      <c r="F198" s="1378"/>
      <c r="G198" s="1378"/>
      <c r="H198" s="1379"/>
      <c r="I198" s="118"/>
      <c r="J198" s="118"/>
      <c r="K198" s="118"/>
      <c r="L198" s="118"/>
      <c r="M198" s="118"/>
      <c r="N198" s="118"/>
      <c r="O198" s="118"/>
      <c r="P198" s="118"/>
      <c r="Q198" s="118"/>
      <c r="R198" s="118"/>
      <c r="S198" s="118"/>
      <c r="T198" s="118"/>
      <c r="U198" s="118"/>
      <c r="V198" s="118"/>
      <c r="W198" s="118"/>
      <c r="X198" s="118"/>
      <c r="Y198" s="118"/>
      <c r="Z198" s="118"/>
      <c r="AA198" s="118"/>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118"/>
      <c r="BD198" s="118"/>
      <c r="BE198" s="118"/>
      <c r="BF198" s="118"/>
      <c r="BG198" s="118"/>
      <c r="BH198" s="118"/>
      <c r="BI198" s="118"/>
      <c r="BJ198" s="118"/>
      <c r="BK198" s="118"/>
      <c r="BL198" s="118"/>
      <c r="BM198" s="118"/>
      <c r="BN198" s="482"/>
    </row>
    <row r="199" spans="1:66" s="1115" customFormat="1" ht="14.2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BC199" s="118"/>
      <c r="BD199" s="118"/>
      <c r="BE199" s="118"/>
      <c r="BF199" s="118"/>
      <c r="BG199" s="118"/>
      <c r="BH199" s="118"/>
      <c r="BI199" s="118"/>
      <c r="BJ199" s="118"/>
      <c r="BK199" s="118"/>
      <c r="BL199" s="118"/>
      <c r="BM199" s="118"/>
      <c r="BN199" s="482"/>
    </row>
  </sheetData>
  <sheetProtection password="FA80" sheet="1" objects="1" scenarios="1"/>
  <mergeCells count="219">
    <mergeCell ref="AB1:BB1"/>
    <mergeCell ref="BL1:BM1"/>
    <mergeCell ref="A4:B4"/>
    <mergeCell ref="C4:H4"/>
    <mergeCell ref="D5:G5"/>
    <mergeCell ref="BC10:BN10"/>
    <mergeCell ref="L1:T1"/>
    <mergeCell ref="J5:N6"/>
    <mergeCell ref="O4:R7"/>
    <mergeCell ref="BJ3:BM3"/>
    <mergeCell ref="BC15:BE15"/>
    <mergeCell ref="BH15:BJ15"/>
    <mergeCell ref="A12:B12"/>
    <mergeCell ref="D12:G12"/>
    <mergeCell ref="J12:L12"/>
    <mergeCell ref="BH12:BJ12"/>
    <mergeCell ref="BC12:BF12"/>
    <mergeCell ref="A16:B16"/>
    <mergeCell ref="D16:H16"/>
    <mergeCell ref="J16:L16"/>
    <mergeCell ref="A13:B13"/>
    <mergeCell ref="D13:G13"/>
    <mergeCell ref="J13:L13"/>
    <mergeCell ref="A14:B14"/>
    <mergeCell ref="D14:H14"/>
    <mergeCell ref="J14:L14"/>
    <mergeCell ref="A15:B15"/>
    <mergeCell ref="D15:H15"/>
    <mergeCell ref="J15:L15"/>
    <mergeCell ref="A17:B17"/>
    <mergeCell ref="D17:G17"/>
    <mergeCell ref="J17:L17"/>
    <mergeCell ref="A19:G19"/>
    <mergeCell ref="J19:U19"/>
    <mergeCell ref="V19:AA19"/>
    <mergeCell ref="I15:I16"/>
    <mergeCell ref="U3:U15"/>
    <mergeCell ref="Z3:Z11"/>
    <mergeCell ref="A11:B11"/>
    <mergeCell ref="D11:G11"/>
    <mergeCell ref="J11:L11"/>
    <mergeCell ref="M11:N11"/>
    <mergeCell ref="O11:P11"/>
    <mergeCell ref="Q11:R11"/>
    <mergeCell ref="D6:E6"/>
    <mergeCell ref="D7:H7"/>
    <mergeCell ref="A9:C9"/>
    <mergeCell ref="D9:H9"/>
    <mergeCell ref="J9:R9"/>
    <mergeCell ref="A10:B10"/>
    <mergeCell ref="D10:G10"/>
    <mergeCell ref="J10:R10"/>
    <mergeCell ref="BH19:BK19"/>
    <mergeCell ref="J20:U20"/>
    <mergeCell ref="J21:O21"/>
    <mergeCell ref="P21:U21"/>
    <mergeCell ref="AW21:BB21"/>
    <mergeCell ref="AK22:AP22"/>
    <mergeCell ref="AQ22:AV22"/>
    <mergeCell ref="AW22:BB22"/>
    <mergeCell ref="BC24:BF24"/>
    <mergeCell ref="BC19:BF23"/>
    <mergeCell ref="V20:AA21"/>
    <mergeCell ref="BC25:BF25"/>
    <mergeCell ref="BC26:BF26"/>
    <mergeCell ref="BC27:BF27"/>
    <mergeCell ref="BC28:BF28"/>
    <mergeCell ref="BC29:BF29"/>
    <mergeCell ref="BC30:BF30"/>
    <mergeCell ref="BC31:BF31"/>
    <mergeCell ref="BC32:BF32"/>
    <mergeCell ref="BC33:BF33"/>
    <mergeCell ref="BC34:BF34"/>
    <mergeCell ref="BC35:BF35"/>
    <mergeCell ref="BC36:BF36"/>
    <mergeCell ref="BC37:BF37"/>
    <mergeCell ref="BC38:BF38"/>
    <mergeCell ref="BH38:BL38"/>
    <mergeCell ref="BC39:BF39"/>
    <mergeCell ref="BJ39:BK39"/>
    <mergeCell ref="BC40:BF40"/>
    <mergeCell ref="BJ40:BK40"/>
    <mergeCell ref="BC41:BF41"/>
    <mergeCell ref="BJ41:BK41"/>
    <mergeCell ref="BC42:BF42"/>
    <mergeCell ref="BJ42:BK42"/>
    <mergeCell ref="BC43:BF43"/>
    <mergeCell ref="BJ43:BK43"/>
    <mergeCell ref="BC44:BF44"/>
    <mergeCell ref="BJ44:BK44"/>
    <mergeCell ref="BC45:BF45"/>
    <mergeCell ref="BJ45:BK45"/>
    <mergeCell ref="BC46:BF46"/>
    <mergeCell ref="BJ46:BK46"/>
    <mergeCell ref="BC47:BF47"/>
    <mergeCell ref="BC48:BF48"/>
    <mergeCell ref="BC49:BF49"/>
    <mergeCell ref="BC50:BF50"/>
    <mergeCell ref="BC51:BF51"/>
    <mergeCell ref="BC52:BF52"/>
    <mergeCell ref="BC53:BF53"/>
    <mergeCell ref="BC54:BF54"/>
    <mergeCell ref="H55:I55"/>
    <mergeCell ref="K55:O55"/>
    <mergeCell ref="Q55:U55"/>
    <mergeCell ref="W55:AA55"/>
    <mergeCell ref="H56:I56"/>
    <mergeCell ref="J56:AA56"/>
    <mergeCell ref="AU56:AV56"/>
    <mergeCell ref="H57:I57"/>
    <mergeCell ref="H58:I58"/>
    <mergeCell ref="AI58:AJ58"/>
    <mergeCell ref="AO58:AP58"/>
    <mergeCell ref="AU58:AV58"/>
    <mergeCell ref="H59:I59"/>
    <mergeCell ref="H60:I60"/>
    <mergeCell ref="H61:I61"/>
    <mergeCell ref="H62:I62"/>
    <mergeCell ref="H63:I63"/>
    <mergeCell ref="J63:O63"/>
    <mergeCell ref="P63:U63"/>
    <mergeCell ref="V63:AA63"/>
    <mergeCell ref="K57:O58"/>
    <mergeCell ref="Q57:U58"/>
    <mergeCell ref="W57:AA58"/>
    <mergeCell ref="H64:I64"/>
    <mergeCell ref="L64:M64"/>
    <mergeCell ref="N64:O64"/>
    <mergeCell ref="R64:S64"/>
    <mergeCell ref="T64:U64"/>
    <mergeCell ref="X64:Y64"/>
    <mergeCell ref="Z64:AA64"/>
    <mergeCell ref="D66:G66"/>
    <mergeCell ref="B67:G67"/>
    <mergeCell ref="BE76:BL76"/>
    <mergeCell ref="D68:E68"/>
    <mergeCell ref="D69:E69"/>
    <mergeCell ref="F69:G69"/>
    <mergeCell ref="H69:I69"/>
    <mergeCell ref="AD69:AE69"/>
    <mergeCell ref="D70:E70"/>
    <mergeCell ref="V70:W70"/>
    <mergeCell ref="X70:Y70"/>
    <mergeCell ref="Z70:AA70"/>
    <mergeCell ref="J65:O69"/>
    <mergeCell ref="P65:U69"/>
    <mergeCell ref="V65:AA69"/>
    <mergeCell ref="H66:I68"/>
    <mergeCell ref="BK88:BL88"/>
    <mergeCell ref="A80:B80"/>
    <mergeCell ref="K79:Q80"/>
    <mergeCell ref="D74:G74"/>
    <mergeCell ref="M74:N74"/>
    <mergeCell ref="S74:U74"/>
    <mergeCell ref="BE77:BL77"/>
    <mergeCell ref="D75:F75"/>
    <mergeCell ref="M75:N75"/>
    <mergeCell ref="S75:U75"/>
    <mergeCell ref="BE78:BL78"/>
    <mergeCell ref="S76:U76"/>
    <mergeCell ref="BE79:BL79"/>
    <mergeCell ref="H70:I74"/>
    <mergeCell ref="S70:U71"/>
    <mergeCell ref="C71:E71"/>
    <mergeCell ref="F71:G71"/>
    <mergeCell ref="D72:E72"/>
    <mergeCell ref="K72:N72"/>
    <mergeCell ref="S72:U72"/>
    <mergeCell ref="BE75:BL75"/>
    <mergeCell ref="D73:E73"/>
    <mergeCell ref="K73:L73"/>
    <mergeCell ref="S73:U73"/>
    <mergeCell ref="A110:B110"/>
    <mergeCell ref="B111:H111"/>
    <mergeCell ref="J111:N111"/>
    <mergeCell ref="BE99:BL101"/>
    <mergeCell ref="BE94:BF94"/>
    <mergeCell ref="BG94:BH94"/>
    <mergeCell ref="BI94:BJ94"/>
    <mergeCell ref="BE95:BJ95"/>
    <mergeCell ref="BE96:BJ96"/>
    <mergeCell ref="BE98:BG98"/>
    <mergeCell ref="BG105:BI105"/>
    <mergeCell ref="BH106:BI106"/>
    <mergeCell ref="A108:H108"/>
    <mergeCell ref="J114:O114"/>
    <mergeCell ref="A140:B140"/>
    <mergeCell ref="A153:B153"/>
    <mergeCell ref="F167:G167"/>
    <mergeCell ref="A170:G170"/>
    <mergeCell ref="A173:B173"/>
    <mergeCell ref="C187:H187"/>
    <mergeCell ref="I139:I140"/>
    <mergeCell ref="G160:H160"/>
    <mergeCell ref="G161:H161"/>
    <mergeCell ref="A20:A36"/>
    <mergeCell ref="A37:A49"/>
    <mergeCell ref="A50:A65"/>
    <mergeCell ref="C20:C21"/>
    <mergeCell ref="D20:D21"/>
    <mergeCell ref="E37:E38"/>
    <mergeCell ref="E50:E51"/>
    <mergeCell ref="F20:F21"/>
    <mergeCell ref="G20:G21"/>
    <mergeCell ref="BF90:BG90"/>
    <mergeCell ref="BH90:BI90"/>
    <mergeCell ref="BF91:BG91"/>
    <mergeCell ref="BH91:BI91"/>
    <mergeCell ref="BE93:BF93"/>
    <mergeCell ref="BG93:BH93"/>
    <mergeCell ref="BI93:BJ93"/>
    <mergeCell ref="S77:U77"/>
    <mergeCell ref="L78:M78"/>
    <mergeCell ref="O78:P78"/>
    <mergeCell ref="S78:U78"/>
    <mergeCell ref="BD81:BF81"/>
    <mergeCell ref="S79:U79"/>
    <mergeCell ref="BE82:BG82"/>
    <mergeCell ref="BF88:BI88"/>
  </mergeCells>
  <conditionalFormatting sqref="C7">
    <cfRule type="cellIs" dxfId="821" priority="2" operator="notEqual">
      <formula>75</formula>
    </cfRule>
    <cfRule type="cellIs" dxfId="820" priority="3" operator="notEqual">
      <formula>75</formula>
    </cfRule>
    <cfRule type="cellIs" dxfId="819" priority="4" operator="notEqual">
      <formula>75</formula>
    </cfRule>
    <cfRule type="cellIs" dxfId="818" priority="5" operator="notEqual">
      <formula>75</formula>
    </cfRule>
    <cfRule type="cellIs" dxfId="817" priority="6" operator="notEqual">
      <formula>75</formula>
    </cfRule>
    <cfRule type="cellIs" dxfId="816" priority="7" operator="notEqual">
      <formula>75</formula>
    </cfRule>
    <cfRule type="cellIs" dxfId="815" priority="8" operator="notEqual">
      <formula>75</formula>
    </cfRule>
    <cfRule type="cellIs" dxfId="814" priority="9" operator="notEqual">
      <formula>75</formula>
    </cfRule>
    <cfRule type="cellIs" dxfId="813" priority="10" operator="notEqual">
      <formula>75</formula>
    </cfRule>
    <cfRule type="cellIs" dxfId="812" priority="11" operator="notEqual">
      <formula>75</formula>
    </cfRule>
    <cfRule type="cellIs" dxfId="811" priority="12" operator="notEqual">
      <formula>75</formula>
    </cfRule>
    <cfRule type="cellIs" dxfId="810" priority="13" operator="notEqual">
      <formula>75</formula>
    </cfRule>
    <cfRule type="cellIs" dxfId="809" priority="14" operator="notEqual">
      <formula>75</formula>
    </cfRule>
    <cfRule type="cellIs" dxfId="808" priority="43" operator="notEqual">
      <formula>75</formula>
    </cfRule>
    <cfRule type="cellIs" dxfId="807" priority="77" operator="notEqual">
      <formula>75</formula>
    </cfRule>
    <cfRule type="cellIs" dxfId="806" priority="78" operator="notEqual">
      <formula>75</formula>
    </cfRule>
    <cfRule type="cellIs" dxfId="805" priority="79" operator="notEqual">
      <formula>75</formula>
    </cfRule>
    <cfRule type="cellIs" dxfId="804" priority="80" operator="notEqual">
      <formula>75</formula>
    </cfRule>
    <cfRule type="cellIs" dxfId="803" priority="81" operator="notEqual">
      <formula>75</formula>
    </cfRule>
    <cfRule type="cellIs" dxfId="802" priority="82" operator="notEqual">
      <formula>75</formula>
    </cfRule>
    <cfRule type="cellIs" dxfId="801" priority="83" operator="notEqual">
      <formula>75</formula>
    </cfRule>
  </conditionalFormatting>
  <conditionalFormatting sqref="K59:O59 Q59:U59 W59:AA59">
    <cfRule type="cellIs" dxfId="800" priority="55" operator="greaterThan">
      <formula>J59</formula>
    </cfRule>
  </conditionalFormatting>
  <conditionalFormatting sqref="V65">
    <cfRule type="cellIs" dxfId="799" priority="76" stopIfTrue="1" operator="lessThan">
      <formula>"$AP$68"</formula>
    </cfRule>
  </conditionalFormatting>
  <conditionalFormatting sqref="C72">
    <cfRule type="cellIs" dxfId="798" priority="74" stopIfTrue="1" operator="greaterThan">
      <formula>4</formula>
    </cfRule>
    <cfRule type="cellIs" dxfId="797" priority="75" stopIfTrue="1" operator="between">
      <formula>2.75</formula>
      <formula>4</formula>
    </cfRule>
  </conditionalFormatting>
  <conditionalFormatting sqref="C74">
    <cfRule type="cellIs" dxfId="796" priority="1" operator="notEqual">
      <formula>76</formula>
    </cfRule>
  </conditionalFormatting>
  <conditionalFormatting sqref="C74 C7">
    <cfRule type="cellIs" dxfId="795" priority="64" operator="notEqual">
      <formula>75</formula>
    </cfRule>
    <cfRule type="cellIs" dxfId="794" priority="65" operator="notEqual">
      <formula>75</formula>
    </cfRule>
    <cfRule type="cellIs" dxfId="793" priority="66" operator="notEqual">
      <formula>75</formula>
    </cfRule>
    <cfRule type="cellIs" dxfId="792" priority="67" operator="notEqual">
      <formula>75</formula>
    </cfRule>
    <cfRule type="cellIs" dxfId="791" priority="68" operator="notEqual">
      <formula>75</formula>
    </cfRule>
    <cfRule type="cellIs" dxfId="790" priority="69" operator="notEqual">
      <formula>75</formula>
    </cfRule>
    <cfRule type="cellIs" dxfId="789" priority="70" operator="notEqual">
      <formula>75</formula>
    </cfRule>
    <cfRule type="cellIs" dxfId="788" priority="71" operator="notEqual">
      <formula>75</formula>
    </cfRule>
    <cfRule type="cellIs" dxfId="787" priority="72" operator="notEqual">
      <formula>75</formula>
    </cfRule>
    <cfRule type="cellIs" dxfId="786" priority="73" operator="notEqual">
      <formula>75</formula>
    </cfRule>
  </conditionalFormatting>
  <hyperlinks>
    <hyperlink ref="C4" location="'Extract Calc'!B98" display="To amend ̸ modify any data, please refer to the &quot;Technical Section&quot;." xr:uid="{00000000-0004-0000-0300-000000000000}"/>
    <hyperlink ref="H63" location="'Extract Calc'!O99" display="Malt ̸ iso-hop extract bitterness" xr:uid="{00000000-0004-0000-0300-000001000000}"/>
    <hyperlink ref="V108" r:id="rId1" display="http://www.yobrew.co.uk/" xr:uid="{00000000-0004-0000-0300-000002000000}"/>
    <hyperlink ref="G119" r:id="rId2" display="http://www.petespintpot.co.uk/" xr:uid="{00000000-0004-0000-0300-000003000000}"/>
    <hyperlink ref="G120" r:id="rId3" display="http://www.colchesterhomebrew.co.uk/" xr:uid="{00000000-0004-0000-0300-000004000000}"/>
    <hyperlink ref="G129" r:id="rId4" display="http://www.yobrew.co.uk/" xr:uid="{00000000-0004-0000-0300-000005000000}"/>
    <hyperlink ref="G130" r:id="rId5" display="http://www.yobrew.co.uk/" xr:uid="{00000000-0004-0000-0300-000006000000}"/>
    <hyperlink ref="C4:I4" location="Extract!B100" display="To amend ̸ modify any data, please refer to the &quot;Technical Section&quot;." xr:uid="{00000000-0004-0000-0300-000007000000}"/>
    <hyperlink ref="H69" location="Extract!K85" display="See the Hop Settings" xr:uid="{00000000-0004-0000-0300-000008000000}"/>
    <hyperlink ref="J56:AA56" location="Extract!K77" display="See cell K77 etc. for the Isomerised hop extract settings." xr:uid="{00000000-0004-0000-0300-000009000000}"/>
    <hyperlink ref="BC15:BE15" location="Extract!C5" display="Dependant on cell C5" xr:uid="{00000000-0004-0000-0300-00000A000000}"/>
    <hyperlink ref="BE79" location="'Primer'!D1" display="For more information about &quot;carbonation&quot; see &quot;Beer Primer&quot; page." xr:uid="{00000000-0004-0000-0300-00000B000000}"/>
    <hyperlink ref="BE79:BI79" location="Primer!F1" display="For more information about &quot;carbonation&quot; see &quot;Beer Primer&quot; page." xr:uid="{00000000-0004-0000-0300-00000C000000}"/>
    <hyperlink ref="H63:I63" location="Extract!K90" display="Malt ̸ iso-hop extract bitterness" xr:uid="{00000000-0004-0000-0300-00000D000000}"/>
    <hyperlink ref="BD81:BF81" location="'Beer Data Sheet'!P21" display="1 level 5ml tsp sugar =" xr:uid="{00000000-0004-0000-0300-00000E000000}"/>
    <hyperlink ref="I15" location="Extract!Z3" display="=&quot;(&quot;&amp;IF(I13/((I9-1000)+0.001)&gt;0.81,&quot;Too Hoppy?&quot;,IF(I13/(I9-1000)&gt;0.65,&quot;Very Hoppy&quot;,IF(I13/(I9-1000)&gt;0.55,&quot;Slightly Hoppy&quot;,IF(I13/(I9-1000)&gt;0.45,&quot;Balanced&quot;,IF(I13/(I9-1000)&gt;0.35,&quot;Slightly Malty&quot;,IF(I13/(I9-1000)&gt;0.25,&quot;Very Malty&quot;,IF((I13+0.001)/(I9-1000)&gt;0,&quot;Too Malty?&quot;)))))))&amp;&quot;)&quot;" xr:uid="{00000000-0004-0000-0300-00000F000000}"/>
    <hyperlink ref="I16" location="Extract!Z3" display="Extract!Z3" xr:uid="{00000000-0004-0000-0300-000010000000}"/>
    <hyperlink ref="D74:F74" location="'Beer Data Sheet'!AN4" display=" (76% is generally assumed)" xr:uid="{00000000-0004-0000-0300-000011000000}"/>
    <hyperlink ref="D74:G74" location="'Beer Data Sheet'!Ad4" display=" (76% is generally assumed)" xr:uid="{00000000-0004-0000-0300-000012000000}"/>
    <hyperlink ref="C4:H4" location="Extract!A110" display="To amend ̸ modify any data, please refer to the &quot;Technical Section&quot;." xr:uid="{00000000-0004-0000-0300-000013000000}"/>
    <hyperlink ref="BE79:BL79" location="Primer!F1" display="For more information about &quot;carbonation&quot; see &quot;Beer Primer&quot; page." xr:uid="{00000000-0004-0000-0300-000014000000}"/>
    <hyperlink ref="H69:I69" location="Extract!K72" display="See the Hop Settings" xr:uid="{00000000-0004-0000-0300-000015000000}"/>
    <hyperlink ref="C16" location="Extract!X63" display="Extract!X63" xr:uid="{00000000-0004-0000-0300-000016000000}"/>
    <hyperlink ref="C15" location="Extract!R63" display="Extract!R63" xr:uid="{00000000-0004-0000-0300-000017000000}"/>
    <hyperlink ref="C14" location="Extract!L63" display="Extract!L63" xr:uid="{00000000-0004-0000-0300-000018000000}"/>
    <hyperlink ref="K79:Q80" location="'Beer Data Sheet'!T17" display=" Note:- 1 ml of Ritchie's hop extract in 1 litre of beer adds 69 EBU's. See &quot;Beer Data Sheet&quot; cell T17.&quot;" xr:uid="{00000000-0004-0000-0300-000019000000}"/>
    <hyperlink ref="G161:H161" location="Extract!H139" display="         See cell H139" xr:uid="{00000000-0004-0000-0300-00001A000000}"/>
    <hyperlink ref="B68" location="Extract!BE4" display="Extract!BE4" xr:uid="{00000000-0004-0000-0300-00001B000000}"/>
    <hyperlink ref="BJ105" location="'Primer'!D1" display="For more information about &quot;carbonation&quot; see &quot;Beer Primer&quot; page." xr:uid="{00000000-0004-0000-0300-00001C000000}"/>
    <hyperlink ref="BJ106" location="Primer!F1" display="For more information about &quot;carbonation&quot; see &quot;Beer Primer&quot; page." xr:uid="{00000000-0004-0000-0300-00001D000000}"/>
  </hyperlinks>
  <printOptions horizontalCentered="1"/>
  <pageMargins left="0.39425872093023301" right="0.39370078740157499" top="0.27559055118110198" bottom="0.43307086614173201" header="0.23622047244094499" footer="0.35433070866141703"/>
  <pageSetup paperSize="9" scale="18" orientation="landscape" horizontalDpi="30066" verticalDpi="26478" r:id="rId6"/>
  <headerFooter alignWithMargins="0"/>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BT120"/>
  <sheetViews>
    <sheetView topLeftCell="A33" zoomScale="69" zoomScaleNormal="69" workbookViewId="0">
      <selection activeCell="L50" sqref="L50"/>
    </sheetView>
  </sheetViews>
  <sheetFormatPr defaultColWidth="9" defaultRowHeight="13.9"/>
  <cols>
    <col min="1" max="1" width="3.85546875" style="70" customWidth="1"/>
    <col min="2" max="2" width="44" style="70" customWidth="1"/>
    <col min="3" max="3" width="10.42578125" style="83" customWidth="1"/>
    <col min="4" max="5" width="10.7109375" style="70" customWidth="1"/>
    <col min="6" max="6" width="10.85546875" style="70" customWidth="1"/>
    <col min="7" max="7" width="26.5703125" style="70" customWidth="1"/>
    <col min="8" max="8" width="11.85546875" style="70" customWidth="1"/>
    <col min="9" max="15" width="10.5703125" style="70" customWidth="1"/>
    <col min="16" max="20" width="10.42578125" style="70" customWidth="1"/>
    <col min="21" max="21" width="21.7109375" style="70" customWidth="1"/>
    <col min="22" max="38" width="10.42578125" style="70" hidden="1" customWidth="1"/>
    <col min="39" max="39" width="10.42578125" style="237" hidden="1" customWidth="1"/>
    <col min="40" max="41" width="10.42578125" style="237" customWidth="1"/>
    <col min="42" max="46" width="10" style="237" customWidth="1"/>
    <col min="47" max="47" width="10.5703125" style="237" customWidth="1"/>
    <col min="48" max="48" width="12" style="237" customWidth="1"/>
    <col min="49" max="51" width="10" style="237" customWidth="1"/>
    <col min="52" max="52" width="3.5703125" style="237" customWidth="1"/>
    <col min="53" max="53" width="7" style="237" hidden="1" customWidth="1"/>
    <col min="54" max="54" width="8.5703125" style="237" hidden="1" customWidth="1"/>
    <col min="55" max="55" width="4" style="878" customWidth="1"/>
    <col min="56" max="56" width="4.85546875" customWidth="1"/>
    <col min="57" max="71" width="7" customWidth="1"/>
    <col min="72" max="72" width="6.28515625" customWidth="1"/>
    <col min="73" max="16384" width="9" style="878"/>
  </cols>
  <sheetData>
    <row r="1" spans="1:72" ht="48" customHeight="1">
      <c r="A1" s="2163"/>
      <c r="B1" s="2163"/>
      <c r="C1" s="879"/>
      <c r="D1" s="879"/>
      <c r="E1" s="879"/>
      <c r="F1" s="879"/>
      <c r="G1" s="879"/>
      <c r="H1" s="879"/>
      <c r="I1" s="879"/>
      <c r="J1" s="879"/>
      <c r="K1" s="879"/>
      <c r="L1" s="879"/>
      <c r="M1" s="3524" t="s">
        <v>913</v>
      </c>
      <c r="N1" s="3524"/>
      <c r="O1" s="3524"/>
      <c r="P1" s="3524"/>
      <c r="Q1" s="3524"/>
      <c r="R1" s="3524"/>
      <c r="S1" s="1954"/>
      <c r="T1" s="1954"/>
      <c r="U1" s="1927"/>
      <c r="V1" s="1927"/>
      <c r="W1" s="1927"/>
      <c r="X1" s="1966"/>
      <c r="Y1" s="1966"/>
      <c r="Z1" s="1966"/>
      <c r="AA1" s="67"/>
      <c r="AB1" s="67"/>
      <c r="AC1" s="67"/>
      <c r="AD1" s="67"/>
      <c r="AE1" s="67"/>
      <c r="AF1" s="67"/>
      <c r="AG1" s="67"/>
      <c r="AH1" s="67"/>
      <c r="AI1" s="67"/>
      <c r="AJ1" s="67"/>
      <c r="AK1" s="67"/>
      <c r="AL1" s="67"/>
      <c r="AM1" s="342"/>
      <c r="AN1" s="342"/>
      <c r="AO1" s="342"/>
      <c r="AP1" s="342"/>
      <c r="AQ1" s="342"/>
      <c r="AR1" s="342"/>
      <c r="AS1" s="342"/>
      <c r="AT1" s="342"/>
      <c r="AV1" s="1032"/>
      <c r="AW1" s="1032"/>
      <c r="AX1" s="3515" t="s">
        <v>1</v>
      </c>
      <c r="AY1" s="3515"/>
      <c r="AZ1" s="1041"/>
      <c r="BA1" s="2390"/>
      <c r="BB1" s="2391">
        <f>89.6/342</f>
        <v>0.26198830409356721</v>
      </c>
      <c r="BC1" s="1662"/>
      <c r="BD1" s="1662"/>
      <c r="BE1" s="1662"/>
      <c r="BF1" s="1662"/>
      <c r="BG1" s="1662"/>
      <c r="BH1" s="1662"/>
      <c r="BI1" s="1662"/>
      <c r="BJ1" s="1662"/>
      <c r="BK1" s="1662"/>
      <c r="BL1" s="1662"/>
      <c r="BM1" s="1662"/>
      <c r="BN1" s="1662"/>
      <c r="BO1" s="1662"/>
      <c r="BP1" s="1662"/>
      <c r="BQ1" s="1662"/>
      <c r="BR1" s="1662"/>
      <c r="BS1" s="1662"/>
      <c r="BT1" s="1662"/>
    </row>
    <row r="2" spans="1:72" ht="15" customHeight="1">
      <c r="A2" s="1925"/>
      <c r="B2" s="1925"/>
      <c r="C2" s="879"/>
      <c r="D2" s="879"/>
      <c r="E2" s="879"/>
      <c r="F2" s="879"/>
      <c r="G2" s="879"/>
      <c r="H2" s="879"/>
      <c r="I2" s="879"/>
      <c r="J2" s="879"/>
      <c r="K2" s="879"/>
      <c r="L2" s="879"/>
      <c r="M2" s="879"/>
      <c r="N2" s="879"/>
      <c r="O2" s="1927"/>
      <c r="P2" s="1927"/>
      <c r="Q2" s="1927"/>
      <c r="R2" s="1927"/>
      <c r="S2" s="1927"/>
      <c r="T2" s="1927"/>
      <c r="U2" s="1927"/>
      <c r="V2" s="1927"/>
      <c r="W2" s="1927"/>
      <c r="X2" s="1966"/>
      <c r="Y2" s="1966"/>
      <c r="Z2" s="1966"/>
      <c r="AA2" s="67"/>
      <c r="AB2" s="67"/>
      <c r="AC2" s="67"/>
      <c r="AD2" s="67"/>
      <c r="AE2" s="67"/>
      <c r="AF2" s="67"/>
      <c r="AG2" s="67"/>
      <c r="AH2" s="67"/>
      <c r="AI2" s="67"/>
      <c r="AJ2" s="67"/>
      <c r="AK2" s="67"/>
      <c r="AL2" s="67"/>
      <c r="AM2" s="342"/>
      <c r="AN2" s="342"/>
      <c r="AO2" s="342"/>
      <c r="AP2" s="342"/>
      <c r="AQ2" s="342"/>
      <c r="AS2" s="342"/>
      <c r="AT2" s="342"/>
      <c r="AU2" s="342"/>
      <c r="AV2" s="342"/>
      <c r="AW2" s="1032"/>
      <c r="AX2" s="2190"/>
      <c r="AY2" s="2190"/>
      <c r="AZ2" s="2190"/>
      <c r="BA2" s="2191"/>
      <c r="BB2" s="4504"/>
      <c r="BC2" s="1892"/>
      <c r="BD2" s="1893"/>
      <c r="BE2" s="342"/>
      <c r="BF2" s="342"/>
      <c r="BG2" s="342"/>
      <c r="BH2" s="342"/>
      <c r="BI2" s="342"/>
      <c r="BJ2" s="342"/>
      <c r="BK2" s="342"/>
      <c r="BL2" s="342"/>
      <c r="BM2" s="342"/>
      <c r="BN2" s="342"/>
      <c r="BO2" s="342"/>
      <c r="BP2" s="342"/>
      <c r="BQ2" s="342"/>
      <c r="BR2" s="342"/>
      <c r="BS2" s="342"/>
      <c r="BT2" s="1892"/>
    </row>
    <row r="3" spans="1:72" ht="15" customHeight="1">
      <c r="A3" s="1925"/>
      <c r="B3" s="1925"/>
      <c r="C3" s="879"/>
      <c r="D3" s="879"/>
      <c r="E3" s="879"/>
      <c r="F3" s="879"/>
      <c r="G3" s="880"/>
      <c r="I3" s="67"/>
      <c r="J3" s="67"/>
      <c r="K3" s="67"/>
      <c r="L3" s="1927"/>
      <c r="M3" s="1927"/>
      <c r="N3" s="1927"/>
      <c r="O3" s="1927"/>
      <c r="P3" s="1927"/>
      <c r="Q3" s="1927"/>
      <c r="R3" s="1927"/>
      <c r="S3" s="933"/>
      <c r="T3" s="67"/>
      <c r="V3" s="67"/>
      <c r="W3" s="67"/>
      <c r="X3" s="67"/>
      <c r="Y3" s="67"/>
      <c r="Z3" s="67"/>
      <c r="AA3" s="67"/>
      <c r="AB3" s="67"/>
      <c r="AC3" s="67"/>
      <c r="AD3" s="67"/>
      <c r="AE3" s="67"/>
      <c r="AF3" s="67"/>
      <c r="AG3" s="67"/>
      <c r="AH3" s="67"/>
      <c r="AI3" s="67"/>
      <c r="AJ3" s="67"/>
      <c r="AK3" s="67"/>
      <c r="AL3" s="67"/>
      <c r="AM3" s="342"/>
      <c r="AN3" s="342"/>
      <c r="AO3" s="342"/>
      <c r="AP3" s="342"/>
      <c r="AQ3" s="342"/>
      <c r="AR3" s="342"/>
      <c r="AS3" s="342"/>
      <c r="AT3" s="342"/>
      <c r="AV3" s="1032"/>
      <c r="AW3" s="1032"/>
      <c r="AX3" s="1926"/>
      <c r="AY3" s="1926"/>
      <c r="AZ3" s="1041"/>
      <c r="BA3" s="1891"/>
      <c r="BB3" s="4504"/>
      <c r="BC3" s="1892"/>
      <c r="BD3" s="1893"/>
      <c r="BE3" s="342"/>
      <c r="BF3" s="342"/>
      <c r="BG3" s="342"/>
      <c r="BH3" s="342"/>
      <c r="BI3" s="342"/>
      <c r="BJ3" s="342"/>
      <c r="BK3" s="342"/>
      <c r="BL3" s="342"/>
      <c r="BM3" s="342"/>
      <c r="BN3" s="342"/>
      <c r="BO3" s="342"/>
      <c r="BP3" s="342"/>
      <c r="BQ3" s="342"/>
      <c r="BR3" s="342"/>
      <c r="BS3" s="342"/>
      <c r="BT3" s="1892"/>
    </row>
    <row r="4" spans="1:72" ht="14.25" customHeight="1">
      <c r="A4" s="881"/>
      <c r="B4" s="881"/>
      <c r="C4" s="882"/>
      <c r="D4" s="882"/>
      <c r="E4" s="882"/>
      <c r="F4" s="882"/>
      <c r="G4" s="882"/>
      <c r="H4" s="2415" t="s">
        <v>368</v>
      </c>
      <c r="I4" s="4505" t="s">
        <v>640</v>
      </c>
      <c r="J4" s="3554"/>
      <c r="K4" s="3554"/>
      <c r="L4" s="3554"/>
      <c r="M4" s="3554"/>
      <c r="N4" s="2821" t="s">
        <v>153</v>
      </c>
      <c r="O4" s="2821"/>
      <c r="P4" s="2821"/>
      <c r="Q4" s="2821"/>
      <c r="R4" s="933"/>
      <c r="S4" s="933"/>
      <c r="T4" s="974"/>
      <c r="U4" s="975"/>
      <c r="V4" s="976"/>
      <c r="W4" s="977"/>
      <c r="X4" s="977"/>
      <c r="Y4" s="977"/>
      <c r="Z4" s="977"/>
      <c r="AA4" s="977"/>
      <c r="AB4" s="977"/>
      <c r="AC4" s="977"/>
      <c r="AD4" s="977"/>
      <c r="AE4" s="977"/>
      <c r="AF4" s="977"/>
      <c r="AG4" s="977"/>
      <c r="AH4" s="977"/>
      <c r="AI4" s="977"/>
      <c r="AJ4" s="977"/>
      <c r="AK4" s="977"/>
      <c r="AL4" s="977"/>
      <c r="AM4" s="977"/>
      <c r="AN4" s="977"/>
      <c r="AO4" s="977"/>
      <c r="AP4" s="3538"/>
      <c r="AQ4" s="974"/>
      <c r="AR4" s="974"/>
      <c r="AS4" s="974"/>
      <c r="AT4" s="974"/>
      <c r="AU4" s="974"/>
      <c r="AV4" s="974"/>
      <c r="AW4" s="974"/>
      <c r="AX4" s="974"/>
      <c r="AY4" s="974"/>
      <c r="AZ4" s="1041"/>
      <c r="BA4" s="2392" t="s">
        <v>538</v>
      </c>
      <c r="BB4" s="4506" t="s">
        <v>539</v>
      </c>
      <c r="BC4" s="3565"/>
      <c r="BD4" s="3566"/>
      <c r="BE4" s="3553" t="s">
        <v>914</v>
      </c>
      <c r="BF4" s="3553"/>
      <c r="BG4" s="3553"/>
      <c r="BH4" s="2416"/>
      <c r="BI4" s="2416"/>
      <c r="BJ4" s="2416"/>
      <c r="BK4" s="2416"/>
      <c r="BL4" s="2416"/>
      <c r="BM4" s="2416"/>
      <c r="BN4" s="2416"/>
      <c r="BO4" s="2416"/>
      <c r="BP4" s="2416"/>
      <c r="BQ4" s="2416"/>
      <c r="BR4" s="2416"/>
      <c r="BS4" s="2417">
        <v>1140</v>
      </c>
      <c r="BT4" s="2418" t="s">
        <v>915</v>
      </c>
    </row>
    <row r="5" spans="1:72" ht="14.25" customHeight="1">
      <c r="A5" s="3516"/>
      <c r="B5" s="3516"/>
      <c r="C5" s="3516"/>
      <c r="D5" s="883"/>
      <c r="E5" s="883"/>
      <c r="F5" s="884"/>
      <c r="H5" s="2419" t="s">
        <v>916</v>
      </c>
      <c r="I5" s="4505"/>
      <c r="J5" s="3554"/>
      <c r="K5" s="3554"/>
      <c r="L5" s="3554"/>
      <c r="M5" s="3554"/>
      <c r="N5" s="2821"/>
      <c r="O5" s="2821"/>
      <c r="P5" s="2821"/>
      <c r="Q5" s="2821"/>
      <c r="R5" s="978"/>
      <c r="S5" s="979"/>
      <c r="T5" s="979"/>
      <c r="U5" s="980"/>
      <c r="V5" s="981"/>
      <c r="W5" s="982"/>
      <c r="X5" s="982"/>
      <c r="Y5" s="982"/>
      <c r="Z5" s="982"/>
      <c r="AA5" s="982"/>
      <c r="AB5" s="982"/>
      <c r="AC5" s="982"/>
      <c r="AD5" s="982"/>
      <c r="AE5" s="982"/>
      <c r="AF5" s="982"/>
      <c r="AG5" s="982"/>
      <c r="AH5" s="982"/>
      <c r="AI5" s="982"/>
      <c r="AJ5" s="982"/>
      <c r="AK5" s="982"/>
      <c r="AL5" s="982"/>
      <c r="AM5" s="982"/>
      <c r="AN5" s="977"/>
      <c r="AO5" s="982"/>
      <c r="AP5" s="3538"/>
      <c r="AQ5" s="342"/>
      <c r="AR5" s="3517" t="s">
        <v>9</v>
      </c>
      <c r="AS5" s="3517"/>
      <c r="AT5" s="3517"/>
      <c r="AU5" s="3517"/>
      <c r="AV5" s="3517"/>
      <c r="AW5" s="1666"/>
      <c r="AX5" s="1666"/>
      <c r="AY5" s="974"/>
      <c r="AZ5" s="1041"/>
      <c r="BA5" s="4472" t="s">
        <v>544</v>
      </c>
      <c r="BB5" s="1776" t="s">
        <v>545</v>
      </c>
      <c r="BC5" s="3567"/>
      <c r="BD5" s="3568"/>
      <c r="BE5" s="2420">
        <v>1000</v>
      </c>
      <c r="BF5" s="2420">
        <f t="shared" ref="BF5:BR5" si="0">BE5+10</f>
        <v>1010</v>
      </c>
      <c r="BG5" s="2420">
        <f t="shared" si="0"/>
        <v>1020</v>
      </c>
      <c r="BH5" s="2420">
        <f t="shared" si="0"/>
        <v>1030</v>
      </c>
      <c r="BI5" s="2420">
        <f t="shared" si="0"/>
        <v>1040</v>
      </c>
      <c r="BJ5" s="2420">
        <f t="shared" si="0"/>
        <v>1050</v>
      </c>
      <c r="BK5" s="2420">
        <f t="shared" si="0"/>
        <v>1060</v>
      </c>
      <c r="BL5" s="2420">
        <f t="shared" si="0"/>
        <v>1070</v>
      </c>
      <c r="BM5" s="2420">
        <f t="shared" si="0"/>
        <v>1080</v>
      </c>
      <c r="BN5" s="2420">
        <f t="shared" si="0"/>
        <v>1090</v>
      </c>
      <c r="BO5" s="2420">
        <f t="shared" si="0"/>
        <v>1100</v>
      </c>
      <c r="BP5" s="2420">
        <f t="shared" si="0"/>
        <v>1110</v>
      </c>
      <c r="BQ5" s="2420">
        <f t="shared" si="0"/>
        <v>1120</v>
      </c>
      <c r="BR5" s="2420">
        <f t="shared" si="0"/>
        <v>1130</v>
      </c>
      <c r="BS5" s="2421">
        <v>1140</v>
      </c>
      <c r="BT5" s="2422"/>
    </row>
    <row r="6" spans="1:72" ht="14.25" customHeight="1">
      <c r="A6" s="209"/>
      <c r="B6" s="885" t="s">
        <v>637</v>
      </c>
      <c r="C6" s="4507" t="s">
        <v>638</v>
      </c>
      <c r="D6" s="4507"/>
      <c r="E6" s="4507"/>
      <c r="F6" s="4507"/>
      <c r="G6" s="4507"/>
      <c r="I6" s="935"/>
      <c r="J6" s="936"/>
      <c r="K6" s="936"/>
      <c r="M6" s="936"/>
      <c r="N6" s="2821"/>
      <c r="O6" s="2821"/>
      <c r="P6" s="2821"/>
      <c r="Q6" s="2821"/>
      <c r="R6" s="67"/>
      <c r="S6" s="979"/>
      <c r="T6" s="979"/>
      <c r="U6" s="342"/>
      <c r="V6" s="237"/>
      <c r="W6" s="237"/>
      <c r="X6" s="237"/>
      <c r="Y6" s="237"/>
      <c r="Z6" s="237"/>
      <c r="AA6" s="237"/>
      <c r="AB6" s="237"/>
      <c r="AC6" s="237"/>
      <c r="AD6" s="237"/>
      <c r="AE6" s="3518"/>
      <c r="AF6" s="3518"/>
      <c r="AG6" s="3518"/>
      <c r="AH6" s="999"/>
      <c r="AI6" s="984"/>
      <c r="AJ6" s="999"/>
      <c r="AK6" s="999"/>
      <c r="AL6" s="999"/>
      <c r="AM6" s="999"/>
      <c r="AN6" s="977"/>
      <c r="AO6" s="982"/>
      <c r="AP6" s="3538"/>
      <c r="AQ6" s="1033"/>
      <c r="AR6" s="3519" t="s">
        <v>120</v>
      </c>
      <c r="AS6" s="3520"/>
      <c r="AT6" s="1668">
        <v>76</v>
      </c>
      <c r="AU6" s="3521" t="s">
        <v>121</v>
      </c>
      <c r="AV6" s="3522"/>
      <c r="AW6" s="3522"/>
      <c r="AX6" s="3523"/>
      <c r="AY6" s="974"/>
      <c r="AZ6" s="1034"/>
      <c r="BA6" s="2423">
        <v>0</v>
      </c>
      <c r="BB6" s="2424">
        <v>1.7130000000000001</v>
      </c>
      <c r="BC6" s="3347" t="s">
        <v>917</v>
      </c>
      <c r="BD6" s="2425">
        <v>0</v>
      </c>
      <c r="BE6" s="1660">
        <v>0</v>
      </c>
      <c r="BF6" s="1660">
        <v>0</v>
      </c>
      <c r="BG6" s="1660">
        <v>0</v>
      </c>
      <c r="BH6" s="1660">
        <v>0</v>
      </c>
      <c r="BI6" s="1660">
        <v>0</v>
      </c>
      <c r="BJ6" s="1660">
        <v>0</v>
      </c>
      <c r="BK6" s="1660">
        <v>0</v>
      </c>
      <c r="BL6" s="1660">
        <v>0</v>
      </c>
      <c r="BM6" s="1660">
        <v>0</v>
      </c>
      <c r="BN6" s="1660">
        <v>0</v>
      </c>
      <c r="BO6" s="1660">
        <v>0</v>
      </c>
      <c r="BP6" s="1660">
        <v>0</v>
      </c>
      <c r="BQ6" s="1660">
        <v>0</v>
      </c>
      <c r="BR6" s="1660">
        <v>0</v>
      </c>
      <c r="BS6" s="1660">
        <v>0</v>
      </c>
      <c r="BT6" s="2426"/>
    </row>
    <row r="7" spans="1:72" ht="14.25" customHeight="1">
      <c r="A7" s="209"/>
      <c r="B7" s="118"/>
      <c r="C7" s="886"/>
      <c r="D7" s="118"/>
      <c r="E7" s="67"/>
      <c r="F7" s="118"/>
      <c r="G7" s="887" t="s">
        <v>918</v>
      </c>
      <c r="H7" s="2171">
        <v>25</v>
      </c>
      <c r="I7" s="3507" t="str">
        <f>"litres ≈ "&amp;FIXED((H7*1.75975),1)&amp;" UK pt  ̸  "&amp;FIXED((H7*1.75975*6/5),1)&amp;" US pt. "</f>
        <v xml:space="preserve">litres ≈ 44.0 UK pt  ̸  52.8 US pt. </v>
      </c>
      <c r="J7" s="3507"/>
      <c r="K7" s="3507"/>
      <c r="L7" s="2000"/>
      <c r="M7" s="2000"/>
      <c r="N7" s="2000"/>
      <c r="O7" s="2000"/>
      <c r="P7" s="67"/>
      <c r="Q7" s="936"/>
      <c r="R7" s="983"/>
      <c r="S7" s="983"/>
      <c r="T7" s="983"/>
      <c r="U7" s="934"/>
      <c r="V7" s="984"/>
      <c r="W7" s="984"/>
      <c r="X7" s="984"/>
      <c r="Y7" s="999"/>
      <c r="Z7" s="999"/>
      <c r="AA7" s="999"/>
      <c r="AB7" s="999"/>
      <c r="AC7" s="999"/>
      <c r="AD7" s="999"/>
      <c r="AE7" s="999"/>
      <c r="AF7" s="999"/>
      <c r="AG7" s="999"/>
      <c r="AH7" s="999"/>
      <c r="AI7" s="984"/>
      <c r="AJ7" s="999"/>
      <c r="AK7" s="999"/>
      <c r="AL7" s="999"/>
      <c r="AM7" s="999"/>
      <c r="AN7" s="977"/>
      <c r="AO7" s="982"/>
      <c r="AP7" s="3538"/>
      <c r="AQ7" s="1033"/>
      <c r="AR7" s="3529" t="s">
        <v>128</v>
      </c>
      <c r="AS7" s="3530"/>
      <c r="AT7" s="1669">
        <v>4400</v>
      </c>
      <c r="AU7" s="3539" t="str">
        <f>"g = "&amp;1*FIXED((AT6/100*AU17/AU18*AT7),0)&amp;"g LIQUID Extract"</f>
        <v>g = 3236g LIQUID Extract</v>
      </c>
      <c r="AV7" s="3540"/>
      <c r="AW7" s="3359" t="str">
        <f>"= "&amp;1*FIXED((AT6/100*AT7*AU17/AU20),0)&amp;"g DRY Extract"</f>
        <v>= 2748g DRY Extract</v>
      </c>
      <c r="AX7" s="3360"/>
      <c r="AY7" s="974"/>
      <c r="AZ7" s="1034"/>
      <c r="BA7" s="4345">
        <v>1</v>
      </c>
      <c r="BB7" s="4346">
        <v>1.6459999999999999</v>
      </c>
      <c r="BC7" s="3347"/>
      <c r="BD7" s="2425">
        <f>BD6+5</f>
        <v>5</v>
      </c>
      <c r="BE7" s="1660">
        <f t="shared" ref="BE7:BS16" si="1">165*POWER(0.000125,(BE$5)/1000-1)*(1-EXP(-$C$118*$BD7))/$D$118</f>
        <v>7.2070905402730112</v>
      </c>
      <c r="BF7" s="1660">
        <f t="shared" si="1"/>
        <v>6.5876281716873537</v>
      </c>
      <c r="BG7" s="1660">
        <f t="shared" si="1"/>
        <v>6.0214097056098543</v>
      </c>
      <c r="BH7" s="1660">
        <f t="shared" si="1"/>
        <v>5.5038587330477089</v>
      </c>
      <c r="BI7" s="1660">
        <f t="shared" si="1"/>
        <v>5.0307921955756498</v>
      </c>
      <c r="BJ7" s="1660">
        <f t="shared" si="1"/>
        <v>4.5983865761486076</v>
      </c>
      <c r="BK7" s="1660">
        <f t="shared" si="1"/>
        <v>4.2031469958747074</v>
      </c>
      <c r="BL7" s="1660">
        <f t="shared" si="1"/>
        <v>3.8418789669760982</v>
      </c>
      <c r="BM7" s="1660">
        <f t="shared" si="1"/>
        <v>3.5116625736335121</v>
      </c>
      <c r="BN7" s="1660">
        <f t="shared" si="1"/>
        <v>3.2098288720335573</v>
      </c>
      <c r="BO7" s="1660">
        <f t="shared" si="1"/>
        <v>2.9339383188743331</v>
      </c>
      <c r="BP7" s="1660">
        <f t="shared" si="1"/>
        <v>2.6817610539796886</v>
      </c>
      <c r="BQ7" s="1660">
        <f t="shared" si="1"/>
        <v>2.4512588776581885</v>
      </c>
      <c r="BR7" s="1660">
        <f t="shared" si="1"/>
        <v>2.2405687771404268</v>
      </c>
      <c r="BS7" s="1660">
        <f t="shared" si="1"/>
        <v>2.0479878689486033</v>
      </c>
      <c r="BT7" s="2422"/>
    </row>
    <row r="8" spans="1:72" ht="14.25" customHeight="1">
      <c r="A8" s="209"/>
      <c r="B8" s="118"/>
      <c r="D8" s="3541" t="s">
        <v>919</v>
      </c>
      <c r="E8" s="3541"/>
      <c r="F8" s="3541"/>
      <c r="G8" s="3541"/>
      <c r="H8" s="2171">
        <v>23</v>
      </c>
      <c r="I8" s="3548" t="str">
        <f>"litres ≈ "&amp;FIXED((H8*1.75975),1)&amp;" UK pt  ̸  "&amp;FIXED((H8*1.75975*6/5),1)&amp;" US pt. &amp; to fill, after losses, approx. "&amp;FIXED((1000*H8/O8-1),1)&amp;" bottles, sized"</f>
        <v>litres ≈ 40.5 UK pt  ̸  48.6 US pt. &amp; to fill, after losses, approx. 45.0 bottles, sized</v>
      </c>
      <c r="J8" s="3548"/>
      <c r="K8" s="3548"/>
      <c r="L8" s="3548"/>
      <c r="M8" s="3548"/>
      <c r="N8" s="3548"/>
      <c r="O8" s="2099">
        <v>500</v>
      </c>
      <c r="P8" s="985" t="s">
        <v>100</v>
      </c>
      <c r="Q8" s="936"/>
      <c r="S8" s="986"/>
      <c r="T8" s="983"/>
      <c r="U8" s="987"/>
      <c r="V8" s="984"/>
      <c r="W8" s="984"/>
      <c r="X8" s="984"/>
      <c r="Y8" s="999"/>
      <c r="Z8" s="999"/>
      <c r="AA8" s="999"/>
      <c r="AB8" s="999"/>
      <c r="AC8" s="999"/>
      <c r="AD8" s="999"/>
      <c r="AE8" s="999"/>
      <c r="AF8" s="999"/>
      <c r="AG8" s="999"/>
      <c r="AH8" s="999"/>
      <c r="AI8" s="984"/>
      <c r="AJ8" s="999"/>
      <c r="AK8" s="999"/>
      <c r="AL8" s="999"/>
      <c r="AM8" s="999"/>
      <c r="AN8" s="977"/>
      <c r="AO8" s="982"/>
      <c r="AP8" s="3538"/>
      <c r="AQ8" s="1034" t="s">
        <v>920</v>
      </c>
      <c r="AR8" s="3529" t="s">
        <v>131</v>
      </c>
      <c r="AS8" s="3530"/>
      <c r="AT8" s="1669">
        <v>1000</v>
      </c>
      <c r="AU8" s="3539" t="str">
        <f>"g = "&amp;1*FIXED((AU18/AU20*AT8),0)&amp;"g DRY Extract"</f>
        <v>g = 849g DRY Extract</v>
      </c>
      <c r="AV8" s="3540"/>
      <c r="AW8" s="3359" t="str">
        <f>"= "&amp;1*FIXED((AT8*AU18/(AU17*AT6/100)),0)&amp;"g Pale MALT"</f>
        <v>= 1360g Pale MALT</v>
      </c>
      <c r="AX8" s="3360"/>
      <c r="AY8" s="974"/>
      <c r="AZ8" s="1034"/>
      <c r="BA8" s="4345">
        <v>2</v>
      </c>
      <c r="BB8" s="4352">
        <v>1.5840000000000001</v>
      </c>
      <c r="BC8" s="3347"/>
      <c r="BD8" s="2425">
        <f t="shared" ref="BD8:BD29" si="2">BD7+5</f>
        <v>10</v>
      </c>
      <c r="BE8" s="1660">
        <f t="shared" si="1"/>
        <v>13.107757205811929</v>
      </c>
      <c r="BF8" s="1660">
        <f t="shared" si="1"/>
        <v>11.981121945690669</v>
      </c>
      <c r="BG8" s="1660">
        <f t="shared" si="1"/>
        <v>10.951323008474876</v>
      </c>
      <c r="BH8" s="1660">
        <f t="shared" si="1"/>
        <v>10.010037138390684</v>
      </c>
      <c r="BI8" s="1660">
        <f t="shared" si="1"/>
        <v>9.149656478438132</v>
      </c>
      <c r="BJ8" s="1660">
        <f t="shared" si="1"/>
        <v>8.3632270805824369</v>
      </c>
      <c r="BK8" s="1660">
        <f t="shared" si="1"/>
        <v>7.6443927011046613</v>
      </c>
      <c r="BL8" s="1660">
        <f t="shared" si="1"/>
        <v>6.9873434268428953</v>
      </c>
      <c r="BM8" s="1660">
        <f t="shared" si="1"/>
        <v>6.3867687171002387</v>
      </c>
      <c r="BN8" s="1660">
        <f t="shared" si="1"/>
        <v>5.8378144816850392</v>
      </c>
      <c r="BO8" s="1660">
        <f t="shared" si="1"/>
        <v>5.3360438481706627</v>
      </c>
      <c r="BP8" s="1660">
        <f t="shared" si="1"/>
        <v>4.8774013012796793</v>
      </c>
      <c r="BQ8" s="1660">
        <f t="shared" si="1"/>
        <v>4.4581799045523649</v>
      </c>
      <c r="BR8" s="1660">
        <f t="shared" si="1"/>
        <v>4.0749913393716204</v>
      </c>
      <c r="BS8" s="1660">
        <f t="shared" si="1"/>
        <v>3.724738519187464</v>
      </c>
      <c r="BT8" s="2422"/>
    </row>
    <row r="9" spans="1:72" ht="14.25" customHeight="1">
      <c r="A9" s="209"/>
      <c r="B9" s="118"/>
      <c r="C9" s="118"/>
      <c r="D9" s="118"/>
      <c r="E9" s="118"/>
      <c r="G9" s="888" t="s">
        <v>641</v>
      </c>
      <c r="H9" s="2172">
        <v>20</v>
      </c>
      <c r="I9" s="114" t="s">
        <v>921</v>
      </c>
      <c r="J9" s="1544"/>
      <c r="L9" s="937"/>
      <c r="M9" s="937"/>
      <c r="N9" s="937"/>
      <c r="O9" s="937"/>
      <c r="P9" s="937"/>
      <c r="Q9" s="937"/>
      <c r="R9" s="937"/>
      <c r="S9" s="937"/>
      <c r="T9" s="983"/>
      <c r="U9" s="987"/>
      <c r="V9" s="984"/>
      <c r="W9" s="984"/>
      <c r="X9" s="984"/>
      <c r="Y9" s="999"/>
      <c r="Z9" s="999"/>
      <c r="AA9" s="999"/>
      <c r="AB9" s="999"/>
      <c r="AC9" s="999"/>
      <c r="AD9" s="999"/>
      <c r="AE9" s="999"/>
      <c r="AF9" s="999"/>
      <c r="AG9" s="999"/>
      <c r="AH9" s="999"/>
      <c r="AI9" s="984"/>
      <c r="AJ9" s="999"/>
      <c r="AK9" s="999"/>
      <c r="AL9" s="999"/>
      <c r="AM9" s="999"/>
      <c r="AN9" s="977"/>
      <c r="AO9" s="982"/>
      <c r="AP9" s="3538"/>
      <c r="AQ9" s="1034"/>
      <c r="AR9" s="3529" t="s">
        <v>922</v>
      </c>
      <c r="AS9" s="3530"/>
      <c r="AT9" s="1669">
        <v>1000</v>
      </c>
      <c r="AU9" s="3539" t="str">
        <f>"g = "&amp;1*FIXED((AU19/AU18*AT9),0)&amp;"g LIQIUD Extract"</f>
        <v>g = 977g LIQIUD Extract</v>
      </c>
      <c r="AV9" s="3540"/>
      <c r="AW9" s="3540"/>
      <c r="AX9" s="3542"/>
      <c r="AY9" s="974"/>
      <c r="AZ9" s="1034"/>
      <c r="BA9" s="4345">
        <v>3</v>
      </c>
      <c r="BB9" s="4352">
        <v>1.53</v>
      </c>
      <c r="BC9" s="3347"/>
      <c r="BD9" s="2425">
        <f t="shared" si="2"/>
        <v>15</v>
      </c>
      <c r="BE9" s="1660">
        <f t="shared" si="1"/>
        <v>17.938814468550756</v>
      </c>
      <c r="BF9" s="1660">
        <f t="shared" si="1"/>
        <v>16.396941165001813</v>
      </c>
      <c r="BG9" s="1660">
        <f t="shared" si="1"/>
        <v>14.98759463953872</v>
      </c>
      <c r="BH9" s="1660">
        <f t="shared" si="1"/>
        <v>13.699383977700879</v>
      </c>
      <c r="BI9" s="1660">
        <f t="shared" si="1"/>
        <v>12.521897334572138</v>
      </c>
      <c r="BJ9" s="1660">
        <f t="shared" si="1"/>
        <v>11.445617781996038</v>
      </c>
      <c r="BK9" s="1660">
        <f t="shared" si="1"/>
        <v>10.461846388873955</v>
      </c>
      <c r="BL9" s="1660">
        <f t="shared" si="1"/>
        <v>9.5626319128496693</v>
      </c>
      <c r="BM9" s="1660">
        <f t="shared" si="1"/>
        <v>8.7407065351198856</v>
      </c>
      <c r="BN9" s="1660">
        <f t="shared" si="1"/>
        <v>7.989427118953099</v>
      </c>
      <c r="BO9" s="1660">
        <f t="shared" si="1"/>
        <v>7.3027215171442323</v>
      </c>
      <c r="BP9" s="1660">
        <f t="shared" si="1"/>
        <v>6.6750394944399298</v>
      </c>
      <c r="BQ9" s="1660">
        <f t="shared" si="1"/>
        <v>6.1013078682694726</v>
      </c>
      <c r="BR9" s="1660">
        <f t="shared" si="1"/>
        <v>5.5768895052104082</v>
      </c>
      <c r="BS9" s="1660">
        <f t="shared" si="1"/>
        <v>5.0975458417815229</v>
      </c>
      <c r="BT9" s="2422"/>
    </row>
    <row r="10" spans="1:72" ht="14.25" customHeight="1">
      <c r="A10" s="209"/>
      <c r="B10" s="889"/>
      <c r="D10" s="114"/>
      <c r="E10" s="114"/>
      <c r="F10" s="114"/>
      <c r="G10" s="113" t="s">
        <v>923</v>
      </c>
      <c r="H10" s="2173">
        <v>75</v>
      </c>
      <c r="I10" s="3555" t="s">
        <v>924</v>
      </c>
      <c r="J10" s="3555"/>
      <c r="K10" s="3555"/>
      <c r="L10" s="3555"/>
      <c r="M10" s="3555"/>
      <c r="N10" s="938"/>
      <c r="O10" s="938"/>
      <c r="P10" s="939"/>
      <c r="Q10" s="939"/>
      <c r="R10" s="937"/>
      <c r="S10" s="937"/>
      <c r="T10" s="937"/>
      <c r="U10" s="987"/>
      <c r="V10" s="984"/>
      <c r="W10" s="984"/>
      <c r="X10" s="984"/>
      <c r="Y10" s="999"/>
      <c r="Z10" s="999"/>
      <c r="AA10" s="999"/>
      <c r="AB10" s="999"/>
      <c r="AC10" s="999"/>
      <c r="AD10" s="999"/>
      <c r="AE10" s="999"/>
      <c r="AF10" s="999"/>
      <c r="AG10" s="999"/>
      <c r="AH10" s="999"/>
      <c r="AI10" s="984"/>
      <c r="AJ10" s="999"/>
      <c r="AK10" s="999"/>
      <c r="AL10" s="999"/>
      <c r="AM10" s="999"/>
      <c r="AN10" s="977"/>
      <c r="AO10" s="982"/>
      <c r="AP10" s="3538"/>
      <c r="AQ10" s="1034"/>
      <c r="AR10" s="3529" t="s">
        <v>137</v>
      </c>
      <c r="AS10" s="3530"/>
      <c r="AT10" s="1669">
        <v>1000</v>
      </c>
      <c r="AU10" s="3539" t="str">
        <f>"g = "&amp;1*FIXED((AU20/AU18*AT10),0)&amp;"g LIQUID Extract"</f>
        <v>g = 1177g LIQUID Extract</v>
      </c>
      <c r="AV10" s="3540"/>
      <c r="AW10" s="3359" t="str">
        <f>"= "&amp;1*FIXED((AT10*100/AT6*AU20/AU17),0)&amp;"g Pale MALT"</f>
        <v>= 1601g Pale MALT</v>
      </c>
      <c r="AX10" s="3360"/>
      <c r="AY10" s="974"/>
      <c r="AZ10" s="1034"/>
      <c r="BA10" s="4345">
        <v>4</v>
      </c>
      <c r="BB10" s="4352">
        <v>1.4730000000000001</v>
      </c>
      <c r="BC10" s="3347"/>
      <c r="BD10" s="2425">
        <f t="shared" si="2"/>
        <v>20</v>
      </c>
      <c r="BE10" s="1660">
        <f t="shared" si="1"/>
        <v>21.894149619435765</v>
      </c>
      <c r="BF10" s="1660">
        <f t="shared" si="1"/>
        <v>20.012308159884647</v>
      </c>
      <c r="BG10" s="1660">
        <f t="shared" si="1"/>
        <v>18.292214351666914</v>
      </c>
      <c r="BH10" s="1660">
        <f t="shared" si="1"/>
        <v>16.719965693815187</v>
      </c>
      <c r="BI10" s="1660">
        <f t="shared" si="1"/>
        <v>15.282854630275068</v>
      </c>
      <c r="BJ10" s="1660">
        <f t="shared" si="1"/>
        <v>13.969265842244964</v>
      </c>
      <c r="BK10" s="1660">
        <f t="shared" si="1"/>
        <v>12.768582368423644</v>
      </c>
      <c r="BL10" s="1660">
        <f t="shared" si="1"/>
        <v>11.671099794391049</v>
      </c>
      <c r="BM10" s="1660">
        <f t="shared" si="1"/>
        <v>10.667947817565853</v>
      </c>
      <c r="BN10" s="1660">
        <f t="shared" si="1"/>
        <v>9.7510185537956797</v>
      </c>
      <c r="BO10" s="1660">
        <f t="shared" si="1"/>
        <v>8.9129010061246117</v>
      </c>
      <c r="BP10" s="1660">
        <f t="shared" si="1"/>
        <v>8.1468211660877632</v>
      </c>
      <c r="BQ10" s="1660">
        <f t="shared" si="1"/>
        <v>7.4465872634070687</v>
      </c>
      <c r="BR10" s="1660">
        <f t="shared" si="1"/>
        <v>6.8065397215740377</v>
      </c>
      <c r="BS10" s="1660">
        <f t="shared" si="1"/>
        <v>6.2215054148399238</v>
      </c>
      <c r="BT10" s="2422"/>
    </row>
    <row r="11" spans="1:72" ht="14.25" customHeight="1">
      <c r="A11" s="209"/>
      <c r="B11" s="2427" t="s">
        <v>645</v>
      </c>
      <c r="C11" s="3314" t="s">
        <v>925</v>
      </c>
      <c r="D11" s="3543"/>
      <c r="E11" s="3543"/>
      <c r="F11" s="3543"/>
      <c r="G11" s="3544"/>
      <c r="H11" s="2428" t="s">
        <v>646</v>
      </c>
      <c r="I11" s="3545" t="s">
        <v>647</v>
      </c>
      <c r="J11" s="3546"/>
      <c r="K11" s="3546"/>
      <c r="L11" s="3546"/>
      <c r="M11" s="3546"/>
      <c r="N11" s="3546"/>
      <c r="O11" s="3546"/>
      <c r="P11" s="3546"/>
      <c r="Q11" s="3547"/>
      <c r="R11" s="937"/>
      <c r="S11" s="937"/>
      <c r="T11" s="937"/>
      <c r="U11" s="987"/>
      <c r="V11" s="988" t="s">
        <v>580</v>
      </c>
      <c r="W11" s="988" t="s">
        <v>581</v>
      </c>
      <c r="X11" s="988"/>
      <c r="Y11" s="988" t="s">
        <v>582</v>
      </c>
      <c r="Z11" s="988"/>
      <c r="AA11" s="988"/>
      <c r="AH11" s="999"/>
      <c r="AI11" s="984"/>
      <c r="AJ11" s="999"/>
      <c r="AK11" s="999"/>
      <c r="AL11" s="999"/>
      <c r="AM11" s="999"/>
      <c r="AN11" s="977"/>
      <c r="AO11" s="982"/>
      <c r="AP11" s="3538"/>
      <c r="AQ11" s="1034"/>
      <c r="AR11" s="3529" t="s">
        <v>139</v>
      </c>
      <c r="AS11" s="3530"/>
      <c r="AT11" s="1669">
        <v>1000</v>
      </c>
      <c r="AU11" s="3539" t="str">
        <f>"g = "&amp;1*FIXED((AT11*0.262/0.2489),1)&amp;"g BREWING Sugar (Dextrose)"</f>
        <v>g = 1052.6g BREWING Sugar (Dextrose)</v>
      </c>
      <c r="AV11" s="3540"/>
      <c r="AW11" s="3540"/>
      <c r="AX11" s="3542"/>
      <c r="AY11" s="974"/>
      <c r="AZ11" s="1034"/>
      <c r="BA11" s="4345">
        <v>5</v>
      </c>
      <c r="BB11" s="4352">
        <v>1.4239999999999999</v>
      </c>
      <c r="BC11" s="3347"/>
      <c r="BD11" s="2425">
        <f t="shared" si="2"/>
        <v>25</v>
      </c>
      <c r="BE11" s="1660">
        <f t="shared" si="1"/>
        <v>25.132504146195664</v>
      </c>
      <c r="BF11" s="1660">
        <f t="shared" si="1"/>
        <v>22.97232030225835</v>
      </c>
      <c r="BG11" s="1660">
        <f t="shared" si="1"/>
        <v>20.997808137213969</v>
      </c>
      <c r="BH11" s="1660">
        <f t="shared" si="1"/>
        <v>19.193008836983037</v>
      </c>
      <c r="BI11" s="1660">
        <f t="shared" si="1"/>
        <v>17.543335276202075</v>
      </c>
      <c r="BJ11" s="1660">
        <f t="shared" si="1"/>
        <v>16.035454119116356</v>
      </c>
      <c r="BK11" s="1660">
        <f t="shared" si="1"/>
        <v>14.657178054112437</v>
      </c>
      <c r="BL11" s="1660">
        <f t="shared" si="1"/>
        <v>13.397367290886161</v>
      </c>
      <c r="BM11" s="1660">
        <f t="shared" si="1"/>
        <v>12.245839524105815</v>
      </c>
      <c r="BN11" s="1660">
        <f t="shared" si="1"/>
        <v>11.193287635860067</v>
      </c>
      <c r="BO11" s="1660">
        <f t="shared" si="1"/>
        <v>10.231204471728239</v>
      </c>
      <c r="BP11" s="1660">
        <f t="shared" si="1"/>
        <v>9.3518140824823632</v>
      </c>
      <c r="BQ11" s="1660">
        <f t="shared" si="1"/>
        <v>8.5480088756883656</v>
      </c>
      <c r="BR11" s="1660">
        <f t="shared" si="1"/>
        <v>7.8132921692399355</v>
      </c>
      <c r="BS11" s="1660">
        <f t="shared" si="1"/>
        <v>7.1417256825192359</v>
      </c>
      <c r="BT11" s="2422"/>
    </row>
    <row r="12" spans="1:72" ht="14.25" customHeight="1">
      <c r="A12" s="209"/>
      <c r="B12" s="4508" t="s">
        <v>926</v>
      </c>
      <c r="C12" s="1753">
        <f>1000+AL64</f>
        <v>1040.6494</v>
      </c>
      <c r="D12" s="3525" t="s">
        <v>649</v>
      </c>
      <c r="E12" s="3525"/>
      <c r="F12" s="3525"/>
      <c r="G12" s="1123">
        <f>1000+AL63</f>
        <v>1041.8306500000001</v>
      </c>
      <c r="H12" s="2429">
        <v>1040</v>
      </c>
      <c r="I12" s="3526" t="s">
        <v>650</v>
      </c>
      <c r="J12" s="3527"/>
      <c r="K12" s="3527"/>
      <c r="L12" s="3527"/>
      <c r="M12" s="3527"/>
      <c r="N12" s="3527"/>
      <c r="O12" s="3527"/>
      <c r="P12" s="3527"/>
      <c r="Q12" s="3528"/>
      <c r="R12" s="937"/>
      <c r="S12" s="937"/>
      <c r="T12" s="937"/>
      <c r="U12" s="987"/>
      <c r="V12" s="245">
        <v>789.4</v>
      </c>
      <c r="W12" s="245">
        <v>7.01</v>
      </c>
      <c r="X12" s="245"/>
      <c r="Y12" s="245">
        <v>3.85</v>
      </c>
      <c r="Z12" s="245"/>
      <c r="AA12" s="245"/>
      <c r="AH12" s="999"/>
      <c r="AI12" s="984"/>
      <c r="AJ12" s="999"/>
      <c r="AK12" s="999"/>
      <c r="AL12" s="999"/>
      <c r="AM12" s="999"/>
      <c r="AN12" s="977"/>
      <c r="AO12" s="982"/>
      <c r="AP12" s="3538"/>
      <c r="AQ12" s="1034"/>
      <c r="AR12" s="3529" t="s">
        <v>140</v>
      </c>
      <c r="AS12" s="3530"/>
      <c r="AT12" s="1669">
        <v>1000</v>
      </c>
      <c r="AU12" s="3356" t="str">
        <f>"g = "&amp;1*FIXED((AT12*0.2489/0.262),1)&amp;"g CANE Sugar"</f>
        <v>g = 950g CANE Sugar</v>
      </c>
      <c r="AV12" s="3357"/>
      <c r="AW12" s="3357"/>
      <c r="AX12" s="3358"/>
      <c r="AY12" s="974"/>
      <c r="AZ12" s="1034"/>
      <c r="BA12" s="4345">
        <v>6</v>
      </c>
      <c r="BB12" s="4352">
        <v>1.377</v>
      </c>
      <c r="BC12" s="3347"/>
      <c r="BD12" s="2425">
        <f t="shared" si="2"/>
        <v>30</v>
      </c>
      <c r="BE12" s="1660">
        <f t="shared" si="1"/>
        <v>27.783844586623285</v>
      </c>
      <c r="BF12" s="1660">
        <f t="shared" si="1"/>
        <v>25.395773272703941</v>
      </c>
      <c r="BG12" s="1660">
        <f t="shared" si="1"/>
        <v>23.212960974778021</v>
      </c>
      <c r="BH12" s="1660">
        <f t="shared" si="1"/>
        <v>21.217765311983186</v>
      </c>
      <c r="BI12" s="1660">
        <f t="shared" si="1"/>
        <v>19.394060297760095</v>
      </c>
      <c r="BJ12" s="1660">
        <f t="shared" si="1"/>
        <v>17.727106003040163</v>
      </c>
      <c r="BK12" s="1660">
        <f t="shared" si="1"/>
        <v>16.203429422116251</v>
      </c>
      <c r="BL12" s="1660">
        <f t="shared" si="1"/>
        <v>14.810715578305642</v>
      </c>
      <c r="BM12" s="1660">
        <f t="shared" si="1"/>
        <v>13.537707989276779</v>
      </c>
      <c r="BN12" s="1660">
        <f t="shared" si="1"/>
        <v>12.37411768755973</v>
      </c>
      <c r="BO12" s="1660">
        <f t="shared" si="1"/>
        <v>11.310540060907208</v>
      </c>
      <c r="BP12" s="1660">
        <f t="shared" si="1"/>
        <v>10.338378840375748</v>
      </c>
      <c r="BQ12" s="1660">
        <f t="shared" si="1"/>
        <v>9.4497766217677945</v>
      </c>
      <c r="BR12" s="1660">
        <f t="shared" si="1"/>
        <v>8.6375513588805362</v>
      </c>
      <c r="BS12" s="1660">
        <f t="shared" si="1"/>
        <v>7.8951383152739396</v>
      </c>
      <c r="BT12" s="2422"/>
    </row>
    <row r="13" spans="1:72" ht="14.25" customHeight="1">
      <c r="A13" s="209"/>
      <c r="B13" s="4508" t="s">
        <v>652</v>
      </c>
      <c r="C13" s="2175">
        <f>1000+AL65</f>
        <v>1009.755856</v>
      </c>
      <c r="D13" s="3531" t="s">
        <v>927</v>
      </c>
      <c r="E13" s="3531"/>
      <c r="F13" s="3531"/>
      <c r="G13" s="1123">
        <f>1000+AL66</f>
        <v>1009.755856</v>
      </c>
      <c r="H13" s="4509">
        <v>1010</v>
      </c>
      <c r="I13" s="940"/>
      <c r="J13" s="941"/>
      <c r="K13" s="942"/>
      <c r="L13" s="3532" t="s">
        <v>654</v>
      </c>
      <c r="M13" s="3533"/>
      <c r="N13" s="3534" t="s">
        <v>655</v>
      </c>
      <c r="O13" s="3535"/>
      <c r="P13" s="3536" t="s">
        <v>656</v>
      </c>
      <c r="Q13" s="3537"/>
      <c r="R13" s="937"/>
      <c r="S13" s="937"/>
      <c r="T13" s="937"/>
      <c r="U13" s="987"/>
      <c r="V13" s="83"/>
      <c r="W13" s="989">
        <f>0.01*V14*(G12-G13)/(7.75-(3*(G12-1000)/800))</f>
        <v>0.23375337544779332</v>
      </c>
      <c r="X13" s="989"/>
      <c r="Y13" s="1008" t="s">
        <v>587</v>
      </c>
      <c r="Z13" s="1008"/>
      <c r="AA13" s="1008"/>
      <c r="AH13" s="999"/>
      <c r="AI13" s="984"/>
      <c r="AJ13" s="999"/>
      <c r="AK13" s="999"/>
      <c r="AL13" s="999"/>
      <c r="AM13" s="999"/>
      <c r="AN13" s="977"/>
      <c r="AO13" s="982"/>
      <c r="AP13" s="1650"/>
      <c r="AQ13" s="1033"/>
      <c r="AR13" s="1667"/>
      <c r="AS13" s="1667"/>
      <c r="AT13" s="1667"/>
      <c r="AU13" s="1667"/>
      <c r="AV13" s="1667"/>
      <c r="AW13" s="1667"/>
      <c r="AX13" s="1667"/>
      <c r="AY13" s="1667"/>
      <c r="AZ13" s="342"/>
      <c r="BA13" s="4345">
        <v>23</v>
      </c>
      <c r="BB13" s="4352">
        <v>0.80200000000000005</v>
      </c>
      <c r="BC13" s="1659"/>
      <c r="BD13" s="2425">
        <f t="shared" si="2"/>
        <v>35</v>
      </c>
      <c r="BE13" s="1660">
        <f t="shared" si="1"/>
        <v>29.954578542080704</v>
      </c>
      <c r="BF13" s="1660">
        <f t="shared" si="1"/>
        <v>27.379928748245938</v>
      </c>
      <c r="BG13" s="1660">
        <f t="shared" si="1"/>
        <v>25.026574725659668</v>
      </c>
      <c r="BH13" s="1660">
        <f t="shared" si="1"/>
        <v>22.875495705559583</v>
      </c>
      <c r="BI13" s="1660">
        <f t="shared" si="1"/>
        <v>20.909305788400562</v>
      </c>
      <c r="BJ13" s="1660">
        <f t="shared" si="1"/>
        <v>19.112113423910895</v>
      </c>
      <c r="BK13" s="1660">
        <f t="shared" si="1"/>
        <v>17.469392969089871</v>
      </c>
      <c r="BL13" s="1660">
        <f t="shared" si="1"/>
        <v>15.967867286026078</v>
      </c>
      <c r="BM13" s="1660">
        <f t="shared" si="1"/>
        <v>14.595400430643901</v>
      </c>
      <c r="BN13" s="1660">
        <f t="shared" si="1"/>
        <v>13.340899565044911</v>
      </c>
      <c r="BO13" s="1660">
        <f t="shared" si="1"/>
        <v>12.194225300659575</v>
      </c>
      <c r="BP13" s="1660">
        <f t="shared" si="1"/>
        <v>11.146109747565999</v>
      </c>
      <c r="BQ13" s="1660">
        <f t="shared" si="1"/>
        <v>10.188081607616843</v>
      </c>
      <c r="BR13" s="1660">
        <f t="shared" si="1"/>
        <v>9.3123977059464345</v>
      </c>
      <c r="BS13" s="1660">
        <f t="shared" si="1"/>
        <v>8.5119804074676644</v>
      </c>
      <c r="BT13" s="2422"/>
    </row>
    <row r="14" spans="1:72" ht="14.25" customHeight="1">
      <c r="A14" s="209"/>
      <c r="B14" s="4508" t="s">
        <v>657</v>
      </c>
      <c r="C14" s="2176">
        <f>(C12-C13)/(7.75-(3*(AL64)/800))</f>
        <v>4.0662429365935999</v>
      </c>
      <c r="D14" s="3471" t="s">
        <v>928</v>
      </c>
      <c r="E14" s="3471"/>
      <c r="F14" s="3471"/>
      <c r="G14" s="2177">
        <f>(G12-G13)/(7.75-(3*(G12-1000)/800))</f>
        <v>4.2241832571116751</v>
      </c>
      <c r="H14" s="4509">
        <v>4.0999999999999996</v>
      </c>
      <c r="I14" s="3327" t="s">
        <v>660</v>
      </c>
      <c r="J14" s="3472"/>
      <c r="K14" s="3473"/>
      <c r="L14" s="2430">
        <v>330</v>
      </c>
      <c r="M14" s="2431" t="s">
        <v>100</v>
      </c>
      <c r="N14" s="2432">
        <v>1</v>
      </c>
      <c r="O14" s="2433" t="s">
        <v>661</v>
      </c>
      <c r="P14" s="2430">
        <v>12</v>
      </c>
      <c r="Q14" s="2341" t="s">
        <v>110</v>
      </c>
      <c r="R14" s="937"/>
      <c r="S14" s="937"/>
      <c r="T14" s="937"/>
      <c r="U14" s="987"/>
      <c r="V14" s="245">
        <f>V12*W12/1000</f>
        <v>5.5336939999999997</v>
      </c>
      <c r="W14" s="989">
        <f>0.00000001*G13*((1000*G12)/V14+(819.2*G13)-1000400)</f>
        <v>0.15209319570569874</v>
      </c>
      <c r="X14" s="989"/>
      <c r="Y14" s="1008" t="s">
        <v>587</v>
      </c>
      <c r="Z14" s="1008"/>
      <c r="AA14" s="1008"/>
      <c r="AH14" s="999"/>
      <c r="AI14" s="984"/>
      <c r="AJ14" s="999"/>
      <c r="AK14" s="999"/>
      <c r="AL14" s="999"/>
      <c r="AM14" s="999"/>
      <c r="AN14" s="977"/>
      <c r="AO14" s="982"/>
      <c r="AP14" s="1013"/>
      <c r="AQ14" s="1033"/>
      <c r="AR14" s="1667"/>
      <c r="AS14" s="1667"/>
      <c r="AT14" s="1667"/>
      <c r="AU14" s="1667"/>
      <c r="AV14" s="1667"/>
      <c r="AW14" s="1667"/>
      <c r="AX14" s="1667"/>
      <c r="AY14" s="1667"/>
      <c r="AZ14" s="342"/>
      <c r="BA14" s="4345">
        <f>(BA13+BA15)/2</f>
        <v>23.5</v>
      </c>
      <c r="BB14" s="4345">
        <f>(BB13+BB15)/2</f>
        <v>0.79150000000000009</v>
      </c>
      <c r="BC14" s="1659"/>
      <c r="BD14" s="2425">
        <f t="shared" si="2"/>
        <v>40</v>
      </c>
      <c r="BE14" s="1660">
        <f t="shared" si="1"/>
        <v>31.731825188164301</v>
      </c>
      <c r="BF14" s="1660">
        <f t="shared" si="1"/>
        <v>29.004417854960234</v>
      </c>
      <c r="BG14" s="1660">
        <f t="shared" si="1"/>
        <v>26.511436077711583</v>
      </c>
      <c r="BH14" s="1660">
        <f t="shared" si="1"/>
        <v>24.232730559092648</v>
      </c>
      <c r="BI14" s="1660">
        <f t="shared" si="1"/>
        <v>22.149883870050648</v>
      </c>
      <c r="BJ14" s="1660">
        <f t="shared" si="1"/>
        <v>20.246061592618979</v>
      </c>
      <c r="BK14" s="1660">
        <f t="shared" si="1"/>
        <v>18.505876257272863</v>
      </c>
      <c r="BL14" s="1660">
        <f t="shared" si="1"/>
        <v>16.9152629751135</v>
      </c>
      <c r="BM14" s="1660">
        <f t="shared" si="1"/>
        <v>15.461365759689293</v>
      </c>
      <c r="BN14" s="1660">
        <f t="shared" si="1"/>
        <v>14.1324336196605</v>
      </c>
      <c r="BO14" s="1660">
        <f t="shared" si="1"/>
        <v>12.917725582485927</v>
      </c>
      <c r="BP14" s="1660">
        <f t="shared" si="1"/>
        <v>11.807423881494234</v>
      </c>
      <c r="BQ14" s="1660">
        <f t="shared" si="1"/>
        <v>10.792554604682264</v>
      </c>
      <c r="BR14" s="1660">
        <f t="shared" si="1"/>
        <v>9.8649151638916219</v>
      </c>
      <c r="BS14" s="1660">
        <f t="shared" si="1"/>
        <v>9.0170079981396327</v>
      </c>
      <c r="BT14" s="2422"/>
    </row>
    <row r="15" spans="1:72" ht="14.25" customHeight="1">
      <c r="A15" s="209"/>
      <c r="B15" s="2178" t="s">
        <v>664</v>
      </c>
      <c r="C15" s="1754">
        <f>VLOOKUP($H$9,$BA$6:$BB$49,2)</f>
        <v>0.877</v>
      </c>
      <c r="D15" s="4510" t="s">
        <v>929</v>
      </c>
      <c r="E15" s="4510"/>
      <c r="F15" s="4510"/>
      <c r="G15" s="2179">
        <f>C62</f>
        <v>1.7022631578947367</v>
      </c>
      <c r="H15" s="2174">
        <v>0.88</v>
      </c>
      <c r="I15" s="3333" t="s">
        <v>583</v>
      </c>
      <c r="J15" s="3474"/>
      <c r="K15" s="3475"/>
      <c r="L15" s="4511">
        <f>W13*L14</f>
        <v>77.138613897771791</v>
      </c>
      <c r="M15" s="943"/>
      <c r="N15" s="944">
        <f>568*W13*N14</f>
        <v>132.77191725434659</v>
      </c>
      <c r="O15" s="438"/>
      <c r="P15" s="4511">
        <f>29.57*W13*P14</f>
        <v>82.945047743894975</v>
      </c>
      <c r="Q15" s="492"/>
      <c r="R15" s="937"/>
      <c r="S15" s="937"/>
      <c r="T15" s="937"/>
      <c r="U15" s="987"/>
      <c r="V15" s="984"/>
      <c r="W15" s="984"/>
      <c r="X15" s="984"/>
      <c r="Y15" s="999"/>
      <c r="Z15" s="999"/>
      <c r="AA15" s="999"/>
      <c r="AB15" s="999"/>
      <c r="AC15" s="999"/>
      <c r="AD15" s="999"/>
      <c r="AE15" s="999"/>
      <c r="AF15" s="999"/>
      <c r="AG15" s="999"/>
      <c r="AH15" s="999"/>
      <c r="AI15" s="984"/>
      <c r="AJ15" s="999"/>
      <c r="AK15" s="999"/>
      <c r="AL15" s="999"/>
      <c r="AM15" s="999"/>
      <c r="AN15" s="977"/>
      <c r="AO15" s="982"/>
      <c r="AP15" s="1013"/>
      <c r="AQ15" s="1033"/>
      <c r="AR15" s="3563" t="s">
        <v>930</v>
      </c>
      <c r="AS15" s="3563"/>
      <c r="AT15" s="3563"/>
      <c r="AU15" s="1670" t="s">
        <v>123</v>
      </c>
      <c r="AV15" s="1671"/>
      <c r="AW15" s="1667"/>
      <c r="AX15" s="1667"/>
      <c r="AY15" s="1667"/>
      <c r="AZ15" s="342"/>
      <c r="BA15" s="4345">
        <v>24</v>
      </c>
      <c r="BB15" s="4352">
        <v>0.78100000000000003</v>
      </c>
      <c r="BC15" s="1659"/>
      <c r="BD15" s="2425">
        <f t="shared" si="2"/>
        <v>45</v>
      </c>
      <c r="BE15" s="1660">
        <f t="shared" si="1"/>
        <v>33.186911673117642</v>
      </c>
      <c r="BF15" s="1660">
        <f t="shared" si="1"/>
        <v>30.334437044667407</v>
      </c>
      <c r="BG15" s="1660">
        <f t="shared" si="1"/>
        <v>27.727137730693432</v>
      </c>
      <c r="BH15" s="1660">
        <f t="shared" si="1"/>
        <v>25.343940472829452</v>
      </c>
      <c r="BI15" s="1660">
        <f t="shared" si="1"/>
        <v>23.165583297092059</v>
      </c>
      <c r="BJ15" s="1660">
        <f t="shared" si="1"/>
        <v>21.174459830736748</v>
      </c>
      <c r="BK15" s="1660">
        <f t="shared" si="1"/>
        <v>19.354477000359658</v>
      </c>
      <c r="BL15" s="1660">
        <f t="shared" si="1"/>
        <v>17.690924961102876</v>
      </c>
      <c r="BM15" s="1660">
        <f t="shared" si="1"/>
        <v>16.170358205678045</v>
      </c>
      <c r="BN15" s="1660">
        <f t="shared" si="1"/>
        <v>14.780486892282784</v>
      </c>
      <c r="BO15" s="1660">
        <f t="shared" si="1"/>
        <v>13.510077513077746</v>
      </c>
      <c r="BP15" s="1660">
        <f t="shared" si="1"/>
        <v>12.348862100386409</v>
      </c>
      <c r="BQ15" s="1660">
        <f t="shared" si="1"/>
        <v>11.287455236784938</v>
      </c>
      <c r="BR15" s="1660">
        <f t="shared" si="1"/>
        <v>10.317278198323816</v>
      </c>
      <c r="BS15" s="1660">
        <f t="shared" si="1"/>
        <v>9.430489617775649</v>
      </c>
      <c r="BT15" s="2422"/>
    </row>
    <row r="16" spans="1:72" ht="14.25" customHeight="1">
      <c r="A16" s="209"/>
      <c r="B16" s="4512" t="s">
        <v>931</v>
      </c>
      <c r="C16" s="1755" t="str">
        <f>K66&amp;","</f>
        <v>28.8 EBU,</v>
      </c>
      <c r="D16" s="3494" t="str">
        <f>"the actual BU ̸ GU ratio is "&amp;FIXED(W16)&amp;" ("&amp;IF(W16&gt;0.81,"Too Hoppy?",IF(W16&gt;0.65,"Very Hoppy",IF(W16&gt;0.55,"Slightly Hoppy",IF(W16&gt;0.45,"Balanced",IF(W16&gt;0.35,"Slightly Malty",IF(W16&gt;0.25,"Very Malty",IF((W16+0.001)&gt;0,"Too Malty?")))))))&amp;")"</f>
        <v>the actual BU ̸ GU ratio is 0.69 (Very Hoppy)</v>
      </c>
      <c r="E16" s="3494"/>
      <c r="F16" s="3494"/>
      <c r="G16" s="3495"/>
      <c r="H16" s="4513">
        <v>30</v>
      </c>
      <c r="I16" s="3496" t="s">
        <v>932</v>
      </c>
      <c r="J16" s="3497"/>
      <c r="K16" s="3498"/>
      <c r="L16" s="945">
        <f>W14*L14</f>
        <v>50.190754582880579</v>
      </c>
      <c r="M16" s="946"/>
      <c r="N16" s="947">
        <f>568*W14*N14</f>
        <v>86.38893516083688</v>
      </c>
      <c r="O16" s="948"/>
      <c r="P16" s="945">
        <f>29.57*W14*P14</f>
        <v>53.968749564210142</v>
      </c>
      <c r="Q16" s="1928"/>
      <c r="R16" s="937"/>
      <c r="S16" s="937"/>
      <c r="T16" s="937"/>
      <c r="U16" s="987"/>
      <c r="V16" s="984" t="s">
        <v>933</v>
      </c>
      <c r="W16" s="245">
        <f>((I64+J64+K64+L64+M64+N64+(I57*'Beer Data Sheet'!R17*'Beer Data Sheet'!T17/('Beer Data Sheet'!O17*H7))))/AL63</f>
        <v>0.68908097392407042</v>
      </c>
      <c r="X16" s="245"/>
      <c r="Y16" s="999"/>
      <c r="Z16" s="999"/>
      <c r="AA16" s="999"/>
      <c r="AB16" s="999"/>
      <c r="AC16" s="999"/>
      <c r="AD16" s="999"/>
      <c r="AE16" s="999"/>
      <c r="AF16" s="999"/>
      <c r="AG16" s="999"/>
      <c r="AH16" s="999"/>
      <c r="AI16" s="984"/>
      <c r="AJ16" s="999"/>
      <c r="AK16" s="999"/>
      <c r="AL16" s="999"/>
      <c r="AM16" s="999"/>
      <c r="AN16" s="977"/>
      <c r="AO16" s="1013"/>
      <c r="AP16" s="1013"/>
      <c r="AQ16" s="1033"/>
      <c r="AR16" s="3563"/>
      <c r="AS16" s="3563"/>
      <c r="AT16" s="3563"/>
      <c r="AU16" s="1672" t="s">
        <v>934</v>
      </c>
      <c r="AV16" s="1672" t="s">
        <v>130</v>
      </c>
      <c r="AW16" s="3561" t="s">
        <v>935</v>
      </c>
      <c r="AX16" s="3562"/>
      <c r="AY16" s="3562"/>
      <c r="AZ16" s="342"/>
      <c r="BA16" s="4345">
        <f>(BA15+BA17)/2</f>
        <v>24.5</v>
      </c>
      <c r="BB16" s="4345">
        <f>(BB15+BB17)/2</f>
        <v>0.77</v>
      </c>
      <c r="BC16" s="1659"/>
      <c r="BD16" s="2425">
        <f t="shared" si="2"/>
        <v>50</v>
      </c>
      <c r="BE16" s="1660">
        <f t="shared" si="1"/>
        <v>34.378235726737081</v>
      </c>
      <c r="BF16" s="1660">
        <f t="shared" si="1"/>
        <v>31.423364657464532</v>
      </c>
      <c r="BG16" s="1660">
        <f t="shared" si="1"/>
        <v>28.722470060557413</v>
      </c>
      <c r="BH16" s="1660">
        <f t="shared" si="1"/>
        <v>26.253722202330909</v>
      </c>
      <c r="BI16" s="1660">
        <f t="shared" si="1"/>
        <v>23.997167653894547</v>
      </c>
      <c r="BJ16" s="1660">
        <f t="shared" si="1"/>
        <v>21.934568019387179</v>
      </c>
      <c r="BK16" s="1660">
        <f t="shared" si="1"/>
        <v>20.049252525809649</v>
      </c>
      <c r="BL16" s="1660">
        <f t="shared" si="1"/>
        <v>18.32598328302592</v>
      </c>
      <c r="BM16" s="1660">
        <f t="shared" si="1"/>
        <v>16.750832124909024</v>
      </c>
      <c r="BN16" s="1660">
        <f t="shared" si="1"/>
        <v>15.311068036211481</v>
      </c>
      <c r="BO16" s="1660">
        <f t="shared" si="1"/>
        <v>13.995054255298383</v>
      </c>
      <c r="BP16" s="1660">
        <f t="shared" si="1"/>
        <v>12.792154221085202</v>
      </c>
      <c r="BQ16" s="1660">
        <f t="shared" si="1"/>
        <v>11.692645604005131</v>
      </c>
      <c r="BR16" s="1660">
        <f t="shared" si="1"/>
        <v>10.687641726169129</v>
      </c>
      <c r="BS16" s="1660">
        <f t="shared" si="1"/>
        <v>9.7690197356041502</v>
      </c>
      <c r="BT16" s="2422"/>
    </row>
    <row r="17" spans="1:72" ht="14.25" customHeight="1">
      <c r="A17" s="209"/>
      <c r="B17" s="4514" t="s">
        <v>936</v>
      </c>
      <c r="C17" s="1756" t="str">
        <f>Q66&amp;","</f>
        <v>28.8 EBU,</v>
      </c>
      <c r="D17" s="3499" t="str">
        <f>"the actual BU ̸ GU ratio is "&amp;FIXED(W17)&amp;" ("&amp;IF(W17&gt;0.81,"Too Hoppy?",IF(W17&gt;0.65,"Very Hoppy",IF(W17&gt;0.55,"Slightly Hoppy",IF(W17&gt;0.45,"Balanced",IF(W17&gt;0.35,"Slightly Malty",IF(W17&gt;0.25,"Very Malty",IF((W17+0.001)&gt;0,"Too Malty?")))))))&amp;")"</f>
        <v>the actual BU ̸ GU ratio is 0.69 (Very Hoppy)</v>
      </c>
      <c r="E17" s="3499"/>
      <c r="F17" s="3499"/>
      <c r="G17" s="3500"/>
      <c r="H17" s="4515" t="str">
        <f>"("&amp;IF(H16/((H12-1000)+0.001)&gt;0.801,"Too Hoppy?",IF(H16/(H12-1000)&gt;0.65,"Very Hoppy",IF(H16/(H12-1000)&gt;0.55,"Slightly Hoppy",IF(H16/(H12-1000)&gt;0.45,"Balanced",IF(H16/(H12-1000)&gt;0.35,"Slightly Malty",IF(H16/(H12-1000)&gt;0.25,"Very Malty",IF((H16+0.001)/(H12-1000)&gt;0,"Too Malty?")))))))&amp;")"</f>
        <v>(Very Hoppy)</v>
      </c>
      <c r="I17" s="3501" t="s">
        <v>588</v>
      </c>
      <c r="J17" s="3502"/>
      <c r="K17" s="3503"/>
      <c r="L17" s="4516">
        <f>SUM(L15:L16)</f>
        <v>127.32936848065236</v>
      </c>
      <c r="M17" s="949"/>
      <c r="N17" s="950">
        <f>SUM(N15:N16)</f>
        <v>219.16085241518346</v>
      </c>
      <c r="O17" s="951"/>
      <c r="P17" s="4516">
        <f>SUM(P15:P16)</f>
        <v>136.91379730810513</v>
      </c>
      <c r="Q17" s="990"/>
      <c r="R17" s="937"/>
      <c r="S17" s="937"/>
      <c r="T17" s="937"/>
      <c r="U17" s="987"/>
      <c r="V17" s="984"/>
      <c r="W17" s="245">
        <f>((O64+P64+Q64+R64+S64+T64+(O57*'Beer Data Sheet'!R17*'Beer Data Sheet'!T17/('Beer Data Sheet'!O17*H7))))/AL63</f>
        <v>0.68908097392407042</v>
      </c>
      <c r="X17" s="245"/>
      <c r="Y17" s="999"/>
      <c r="Z17" s="999"/>
      <c r="AA17" s="999"/>
      <c r="AB17" s="999"/>
      <c r="AC17" s="999"/>
      <c r="AD17" s="999"/>
      <c r="AE17" s="999"/>
      <c r="AF17" s="999"/>
      <c r="AG17" s="999"/>
      <c r="AH17" s="999"/>
      <c r="AI17" s="984"/>
      <c r="AJ17" s="999"/>
      <c r="AK17" s="999"/>
      <c r="AL17" s="999"/>
      <c r="AM17" s="999"/>
      <c r="AN17" s="977"/>
      <c r="AO17" s="1013"/>
      <c r="AP17" s="1013"/>
      <c r="AQ17" s="1033"/>
      <c r="AR17" s="2863" t="s">
        <v>937</v>
      </c>
      <c r="AS17" s="2863"/>
      <c r="AT17" s="2863"/>
      <c r="AU17" s="1673">
        <v>300</v>
      </c>
      <c r="AV17" s="1908">
        <v>300</v>
      </c>
      <c r="AW17" s="3561"/>
      <c r="AX17" s="3562"/>
      <c r="AY17" s="3562"/>
      <c r="AZ17" s="342"/>
      <c r="BA17" s="4345">
        <v>25</v>
      </c>
      <c r="BB17" s="4352">
        <v>0.75900000000000001</v>
      </c>
      <c r="BC17" s="1659"/>
      <c r="BD17" s="2425">
        <f t="shared" si="2"/>
        <v>55</v>
      </c>
      <c r="BE17" s="1660">
        <f t="shared" ref="BE17:BS30" si="3">165*POWER(0.000125,(BE$5)/1000-1)*(1-EXP(-$C$118*$BD17))/$D$118</f>
        <v>35.353609366316839</v>
      </c>
      <c r="BF17" s="1660">
        <f t="shared" si="3"/>
        <v>32.314903181937325</v>
      </c>
      <c r="BG17" s="1660">
        <f t="shared" si="3"/>
        <v>29.537379248549808</v>
      </c>
      <c r="BH17" s="1660">
        <f t="shared" si="3"/>
        <v>26.998588482862225</v>
      </c>
      <c r="BI17" s="1660">
        <f t="shared" si="3"/>
        <v>24.678011340587314</v>
      </c>
      <c r="BJ17" s="1660">
        <f t="shared" si="3"/>
        <v>22.556891969101688</v>
      </c>
      <c r="BK17" s="1660">
        <f t="shared" si="3"/>
        <v>20.618086614981468</v>
      </c>
      <c r="BL17" s="1660">
        <f t="shared" si="3"/>
        <v>18.845925061182417</v>
      </c>
      <c r="BM17" s="1660">
        <f t="shared" si="3"/>
        <v>17.226083973943126</v>
      </c>
      <c r="BN17" s="1660">
        <f t="shared" si="3"/>
        <v>15.745471135749201</v>
      </c>
      <c r="BO17" s="1660">
        <f t="shared" si="3"/>
        <v>14.392119628681993</v>
      </c>
      <c r="BP17" s="1660">
        <f t="shared" si="3"/>
        <v>13.155091112898457</v>
      </c>
      <c r="BQ17" s="1660">
        <f t="shared" si="3"/>
        <v>12.024387418499263</v>
      </c>
      <c r="BR17" s="1660">
        <f t="shared" si="3"/>
        <v>10.990869736234538</v>
      </c>
      <c r="BS17" s="1660">
        <f t="shared" si="3"/>
        <v>10.046184753913456</v>
      </c>
      <c r="BT17" s="2422"/>
    </row>
    <row r="18" spans="1:72" ht="14.25" customHeight="1">
      <c r="A18" s="209"/>
      <c r="B18" s="3504" t="s">
        <v>938</v>
      </c>
      <c r="C18" s="3505"/>
      <c r="D18" s="3505"/>
      <c r="E18" s="3505"/>
      <c r="F18" s="3505"/>
      <c r="G18" s="3506"/>
      <c r="H18" s="3509"/>
      <c r="I18" s="4422" t="s">
        <v>590</v>
      </c>
      <c r="J18" s="3507"/>
      <c r="K18" s="3508"/>
      <c r="L18" s="4517">
        <f>L16/Y12</f>
        <v>13.036559631917033</v>
      </c>
      <c r="M18" s="952" t="s">
        <v>82</v>
      </c>
      <c r="N18" s="953">
        <f>N16/Y12</f>
        <v>22.438684457360228</v>
      </c>
      <c r="O18" s="446" t="s">
        <v>82</v>
      </c>
      <c r="P18" s="4517">
        <f>P16/Y12</f>
        <v>14.017857029664972</v>
      </c>
      <c r="Q18" s="952" t="s">
        <v>82</v>
      </c>
      <c r="R18" s="939"/>
      <c r="S18" s="446"/>
      <c r="T18" s="991"/>
      <c r="U18" s="992"/>
      <c r="V18" s="984"/>
      <c r="W18" s="245"/>
      <c r="X18" s="245"/>
      <c r="Y18" s="999"/>
      <c r="Z18" s="999"/>
      <c r="AA18" s="999"/>
      <c r="AB18" s="999"/>
      <c r="AC18" s="999"/>
      <c r="AD18" s="999"/>
      <c r="AE18" s="999"/>
      <c r="AF18" s="999"/>
      <c r="AG18" s="999"/>
      <c r="AH18" s="999"/>
      <c r="AI18" s="984"/>
      <c r="AJ18" s="999"/>
      <c r="AK18" s="999"/>
      <c r="AL18" s="999"/>
      <c r="AM18" s="999"/>
      <c r="AN18" s="977"/>
      <c r="AO18" s="1013"/>
      <c r="AP18" s="1013"/>
      <c r="AQ18" s="1033"/>
      <c r="AR18" s="2863" t="s">
        <v>134</v>
      </c>
      <c r="AS18" s="2863"/>
      <c r="AT18" s="2863"/>
      <c r="AU18" s="1673">
        <v>310</v>
      </c>
      <c r="AV18" s="1908">
        <v>310</v>
      </c>
      <c r="AW18" s="3561"/>
      <c r="AX18" s="3562"/>
      <c r="AY18" s="3562"/>
      <c r="AZ18" s="342"/>
      <c r="BA18" s="4345">
        <f>(BA17+BA19)/2</f>
        <v>25.5</v>
      </c>
      <c r="BB18" s="4345">
        <f>(BB17+BB19)/2</f>
        <v>0.74849999999999994</v>
      </c>
      <c r="BC18" s="1659"/>
      <c r="BD18" s="2425">
        <f t="shared" si="2"/>
        <v>60</v>
      </c>
      <c r="BE18" s="1660">
        <f t="shared" si="3"/>
        <v>36.152177760782394</v>
      </c>
      <c r="BF18" s="1660">
        <f t="shared" si="3"/>
        <v>33.044833189476975</v>
      </c>
      <c r="BG18" s="1660">
        <f t="shared" si="3"/>
        <v>30.204570461724991</v>
      </c>
      <c r="BH18" s="1660">
        <f t="shared" si="3"/>
        <v>27.608433413664024</v>
      </c>
      <c r="BI18" s="1660">
        <f t="shared" si="3"/>
        <v>25.23543900492168</v>
      </c>
      <c r="BJ18" s="1660">
        <f t="shared" si="3"/>
        <v>23.066407725109915</v>
      </c>
      <c r="BK18" s="1660">
        <f t="shared" si="3"/>
        <v>21.083808577185543</v>
      </c>
      <c r="BL18" s="1660">
        <f t="shared" si="3"/>
        <v>19.27161738476919</v>
      </c>
      <c r="BM18" s="1660">
        <f t="shared" si="3"/>
        <v>17.615187278204523</v>
      </c>
      <c r="BN18" s="1660">
        <f t="shared" si="3"/>
        <v>16.101130312573126</v>
      </c>
      <c r="BO18" s="1660">
        <f t="shared" si="3"/>
        <v>14.717209260853547</v>
      </c>
      <c r="BP18" s="1660">
        <f t="shared" si="3"/>
        <v>13.45223870765251</v>
      </c>
      <c r="BQ18" s="1660">
        <f t="shared" si="3"/>
        <v>12.2959946441075</v>
      </c>
      <c r="BR18" s="1660">
        <f t="shared" si="3"/>
        <v>11.239131833269731</v>
      </c>
      <c r="BS18" s="1660">
        <f t="shared" si="3"/>
        <v>10.273108278080707</v>
      </c>
      <c r="BT18" s="2422"/>
    </row>
    <row r="19" spans="1:72" ht="14.25" customHeight="1">
      <c r="A19" s="209"/>
      <c r="B19" s="891" t="s">
        <v>271</v>
      </c>
      <c r="C19" s="892" t="str">
        <f>W19&amp;" EBC"</f>
        <v>32.2 EBC</v>
      </c>
      <c r="D19" s="3510" t="str">
        <f>"≈  "&amp;FIXED(0.508*W19,1)&amp;" SRM"</f>
        <v>≈  16.4 SRM</v>
      </c>
      <c r="E19" s="3510"/>
      <c r="F19" s="3511"/>
      <c r="G19" s="2180" t="s">
        <v>939</v>
      </c>
      <c r="H19" s="893" t="s">
        <v>674</v>
      </c>
      <c r="I19" s="3300" t="s">
        <v>940</v>
      </c>
      <c r="J19" s="3512"/>
      <c r="K19" s="3513"/>
      <c r="L19" s="954">
        <f>G14*L14/1000</f>
        <v>1.3939804748468527</v>
      </c>
      <c r="M19" s="955"/>
      <c r="N19" s="956">
        <f>G14*N14*568.26/1000</f>
        <v>2.4004343776862807</v>
      </c>
      <c r="O19" s="449"/>
      <c r="P19" s="954">
        <f>G14*P14*29.57/1000</f>
        <v>1.4989091869535065</v>
      </c>
      <c r="Q19" s="993"/>
      <c r="R19" s="939"/>
      <c r="S19" s="994"/>
      <c r="T19" s="991"/>
      <c r="U19" s="992"/>
      <c r="V19" s="984"/>
      <c r="W19" s="213" t="str">
        <f>FIXED(SUM(AM25:AM55)/$H7,1)</f>
        <v>32.2</v>
      </c>
      <c r="X19" s="213"/>
      <c r="Y19" s="999"/>
      <c r="Z19" s="999"/>
      <c r="AA19" s="999"/>
      <c r="AB19" s="999"/>
      <c r="AC19" s="999"/>
      <c r="AD19" s="999"/>
      <c r="AE19" s="999"/>
      <c r="AF19" s="999"/>
      <c r="AG19" s="999"/>
      <c r="AH19" s="999"/>
      <c r="AI19" s="984"/>
      <c r="AJ19" s="999"/>
      <c r="AK19" s="999"/>
      <c r="AL19" s="999"/>
      <c r="AM19" s="999"/>
      <c r="AN19" s="977"/>
      <c r="AO19" s="999"/>
      <c r="AP19" s="1013"/>
      <c r="AQ19" s="1033"/>
      <c r="AR19" s="3564" t="s">
        <v>941</v>
      </c>
      <c r="AS19" s="4141"/>
      <c r="AT19" s="4139"/>
      <c r="AU19" s="1673">
        <v>303</v>
      </c>
      <c r="AV19" s="1908">
        <v>303</v>
      </c>
      <c r="AW19" s="3561"/>
      <c r="AX19" s="3562"/>
      <c r="AY19" s="3562"/>
      <c r="AZ19" s="1042"/>
      <c r="BA19" s="4345">
        <v>26</v>
      </c>
      <c r="BB19" s="4352">
        <v>0.73799999999999999</v>
      </c>
      <c r="BC19" s="1659"/>
      <c r="BD19" s="2425">
        <f t="shared" si="2"/>
        <v>65</v>
      </c>
      <c r="BE19" s="1660">
        <f t="shared" si="3"/>
        <v>36.805990263767441</v>
      </c>
      <c r="BF19" s="1660">
        <f t="shared" si="3"/>
        <v>33.642449334244127</v>
      </c>
      <c r="BG19" s="1660">
        <f t="shared" si="3"/>
        <v>30.750820426134922</v>
      </c>
      <c r="BH19" s="1660">
        <f t="shared" si="3"/>
        <v>28.107732213120169</v>
      </c>
      <c r="BI19" s="1660">
        <f t="shared" si="3"/>
        <v>25.691822176328653</v>
      </c>
      <c r="BJ19" s="1660">
        <f t="shared" si="3"/>
        <v>23.483563943731625</v>
      </c>
      <c r="BK19" s="1660">
        <f t="shared" si="3"/>
        <v>21.465109470025837</v>
      </c>
      <c r="BL19" s="1660">
        <f t="shared" si="3"/>
        <v>19.620144781438903</v>
      </c>
      <c r="BM19" s="1660">
        <f t="shared" si="3"/>
        <v>17.933758119527582</v>
      </c>
      <c r="BN19" s="1660">
        <f t="shared" si="3"/>
        <v>16.392319418253273</v>
      </c>
      <c r="BO19" s="1660">
        <f t="shared" si="3"/>
        <v>14.983370140219206</v>
      </c>
      <c r="BP19" s="1660">
        <f t="shared" si="3"/>
        <v>13.695522581680803</v>
      </c>
      <c r="BQ19" s="1660">
        <f t="shared" si="3"/>
        <v>12.518367832471153</v>
      </c>
      <c r="BR19" s="1660">
        <f t="shared" si="3"/>
        <v>11.442391646936072</v>
      </c>
      <c r="BS19" s="1660">
        <f t="shared" si="3"/>
        <v>10.45889754591327</v>
      </c>
      <c r="BT19" s="2422"/>
    </row>
    <row r="20" spans="1:72" ht="14.25" customHeight="1">
      <c r="A20" s="209"/>
      <c r="B20" s="3514" t="s">
        <v>942</v>
      </c>
      <c r="C20" s="3514"/>
      <c r="D20" s="3514"/>
      <c r="E20" s="3514"/>
      <c r="F20" s="3514"/>
      <c r="G20" s="3514"/>
      <c r="H20" s="3514"/>
      <c r="I20" s="3569" t="s">
        <v>943</v>
      </c>
      <c r="J20" s="3569"/>
      <c r="K20" s="3569"/>
      <c r="L20" s="3569"/>
      <c r="M20" s="3569"/>
      <c r="N20" s="3569"/>
      <c r="O20" s="3569"/>
      <c r="P20" s="3569"/>
      <c r="Q20" s="3569"/>
      <c r="R20" s="939"/>
      <c r="S20" s="995"/>
      <c r="T20" s="995"/>
      <c r="U20" s="992"/>
      <c r="V20" s="984"/>
      <c r="W20" s="213"/>
      <c r="X20" s="213"/>
      <c r="Y20" s="999"/>
      <c r="Z20" s="999"/>
      <c r="AA20" s="999"/>
      <c r="AB20" s="999"/>
      <c r="AC20" s="999"/>
      <c r="AD20" s="999"/>
      <c r="AE20" s="999"/>
      <c r="AF20" s="999"/>
      <c r="AG20" s="999"/>
      <c r="AH20" s="999"/>
      <c r="AI20" s="984"/>
      <c r="AJ20" s="999"/>
      <c r="AK20" s="999"/>
      <c r="AL20" s="999"/>
      <c r="AM20" s="999"/>
      <c r="AN20" s="1013"/>
      <c r="AO20" s="1013"/>
      <c r="AP20" s="1013"/>
      <c r="AQ20" s="1033"/>
      <c r="AR20" s="2863" t="s">
        <v>137</v>
      </c>
      <c r="AS20" s="2863"/>
      <c r="AT20" s="2863"/>
      <c r="AU20" s="1867">
        <v>365</v>
      </c>
      <c r="AV20" s="1908">
        <v>365</v>
      </c>
      <c r="AW20" s="3561"/>
      <c r="AX20" s="3562"/>
      <c r="AY20" s="3562"/>
      <c r="AZ20" s="1043"/>
      <c r="BA20" s="4345">
        <v>27</v>
      </c>
      <c r="BB20" s="4352">
        <v>0.71799999999999997</v>
      </c>
      <c r="BC20" s="1659"/>
      <c r="BD20" s="2425">
        <f t="shared" si="2"/>
        <v>70</v>
      </c>
      <c r="BE20" s="1660">
        <f t="shared" si="3"/>
        <v>37.3412866667082</v>
      </c>
      <c r="BF20" s="1660">
        <f t="shared" si="3"/>
        <v>34.131736050500898</v>
      </c>
      <c r="BG20" s="1660">
        <f t="shared" si="3"/>
        <v>31.198052070865085</v>
      </c>
      <c r="BH20" s="1660">
        <f t="shared" si="3"/>
        <v>28.516523495209835</v>
      </c>
      <c r="BI20" s="1660">
        <f t="shared" si="3"/>
        <v>26.065477113946802</v>
      </c>
      <c r="BJ20" s="1660">
        <f t="shared" si="3"/>
        <v>23.825102568754943</v>
      </c>
      <c r="BK20" s="1660">
        <f t="shared" si="3"/>
        <v>21.777292237170283</v>
      </c>
      <c r="BL20" s="1660">
        <f t="shared" si="3"/>
        <v>19.905494879382605</v>
      </c>
      <c r="BM20" s="1660">
        <f t="shared" si="3"/>
        <v>18.194581864352703</v>
      </c>
      <c r="BN20" s="1660">
        <f t="shared" si="3"/>
        <v>16.630724894034884</v>
      </c>
      <c r="BO20" s="1660">
        <f t="shared" si="3"/>
        <v>15.201284237422151</v>
      </c>
      <c r="BP20" s="1660">
        <f t="shared" si="3"/>
        <v>13.894706571075719</v>
      </c>
      <c r="BQ20" s="1660">
        <f t="shared" si="3"/>
        <v>12.70043160044448</v>
      </c>
      <c r="BR20" s="1660">
        <f t="shared" si="3"/>
        <v>11.608806707249606</v>
      </c>
      <c r="BS20" s="1660">
        <f t="shared" si="3"/>
        <v>10.611008933079631</v>
      </c>
      <c r="BT20" s="2422"/>
    </row>
    <row r="21" spans="1:72" ht="15" customHeight="1">
      <c r="A21" s="209"/>
      <c r="B21" s="3476" t="s">
        <v>944</v>
      </c>
      <c r="C21" s="3477"/>
      <c r="D21" s="3477"/>
      <c r="E21" s="3477"/>
      <c r="F21" s="3478"/>
      <c r="G21" s="2952"/>
      <c r="H21" s="2953"/>
      <c r="I21" s="3486" t="s">
        <v>677</v>
      </c>
      <c r="J21" s="3487"/>
      <c r="K21" s="3487"/>
      <c r="L21" s="3487"/>
      <c r="M21" s="3487"/>
      <c r="N21" s="3487"/>
      <c r="O21" s="3489" t="s">
        <v>678</v>
      </c>
      <c r="P21" s="3490"/>
      <c r="Q21" s="3490"/>
      <c r="R21" s="3490"/>
      <c r="S21" s="3490"/>
      <c r="T21" s="3491"/>
      <c r="U21" s="3560" t="s">
        <v>945</v>
      </c>
      <c r="V21" s="342"/>
      <c r="W21" s="342"/>
      <c r="X21" s="342"/>
      <c r="Y21" s="342"/>
      <c r="Z21" s="342"/>
      <c r="AA21" s="342"/>
      <c r="AB21" s="342"/>
      <c r="AC21" s="342"/>
      <c r="AD21" s="342"/>
      <c r="AE21" s="342"/>
      <c r="AF21" s="342"/>
      <c r="AG21" s="342"/>
      <c r="AH21" s="342"/>
      <c r="AI21" s="342"/>
      <c r="AJ21" s="342"/>
      <c r="AK21" s="342"/>
      <c r="AL21" s="342"/>
      <c r="AM21" s="342"/>
      <c r="AN21" s="999"/>
      <c r="AO21" s="1013"/>
      <c r="AP21" s="1035"/>
      <c r="AQ21" s="1035"/>
      <c r="AR21" s="3037" t="s">
        <v>139</v>
      </c>
      <c r="AS21" s="3037"/>
      <c r="AT21" s="3037"/>
      <c r="AU21" s="1674">
        <v>375</v>
      </c>
      <c r="AV21" s="1908">
        <v>375</v>
      </c>
      <c r="AW21" s="3561"/>
      <c r="AX21" s="3562"/>
      <c r="AY21" s="3562"/>
      <c r="AZ21" s="1043"/>
      <c r="BA21" s="4345">
        <v>28</v>
      </c>
      <c r="BB21" s="4352">
        <v>0.69899999999999995</v>
      </c>
      <c r="BC21" s="1659"/>
      <c r="BD21" s="2425">
        <f t="shared" si="2"/>
        <v>75</v>
      </c>
      <c r="BE21" s="1660">
        <f t="shared" si="3"/>
        <v>37.779550293807816</v>
      </c>
      <c r="BF21" s="1660">
        <f t="shared" si="3"/>
        <v>34.532330132172852</v>
      </c>
      <c r="BG21" s="1660">
        <f t="shared" si="3"/>
        <v>31.564214372155313</v>
      </c>
      <c r="BH21" s="1660">
        <f t="shared" si="3"/>
        <v>28.851213489446817</v>
      </c>
      <c r="BI21" s="1660">
        <f t="shared" si="3"/>
        <v>26.371399902414211</v>
      </c>
      <c r="BJ21" s="1660">
        <f t="shared" si="3"/>
        <v>24.104730744425499</v>
      </c>
      <c r="BK21" s="1660">
        <f t="shared" si="3"/>
        <v>22.032885869212421</v>
      </c>
      <c r="BL21" s="1660">
        <f t="shared" si="3"/>
        <v>20.139119779962929</v>
      </c>
      <c r="BM21" s="1660">
        <f t="shared" si="3"/>
        <v>18.408126285373989</v>
      </c>
      <c r="BN21" s="1660">
        <f t="shared" si="3"/>
        <v>16.825914788759476</v>
      </c>
      <c r="BO21" s="1660">
        <f t="shared" si="3"/>
        <v>15.379697210331424</v>
      </c>
      <c r="BP21" s="1660">
        <f t="shared" si="3"/>
        <v>14.057784628714094</v>
      </c>
      <c r="BQ21" s="1660">
        <f t="shared" si="3"/>
        <v>12.849492806305495</v>
      </c>
      <c r="BR21" s="1660">
        <f t="shared" si="3"/>
        <v>11.745055834903624</v>
      </c>
      <c r="BS21" s="1660">
        <f t="shared" si="3"/>
        <v>10.735547203646082</v>
      </c>
      <c r="BT21" s="2422"/>
    </row>
    <row r="22" spans="1:72" ht="15" customHeight="1">
      <c r="A22" s="4518"/>
      <c r="B22" s="4519"/>
      <c r="C22" s="3479"/>
      <c r="D22" s="3479"/>
      <c r="E22" s="3479"/>
      <c r="F22" s="3480"/>
      <c r="G22" s="4520"/>
      <c r="H22" s="3484"/>
      <c r="I22" s="4521"/>
      <c r="J22" s="3488"/>
      <c r="K22" s="3488"/>
      <c r="L22" s="3488"/>
      <c r="M22" s="3488"/>
      <c r="N22" s="3488"/>
      <c r="O22" s="4522"/>
      <c r="P22" s="3492"/>
      <c r="Q22" s="3492"/>
      <c r="R22" s="3492"/>
      <c r="S22" s="3492"/>
      <c r="T22" s="3493"/>
      <c r="U22" s="4523"/>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4524" t="s">
        <v>140</v>
      </c>
      <c r="AS22" s="4252"/>
      <c r="AT22" s="4253"/>
      <c r="AU22" s="1674">
        <v>365</v>
      </c>
      <c r="AV22" s="1908">
        <v>356</v>
      </c>
      <c r="AW22" s="1675"/>
      <c r="AX22" s="1676"/>
      <c r="AY22" s="1676"/>
      <c r="AZ22" s="1043"/>
      <c r="BA22" s="4345">
        <v>29</v>
      </c>
      <c r="BB22" s="4346">
        <v>0.68200000000000005</v>
      </c>
      <c r="BC22" s="1659"/>
      <c r="BD22" s="2425">
        <f t="shared" si="2"/>
        <v>80</v>
      </c>
      <c r="BE22" s="1660">
        <f t="shared" si="3"/>
        <v>38.138370203269773</v>
      </c>
      <c r="BF22" s="1660">
        <f t="shared" si="3"/>
        <v>34.860308826338716</v>
      </c>
      <c r="BG22" s="1660">
        <f t="shared" si="3"/>
        <v>31.864002708839436</v>
      </c>
      <c r="BH22" s="1660">
        <f t="shared" si="3"/>
        <v>29.125234480476131</v>
      </c>
      <c r="BI22" s="1660">
        <f t="shared" si="3"/>
        <v>26.621868297399857</v>
      </c>
      <c r="BJ22" s="1660">
        <f t="shared" si="3"/>
        <v>24.333670931274082</v>
      </c>
      <c r="BK22" s="1660">
        <f t="shared" si="3"/>
        <v>22.242148236056217</v>
      </c>
      <c r="BL22" s="1660">
        <f t="shared" si="3"/>
        <v>20.330395670752825</v>
      </c>
      <c r="BM22" s="1660">
        <f t="shared" si="3"/>
        <v>18.582961670012352</v>
      </c>
      <c r="BN22" s="1660">
        <f t="shared" si="3"/>
        <v>16.985722758260557</v>
      </c>
      <c r="BO22" s="1660">
        <f t="shared" si="3"/>
        <v>15.525769398000316</v>
      </c>
      <c r="BP22" s="1660">
        <f t="shared" si="3"/>
        <v>14.191301649654857</v>
      </c>
      <c r="BQ22" s="1660">
        <f t="shared" si="3"/>
        <v>12.971533799634797</v>
      </c>
      <c r="BR22" s="1660">
        <f t="shared" si="3"/>
        <v>11.856607185794015</v>
      </c>
      <c r="BS22" s="1660">
        <f t="shared" si="3"/>
        <v>10.837510515693982</v>
      </c>
      <c r="BT22" s="2422"/>
    </row>
    <row r="23" spans="1:72" ht="15" customHeight="1">
      <c r="A23" s="4518"/>
      <c r="B23" s="3481"/>
      <c r="C23" s="3482"/>
      <c r="D23" s="3482"/>
      <c r="E23" s="3482"/>
      <c r="F23" s="3483"/>
      <c r="G23" s="2954"/>
      <c r="H23" s="3485"/>
      <c r="I23" s="3286" t="s">
        <v>946</v>
      </c>
      <c r="J23" s="3556"/>
      <c r="K23" s="3556"/>
      <c r="L23" s="3556"/>
      <c r="M23" s="3556"/>
      <c r="N23" s="3556"/>
      <c r="O23" s="3287" t="s">
        <v>947</v>
      </c>
      <c r="P23" s="3557"/>
      <c r="Q23" s="3557"/>
      <c r="R23" s="3557"/>
      <c r="S23" s="3557"/>
      <c r="T23" s="3558"/>
      <c r="U23" s="4523"/>
      <c r="V23" s="4525" t="s">
        <v>710</v>
      </c>
      <c r="W23" s="3559"/>
      <c r="X23" s="1924"/>
      <c r="AB23" s="4526" t="s">
        <v>709</v>
      </c>
      <c r="AC23" s="213"/>
      <c r="AD23" s="213"/>
      <c r="AE23" s="213"/>
      <c r="AF23" s="213"/>
      <c r="AG23" s="213"/>
      <c r="AH23" s="213"/>
      <c r="AI23" s="213"/>
      <c r="AJ23" s="213"/>
      <c r="AK23" s="213"/>
      <c r="AL23" s="213"/>
      <c r="AN23" s="342"/>
      <c r="AO23" s="342"/>
      <c r="AP23" s="1035"/>
      <c r="AQ23" s="1035"/>
      <c r="AR23" s="1035"/>
      <c r="AS23" s="1035"/>
      <c r="AT23" s="1036"/>
      <c r="AU23" s="1036"/>
      <c r="AV23" s="1038"/>
      <c r="AW23" s="342"/>
      <c r="AX23" s="342"/>
      <c r="AY23" s="974"/>
      <c r="AZ23" s="342"/>
      <c r="BA23" s="4345">
        <v>15</v>
      </c>
      <c r="BB23" s="4352">
        <v>1.018</v>
      </c>
      <c r="BC23" s="1658"/>
      <c r="BD23" s="2425">
        <f t="shared" si="2"/>
        <v>85</v>
      </c>
      <c r="BE23" s="1660">
        <f t="shared" si="3"/>
        <v>38.43214709796294</v>
      </c>
      <c r="BF23" s="1660">
        <f t="shared" si="3"/>
        <v>35.128835069606673</v>
      </c>
      <c r="BG23" s="1660">
        <f t="shared" si="3"/>
        <v>32.109448639496811</v>
      </c>
      <c r="BH23" s="1660">
        <f t="shared" si="3"/>
        <v>29.349583892820732</v>
      </c>
      <c r="BI23" s="1660">
        <f t="shared" si="3"/>
        <v>26.826934475048681</v>
      </c>
      <c r="BJ23" s="1660">
        <f t="shared" si="3"/>
        <v>24.52111130286243</v>
      </c>
      <c r="BK23" s="1660">
        <f t="shared" si="3"/>
        <v>22.413477771253117</v>
      </c>
      <c r="BL23" s="1660">
        <f t="shared" si="3"/>
        <v>20.486999124864901</v>
      </c>
      <c r="BM23" s="1660">
        <f t="shared" si="3"/>
        <v>18.726104776141995</v>
      </c>
      <c r="BN23" s="1660">
        <f t="shared" si="3"/>
        <v>17.11656245747804</v>
      </c>
      <c r="BO23" s="1660">
        <f t="shared" si="3"/>
        <v>15.645363190214216</v>
      </c>
      <c r="BP23" s="1660">
        <f t="shared" si="3"/>
        <v>14.300616140758414</v>
      </c>
      <c r="BQ23" s="1660">
        <f t="shared" si="3"/>
        <v>13.07145251400968</v>
      </c>
      <c r="BR23" s="1660">
        <f t="shared" si="3"/>
        <v>11.947937707315372</v>
      </c>
      <c r="BS23" s="1660">
        <f t="shared" si="3"/>
        <v>10.920991014953284</v>
      </c>
      <c r="BT23" s="2422"/>
    </row>
    <row r="24" spans="1:72" ht="14.25" customHeight="1">
      <c r="A24" s="4527"/>
      <c r="B24" s="2434" t="s">
        <v>948</v>
      </c>
      <c r="C24" s="2435" t="s">
        <v>83</v>
      </c>
      <c r="D24" s="2261" t="s">
        <v>352</v>
      </c>
      <c r="E24" s="2436" t="s">
        <v>684</v>
      </c>
      <c r="F24" s="2437" t="s">
        <v>685</v>
      </c>
      <c r="G24" s="894" t="s">
        <v>701</v>
      </c>
      <c r="H24" s="2438" t="s">
        <v>702</v>
      </c>
      <c r="I24" s="2439" t="s">
        <v>703</v>
      </c>
      <c r="J24" s="2440" t="s">
        <v>704</v>
      </c>
      <c r="K24" s="2440" t="s">
        <v>705</v>
      </c>
      <c r="L24" s="2440" t="s">
        <v>706</v>
      </c>
      <c r="M24" s="2440" t="s">
        <v>707</v>
      </c>
      <c r="N24" s="2441" t="s">
        <v>949</v>
      </c>
      <c r="O24" s="2442" t="s">
        <v>703</v>
      </c>
      <c r="P24" s="2443" t="s">
        <v>704</v>
      </c>
      <c r="Q24" s="2440" t="s">
        <v>705</v>
      </c>
      <c r="R24" s="2440" t="s">
        <v>706</v>
      </c>
      <c r="S24" s="996" t="s">
        <v>707</v>
      </c>
      <c r="T24" s="997" t="s">
        <v>949</v>
      </c>
      <c r="U24" s="4523"/>
      <c r="V24" s="998" t="s">
        <v>703</v>
      </c>
      <c r="W24" s="998" t="s">
        <v>704</v>
      </c>
      <c r="X24" s="998" t="s">
        <v>705</v>
      </c>
      <c r="Y24" s="998" t="s">
        <v>706</v>
      </c>
      <c r="Z24" s="998" t="s">
        <v>707</v>
      </c>
      <c r="AA24" s="998" t="s">
        <v>708</v>
      </c>
      <c r="AB24" s="4528" t="s">
        <v>703</v>
      </c>
      <c r="AC24" s="998" t="s">
        <v>704</v>
      </c>
      <c r="AD24" s="1009" t="s">
        <v>705</v>
      </c>
      <c r="AE24" s="1009" t="s">
        <v>706</v>
      </c>
      <c r="AF24" s="1009" t="s">
        <v>707</v>
      </c>
      <c r="AG24" s="1014" t="s">
        <v>708</v>
      </c>
      <c r="AH24" s="4329" t="s">
        <v>514</v>
      </c>
      <c r="AI24" s="83" t="s">
        <v>515</v>
      </c>
      <c r="AJ24" s="213" t="s">
        <v>950</v>
      </c>
      <c r="AK24" s="1015" t="s">
        <v>689</v>
      </c>
      <c r="AL24" s="83" t="s">
        <v>951</v>
      </c>
      <c r="AM24" s="83" t="s">
        <v>950</v>
      </c>
      <c r="AN24" s="118"/>
      <c r="AO24" s="342"/>
      <c r="AP24" s="1665"/>
      <c r="AQ24" s="1665"/>
      <c r="AR24" s="1665"/>
      <c r="AS24" s="1665"/>
      <c r="AT24" s="1665"/>
      <c r="AU24" s="1665"/>
      <c r="AV24" s="1665"/>
      <c r="AW24" s="1665"/>
      <c r="AX24" s="1665"/>
      <c r="AY24" s="974"/>
      <c r="AZ24" s="342"/>
      <c r="BA24" s="4345">
        <f>(BA23+BA25)/2</f>
        <v>15.5</v>
      </c>
      <c r="BB24" s="4345">
        <f>(BB23+BB25)/2</f>
        <v>1.0015000000000001</v>
      </c>
      <c r="BC24" s="1659"/>
      <c r="BD24" s="2425">
        <f t="shared" si="2"/>
        <v>90</v>
      </c>
      <c r="BE24" s="1660">
        <f t="shared" si="3"/>
        <v>38.672671276191984</v>
      </c>
      <c r="BF24" s="1660">
        <f t="shared" si="3"/>
        <v>35.348685762978647</v>
      </c>
      <c r="BG24" s="1660">
        <f t="shared" si="3"/>
        <v>32.310402771143856</v>
      </c>
      <c r="BH24" s="1660">
        <f t="shared" si="3"/>
        <v>29.533265656142234</v>
      </c>
      <c r="BI24" s="1660">
        <f t="shared" si="3"/>
        <v>26.994828461105929</v>
      </c>
      <c r="BJ24" s="1660">
        <f t="shared" si="3"/>
        <v>24.674574499450177</v>
      </c>
      <c r="BK24" s="1660">
        <f t="shared" si="3"/>
        <v>22.55375053062938</v>
      </c>
      <c r="BL24" s="1660">
        <f t="shared" si="3"/>
        <v>20.615215188784695</v>
      </c>
      <c r="BM24" s="1660">
        <f t="shared" si="3"/>
        <v>18.843300439221441</v>
      </c>
      <c r="BN24" s="1660">
        <f t="shared" si="3"/>
        <v>17.223684942950864</v>
      </c>
      <c r="BO24" s="1660">
        <f t="shared" si="3"/>
        <v>15.743278305776956</v>
      </c>
      <c r="BP24" s="1660">
        <f t="shared" si="3"/>
        <v>14.390115276381968</v>
      </c>
      <c r="BQ24" s="1660">
        <f t="shared" si="3"/>
        <v>13.153259038276413</v>
      </c>
      <c r="BR24" s="1660">
        <f t="shared" si="3"/>
        <v>12.022712813979556</v>
      </c>
      <c r="BS24" s="1660">
        <f t="shared" si="3"/>
        <v>10.989339066979179</v>
      </c>
      <c r="BT24" s="2422"/>
    </row>
    <row r="25" spans="1:72" ht="15" customHeight="1">
      <c r="A25" s="3361" t="s">
        <v>952</v>
      </c>
      <c r="B25" s="2025" t="str">
        <f>'Beer Data Sheet'!B58</f>
        <v>Pale malt</v>
      </c>
      <c r="C25" s="677">
        <v>4400</v>
      </c>
      <c r="D25" s="895" t="s">
        <v>82</v>
      </c>
      <c r="E25" s="896">
        <f>100*IF(C25=0,0,C25/$E$62)</f>
        <v>95.429160114948758</v>
      </c>
      <c r="F25" s="897">
        <f t="shared" ref="F25:F55" si="4">IF(AK25=0,0,AK25*100/$F$62)</f>
        <v>94.667426874791559</v>
      </c>
      <c r="G25" s="898"/>
      <c r="H25" s="1747" t="s">
        <v>712</v>
      </c>
      <c r="I25" s="4529" t="s">
        <v>713</v>
      </c>
      <c r="J25" s="957" t="s">
        <v>713</v>
      </c>
      <c r="K25" s="957" t="s">
        <v>713</v>
      </c>
      <c r="L25" s="957" t="s">
        <v>713</v>
      </c>
      <c r="M25" s="957" t="s">
        <v>713</v>
      </c>
      <c r="N25" s="958" t="s">
        <v>713</v>
      </c>
      <c r="O25" s="4530" t="s">
        <v>713</v>
      </c>
      <c r="P25" s="957" t="s">
        <v>713</v>
      </c>
      <c r="Q25" s="957" t="s">
        <v>713</v>
      </c>
      <c r="R25" s="957" t="s">
        <v>713</v>
      </c>
      <c r="S25" s="957" t="s">
        <v>713</v>
      </c>
      <c r="T25" s="958" t="s">
        <v>713</v>
      </c>
      <c r="U25" s="4531"/>
      <c r="V25" s="83" t="s">
        <v>248</v>
      </c>
      <c r="W25" s="83" t="s">
        <v>248</v>
      </c>
      <c r="X25" s="83" t="s">
        <v>248</v>
      </c>
      <c r="Y25" s="83" t="s">
        <v>248</v>
      </c>
      <c r="Z25" s="83" t="s">
        <v>248</v>
      </c>
      <c r="AA25" s="83" t="s">
        <v>248</v>
      </c>
      <c r="AB25" s="4329" t="s">
        <v>248</v>
      </c>
      <c r="AC25" s="83" t="s">
        <v>248</v>
      </c>
      <c r="AD25" s="1010" t="s">
        <v>248</v>
      </c>
      <c r="AE25" s="1010" t="s">
        <v>248</v>
      </c>
      <c r="AF25" s="1010" t="s">
        <v>248</v>
      </c>
      <c r="AG25" s="1016" t="s">
        <v>248</v>
      </c>
      <c r="AH25" s="4532">
        <f>'Beer Data Sheet'!C58*$H$10/100</f>
        <v>225</v>
      </c>
      <c r="AI25" s="4322">
        <f t="shared" ref="AI25:AI50" si="5">C$65/100</f>
        <v>0.76</v>
      </c>
      <c r="AJ25" s="1015">
        <f>'Beer Data Sheet'!E58</f>
        <v>4.0999999999999996</v>
      </c>
      <c r="AK25" s="522">
        <f t="shared" ref="AK25" si="6">0.001*AH25*C25</f>
        <v>990</v>
      </c>
      <c r="AL25" s="522">
        <f t="shared" ref="AL25" si="7">AK25*$AI25</f>
        <v>752.4</v>
      </c>
      <c r="AM25" s="83">
        <f t="shared" ref="AM25:AM55" si="8">0.01*AJ25*C25</f>
        <v>180.39999999999998</v>
      </c>
      <c r="AN25" s="118"/>
      <c r="AO25" s="342"/>
      <c r="AP25" s="1665"/>
      <c r="AQ25" s="1665"/>
      <c r="AR25" s="1665"/>
      <c r="AS25" s="1665"/>
      <c r="AT25" s="1665"/>
      <c r="AU25" s="1665"/>
      <c r="AV25" s="1665"/>
      <c r="AW25" s="1665"/>
      <c r="AX25" s="1665"/>
      <c r="AY25" s="1665"/>
      <c r="AZ25" s="707"/>
      <c r="BA25" s="4345">
        <v>16</v>
      </c>
      <c r="BB25" s="4352">
        <v>0.98499999999999999</v>
      </c>
      <c r="BC25" s="1659"/>
      <c r="BD25" s="2425">
        <f t="shared" si="2"/>
        <v>95</v>
      </c>
      <c r="BE25" s="1660">
        <f t="shared" si="3"/>
        <v>38.869595817766914</v>
      </c>
      <c r="BF25" s="1660">
        <f t="shared" si="3"/>
        <v>35.528684286727795</v>
      </c>
      <c r="BG25" s="1660">
        <f t="shared" si="3"/>
        <v>32.474930098681376</v>
      </c>
      <c r="BH25" s="1660">
        <f t="shared" si="3"/>
        <v>29.683651564553138</v>
      </c>
      <c r="BI25" s="1660">
        <f t="shared" si="3"/>
        <v>27.132288430747845</v>
      </c>
      <c r="BJ25" s="1660">
        <f t="shared" si="3"/>
        <v>24.800219537962217</v>
      </c>
      <c r="BK25" s="1660">
        <f t="shared" si="3"/>
        <v>22.668596152549831</v>
      </c>
      <c r="BL25" s="1660">
        <f t="shared" si="3"/>
        <v>20.72018962335444</v>
      </c>
      <c r="BM25" s="1660">
        <f t="shared" si="3"/>
        <v>18.939252132711946</v>
      </c>
      <c r="BN25" s="1660">
        <f t="shared" si="3"/>
        <v>17.311389416153613</v>
      </c>
      <c r="BO25" s="1660">
        <f t="shared" si="3"/>
        <v>15.823444422079353</v>
      </c>
      <c r="BP25" s="1660">
        <f t="shared" si="3"/>
        <v>14.463390971090869</v>
      </c>
      <c r="BQ25" s="1660">
        <f t="shared" si="3"/>
        <v>13.220236555496008</v>
      </c>
      <c r="BR25" s="1660">
        <f t="shared" si="3"/>
        <v>12.083933493370212</v>
      </c>
      <c r="BS25" s="1660">
        <f t="shared" si="3"/>
        <v>11.045297719085754</v>
      </c>
      <c r="BT25" s="2422"/>
    </row>
    <row r="26" spans="1:72" ht="15" customHeight="1">
      <c r="A26" s="4533"/>
      <c r="B26" s="4534" t="str">
        <f>'Beer Data Sheet'!B59</f>
        <v>Mild Ale malt</v>
      </c>
      <c r="C26" s="677"/>
      <c r="D26" s="899" t="s">
        <v>82</v>
      </c>
      <c r="E26" s="896">
        <f>100*IF(C26=0,0,C26/$E$62)</f>
        <v>0</v>
      </c>
      <c r="F26" s="900">
        <f t="shared" si="4"/>
        <v>0</v>
      </c>
      <c r="G26" s="2031" t="str">
        <f>'Beer Data Sheet'!B9</f>
        <v>Admiral</v>
      </c>
      <c r="H26" s="2444">
        <f>'Beer Data Sheet'!C9</f>
        <v>11</v>
      </c>
      <c r="I26" s="2767"/>
      <c r="J26" s="2445"/>
      <c r="K26" s="2445"/>
      <c r="L26" s="2445"/>
      <c r="M26" s="2445"/>
      <c r="N26" s="2768"/>
      <c r="O26" s="959">
        <f t="shared" ref="O26:O29" si="9">I26</f>
        <v>0</v>
      </c>
      <c r="P26" s="960">
        <f t="shared" ref="P26:P29" si="10">J26</f>
        <v>0</v>
      </c>
      <c r="Q26" s="960">
        <f t="shared" ref="Q26:Q29" si="11">K26</f>
        <v>0</v>
      </c>
      <c r="R26" s="960">
        <f t="shared" ref="R26:R29" si="12">L26</f>
        <v>0</v>
      </c>
      <c r="S26" s="960">
        <f t="shared" ref="S26:S29" si="13">M26</f>
        <v>0</v>
      </c>
      <c r="T26" s="1000">
        <f t="shared" ref="T26:T29" si="14">N26</f>
        <v>0</v>
      </c>
      <c r="U26" s="1652" t="str">
        <f>G26</f>
        <v>Admiral</v>
      </c>
      <c r="V26" s="83">
        <f>$H26*I26</f>
        <v>0</v>
      </c>
      <c r="W26" s="83">
        <f t="shared" ref="W26:AG41" si="15">$H26*J26</f>
        <v>0</v>
      </c>
      <c r="X26" s="83">
        <f t="shared" si="15"/>
        <v>0</v>
      </c>
      <c r="Y26" s="83">
        <f t="shared" si="15"/>
        <v>0</v>
      </c>
      <c r="Z26" s="83">
        <f t="shared" si="15"/>
        <v>0</v>
      </c>
      <c r="AA26" s="83">
        <f t="shared" si="15"/>
        <v>0</v>
      </c>
      <c r="AB26" s="4329">
        <f t="shared" si="15"/>
        <v>0</v>
      </c>
      <c r="AC26" s="83">
        <f t="shared" si="15"/>
        <v>0</v>
      </c>
      <c r="AD26" s="1010">
        <f t="shared" si="15"/>
        <v>0</v>
      </c>
      <c r="AE26" s="1010">
        <f t="shared" si="15"/>
        <v>0</v>
      </c>
      <c r="AF26" s="1010">
        <f t="shared" si="15"/>
        <v>0</v>
      </c>
      <c r="AG26" s="1016">
        <f t="shared" si="15"/>
        <v>0</v>
      </c>
      <c r="AH26" s="4532">
        <f>'Beer Data Sheet'!C59*$H$10/100</f>
        <v>221.25</v>
      </c>
      <c r="AI26" s="4322">
        <f t="shared" si="5"/>
        <v>0.76</v>
      </c>
      <c r="AJ26" s="1015">
        <f>'Beer Data Sheet'!E59</f>
        <v>4.97</v>
      </c>
      <c r="AK26" s="522">
        <f t="shared" ref="AK26:AK55" si="16">0.001*AH26*C26</f>
        <v>0</v>
      </c>
      <c r="AL26" s="522">
        <f t="shared" ref="AL26:AL55" si="17">AK26*$AI26</f>
        <v>0</v>
      </c>
      <c r="AM26" s="83">
        <f t="shared" si="8"/>
        <v>0</v>
      </c>
      <c r="AN26" s="118"/>
      <c r="AO26" s="342"/>
      <c r="AP26" s="118"/>
      <c r="AQ26" s="118"/>
      <c r="AR26" s="118"/>
      <c r="AS26" s="118"/>
      <c r="AT26" s="118"/>
      <c r="AU26" s="118"/>
      <c r="AV26" s="118"/>
      <c r="AW26" s="118"/>
      <c r="AX26" s="118"/>
      <c r="AY26" s="1665"/>
      <c r="AZ26" s="1661"/>
      <c r="BA26" s="4345">
        <f>(BA25+BA27)/2</f>
        <v>16.5</v>
      </c>
      <c r="BB26" s="4345">
        <f>(BB25+BB27)/2</f>
        <v>0.97049999999999992</v>
      </c>
      <c r="BC26" s="707"/>
      <c r="BD26" s="2425">
        <f t="shared" si="2"/>
        <v>100</v>
      </c>
      <c r="BE26" s="1660">
        <f t="shared" si="3"/>
        <v>39.030823995990076</v>
      </c>
      <c r="BF26" s="1660">
        <f t="shared" si="3"/>
        <v>35.676054613629859</v>
      </c>
      <c r="BG26" s="1660">
        <f t="shared" si="3"/>
        <v>32.609633681458071</v>
      </c>
      <c r="BH26" s="1660">
        <f t="shared" si="3"/>
        <v>29.806777132598711</v>
      </c>
      <c r="BI26" s="1660">
        <f t="shared" si="3"/>
        <v>27.244831135210845</v>
      </c>
      <c r="BJ26" s="1660">
        <f t="shared" si="3"/>
        <v>24.903088994963689</v>
      </c>
      <c r="BK26" s="1660">
        <f t="shared" si="3"/>
        <v>22.762623795072468</v>
      </c>
      <c r="BL26" s="1660">
        <f t="shared" si="3"/>
        <v>20.806135421223662</v>
      </c>
      <c r="BM26" s="1660">
        <f t="shared" si="3"/>
        <v>19.017810734982536</v>
      </c>
      <c r="BN26" s="1660">
        <f t="shared" si="3"/>
        <v>17.38319576554721</v>
      </c>
      <c r="BO26" s="1660">
        <f t="shared" si="3"/>
        <v>15.889078886850953</v>
      </c>
      <c r="BP26" s="1660">
        <f t="shared" si="3"/>
        <v>14.523384035802197</v>
      </c>
      <c r="BQ26" s="1660">
        <f t="shared" si="3"/>
        <v>13.275073108608499</v>
      </c>
      <c r="BR26" s="1660">
        <f t="shared" si="3"/>
        <v>12.134056746311668</v>
      </c>
      <c r="BS26" s="1660">
        <f t="shared" si="3"/>
        <v>11.091112788466196</v>
      </c>
      <c r="BT26" s="2422"/>
    </row>
    <row r="27" spans="1:72" ht="15" customHeight="1">
      <c r="A27" s="4533"/>
      <c r="B27" s="4534" t="str">
        <f>'Beer Data Sheet'!B60</f>
        <v>Lager malt (Pilsner)</v>
      </c>
      <c r="C27" s="677"/>
      <c r="D27" s="899" t="s">
        <v>82</v>
      </c>
      <c r="E27" s="896">
        <f>100*IF(C27=0,0,C27/$E$62)</f>
        <v>0</v>
      </c>
      <c r="F27" s="900">
        <f t="shared" si="4"/>
        <v>0</v>
      </c>
      <c r="G27" s="4535" t="str">
        <f>'Beer Data Sheet'!B10</f>
        <v>Boadicea</v>
      </c>
      <c r="H27" s="2032">
        <f>'Beer Data Sheet'!C10</f>
        <v>9.5</v>
      </c>
      <c r="I27" s="961"/>
      <c r="J27" s="962"/>
      <c r="K27" s="962"/>
      <c r="L27" s="962"/>
      <c r="M27" s="962"/>
      <c r="N27" s="963"/>
      <c r="O27" s="959">
        <f t="shared" si="9"/>
        <v>0</v>
      </c>
      <c r="P27" s="960">
        <f t="shared" si="10"/>
        <v>0</v>
      </c>
      <c r="Q27" s="960">
        <f t="shared" si="11"/>
        <v>0</v>
      </c>
      <c r="R27" s="960">
        <f t="shared" si="12"/>
        <v>0</v>
      </c>
      <c r="S27" s="960">
        <f t="shared" si="13"/>
        <v>0</v>
      </c>
      <c r="T27" s="1000">
        <f t="shared" si="14"/>
        <v>0</v>
      </c>
      <c r="U27" s="1001" t="str">
        <f t="shared" ref="U27:U56" si="18">G27</f>
        <v>Boadicea</v>
      </c>
      <c r="V27" s="83">
        <f t="shared" ref="V27:AG56" si="19">$H27*I27</f>
        <v>0</v>
      </c>
      <c r="W27" s="83">
        <f t="shared" si="15"/>
        <v>0</v>
      </c>
      <c r="X27" s="83">
        <f t="shared" si="15"/>
        <v>0</v>
      </c>
      <c r="Y27" s="83">
        <f t="shared" si="15"/>
        <v>0</v>
      </c>
      <c r="Z27" s="83">
        <f t="shared" si="15"/>
        <v>0</v>
      </c>
      <c r="AA27" s="83">
        <f t="shared" si="15"/>
        <v>0</v>
      </c>
      <c r="AB27" s="4329">
        <f t="shared" si="15"/>
        <v>0</v>
      </c>
      <c r="AC27" s="83">
        <f t="shared" si="15"/>
        <v>0</v>
      </c>
      <c r="AD27" s="1010">
        <f t="shared" si="15"/>
        <v>0</v>
      </c>
      <c r="AE27" s="1010">
        <f t="shared" si="15"/>
        <v>0</v>
      </c>
      <c r="AF27" s="1010">
        <f t="shared" si="15"/>
        <v>0</v>
      </c>
      <c r="AG27" s="1016">
        <f t="shared" si="15"/>
        <v>0</v>
      </c>
      <c r="AH27" s="4532">
        <f>'Beer Data Sheet'!C60*$H$10/100</f>
        <v>225</v>
      </c>
      <c r="AI27" s="4322">
        <f t="shared" si="5"/>
        <v>0.76</v>
      </c>
      <c r="AJ27" s="1015">
        <f>'Beer Data Sheet'!E60</f>
        <v>2.2000000000000002</v>
      </c>
      <c r="AK27" s="522">
        <f t="shared" si="16"/>
        <v>0</v>
      </c>
      <c r="AL27" s="522">
        <f t="shared" si="17"/>
        <v>0</v>
      </c>
      <c r="AM27" s="83">
        <f t="shared" si="8"/>
        <v>0</v>
      </c>
      <c r="AN27" s="118"/>
      <c r="AO27" s="118"/>
      <c r="AP27" s="1035"/>
      <c r="AQ27" s="1035"/>
      <c r="AR27" s="1035"/>
      <c r="AS27" s="1035"/>
      <c r="AT27" s="1036"/>
      <c r="AU27" s="1036"/>
      <c r="AV27" s="1038"/>
      <c r="AW27" s="342"/>
      <c r="AX27" s="342"/>
      <c r="AY27" s="342"/>
      <c r="AZ27" s="342"/>
      <c r="BA27" s="4345">
        <v>17</v>
      </c>
      <c r="BB27" s="4352">
        <v>0.95599999999999996</v>
      </c>
      <c r="BC27" s="1661"/>
      <c r="BD27" s="2425">
        <f t="shared" si="2"/>
        <v>105</v>
      </c>
      <c r="BE27" s="1660">
        <f t="shared" si="3"/>
        <v>39.162826463764134</v>
      </c>
      <c r="BF27" s="1660">
        <f t="shared" si="3"/>
        <v>35.796711232355733</v>
      </c>
      <c r="BG27" s="1660">
        <f t="shared" si="3"/>
        <v>32.719919647227144</v>
      </c>
      <c r="BH27" s="1660">
        <f t="shared" si="3"/>
        <v>29.907583821647819</v>
      </c>
      <c r="BI27" s="1660">
        <f t="shared" si="3"/>
        <v>27.336973308389272</v>
      </c>
      <c r="BJ27" s="1660">
        <f t="shared" si="3"/>
        <v>24.987311382963235</v>
      </c>
      <c r="BK27" s="1660">
        <f t="shared" si="3"/>
        <v>22.83960711764518</v>
      </c>
      <c r="BL27" s="1660">
        <f t="shared" si="3"/>
        <v>20.876501889037023</v>
      </c>
      <c r="BM27" s="1660">
        <f t="shared" si="3"/>
        <v>19.082129078580294</v>
      </c>
      <c r="BN27" s="1660">
        <f t="shared" si="3"/>
        <v>17.441985832062009</v>
      </c>
      <c r="BO27" s="1660">
        <f t="shared" si="3"/>
        <v>15.942815841621275</v>
      </c>
      <c r="BP27" s="1660">
        <f t="shared" si="3"/>
        <v>14.57250220285276</v>
      </c>
      <c r="BQ27" s="1660">
        <f t="shared" si="3"/>
        <v>13.319969481034491</v>
      </c>
      <c r="BR27" s="1660">
        <f t="shared" si="3"/>
        <v>12.175094194939145</v>
      </c>
      <c r="BS27" s="1660">
        <f t="shared" si="3"/>
        <v>11.128622994722367</v>
      </c>
      <c r="BT27" s="2422"/>
    </row>
    <row r="28" spans="1:72" ht="15" customHeight="1">
      <c r="A28" s="4533"/>
      <c r="B28" s="4534" t="str">
        <f>'Beer Data Sheet'!B61</f>
        <v>Munich malt</v>
      </c>
      <c r="C28" s="677"/>
      <c r="D28" s="899" t="s">
        <v>82</v>
      </c>
      <c r="E28" s="896">
        <f>100*IF(C28=0,0,C28/$E$62)</f>
        <v>0</v>
      </c>
      <c r="F28" s="900">
        <f t="shared" si="4"/>
        <v>0</v>
      </c>
      <c r="G28" s="4535" t="str">
        <f>'Beer Data Sheet'!B11</f>
        <v>Bramling Cross</v>
      </c>
      <c r="H28" s="2032">
        <f>'Beer Data Sheet'!C11</f>
        <v>5.0999999999999996</v>
      </c>
      <c r="I28" s="961"/>
      <c r="J28" s="962"/>
      <c r="K28" s="962"/>
      <c r="L28" s="962"/>
      <c r="M28" s="962"/>
      <c r="N28" s="963"/>
      <c r="O28" s="959">
        <f t="shared" si="9"/>
        <v>0</v>
      </c>
      <c r="P28" s="960">
        <f t="shared" si="10"/>
        <v>0</v>
      </c>
      <c r="Q28" s="960">
        <f t="shared" si="11"/>
        <v>0</v>
      </c>
      <c r="R28" s="960">
        <f t="shared" si="12"/>
        <v>0</v>
      </c>
      <c r="S28" s="960">
        <f t="shared" si="13"/>
        <v>0</v>
      </c>
      <c r="T28" s="1000">
        <f t="shared" si="14"/>
        <v>0</v>
      </c>
      <c r="U28" s="1001" t="str">
        <f t="shared" si="18"/>
        <v>Bramling Cross</v>
      </c>
      <c r="V28" s="83">
        <f t="shared" si="19"/>
        <v>0</v>
      </c>
      <c r="W28" s="83">
        <f t="shared" si="15"/>
        <v>0</v>
      </c>
      <c r="X28" s="83">
        <f t="shared" si="15"/>
        <v>0</v>
      </c>
      <c r="Y28" s="83">
        <f t="shared" si="15"/>
        <v>0</v>
      </c>
      <c r="Z28" s="83">
        <f t="shared" si="15"/>
        <v>0</v>
      </c>
      <c r="AA28" s="83">
        <f t="shared" si="15"/>
        <v>0</v>
      </c>
      <c r="AB28" s="4329">
        <f t="shared" si="15"/>
        <v>0</v>
      </c>
      <c r="AC28" s="83">
        <f t="shared" si="15"/>
        <v>0</v>
      </c>
      <c r="AD28" s="1010">
        <f t="shared" si="15"/>
        <v>0</v>
      </c>
      <c r="AE28" s="1010">
        <f t="shared" si="15"/>
        <v>0</v>
      </c>
      <c r="AF28" s="1010">
        <f t="shared" si="15"/>
        <v>0</v>
      </c>
      <c r="AG28" s="1016">
        <f t="shared" si="15"/>
        <v>0</v>
      </c>
      <c r="AH28" s="4532">
        <f>'Beer Data Sheet'!C61*$H$10/100</f>
        <v>221.25</v>
      </c>
      <c r="AI28" s="4322">
        <f t="shared" si="5"/>
        <v>0.76</v>
      </c>
      <c r="AJ28" s="1015">
        <f>'Beer Data Sheet'!E61</f>
        <v>12.15</v>
      </c>
      <c r="AK28" s="522">
        <f t="shared" si="16"/>
        <v>0</v>
      </c>
      <c r="AL28" s="522">
        <f t="shared" si="17"/>
        <v>0</v>
      </c>
      <c r="AM28" s="83">
        <f t="shared" si="8"/>
        <v>0</v>
      </c>
      <c r="AN28" s="118"/>
      <c r="AO28" s="118"/>
      <c r="AP28" s="342"/>
      <c r="AQ28" s="342"/>
      <c r="AR28" s="342"/>
      <c r="AS28" s="1037"/>
      <c r="AT28" s="1036"/>
      <c r="AU28" s="1036"/>
      <c r="AV28" s="1039"/>
      <c r="AW28" s="342"/>
      <c r="AX28" s="342"/>
      <c r="AY28" s="342"/>
      <c r="AZ28" s="342"/>
      <c r="BA28" s="4345">
        <f>(BA27+BA29)/2</f>
        <v>17.5</v>
      </c>
      <c r="BB28" s="4345">
        <f>(BB27+BB29)/2</f>
        <v>0.94199999999999995</v>
      </c>
      <c r="BC28" s="1659"/>
      <c r="BD28" s="2425">
        <f t="shared" si="2"/>
        <v>110</v>
      </c>
      <c r="BE28" s="1660">
        <f t="shared" si="3"/>
        <v>39.270900943612936</v>
      </c>
      <c r="BF28" s="1660">
        <f t="shared" si="3"/>
        <v>35.895496516669013</v>
      </c>
      <c r="BG28" s="1660">
        <f t="shared" si="3"/>
        <v>32.810214159035191</v>
      </c>
      <c r="BH28" s="1660">
        <f t="shared" si="3"/>
        <v>29.990117358088291</v>
      </c>
      <c r="BI28" s="1660">
        <f t="shared" si="3"/>
        <v>27.412412939225884</v>
      </c>
      <c r="BJ28" s="1660">
        <f t="shared" si="3"/>
        <v>25.05626684211612</v>
      </c>
      <c r="BK28" s="1660">
        <f t="shared" si="3"/>
        <v>22.90263573130958</v>
      </c>
      <c r="BL28" s="1660">
        <f t="shared" si="3"/>
        <v>20.934113080221287</v>
      </c>
      <c r="BM28" s="1660">
        <f t="shared" si="3"/>
        <v>19.13478848447081</v>
      </c>
      <c r="BN28" s="1660">
        <f t="shared" si="3"/>
        <v>17.490119067493175</v>
      </c>
      <c r="BO28" s="1660">
        <f t="shared" si="3"/>
        <v>15.986811939068499</v>
      </c>
      <c r="BP28" s="1660">
        <f t="shared" si="3"/>
        <v>14.612716756751878</v>
      </c>
      <c r="BQ28" s="1660">
        <f t="shared" si="3"/>
        <v>13.356727521841291</v>
      </c>
      <c r="BR28" s="1660">
        <f t="shared" si="3"/>
        <v>12.208692816158319</v>
      </c>
      <c r="BS28" s="1660">
        <f t="shared" si="3"/>
        <v>11.159333754138594</v>
      </c>
      <c r="BT28" s="2422"/>
    </row>
    <row r="29" spans="1:72" ht="15" customHeight="1">
      <c r="A29" s="4533"/>
      <c r="B29" s="4534" t="str">
        <f>'Beer Data Sheet'!B62</f>
        <v>Vienna malt</v>
      </c>
      <c r="C29" s="677"/>
      <c r="D29" s="899" t="s">
        <v>82</v>
      </c>
      <c r="E29" s="896">
        <f>100*IF(C29=0,0,C29/$E$62)</f>
        <v>0</v>
      </c>
      <c r="F29" s="900">
        <f t="shared" si="4"/>
        <v>0</v>
      </c>
      <c r="G29" s="4535" t="str">
        <f>'Beer Data Sheet'!B12</f>
        <v>Brewers Gold</v>
      </c>
      <c r="H29" s="2032">
        <f>'Beer Data Sheet'!C12</f>
        <v>5.5</v>
      </c>
      <c r="I29" s="961"/>
      <c r="J29" s="962"/>
      <c r="K29" s="962"/>
      <c r="L29" s="962"/>
      <c r="M29" s="962"/>
      <c r="N29" s="963"/>
      <c r="O29" s="959">
        <f t="shared" si="9"/>
        <v>0</v>
      </c>
      <c r="P29" s="960">
        <f t="shared" si="10"/>
        <v>0</v>
      </c>
      <c r="Q29" s="960">
        <f t="shared" si="11"/>
        <v>0</v>
      </c>
      <c r="R29" s="960">
        <f t="shared" si="12"/>
        <v>0</v>
      </c>
      <c r="S29" s="960">
        <f t="shared" si="13"/>
        <v>0</v>
      </c>
      <c r="T29" s="1000">
        <f t="shared" si="14"/>
        <v>0</v>
      </c>
      <c r="U29" s="1001" t="str">
        <f t="shared" si="18"/>
        <v>Brewers Gold</v>
      </c>
      <c r="V29" s="83">
        <f t="shared" si="19"/>
        <v>0</v>
      </c>
      <c r="W29" s="83">
        <f t="shared" si="15"/>
        <v>0</v>
      </c>
      <c r="X29" s="83">
        <f t="shared" si="15"/>
        <v>0</v>
      </c>
      <c r="Y29" s="83">
        <f t="shared" si="15"/>
        <v>0</v>
      </c>
      <c r="Z29" s="83">
        <f t="shared" si="15"/>
        <v>0</v>
      </c>
      <c r="AA29" s="83">
        <f t="shared" si="15"/>
        <v>0</v>
      </c>
      <c r="AB29" s="4329">
        <f t="shared" si="15"/>
        <v>0</v>
      </c>
      <c r="AC29" s="83">
        <f t="shared" si="15"/>
        <v>0</v>
      </c>
      <c r="AD29" s="1010">
        <f t="shared" si="15"/>
        <v>0</v>
      </c>
      <c r="AE29" s="1010">
        <f t="shared" si="15"/>
        <v>0</v>
      </c>
      <c r="AF29" s="1010">
        <f t="shared" si="15"/>
        <v>0</v>
      </c>
      <c r="AG29" s="1016">
        <f t="shared" si="15"/>
        <v>0</v>
      </c>
      <c r="AH29" s="4532">
        <f>'Beer Data Sheet'!C62*$H$10/100</f>
        <v>221.25</v>
      </c>
      <c r="AI29" s="4322">
        <f t="shared" si="5"/>
        <v>0.76</v>
      </c>
      <c r="AJ29" s="1015">
        <f>'Beer Data Sheet'!E62</f>
        <v>6.57</v>
      </c>
      <c r="AK29" s="522">
        <f t="shared" si="16"/>
        <v>0</v>
      </c>
      <c r="AL29" s="522">
        <f t="shared" si="17"/>
        <v>0</v>
      </c>
      <c r="AM29" s="83">
        <f t="shared" si="8"/>
        <v>0</v>
      </c>
      <c r="AN29" s="118"/>
      <c r="AO29" s="3349" t="s">
        <v>953</v>
      </c>
      <c r="AP29" s="3349"/>
      <c r="AQ29" s="3349"/>
      <c r="AR29" s="3349"/>
      <c r="AS29" s="3349"/>
      <c r="AT29" s="3349"/>
      <c r="AU29" s="3349"/>
      <c r="AV29" s="3349"/>
      <c r="AW29" s="3349"/>
      <c r="AX29" s="3349"/>
      <c r="AY29" s="1035"/>
      <c r="AZ29" s="1035"/>
      <c r="BA29" s="4345">
        <v>18</v>
      </c>
      <c r="BB29" s="4352">
        <v>0.92800000000000005</v>
      </c>
      <c r="BC29" s="1659"/>
      <c r="BD29" s="2425">
        <f t="shared" si="2"/>
        <v>115</v>
      </c>
      <c r="BE29" s="1660">
        <f t="shared" si="3"/>
        <v>39.359384843888066</v>
      </c>
      <c r="BF29" s="1660">
        <f t="shared" si="3"/>
        <v>35.976375066887847</v>
      </c>
      <c r="BG29" s="1660">
        <f t="shared" si="3"/>
        <v>32.884141052686594</v>
      </c>
      <c r="BH29" s="1660">
        <f t="shared" si="3"/>
        <v>30.057690102532391</v>
      </c>
      <c r="BI29" s="1660">
        <f t="shared" si="3"/>
        <v>27.474177684992672</v>
      </c>
      <c r="BJ29" s="1660">
        <f t="shared" si="3"/>
        <v>25.112722797117208</v>
      </c>
      <c r="BK29" s="1660">
        <f t="shared" si="3"/>
        <v>22.954239195640493</v>
      </c>
      <c r="BL29" s="1660">
        <f t="shared" si="3"/>
        <v>20.981281134165304</v>
      </c>
      <c r="BM29" s="1660">
        <f t="shared" si="3"/>
        <v>19.177902359512192</v>
      </c>
      <c r="BN29" s="1660">
        <f t="shared" si="3"/>
        <v>17.529527227585813</v>
      </c>
      <c r="BO29" s="1660">
        <f t="shared" si="3"/>
        <v>16.022832897063957</v>
      </c>
      <c r="BP29" s="1660">
        <f t="shared" si="3"/>
        <v>14.645641648750399</v>
      </c>
      <c r="BQ29" s="1660">
        <f t="shared" si="3"/>
        <v>13.386822460272716</v>
      </c>
      <c r="BR29" s="1660">
        <f t="shared" si="3"/>
        <v>12.236201040611475</v>
      </c>
      <c r="BS29" s="1660">
        <f t="shared" si="3"/>
        <v>11.184477597323037</v>
      </c>
      <c r="BT29" s="2422"/>
    </row>
    <row r="30" spans="1:72" ht="15" customHeight="1">
      <c r="A30" s="4533"/>
      <c r="B30" s="4536" t="str">
        <f>'Beer Data Sheet'!B63</f>
        <v>Amber malt</v>
      </c>
      <c r="C30" s="677"/>
      <c r="D30" s="899" t="s">
        <v>82</v>
      </c>
      <c r="E30" s="896">
        <f t="shared" ref="E30:E55" si="20">100*IF(C30=0,0,C30/$E$62)</f>
        <v>0</v>
      </c>
      <c r="F30" s="900">
        <f t="shared" si="4"/>
        <v>0</v>
      </c>
      <c r="G30" s="4535" t="str">
        <f>'Beer Data Sheet'!B13</f>
        <v>Bullion</v>
      </c>
      <c r="H30" s="2032">
        <f>'Beer Data Sheet'!C13</f>
        <v>10</v>
      </c>
      <c r="I30" s="961"/>
      <c r="J30" s="962"/>
      <c r="K30" s="962"/>
      <c r="L30" s="962"/>
      <c r="M30" s="962"/>
      <c r="N30" s="963"/>
      <c r="O30" s="959">
        <f t="shared" ref="O30:T41" si="21">I30</f>
        <v>0</v>
      </c>
      <c r="P30" s="960">
        <f t="shared" si="21"/>
        <v>0</v>
      </c>
      <c r="Q30" s="960">
        <f t="shared" si="21"/>
        <v>0</v>
      </c>
      <c r="R30" s="960">
        <f t="shared" si="21"/>
        <v>0</v>
      </c>
      <c r="S30" s="960">
        <f t="shared" si="21"/>
        <v>0</v>
      </c>
      <c r="T30" s="1000">
        <f t="shared" si="21"/>
        <v>0</v>
      </c>
      <c r="U30" s="1001" t="str">
        <f t="shared" si="18"/>
        <v>Bullion</v>
      </c>
      <c r="V30" s="83">
        <f t="shared" si="19"/>
        <v>0</v>
      </c>
      <c r="W30" s="83">
        <f t="shared" si="15"/>
        <v>0</v>
      </c>
      <c r="X30" s="83">
        <f t="shared" si="15"/>
        <v>0</v>
      </c>
      <c r="Y30" s="83">
        <f t="shared" si="15"/>
        <v>0</v>
      </c>
      <c r="Z30" s="83">
        <f t="shared" si="15"/>
        <v>0</v>
      </c>
      <c r="AA30" s="83">
        <f t="shared" si="15"/>
        <v>0</v>
      </c>
      <c r="AB30" s="4329">
        <f t="shared" si="15"/>
        <v>0</v>
      </c>
      <c r="AC30" s="83">
        <f t="shared" si="15"/>
        <v>0</v>
      </c>
      <c r="AD30" s="1010">
        <f t="shared" si="15"/>
        <v>0</v>
      </c>
      <c r="AE30" s="1010">
        <f t="shared" si="15"/>
        <v>0</v>
      </c>
      <c r="AF30" s="1010">
        <f t="shared" si="15"/>
        <v>0</v>
      </c>
      <c r="AG30" s="1016">
        <f t="shared" si="15"/>
        <v>0</v>
      </c>
      <c r="AH30" s="4532">
        <f>'Beer Data Sheet'!C63*$H$10/100</f>
        <v>202.5</v>
      </c>
      <c r="AI30" s="4322">
        <f t="shared" si="5"/>
        <v>0.76</v>
      </c>
      <c r="AJ30" s="1015">
        <f>'Beer Data Sheet'!E63</f>
        <v>25.9</v>
      </c>
      <c r="AK30" s="522">
        <f t="shared" si="16"/>
        <v>0</v>
      </c>
      <c r="AL30" s="522">
        <f t="shared" si="17"/>
        <v>0</v>
      </c>
      <c r="AM30" s="83">
        <f t="shared" si="8"/>
        <v>0</v>
      </c>
      <c r="AN30" s="118"/>
      <c r="AO30" s="118"/>
      <c r="AP30" s="342"/>
      <c r="AQ30" s="342"/>
      <c r="AR30" s="342"/>
      <c r="AS30" s="1037"/>
      <c r="AT30" s="1036"/>
      <c r="AU30" s="1036"/>
      <c r="AV30" s="1036"/>
      <c r="AW30" s="342"/>
      <c r="AX30" s="342"/>
      <c r="AY30" s="342"/>
      <c r="AZ30" s="342"/>
      <c r="BA30" s="4345">
        <f>(BA29+BA31)/2</f>
        <v>18.5</v>
      </c>
      <c r="BB30" s="4345">
        <f>(BB29+BB31)/2</f>
        <v>0.91500000000000004</v>
      </c>
      <c r="BC30" s="1659"/>
      <c r="BD30" s="2446">
        <v>120</v>
      </c>
      <c r="BE30" s="1660">
        <f t="shared" si="3"/>
        <v>39.431829334195591</v>
      </c>
      <c r="BF30" s="1660">
        <f t="shared" si="3"/>
        <v>36.042592823216374</v>
      </c>
      <c r="BG30" s="1660">
        <f t="shared" si="3"/>
        <v>32.944667273998526</v>
      </c>
      <c r="BH30" s="1660">
        <f t="shared" si="3"/>
        <v>30.113013986478652</v>
      </c>
      <c r="BI30" s="1660">
        <f t="shared" si="3"/>
        <v>27.524746381807983</v>
      </c>
      <c r="BJ30" s="1660">
        <f t="shared" si="3"/>
        <v>25.158945023670977</v>
      </c>
      <c r="BK30" s="1660">
        <f t="shared" si="3"/>
        <v>22.996488538853576</v>
      </c>
      <c r="BL30" s="1660">
        <f t="shared" si="3"/>
        <v>21.019899070492109</v>
      </c>
      <c r="BM30" s="1660">
        <f t="shared" si="3"/>
        <v>19.213201014892931</v>
      </c>
      <c r="BN30" s="1660">
        <f t="shared" si="3"/>
        <v>17.561791900175876</v>
      </c>
      <c r="BO30" s="1660">
        <f t="shared" si="3"/>
        <v>16.052324363130168</v>
      </c>
      <c r="BP30" s="1660">
        <f t="shared" si="3"/>
        <v>14.672598270371356</v>
      </c>
      <c r="BQ30" s="1660">
        <f t="shared" si="3"/>
        <v>13.411462111878512</v>
      </c>
      <c r="BR30" s="1660">
        <f t="shared" si="3"/>
        <v>12.258722869933843</v>
      </c>
      <c r="BS30" s="1660">
        <f t="shared" si="3"/>
        <v>11.20506363498871</v>
      </c>
      <c r="BT30" s="2422"/>
    </row>
    <row r="31" spans="1:72" ht="15" customHeight="1">
      <c r="A31" s="4533"/>
      <c r="B31" s="4536" t="str">
        <f>'Beer Data Sheet'!B64</f>
        <v>Flaked barley</v>
      </c>
      <c r="C31" s="677"/>
      <c r="D31" s="899" t="s">
        <v>82</v>
      </c>
      <c r="E31" s="896">
        <f t="shared" si="20"/>
        <v>0</v>
      </c>
      <c r="F31" s="900">
        <f t="shared" si="4"/>
        <v>0</v>
      </c>
      <c r="G31" s="4535" t="str">
        <f>'Beer Data Sheet'!B14</f>
        <v>Challenger</v>
      </c>
      <c r="H31" s="2032">
        <f>'Beer Data Sheet'!C14</f>
        <v>7.7</v>
      </c>
      <c r="I31" s="961"/>
      <c r="J31" s="962"/>
      <c r="K31" s="962"/>
      <c r="L31" s="962"/>
      <c r="M31" s="962"/>
      <c r="N31" s="963"/>
      <c r="O31" s="959">
        <f t="shared" si="21"/>
        <v>0</v>
      </c>
      <c r="P31" s="960">
        <f t="shared" si="21"/>
        <v>0</v>
      </c>
      <c r="Q31" s="960">
        <f t="shared" si="21"/>
        <v>0</v>
      </c>
      <c r="R31" s="960">
        <f t="shared" si="21"/>
        <v>0</v>
      </c>
      <c r="S31" s="960">
        <f t="shared" si="21"/>
        <v>0</v>
      </c>
      <c r="T31" s="1000">
        <f t="shared" si="21"/>
        <v>0</v>
      </c>
      <c r="U31" s="1001" t="str">
        <f t="shared" si="18"/>
        <v>Challenger</v>
      </c>
      <c r="V31" s="83">
        <f t="shared" si="19"/>
        <v>0</v>
      </c>
      <c r="W31" s="83">
        <f t="shared" si="15"/>
        <v>0</v>
      </c>
      <c r="X31" s="83">
        <f t="shared" si="15"/>
        <v>0</v>
      </c>
      <c r="Y31" s="83">
        <f t="shared" si="15"/>
        <v>0</v>
      </c>
      <c r="Z31" s="83">
        <f t="shared" si="15"/>
        <v>0</v>
      </c>
      <c r="AA31" s="83">
        <f t="shared" si="15"/>
        <v>0</v>
      </c>
      <c r="AB31" s="4329">
        <f t="shared" si="15"/>
        <v>0</v>
      </c>
      <c r="AC31" s="83">
        <f t="shared" si="15"/>
        <v>0</v>
      </c>
      <c r="AD31" s="1010">
        <f t="shared" si="15"/>
        <v>0</v>
      </c>
      <c r="AE31" s="1010">
        <f t="shared" si="15"/>
        <v>0</v>
      </c>
      <c r="AF31" s="1010">
        <f t="shared" si="15"/>
        <v>0</v>
      </c>
      <c r="AG31" s="1016">
        <f t="shared" si="15"/>
        <v>0</v>
      </c>
      <c r="AH31" s="4532">
        <f>'Beer Data Sheet'!C64*$H$10/100</f>
        <v>195</v>
      </c>
      <c r="AI31" s="4322">
        <f t="shared" si="5"/>
        <v>0.76</v>
      </c>
      <c r="AJ31" s="1015">
        <f>'Beer Data Sheet'!E64</f>
        <v>1.7749999999999999</v>
      </c>
      <c r="AK31" s="522">
        <f t="shared" si="16"/>
        <v>0</v>
      </c>
      <c r="AL31" s="522">
        <f t="shared" si="17"/>
        <v>0</v>
      </c>
      <c r="AM31" s="83">
        <f t="shared" si="8"/>
        <v>0</v>
      </c>
      <c r="AN31" s="118"/>
      <c r="AO31" s="118"/>
      <c r="AP31" s="118"/>
      <c r="AQ31" s="118"/>
      <c r="AR31" s="118"/>
      <c r="AS31" s="118"/>
      <c r="AT31" s="118"/>
      <c r="AU31" s="118"/>
      <c r="AV31" s="118"/>
      <c r="AW31" s="118"/>
      <c r="AX31" s="118"/>
      <c r="AY31" s="118"/>
      <c r="AZ31" s="1675"/>
      <c r="BA31" s="1679">
        <v>19</v>
      </c>
      <c r="BB31" s="1680">
        <v>0.90200000000000002</v>
      </c>
      <c r="BC31" s="1659"/>
      <c r="BD31" s="2447">
        <v>120</v>
      </c>
      <c r="BE31" s="3348" t="s">
        <v>954</v>
      </c>
      <c r="BF31" s="3348"/>
      <c r="BG31" s="2448"/>
      <c r="BH31" s="2416"/>
      <c r="BI31" s="2416"/>
      <c r="BJ31" s="2416"/>
      <c r="BK31" s="2416"/>
      <c r="BL31" s="2416"/>
      <c r="BM31" s="2416"/>
      <c r="BN31" s="2416"/>
      <c r="BO31" s="2416"/>
      <c r="BP31" s="2416"/>
      <c r="BQ31" s="2416"/>
      <c r="BR31" s="2416"/>
      <c r="BS31" s="2449"/>
      <c r="BT31" s="2422"/>
    </row>
    <row r="32" spans="1:72" ht="15" customHeight="1">
      <c r="A32" s="4533"/>
      <c r="B32" s="4536" t="str">
        <f>'Beer Data Sheet'!B65</f>
        <v>Flaked maize</v>
      </c>
      <c r="C32" s="677"/>
      <c r="D32" s="899" t="s">
        <v>82</v>
      </c>
      <c r="E32" s="896">
        <f t="shared" si="20"/>
        <v>0</v>
      </c>
      <c r="F32" s="900">
        <f t="shared" si="4"/>
        <v>0</v>
      </c>
      <c r="G32" s="4535" t="str">
        <f>'Beer Data Sheet'!B15</f>
        <v>Cluster</v>
      </c>
      <c r="H32" s="2032">
        <f>'Beer Data Sheet'!C15</f>
        <v>6.9</v>
      </c>
      <c r="I32" s="961"/>
      <c r="J32" s="962"/>
      <c r="K32" s="962"/>
      <c r="L32" s="962"/>
      <c r="M32" s="962"/>
      <c r="N32" s="963"/>
      <c r="O32" s="959">
        <f t="shared" si="21"/>
        <v>0</v>
      </c>
      <c r="P32" s="960">
        <f t="shared" si="21"/>
        <v>0</v>
      </c>
      <c r="Q32" s="960">
        <f t="shared" si="21"/>
        <v>0</v>
      </c>
      <c r="R32" s="960">
        <f t="shared" si="21"/>
        <v>0</v>
      </c>
      <c r="S32" s="960">
        <f t="shared" si="21"/>
        <v>0</v>
      </c>
      <c r="T32" s="1000">
        <f t="shared" si="21"/>
        <v>0</v>
      </c>
      <c r="U32" s="1001" t="str">
        <f t="shared" si="18"/>
        <v>Cluster</v>
      </c>
      <c r="V32" s="83">
        <f t="shared" si="19"/>
        <v>0</v>
      </c>
      <c r="W32" s="83">
        <f t="shared" si="15"/>
        <v>0</v>
      </c>
      <c r="X32" s="83">
        <f t="shared" si="15"/>
        <v>0</v>
      </c>
      <c r="Y32" s="83">
        <f t="shared" si="15"/>
        <v>0</v>
      </c>
      <c r="Z32" s="83">
        <f t="shared" si="15"/>
        <v>0</v>
      </c>
      <c r="AA32" s="83">
        <f t="shared" si="15"/>
        <v>0</v>
      </c>
      <c r="AB32" s="4329">
        <f t="shared" si="15"/>
        <v>0</v>
      </c>
      <c r="AC32" s="83">
        <f t="shared" si="15"/>
        <v>0</v>
      </c>
      <c r="AD32" s="1010">
        <f t="shared" si="15"/>
        <v>0</v>
      </c>
      <c r="AE32" s="1010">
        <f t="shared" si="15"/>
        <v>0</v>
      </c>
      <c r="AF32" s="1010">
        <f t="shared" si="15"/>
        <v>0</v>
      </c>
      <c r="AG32" s="1016">
        <f t="shared" si="15"/>
        <v>0</v>
      </c>
      <c r="AH32" s="4532">
        <f>'Beer Data Sheet'!C65*$H$10/100</f>
        <v>232.5</v>
      </c>
      <c r="AI32" s="4322">
        <f t="shared" si="5"/>
        <v>0.76</v>
      </c>
      <c r="AJ32" s="1015">
        <f>'Beer Data Sheet'!E65</f>
        <v>0.71</v>
      </c>
      <c r="AK32" s="522">
        <f t="shared" si="16"/>
        <v>0</v>
      </c>
      <c r="AL32" s="522">
        <f t="shared" si="17"/>
        <v>0</v>
      </c>
      <c r="AM32" s="83">
        <f t="shared" si="8"/>
        <v>0</v>
      </c>
      <c r="AN32" s="118"/>
      <c r="AO32" s="3350" t="s">
        <v>680</v>
      </c>
      <c r="AP32" s="3350"/>
      <c r="AQ32" s="3350"/>
      <c r="AR32" s="1677"/>
      <c r="AS32" s="1677"/>
      <c r="AT32" s="1678"/>
      <c r="AU32" s="1678"/>
      <c r="AV32" s="1678"/>
      <c r="AW32" s="1675"/>
      <c r="AX32" s="1675"/>
      <c r="AY32" s="1675"/>
      <c r="AZ32" s="1675"/>
      <c r="BA32" s="1679">
        <f>(BA31+BA33)/2</f>
        <v>19.5</v>
      </c>
      <c r="BB32" s="1679">
        <f>(BB31+BB33)/2</f>
        <v>0.88949999999999996</v>
      </c>
      <c r="BC32" s="1659"/>
      <c r="BD32" s="3346" t="s">
        <v>955</v>
      </c>
      <c r="BE32" s="3346"/>
      <c r="BF32" s="3346"/>
      <c r="BG32" s="3346"/>
      <c r="BH32" s="3346"/>
      <c r="BI32" s="3346"/>
      <c r="BJ32" s="3346"/>
      <c r="BK32" s="2416"/>
      <c r="BL32" s="2416"/>
      <c r="BM32" s="2416"/>
      <c r="BN32" s="2416"/>
      <c r="BO32" s="2416"/>
      <c r="BP32" s="2416"/>
      <c r="BQ32" s="2416"/>
      <c r="BR32" s="2416"/>
      <c r="BS32" s="2449"/>
      <c r="BT32" s="2422"/>
    </row>
    <row r="33" spans="1:72" ht="15" customHeight="1">
      <c r="A33" s="4533"/>
      <c r="B33" s="4536" t="str">
        <f>'Beer Data Sheet'!B66</f>
        <v xml:space="preserve">Flaked ̸ Torrified barley </v>
      </c>
      <c r="C33" s="677"/>
      <c r="D33" s="899" t="s">
        <v>82</v>
      </c>
      <c r="E33" s="896">
        <f t="shared" si="20"/>
        <v>0</v>
      </c>
      <c r="F33" s="900">
        <f t="shared" si="4"/>
        <v>0</v>
      </c>
      <c r="G33" s="4535" t="str">
        <f>'Beer Data Sheet'!B16</f>
        <v>EKG</v>
      </c>
      <c r="H33" s="2032">
        <f>'Beer Data Sheet'!C16</f>
        <v>5.5</v>
      </c>
      <c r="I33" s="961"/>
      <c r="J33" s="962"/>
      <c r="K33" s="962"/>
      <c r="L33" s="962"/>
      <c r="M33" s="962"/>
      <c r="N33" s="963"/>
      <c r="O33" s="959">
        <f t="shared" si="21"/>
        <v>0</v>
      </c>
      <c r="P33" s="960">
        <f t="shared" si="21"/>
        <v>0</v>
      </c>
      <c r="Q33" s="960">
        <f t="shared" si="21"/>
        <v>0</v>
      </c>
      <c r="R33" s="960">
        <f t="shared" si="21"/>
        <v>0</v>
      </c>
      <c r="S33" s="960">
        <f>M33</f>
        <v>0</v>
      </c>
      <c r="T33" s="1000">
        <f t="shared" si="21"/>
        <v>0</v>
      </c>
      <c r="U33" s="1001" t="str">
        <f t="shared" si="18"/>
        <v>EKG</v>
      </c>
      <c r="V33" s="83">
        <f t="shared" si="19"/>
        <v>0</v>
      </c>
      <c r="W33" s="83">
        <f t="shared" si="15"/>
        <v>0</v>
      </c>
      <c r="X33" s="83">
        <f t="shared" si="15"/>
        <v>0</v>
      </c>
      <c r="Y33" s="83">
        <f t="shared" si="15"/>
        <v>0</v>
      </c>
      <c r="Z33" s="83">
        <f>$H33*M33</f>
        <v>0</v>
      </c>
      <c r="AA33" s="83">
        <f t="shared" si="15"/>
        <v>0</v>
      </c>
      <c r="AB33" s="4329">
        <f t="shared" si="15"/>
        <v>0</v>
      </c>
      <c r="AC33" s="83">
        <f t="shared" si="15"/>
        <v>0</v>
      </c>
      <c r="AD33" s="1010">
        <f t="shared" si="15"/>
        <v>0</v>
      </c>
      <c r="AE33" s="1010">
        <f t="shared" si="15"/>
        <v>0</v>
      </c>
      <c r="AF33" s="1010">
        <f t="shared" si="15"/>
        <v>0</v>
      </c>
      <c r="AG33" s="1016">
        <f t="shared" si="15"/>
        <v>0</v>
      </c>
      <c r="AH33" s="4532">
        <f>'Beer Data Sheet'!C66*$H$10/100</f>
        <v>187.5</v>
      </c>
      <c r="AI33" s="4322">
        <f t="shared" si="5"/>
        <v>0.76</v>
      </c>
      <c r="AJ33" s="1015">
        <f>'Beer Data Sheet'!E66</f>
        <v>2.13</v>
      </c>
      <c r="AK33" s="522">
        <f t="shared" si="16"/>
        <v>0</v>
      </c>
      <c r="AL33" s="522">
        <f t="shared" si="17"/>
        <v>0</v>
      </c>
      <c r="AM33" s="83">
        <f t="shared" si="8"/>
        <v>0</v>
      </c>
      <c r="AN33" s="118"/>
      <c r="AO33" s="2769" t="s">
        <v>693</v>
      </c>
      <c r="AP33" s="2770" t="s">
        <v>956</v>
      </c>
      <c r="AQ33" s="2770" t="s">
        <v>957</v>
      </c>
      <c r="AR33" s="1694"/>
      <c r="AS33" s="2353" t="s">
        <v>956</v>
      </c>
      <c r="AT33" s="2353" t="s">
        <v>957</v>
      </c>
      <c r="AU33" s="2355" t="s">
        <v>693</v>
      </c>
      <c r="AV33" s="1678"/>
      <c r="AW33" s="2353" t="s">
        <v>957</v>
      </c>
      <c r="AX33" s="2353" t="s">
        <v>956</v>
      </c>
      <c r="AY33" s="2474" t="s">
        <v>693</v>
      </c>
      <c r="AZ33" s="1675"/>
      <c r="BA33" s="1679">
        <v>20</v>
      </c>
      <c r="BB33" s="1680">
        <v>0.877</v>
      </c>
      <c r="BC33" s="1659"/>
      <c r="BD33" s="977"/>
      <c r="BE33" s="977"/>
      <c r="BF33" s="977"/>
      <c r="BG33" s="977"/>
      <c r="BH33" s="977"/>
      <c r="BI33" s="977"/>
      <c r="BJ33" s="977"/>
      <c r="BK33" s="977"/>
      <c r="BL33" s="977"/>
      <c r="BM33" s="977"/>
      <c r="BN33" s="977"/>
      <c r="BO33" s="977"/>
      <c r="BP33" s="977"/>
      <c r="BQ33" s="977"/>
      <c r="BR33" s="977"/>
      <c r="BS33" s="977"/>
      <c r="BT33" s="2422"/>
    </row>
    <row r="34" spans="1:72" ht="15" customHeight="1">
      <c r="A34" s="4533"/>
      <c r="B34" s="4536" t="str">
        <f>'Beer Data Sheet'!B67</f>
        <v>Oats</v>
      </c>
      <c r="C34" s="677"/>
      <c r="D34" s="899" t="s">
        <v>82</v>
      </c>
      <c r="E34" s="896">
        <f t="shared" si="20"/>
        <v>0</v>
      </c>
      <c r="F34" s="900">
        <f t="shared" si="4"/>
        <v>0</v>
      </c>
      <c r="G34" s="4535" t="str">
        <f>'Beer Data Sheet'!B17</f>
        <v>First Gold</v>
      </c>
      <c r="H34" s="2032">
        <f>'Beer Data Sheet'!C17</f>
        <v>7.9</v>
      </c>
      <c r="I34" s="961"/>
      <c r="J34" s="962"/>
      <c r="K34" s="962"/>
      <c r="L34" s="962"/>
      <c r="M34" s="962"/>
      <c r="N34" s="963"/>
      <c r="O34" s="959">
        <f>I34</f>
        <v>0</v>
      </c>
      <c r="P34" s="960">
        <f t="shared" si="21"/>
        <v>0</v>
      </c>
      <c r="Q34" s="960">
        <f t="shared" si="21"/>
        <v>0</v>
      </c>
      <c r="R34" s="960">
        <f t="shared" si="21"/>
        <v>0</v>
      </c>
      <c r="S34" s="960">
        <f t="shared" si="21"/>
        <v>0</v>
      </c>
      <c r="T34" s="1000">
        <f t="shared" si="21"/>
        <v>0</v>
      </c>
      <c r="U34" s="1001" t="str">
        <f t="shared" si="18"/>
        <v>First Gold</v>
      </c>
      <c r="V34" s="83">
        <f>$H34*I34</f>
        <v>0</v>
      </c>
      <c r="W34" s="83">
        <f t="shared" si="15"/>
        <v>0</v>
      </c>
      <c r="X34" s="83">
        <f t="shared" si="15"/>
        <v>0</v>
      </c>
      <c r="Y34" s="83">
        <f t="shared" si="15"/>
        <v>0</v>
      </c>
      <c r="Z34" s="83">
        <f t="shared" si="15"/>
        <v>0</v>
      </c>
      <c r="AA34" s="83">
        <f t="shared" si="15"/>
        <v>0</v>
      </c>
      <c r="AB34" s="4329">
        <f t="shared" si="15"/>
        <v>0</v>
      </c>
      <c r="AC34" s="83">
        <f t="shared" si="15"/>
        <v>0</v>
      </c>
      <c r="AD34" s="1010">
        <f t="shared" si="15"/>
        <v>0</v>
      </c>
      <c r="AE34" s="1010">
        <f t="shared" si="15"/>
        <v>0</v>
      </c>
      <c r="AF34" s="1010">
        <f t="shared" si="15"/>
        <v>0</v>
      </c>
      <c r="AG34" s="1016">
        <f t="shared" si="15"/>
        <v>0</v>
      </c>
      <c r="AH34" s="4532">
        <f>'Beer Data Sheet'!C67*$H$10/100</f>
        <v>187.5</v>
      </c>
      <c r="AI34" s="4322">
        <f t="shared" si="5"/>
        <v>0.76</v>
      </c>
      <c r="AJ34" s="1015">
        <f>'Beer Data Sheet'!E67</f>
        <v>1.0649999999999999</v>
      </c>
      <c r="AK34" s="522">
        <f t="shared" si="16"/>
        <v>0</v>
      </c>
      <c r="AL34" s="522">
        <f t="shared" si="17"/>
        <v>0</v>
      </c>
      <c r="AM34" s="83">
        <f t="shared" si="8"/>
        <v>0</v>
      </c>
      <c r="AN34" s="118"/>
      <c r="AO34" s="2198">
        <v>1</v>
      </c>
      <c r="AP34" s="2485">
        <f t="shared" ref="AP34:AP47" si="22">AQ34*(5/6)</f>
        <v>1.7611524981948188</v>
      </c>
      <c r="AQ34" s="2197">
        <f t="shared" ref="AQ34:AQ47" si="23">8*AO34/3.7854</f>
        <v>2.1133829978337824</v>
      </c>
      <c r="AR34" s="1677"/>
      <c r="AS34" s="2198">
        <v>1</v>
      </c>
      <c r="AT34" s="1681">
        <f>AS34*(6/5)</f>
        <v>1.2</v>
      </c>
      <c r="AU34" s="1682">
        <f>3.7854*AT34/8</f>
        <v>0.56781000000000004</v>
      </c>
      <c r="AV34" s="1678"/>
      <c r="AW34" s="2198">
        <v>1</v>
      </c>
      <c r="AX34" s="2357">
        <f t="shared" ref="AX34:AX47" si="24">AW34*(5/6)</f>
        <v>0.83333333333333337</v>
      </c>
      <c r="AY34" s="2197">
        <f t="shared" ref="AY34:AY47" si="25">3.7854*AW34/8</f>
        <v>0.47317500000000001</v>
      </c>
      <c r="AZ34" s="1675"/>
      <c r="BA34" s="1679">
        <f>(BA33+BA35)/2</f>
        <v>20.5</v>
      </c>
      <c r="BB34" s="1679">
        <f>(BB33+BB35)/2</f>
        <v>0.86450000000000005</v>
      </c>
      <c r="BC34" s="1659"/>
      <c r="BD34" s="977"/>
      <c r="BE34" s="977"/>
      <c r="BF34" s="977"/>
      <c r="BG34" s="977"/>
      <c r="BH34" s="977"/>
      <c r="BI34" s="977"/>
      <c r="BJ34" s="977"/>
      <c r="BK34" s="977"/>
      <c r="BL34" s="977"/>
      <c r="BM34" s="977"/>
      <c r="BN34" s="977"/>
      <c r="BO34" s="977"/>
      <c r="BP34" s="977"/>
      <c r="BQ34" s="977"/>
      <c r="BR34" s="977"/>
      <c r="BS34" s="977"/>
      <c r="BT34" s="2422"/>
    </row>
    <row r="35" spans="1:72" ht="15" customHeight="1">
      <c r="A35" s="4533"/>
      <c r="B35" s="4536" t="str">
        <f>'Beer Data Sheet'!B68</f>
        <v>Torrified wheat</v>
      </c>
      <c r="C35" s="677"/>
      <c r="D35" s="899" t="s">
        <v>82</v>
      </c>
      <c r="E35" s="896">
        <f t="shared" si="20"/>
        <v>0</v>
      </c>
      <c r="F35" s="900">
        <f t="shared" si="4"/>
        <v>0</v>
      </c>
      <c r="G35" s="4535" t="str">
        <f>'Beer Data Sheet'!B18</f>
        <v>Fuggles</v>
      </c>
      <c r="H35" s="2032">
        <f>'Beer Data Sheet'!C18</f>
        <v>4.5</v>
      </c>
      <c r="I35" s="961"/>
      <c r="J35" s="962"/>
      <c r="K35" s="962"/>
      <c r="L35" s="962"/>
      <c r="M35" s="962"/>
      <c r="N35" s="963"/>
      <c r="O35" s="959">
        <f>I35</f>
        <v>0</v>
      </c>
      <c r="P35" s="960">
        <f t="shared" si="21"/>
        <v>0</v>
      </c>
      <c r="Q35" s="960">
        <f t="shared" si="21"/>
        <v>0</v>
      </c>
      <c r="R35" s="960">
        <f t="shared" si="21"/>
        <v>0</v>
      </c>
      <c r="S35" s="960">
        <f t="shared" si="21"/>
        <v>0</v>
      </c>
      <c r="T35" s="1000">
        <f>N35</f>
        <v>0</v>
      </c>
      <c r="U35" s="1002" t="str">
        <f t="shared" si="18"/>
        <v>Fuggles</v>
      </c>
      <c r="V35" s="83">
        <f t="shared" si="19"/>
        <v>0</v>
      </c>
      <c r="W35" s="83">
        <f t="shared" si="15"/>
        <v>0</v>
      </c>
      <c r="X35" s="83">
        <f t="shared" si="15"/>
        <v>0</v>
      </c>
      <c r="Y35" s="83">
        <f t="shared" si="15"/>
        <v>0</v>
      </c>
      <c r="Z35" s="83">
        <f t="shared" si="15"/>
        <v>0</v>
      </c>
      <c r="AA35" s="83">
        <f>$H35*N35</f>
        <v>0</v>
      </c>
      <c r="AB35" s="4329">
        <f t="shared" si="15"/>
        <v>0</v>
      </c>
      <c r="AC35" s="83">
        <f t="shared" si="15"/>
        <v>0</v>
      </c>
      <c r="AD35" s="1010">
        <f t="shared" si="15"/>
        <v>0</v>
      </c>
      <c r="AE35" s="1010">
        <f t="shared" si="15"/>
        <v>0</v>
      </c>
      <c r="AF35" s="1010">
        <f t="shared" si="15"/>
        <v>0</v>
      </c>
      <c r="AG35" s="1016">
        <f t="shared" si="15"/>
        <v>0</v>
      </c>
      <c r="AH35" s="4532">
        <f>'Beer Data Sheet'!C68*$H$10/100</f>
        <v>216</v>
      </c>
      <c r="AI35" s="4322">
        <f t="shared" si="5"/>
        <v>0.76</v>
      </c>
      <c r="AJ35" s="1015">
        <f>'Beer Data Sheet'!E68</f>
        <v>2.84</v>
      </c>
      <c r="AK35" s="522">
        <f t="shared" si="16"/>
        <v>0</v>
      </c>
      <c r="AL35" s="522">
        <f t="shared" si="17"/>
        <v>0</v>
      </c>
      <c r="AM35" s="83">
        <f t="shared" si="8"/>
        <v>0</v>
      </c>
      <c r="AN35" s="118"/>
      <c r="AO35" s="2198">
        <v>2</v>
      </c>
      <c r="AP35" s="2485">
        <f t="shared" si="22"/>
        <v>3.5223049963896376</v>
      </c>
      <c r="AQ35" s="2197">
        <f t="shared" si="23"/>
        <v>4.2267659956675647</v>
      </c>
      <c r="AR35" s="1675"/>
      <c r="AS35" s="2198">
        <v>2</v>
      </c>
      <c r="AT35" s="1681">
        <f>AS35*(6/5)</f>
        <v>2.4</v>
      </c>
      <c r="AU35" s="1682">
        <f>3.7854*AT35/8</f>
        <v>1.1356200000000001</v>
      </c>
      <c r="AV35" s="1678"/>
      <c r="AW35" s="2198">
        <v>2</v>
      </c>
      <c r="AX35" s="2357">
        <f t="shared" si="24"/>
        <v>1.6666666666666667</v>
      </c>
      <c r="AY35" s="2197">
        <f t="shared" si="25"/>
        <v>0.94635000000000002</v>
      </c>
      <c r="AZ35" s="1675"/>
      <c r="BA35" s="1679">
        <v>21</v>
      </c>
      <c r="BB35" s="1680">
        <v>0.85199999999999998</v>
      </c>
      <c r="BC35" s="1659"/>
      <c r="BD35" s="977"/>
      <c r="BE35" s="977"/>
      <c r="BF35" s="977"/>
      <c r="BG35" s="977"/>
      <c r="BH35" s="977"/>
      <c r="BI35" s="977"/>
      <c r="BJ35" s="977"/>
      <c r="BK35" s="977"/>
      <c r="BL35" s="977"/>
      <c r="BM35" s="977"/>
      <c r="BN35" s="977"/>
      <c r="BO35" s="977"/>
      <c r="BP35" s="977"/>
      <c r="BQ35" s="977"/>
      <c r="BR35" s="977"/>
      <c r="BS35" s="977"/>
      <c r="BT35" s="2422"/>
    </row>
    <row r="36" spans="1:72" ht="15" customHeight="1">
      <c r="A36" s="4533"/>
      <c r="B36" s="4536" t="str">
        <f>'Beer Data Sheet'!B69</f>
        <v xml:space="preserve">Wheat flakes </v>
      </c>
      <c r="C36" s="677"/>
      <c r="D36" s="899" t="s">
        <v>82</v>
      </c>
      <c r="E36" s="896">
        <f t="shared" si="20"/>
        <v>0</v>
      </c>
      <c r="F36" s="900">
        <f t="shared" si="4"/>
        <v>0</v>
      </c>
      <c r="G36" s="4535" t="str">
        <f>'Beer Data Sheet'!B19</f>
        <v>Goldings (Worc.)</v>
      </c>
      <c r="H36" s="2032">
        <f>'Beer Data Sheet'!C19</f>
        <v>5.3</v>
      </c>
      <c r="I36" s="961">
        <v>70</v>
      </c>
      <c r="J36" s="962"/>
      <c r="K36" s="962"/>
      <c r="L36" s="962"/>
      <c r="M36" s="962">
        <v>20</v>
      </c>
      <c r="N36" s="963"/>
      <c r="O36" s="959">
        <f>I36</f>
        <v>70</v>
      </c>
      <c r="P36" s="960">
        <f t="shared" si="21"/>
        <v>0</v>
      </c>
      <c r="Q36" s="960">
        <f t="shared" si="21"/>
        <v>0</v>
      </c>
      <c r="R36" s="960">
        <f t="shared" si="21"/>
        <v>0</v>
      </c>
      <c r="S36" s="960">
        <f t="shared" si="21"/>
        <v>20</v>
      </c>
      <c r="T36" s="1000">
        <f t="shared" si="21"/>
        <v>0</v>
      </c>
      <c r="U36" s="1002" t="str">
        <f t="shared" si="18"/>
        <v>Goldings (Worc.)</v>
      </c>
      <c r="V36" s="83">
        <f t="shared" si="19"/>
        <v>371</v>
      </c>
      <c r="W36" s="83">
        <f t="shared" si="15"/>
        <v>0</v>
      </c>
      <c r="X36" s="83">
        <f t="shared" si="15"/>
        <v>0</v>
      </c>
      <c r="Y36" s="83">
        <f t="shared" si="15"/>
        <v>0</v>
      </c>
      <c r="Z36" s="83">
        <f t="shared" si="15"/>
        <v>106</v>
      </c>
      <c r="AA36" s="83">
        <f t="shared" si="15"/>
        <v>0</v>
      </c>
      <c r="AB36" s="4329">
        <f t="shared" si="15"/>
        <v>371</v>
      </c>
      <c r="AC36" s="83">
        <f t="shared" si="15"/>
        <v>0</v>
      </c>
      <c r="AD36" s="1010">
        <f t="shared" si="15"/>
        <v>0</v>
      </c>
      <c r="AE36" s="1010">
        <f t="shared" si="15"/>
        <v>0</v>
      </c>
      <c r="AF36" s="1010">
        <f t="shared" si="15"/>
        <v>106</v>
      </c>
      <c r="AG36" s="1016">
        <f t="shared" si="15"/>
        <v>0</v>
      </c>
      <c r="AH36" s="4532">
        <f>'Beer Data Sheet'!C69*$H$10/100</f>
        <v>129.75</v>
      </c>
      <c r="AI36" s="4322">
        <f t="shared" si="5"/>
        <v>0.76</v>
      </c>
      <c r="AJ36" s="1015">
        <f>'Beer Data Sheet'!E69</f>
        <v>0</v>
      </c>
      <c r="AK36" s="522">
        <f t="shared" si="16"/>
        <v>0</v>
      </c>
      <c r="AL36" s="522">
        <f t="shared" si="17"/>
        <v>0</v>
      </c>
      <c r="AM36" s="83">
        <f t="shared" si="8"/>
        <v>0</v>
      </c>
      <c r="AN36" s="118"/>
      <c r="AO36" s="2198">
        <v>3</v>
      </c>
      <c r="AP36" s="2485">
        <f t="shared" si="22"/>
        <v>5.2834574945844563</v>
      </c>
      <c r="AQ36" s="2197">
        <f t="shared" si="23"/>
        <v>6.3401489935013471</v>
      </c>
      <c r="AR36" s="1677"/>
      <c r="AS36" s="2198">
        <v>3</v>
      </c>
      <c r="AT36" s="1681">
        <f>AS36*(6/5)</f>
        <v>3.5999999999999996</v>
      </c>
      <c r="AU36" s="1682">
        <f>3.7854*AT36/8</f>
        <v>1.7034299999999998</v>
      </c>
      <c r="AV36" s="1678"/>
      <c r="AW36" s="2198">
        <v>3</v>
      </c>
      <c r="AX36" s="2357">
        <f t="shared" si="24"/>
        <v>2.5</v>
      </c>
      <c r="AY36" s="2197">
        <f t="shared" si="25"/>
        <v>1.4195250000000001</v>
      </c>
      <c r="AZ36" s="1675"/>
      <c r="BA36" s="1679">
        <f>(BA35+BA37)/2</f>
        <v>21.5</v>
      </c>
      <c r="BB36" s="1679">
        <f>(BB35+BB37)/2</f>
        <v>0.83949999999999991</v>
      </c>
      <c r="BC36" s="1659"/>
      <c r="BD36" s="977"/>
      <c r="BE36" s="977"/>
      <c r="BF36" s="977"/>
      <c r="BG36" s="977"/>
      <c r="BH36" s="977"/>
      <c r="BI36" s="977"/>
      <c r="BJ36" s="977"/>
      <c r="BK36" s="977"/>
      <c r="BL36" s="977"/>
      <c r="BM36" s="977"/>
      <c r="BN36" s="977"/>
      <c r="BO36" s="977"/>
      <c r="BP36" s="977"/>
      <c r="BQ36" s="977"/>
      <c r="BR36" s="977"/>
      <c r="BS36" s="977"/>
      <c r="BT36" s="2422"/>
    </row>
    <row r="37" spans="1:72" ht="15" customHeight="1">
      <c r="A37" s="4533"/>
      <c r="B37" s="4536" t="str">
        <f>'Beer Data Sheet'!B70</f>
        <v>Wheat flour</v>
      </c>
      <c r="C37" s="677"/>
      <c r="D37" s="899" t="s">
        <v>82</v>
      </c>
      <c r="E37" s="896">
        <f t="shared" si="20"/>
        <v>0</v>
      </c>
      <c r="F37" s="900">
        <f t="shared" si="4"/>
        <v>0</v>
      </c>
      <c r="G37" s="4535" t="str">
        <f>'Beer Data Sheet'!B20</f>
        <v>Hallertauer ("German")</v>
      </c>
      <c r="H37" s="2032">
        <f>'Beer Data Sheet'!C20</f>
        <v>2</v>
      </c>
      <c r="I37" s="961"/>
      <c r="J37" s="962"/>
      <c r="K37" s="962"/>
      <c r="L37" s="962"/>
      <c r="M37" s="962"/>
      <c r="N37" s="963"/>
      <c r="O37" s="959">
        <f t="shared" ref="O37:T51" si="26">I37</f>
        <v>0</v>
      </c>
      <c r="P37" s="960">
        <f t="shared" si="21"/>
        <v>0</v>
      </c>
      <c r="Q37" s="960">
        <f t="shared" si="21"/>
        <v>0</v>
      </c>
      <c r="R37" s="960">
        <f t="shared" si="21"/>
        <v>0</v>
      </c>
      <c r="S37" s="960">
        <f t="shared" si="21"/>
        <v>0</v>
      </c>
      <c r="T37" s="1000">
        <f t="shared" si="21"/>
        <v>0</v>
      </c>
      <c r="U37" s="1002" t="str">
        <f t="shared" si="18"/>
        <v>Hallertauer ("German")</v>
      </c>
      <c r="V37" s="83">
        <f>$H37*I37</f>
        <v>0</v>
      </c>
      <c r="W37" s="83">
        <f t="shared" si="15"/>
        <v>0</v>
      </c>
      <c r="X37" s="83">
        <f t="shared" si="15"/>
        <v>0</v>
      </c>
      <c r="Y37" s="83">
        <f t="shared" si="15"/>
        <v>0</v>
      </c>
      <c r="Z37" s="83">
        <f t="shared" si="15"/>
        <v>0</v>
      </c>
      <c r="AA37" s="83">
        <f t="shared" si="15"/>
        <v>0</v>
      </c>
      <c r="AB37" s="4329">
        <f t="shared" si="15"/>
        <v>0</v>
      </c>
      <c r="AC37" s="83">
        <f t="shared" si="15"/>
        <v>0</v>
      </c>
      <c r="AD37" s="1010">
        <f t="shared" si="15"/>
        <v>0</v>
      </c>
      <c r="AE37" s="1010">
        <f t="shared" si="15"/>
        <v>0</v>
      </c>
      <c r="AF37" s="1010">
        <f t="shared" si="15"/>
        <v>0</v>
      </c>
      <c r="AG37" s="1016">
        <f t="shared" si="15"/>
        <v>0</v>
      </c>
      <c r="AH37" s="4532">
        <f>'Beer Data Sheet'!C70*$H$10/100</f>
        <v>228</v>
      </c>
      <c r="AI37" s="4322">
        <f t="shared" si="5"/>
        <v>0.76</v>
      </c>
      <c r="AJ37" s="1015">
        <f>'Beer Data Sheet'!E70</f>
        <v>0</v>
      </c>
      <c r="AK37" s="522">
        <f t="shared" si="16"/>
        <v>0</v>
      </c>
      <c r="AL37" s="522">
        <f t="shared" si="17"/>
        <v>0</v>
      </c>
      <c r="AM37" s="83">
        <f t="shared" si="8"/>
        <v>0</v>
      </c>
      <c r="AN37" s="118"/>
      <c r="AO37" s="2198">
        <v>4</v>
      </c>
      <c r="AP37" s="2485">
        <f t="shared" si="22"/>
        <v>7.0446099927792751</v>
      </c>
      <c r="AQ37" s="2197">
        <f t="shared" si="23"/>
        <v>8.4535319913351294</v>
      </c>
      <c r="AR37" s="1675"/>
      <c r="AS37" s="2198">
        <v>4</v>
      </c>
      <c r="AT37" s="1681">
        <f>AS37*(6/5)</f>
        <v>4.8</v>
      </c>
      <c r="AU37" s="1682">
        <f>3.7854*AT37/8</f>
        <v>2.2712400000000001</v>
      </c>
      <c r="AV37" s="1678"/>
      <c r="AW37" s="2198">
        <v>4</v>
      </c>
      <c r="AX37" s="2357">
        <f t="shared" si="24"/>
        <v>3.3333333333333335</v>
      </c>
      <c r="AY37" s="2197">
        <f t="shared" si="25"/>
        <v>1.8927</v>
      </c>
      <c r="AZ37" s="1675"/>
      <c r="BA37" s="1679">
        <v>22</v>
      </c>
      <c r="BB37" s="1680">
        <v>0.82699999999999996</v>
      </c>
      <c r="BC37" s="1659"/>
      <c r="BD37" s="977"/>
      <c r="BE37" s="977"/>
      <c r="BF37" s="977"/>
      <c r="BG37" s="977"/>
      <c r="BH37" s="977"/>
      <c r="BI37" s="977"/>
      <c r="BJ37" s="977"/>
      <c r="BK37" s="977"/>
      <c r="BL37" s="977"/>
      <c r="BM37" s="977"/>
      <c r="BN37" s="977"/>
      <c r="BO37" s="977"/>
      <c r="BP37" s="977"/>
      <c r="BQ37" s="977"/>
      <c r="BR37" s="977"/>
      <c r="BS37" s="977"/>
      <c r="BT37" s="2422"/>
    </row>
    <row r="38" spans="1:72" ht="15" customHeight="1">
      <c r="A38" s="4533"/>
      <c r="B38" s="4536" t="str">
        <f>'Beer Data Sheet'!B71</f>
        <v>Wheat malt ̸ Malted wheat</v>
      </c>
      <c r="C38" s="901"/>
      <c r="D38" s="899" t="s">
        <v>82</v>
      </c>
      <c r="E38" s="896">
        <f t="shared" si="20"/>
        <v>0</v>
      </c>
      <c r="F38" s="900">
        <f t="shared" si="4"/>
        <v>0</v>
      </c>
      <c r="G38" s="4535" t="str">
        <f>'Beer Data Sheet'!B21</f>
        <v>Hallertauer ("Pacific")</v>
      </c>
      <c r="H38" s="2032">
        <f>'Beer Data Sheet'!C21</f>
        <v>6.7</v>
      </c>
      <c r="I38" s="961"/>
      <c r="J38" s="962"/>
      <c r="K38" s="962"/>
      <c r="L38" s="962"/>
      <c r="M38" s="962"/>
      <c r="N38" s="963"/>
      <c r="O38" s="959">
        <f t="shared" si="26"/>
        <v>0</v>
      </c>
      <c r="P38" s="960">
        <f t="shared" si="21"/>
        <v>0</v>
      </c>
      <c r="Q38" s="960">
        <f t="shared" si="21"/>
        <v>0</v>
      </c>
      <c r="R38" s="960">
        <f t="shared" si="21"/>
        <v>0</v>
      </c>
      <c r="S38" s="960">
        <f t="shared" si="21"/>
        <v>0</v>
      </c>
      <c r="T38" s="1000">
        <f t="shared" si="21"/>
        <v>0</v>
      </c>
      <c r="U38" s="1002" t="str">
        <f t="shared" si="18"/>
        <v>Hallertauer ("Pacific")</v>
      </c>
      <c r="V38" s="83">
        <f t="shared" si="19"/>
        <v>0</v>
      </c>
      <c r="W38" s="83">
        <f t="shared" si="15"/>
        <v>0</v>
      </c>
      <c r="X38" s="83">
        <f t="shared" si="15"/>
        <v>0</v>
      </c>
      <c r="Y38" s="83">
        <f t="shared" si="15"/>
        <v>0</v>
      </c>
      <c r="Z38" s="83">
        <f t="shared" si="15"/>
        <v>0</v>
      </c>
      <c r="AA38" s="83">
        <f t="shared" si="15"/>
        <v>0</v>
      </c>
      <c r="AB38" s="4329">
        <f t="shared" si="15"/>
        <v>0</v>
      </c>
      <c r="AC38" s="83">
        <f t="shared" si="15"/>
        <v>0</v>
      </c>
      <c r="AD38" s="1010">
        <f t="shared" si="15"/>
        <v>0</v>
      </c>
      <c r="AE38" s="1010">
        <f t="shared" si="15"/>
        <v>0</v>
      </c>
      <c r="AF38" s="1010">
        <f t="shared" si="15"/>
        <v>0</v>
      </c>
      <c r="AG38" s="1016">
        <f t="shared" si="15"/>
        <v>0</v>
      </c>
      <c r="AH38" s="4532">
        <f>'Beer Data Sheet'!C71*$H$10/100</f>
        <v>228.75</v>
      </c>
      <c r="AI38" s="4322">
        <f t="shared" si="5"/>
        <v>0.76</v>
      </c>
      <c r="AJ38" s="1015">
        <f>'Beer Data Sheet'!E71</f>
        <v>2.13</v>
      </c>
      <c r="AK38" s="522">
        <f t="shared" si="16"/>
        <v>0</v>
      </c>
      <c r="AL38" s="522">
        <f t="shared" si="17"/>
        <v>0</v>
      </c>
      <c r="AM38" s="83">
        <f t="shared" si="8"/>
        <v>0</v>
      </c>
      <c r="AN38" s="118"/>
      <c r="AO38" s="2198">
        <v>5</v>
      </c>
      <c r="AP38" s="2485">
        <f t="shared" si="22"/>
        <v>8.8057624909740948</v>
      </c>
      <c r="AQ38" s="2197">
        <f t="shared" si="23"/>
        <v>10.566914989168913</v>
      </c>
      <c r="AR38" s="1677"/>
      <c r="AS38" s="2198">
        <v>5</v>
      </c>
      <c r="AT38" s="1681">
        <f>AS38*(6/5)</f>
        <v>6</v>
      </c>
      <c r="AU38" s="1682">
        <f>3.7854*AT38/8</f>
        <v>2.8390500000000003</v>
      </c>
      <c r="AV38" s="1678"/>
      <c r="AW38" s="2198">
        <v>5</v>
      </c>
      <c r="AX38" s="2357">
        <f t="shared" si="24"/>
        <v>4.166666666666667</v>
      </c>
      <c r="AY38" s="2197">
        <f t="shared" si="25"/>
        <v>2.365875</v>
      </c>
      <c r="AZ38" s="1675"/>
      <c r="BA38" s="1679">
        <f>(BA37+BA39)/2</f>
        <v>22.5</v>
      </c>
      <c r="BB38" s="1679">
        <f>(BB37+BB39)/2</f>
        <v>0.8145</v>
      </c>
      <c r="BC38" s="1659"/>
      <c r="BD38" s="977"/>
      <c r="BE38" s="977"/>
      <c r="BF38" s="977"/>
      <c r="BG38" s="977"/>
      <c r="BH38" s="977"/>
      <c r="BI38" s="977"/>
      <c r="BJ38" s="977"/>
      <c r="BK38" s="977"/>
      <c r="BL38" s="977"/>
      <c r="BM38" s="977"/>
      <c r="BN38" s="977"/>
      <c r="BO38" s="977"/>
      <c r="BP38" s="977"/>
      <c r="BQ38" s="977"/>
      <c r="BR38" s="977"/>
      <c r="BS38" s="977"/>
      <c r="BT38" s="2422"/>
    </row>
    <row r="39" spans="1:72" ht="15" customHeight="1">
      <c r="A39" s="3362" t="s">
        <v>731</v>
      </c>
      <c r="B39" s="2026" t="str">
        <f>'Beer Data Sheet'!B72</f>
        <v>Black</v>
      </c>
      <c r="C39" s="902"/>
      <c r="D39" s="903" t="s">
        <v>82</v>
      </c>
      <c r="E39" s="904">
        <f t="shared" si="20"/>
        <v>0</v>
      </c>
      <c r="F39" s="905">
        <f t="shared" si="4"/>
        <v>0</v>
      </c>
      <c r="G39" s="4535" t="str">
        <f>'Beer Data Sheet'!B22</f>
        <v>Lublin</v>
      </c>
      <c r="H39" s="2032">
        <f>'Beer Data Sheet'!C22</f>
        <v>3</v>
      </c>
      <c r="I39" s="961"/>
      <c r="J39" s="962"/>
      <c r="K39" s="962"/>
      <c r="L39" s="962"/>
      <c r="M39" s="962"/>
      <c r="N39" s="963"/>
      <c r="O39" s="959">
        <f t="shared" si="26"/>
        <v>0</v>
      </c>
      <c r="P39" s="960">
        <f t="shared" si="21"/>
        <v>0</v>
      </c>
      <c r="Q39" s="960">
        <f t="shared" si="21"/>
        <v>0</v>
      </c>
      <c r="R39" s="960">
        <f t="shared" si="21"/>
        <v>0</v>
      </c>
      <c r="S39" s="960">
        <f t="shared" si="21"/>
        <v>0</v>
      </c>
      <c r="T39" s="1000">
        <f t="shared" si="21"/>
        <v>0</v>
      </c>
      <c r="U39" s="1001" t="str">
        <f t="shared" si="18"/>
        <v>Lublin</v>
      </c>
      <c r="V39" s="83">
        <f t="shared" si="19"/>
        <v>0</v>
      </c>
      <c r="W39" s="83">
        <f t="shared" si="15"/>
        <v>0</v>
      </c>
      <c r="X39" s="83">
        <f t="shared" si="15"/>
        <v>0</v>
      </c>
      <c r="Y39" s="83">
        <f t="shared" si="15"/>
        <v>0</v>
      </c>
      <c r="Z39" s="83">
        <f t="shared" si="15"/>
        <v>0</v>
      </c>
      <c r="AA39" s="83">
        <f t="shared" si="15"/>
        <v>0</v>
      </c>
      <c r="AB39" s="4329">
        <f t="shared" si="15"/>
        <v>0</v>
      </c>
      <c r="AC39" s="83">
        <f t="shared" si="15"/>
        <v>0</v>
      </c>
      <c r="AD39" s="1010">
        <f t="shared" si="15"/>
        <v>0</v>
      </c>
      <c r="AE39" s="1010">
        <f t="shared" si="15"/>
        <v>0</v>
      </c>
      <c r="AF39" s="1010">
        <f t="shared" si="15"/>
        <v>0</v>
      </c>
      <c r="AG39" s="1016">
        <f t="shared" si="15"/>
        <v>0</v>
      </c>
      <c r="AH39" s="4532">
        <f>'Beer Data Sheet'!C72*$H$10/100</f>
        <v>198.75</v>
      </c>
      <c r="AI39" s="4322">
        <f t="shared" si="5"/>
        <v>0.76</v>
      </c>
      <c r="AJ39" s="1015">
        <f>'Beer Data Sheet'!E72</f>
        <v>908.8</v>
      </c>
      <c r="AK39" s="522">
        <f t="shared" si="16"/>
        <v>0</v>
      </c>
      <c r="AL39" s="522">
        <f t="shared" si="17"/>
        <v>0</v>
      </c>
      <c r="AM39" s="83">
        <f t="shared" si="8"/>
        <v>0</v>
      </c>
      <c r="AN39" s="118"/>
      <c r="AO39" s="2198">
        <v>6</v>
      </c>
      <c r="AP39" s="2485">
        <f t="shared" si="22"/>
        <v>10.566914989168913</v>
      </c>
      <c r="AQ39" s="2197">
        <f t="shared" si="23"/>
        <v>12.680297987002694</v>
      </c>
      <c r="AR39" s="1683"/>
      <c r="AS39" s="2198">
        <v>6</v>
      </c>
      <c r="AT39" s="1681">
        <f t="shared" ref="AT39" si="27">AS39*(6/5)</f>
        <v>7.1999999999999993</v>
      </c>
      <c r="AU39" s="1682">
        <f t="shared" ref="AU39" si="28">3.7854*AT39/8</f>
        <v>3.4068599999999996</v>
      </c>
      <c r="AV39" s="1678"/>
      <c r="AW39" s="2198">
        <v>6</v>
      </c>
      <c r="AX39" s="2357">
        <f t="shared" si="24"/>
        <v>5</v>
      </c>
      <c r="AY39" s="2197">
        <f t="shared" si="25"/>
        <v>2.8390500000000003</v>
      </c>
      <c r="AZ39" s="1675"/>
      <c r="BA39" s="1679">
        <v>23</v>
      </c>
      <c r="BB39" s="1680">
        <v>0.80200000000000005</v>
      </c>
      <c r="BC39" s="1659"/>
      <c r="BD39" s="977"/>
      <c r="BE39" s="977"/>
      <c r="BF39" s="977"/>
      <c r="BG39" s="977"/>
      <c r="BH39" s="977"/>
      <c r="BI39" s="977"/>
      <c r="BJ39" s="977"/>
      <c r="BK39" s="977"/>
      <c r="BL39" s="977"/>
      <c r="BM39" s="977"/>
      <c r="BN39" s="977"/>
      <c r="BO39" s="977"/>
      <c r="BP39" s="977"/>
      <c r="BQ39" s="977"/>
      <c r="BR39" s="977"/>
      <c r="BS39" s="977"/>
      <c r="BT39" s="1040"/>
    </row>
    <row r="40" spans="1:72" ht="15" customHeight="1">
      <c r="A40" s="3362"/>
      <c r="B40" s="4537" t="str">
        <f>'Beer Data Sheet'!B73</f>
        <v>Chocolate</v>
      </c>
      <c r="C40" s="677">
        <v>22</v>
      </c>
      <c r="D40" s="906" t="s">
        <v>82</v>
      </c>
      <c r="E40" s="896">
        <f t="shared" si="20"/>
        <v>0.47714580057474382</v>
      </c>
      <c r="F40" s="900">
        <f t="shared" si="4"/>
        <v>0.41811446869699609</v>
      </c>
      <c r="G40" s="4535" t="str">
        <f>'Beer Data Sheet'!B23</f>
        <v>Magnum</v>
      </c>
      <c r="H40" s="2032">
        <f>'Beer Data Sheet'!C23</f>
        <v>13</v>
      </c>
      <c r="I40" s="961"/>
      <c r="J40" s="962"/>
      <c r="K40" s="962"/>
      <c r="L40" s="962"/>
      <c r="M40" s="962"/>
      <c r="N40" s="963"/>
      <c r="O40" s="959">
        <f t="shared" si="26"/>
        <v>0</v>
      </c>
      <c r="P40" s="960">
        <f t="shared" si="21"/>
        <v>0</v>
      </c>
      <c r="Q40" s="960">
        <f t="shared" si="21"/>
        <v>0</v>
      </c>
      <c r="R40" s="960">
        <f t="shared" si="21"/>
        <v>0</v>
      </c>
      <c r="S40" s="960">
        <f t="shared" si="21"/>
        <v>0</v>
      </c>
      <c r="T40" s="1000">
        <f t="shared" si="21"/>
        <v>0</v>
      </c>
      <c r="U40" s="1001" t="str">
        <f t="shared" si="18"/>
        <v>Magnum</v>
      </c>
      <c r="V40" s="83">
        <f t="shared" si="19"/>
        <v>0</v>
      </c>
      <c r="W40" s="83">
        <f t="shared" si="15"/>
        <v>0</v>
      </c>
      <c r="X40" s="83">
        <f t="shared" si="15"/>
        <v>0</v>
      </c>
      <c r="Y40" s="83">
        <f t="shared" si="15"/>
        <v>0</v>
      </c>
      <c r="Z40" s="83">
        <f t="shared" si="15"/>
        <v>0</v>
      </c>
      <c r="AA40" s="83">
        <f t="shared" si="15"/>
        <v>0</v>
      </c>
      <c r="AB40" s="4329">
        <f t="shared" si="15"/>
        <v>0</v>
      </c>
      <c r="AC40" s="83">
        <f t="shared" si="15"/>
        <v>0</v>
      </c>
      <c r="AD40" s="1010">
        <f t="shared" si="15"/>
        <v>0</v>
      </c>
      <c r="AE40" s="1010">
        <f t="shared" si="15"/>
        <v>0</v>
      </c>
      <c r="AF40" s="1010">
        <f t="shared" si="15"/>
        <v>0</v>
      </c>
      <c r="AG40" s="1016">
        <f t="shared" si="15"/>
        <v>0</v>
      </c>
      <c r="AH40" s="4532">
        <f>'Beer Data Sheet'!C73*$H$10/100</f>
        <v>198.75</v>
      </c>
      <c r="AI40" s="4322">
        <f t="shared" si="5"/>
        <v>0.76</v>
      </c>
      <c r="AJ40" s="1015">
        <f>'Beer Data Sheet'!E73</f>
        <v>763.2</v>
      </c>
      <c r="AK40" s="522">
        <f t="shared" si="16"/>
        <v>4.3725000000000005</v>
      </c>
      <c r="AL40" s="522">
        <f t="shared" si="17"/>
        <v>3.3231000000000006</v>
      </c>
      <c r="AM40" s="83">
        <f t="shared" si="8"/>
        <v>167.90400000000002</v>
      </c>
      <c r="AN40" s="118"/>
      <c r="AO40" s="2198">
        <v>7</v>
      </c>
      <c r="AP40" s="2485">
        <f t="shared" si="22"/>
        <v>12.328067487363732</v>
      </c>
      <c r="AQ40" s="2197">
        <f t="shared" si="23"/>
        <v>14.793680984836477</v>
      </c>
      <c r="AR40" s="1675"/>
      <c r="AS40" s="2198">
        <v>7</v>
      </c>
      <c r="AT40" s="1681">
        <f>AS40*(6/5)</f>
        <v>8.4</v>
      </c>
      <c r="AU40" s="1682">
        <f>3.7854*AT40/8</f>
        <v>3.9746700000000001</v>
      </c>
      <c r="AV40" s="1675"/>
      <c r="AW40" s="2198">
        <v>7</v>
      </c>
      <c r="AX40" s="2357">
        <f t="shared" si="24"/>
        <v>5.8333333333333339</v>
      </c>
      <c r="AY40" s="2197">
        <f t="shared" si="25"/>
        <v>3.3122250000000002</v>
      </c>
      <c r="AZ40" s="1675"/>
      <c r="BA40" s="1679">
        <f>(BA39+BA41)/2</f>
        <v>23.5</v>
      </c>
      <c r="BB40" s="1679">
        <f>(BB39+BB41)/2</f>
        <v>0.79150000000000009</v>
      </c>
      <c r="BC40" s="1659"/>
      <c r="BD40" s="977"/>
      <c r="BE40" s="977"/>
      <c r="BF40" s="977"/>
      <c r="BG40" s="977"/>
      <c r="BH40" s="977"/>
      <c r="BI40" s="977"/>
      <c r="BJ40" s="977"/>
      <c r="BK40" s="977"/>
      <c r="BL40" s="977"/>
      <c r="BM40" s="977"/>
      <c r="BN40" s="977"/>
      <c r="BO40" s="977"/>
      <c r="BP40" s="977"/>
      <c r="BQ40" s="977"/>
      <c r="BR40" s="977"/>
      <c r="BS40" s="977"/>
      <c r="BT40" s="1040"/>
    </row>
    <row r="41" spans="1:72" ht="15" customHeight="1">
      <c r="A41" s="3362"/>
      <c r="B41" s="4537" t="str">
        <f>'Beer Data Sheet'!B74</f>
        <v>Crystal (light)</v>
      </c>
      <c r="C41" s="677">
        <v>65</v>
      </c>
      <c r="D41" s="906" t="s">
        <v>82</v>
      </c>
      <c r="E41" s="896">
        <f t="shared" si="20"/>
        <v>1.4097489562435612</v>
      </c>
      <c r="F41" s="900">
        <f t="shared" si="4"/>
        <v>1.2353382029683975</v>
      </c>
      <c r="G41" s="4535" t="str">
        <f>'Beer Data Sheet'!B24</f>
        <v>Marynka</v>
      </c>
      <c r="H41" s="2032">
        <f>'Beer Data Sheet'!C24</f>
        <v>10.5</v>
      </c>
      <c r="I41" s="961"/>
      <c r="J41" s="962"/>
      <c r="K41" s="962"/>
      <c r="L41" s="962"/>
      <c r="M41" s="962"/>
      <c r="N41" s="963"/>
      <c r="O41" s="959">
        <f t="shared" si="26"/>
        <v>0</v>
      </c>
      <c r="P41" s="960">
        <f t="shared" si="21"/>
        <v>0</v>
      </c>
      <c r="Q41" s="960">
        <f t="shared" si="21"/>
        <v>0</v>
      </c>
      <c r="R41" s="960">
        <f t="shared" si="21"/>
        <v>0</v>
      </c>
      <c r="S41" s="960">
        <f t="shared" si="21"/>
        <v>0</v>
      </c>
      <c r="T41" s="1000">
        <f t="shared" si="21"/>
        <v>0</v>
      </c>
      <c r="U41" s="1001" t="str">
        <f t="shared" si="18"/>
        <v>Marynka</v>
      </c>
      <c r="V41" s="83">
        <f t="shared" si="19"/>
        <v>0</v>
      </c>
      <c r="W41" s="83">
        <f t="shared" si="15"/>
        <v>0</v>
      </c>
      <c r="X41" s="83">
        <f t="shared" si="15"/>
        <v>0</v>
      </c>
      <c r="Y41" s="83">
        <f t="shared" si="15"/>
        <v>0</v>
      </c>
      <c r="Z41" s="83">
        <f t="shared" si="15"/>
        <v>0</v>
      </c>
      <c r="AA41" s="83">
        <f t="shared" si="15"/>
        <v>0</v>
      </c>
      <c r="AB41" s="4329">
        <f t="shared" si="15"/>
        <v>0</v>
      </c>
      <c r="AC41" s="83">
        <f t="shared" si="15"/>
        <v>0</v>
      </c>
      <c r="AD41" s="1010">
        <f t="shared" si="15"/>
        <v>0</v>
      </c>
      <c r="AE41" s="1010">
        <f t="shared" si="15"/>
        <v>0</v>
      </c>
      <c r="AF41" s="1010">
        <f t="shared" si="15"/>
        <v>0</v>
      </c>
      <c r="AG41" s="1016">
        <f t="shared" si="15"/>
        <v>0</v>
      </c>
      <c r="AH41" s="4532">
        <f>'Beer Data Sheet'!C74*$H$10/100</f>
        <v>198.75</v>
      </c>
      <c r="AI41" s="4322">
        <f t="shared" si="5"/>
        <v>0.76</v>
      </c>
      <c r="AJ41" s="1015">
        <f>'Beer Data Sheet'!E74</f>
        <v>77.7</v>
      </c>
      <c r="AK41" s="522">
        <f t="shared" si="16"/>
        <v>12.918750000000001</v>
      </c>
      <c r="AL41" s="522">
        <f t="shared" si="17"/>
        <v>9.8182500000000008</v>
      </c>
      <c r="AM41" s="83">
        <f t="shared" si="8"/>
        <v>50.505000000000003</v>
      </c>
      <c r="AN41" s="118"/>
      <c r="AO41" s="2198">
        <v>8</v>
      </c>
      <c r="AP41" s="2485">
        <f t="shared" si="22"/>
        <v>14.08921998555855</v>
      </c>
      <c r="AQ41" s="2197">
        <f t="shared" si="23"/>
        <v>16.907063982670259</v>
      </c>
      <c r="AR41" s="1675"/>
      <c r="AS41" s="2198">
        <v>8</v>
      </c>
      <c r="AT41" s="1681">
        <f>AS41*(6/5)</f>
        <v>9.6</v>
      </c>
      <c r="AU41" s="1682">
        <f>3.7854*AT41/8</f>
        <v>4.5424800000000003</v>
      </c>
      <c r="AV41" s="1675"/>
      <c r="AW41" s="2198">
        <v>8</v>
      </c>
      <c r="AX41" s="2357">
        <f t="shared" si="24"/>
        <v>6.666666666666667</v>
      </c>
      <c r="AY41" s="2197">
        <f t="shared" si="25"/>
        <v>3.7854000000000001</v>
      </c>
      <c r="AZ41" s="1675"/>
      <c r="BA41" s="1679">
        <v>24</v>
      </c>
      <c r="BB41" s="1680">
        <v>0.78100000000000003</v>
      </c>
      <c r="BC41" s="1659"/>
      <c r="BD41" s="977"/>
      <c r="BE41" s="977"/>
      <c r="BF41" s="977"/>
      <c r="BG41" s="977"/>
      <c r="BH41" s="977"/>
      <c r="BI41" s="977"/>
      <c r="BJ41" s="977"/>
      <c r="BK41" s="977"/>
      <c r="BL41" s="977"/>
      <c r="BM41" s="977"/>
      <c r="BN41" s="977"/>
      <c r="BO41" s="977"/>
      <c r="BP41" s="977"/>
      <c r="BQ41" s="977"/>
      <c r="BR41" s="977"/>
      <c r="BS41" s="977"/>
      <c r="BT41" s="1040"/>
    </row>
    <row r="42" spans="1:72" ht="15" customHeight="1">
      <c r="A42" s="3362"/>
      <c r="B42" s="4537" t="str">
        <f>'Beer Data Sheet'!B75</f>
        <v>Crystal (medium)</v>
      </c>
      <c r="C42" s="677"/>
      <c r="D42" s="906" t="s">
        <v>82</v>
      </c>
      <c r="E42" s="896">
        <f t="shared" si="20"/>
        <v>0</v>
      </c>
      <c r="F42" s="900">
        <f t="shared" si="4"/>
        <v>0</v>
      </c>
      <c r="G42" s="4535" t="str">
        <f>'Beer Data Sheet'!B25</f>
        <v>Mount Hood</v>
      </c>
      <c r="H42" s="2032">
        <f>'Beer Data Sheet'!C25</f>
        <v>5</v>
      </c>
      <c r="I42" s="961"/>
      <c r="J42" s="962"/>
      <c r="K42" s="962"/>
      <c r="L42" s="962"/>
      <c r="M42" s="962"/>
      <c r="N42" s="963"/>
      <c r="O42" s="959">
        <f t="shared" si="26"/>
        <v>0</v>
      </c>
      <c r="P42" s="960">
        <f t="shared" si="26"/>
        <v>0</v>
      </c>
      <c r="Q42" s="960">
        <f t="shared" si="26"/>
        <v>0</v>
      </c>
      <c r="R42" s="960">
        <f t="shared" si="26"/>
        <v>0</v>
      </c>
      <c r="S42" s="960">
        <f t="shared" si="26"/>
        <v>0</v>
      </c>
      <c r="T42" s="1000">
        <f t="shared" si="26"/>
        <v>0</v>
      </c>
      <c r="U42" s="1001" t="str">
        <f t="shared" si="18"/>
        <v>Mount Hood</v>
      </c>
      <c r="V42" s="83">
        <f>$H42*I42</f>
        <v>0</v>
      </c>
      <c r="W42" s="83">
        <f t="shared" ref="W42:AG56" si="29">$H42*J42</f>
        <v>0</v>
      </c>
      <c r="X42" s="83">
        <f t="shared" si="29"/>
        <v>0</v>
      </c>
      <c r="Y42" s="83">
        <f t="shared" si="29"/>
        <v>0</v>
      </c>
      <c r="Z42" s="83">
        <f t="shared" si="29"/>
        <v>0</v>
      </c>
      <c r="AA42" s="83">
        <f t="shared" si="29"/>
        <v>0</v>
      </c>
      <c r="AB42" s="4329">
        <f t="shared" si="29"/>
        <v>0</v>
      </c>
      <c r="AC42" s="83">
        <f t="shared" si="29"/>
        <v>0</v>
      </c>
      <c r="AD42" s="1010">
        <f t="shared" si="29"/>
        <v>0</v>
      </c>
      <c r="AE42" s="1010">
        <f t="shared" si="29"/>
        <v>0</v>
      </c>
      <c r="AF42" s="1010">
        <f t="shared" si="29"/>
        <v>0</v>
      </c>
      <c r="AG42" s="1016">
        <f t="shared" si="29"/>
        <v>0</v>
      </c>
      <c r="AH42" s="4532">
        <f>'Beer Data Sheet'!C75*$H$10/100</f>
        <v>198.75</v>
      </c>
      <c r="AI42" s="4322">
        <f t="shared" si="5"/>
        <v>0.76</v>
      </c>
      <c r="AJ42" s="1015">
        <f>'Beer Data Sheet'!E75</f>
        <v>103.6</v>
      </c>
      <c r="AK42" s="522">
        <f t="shared" si="16"/>
        <v>0</v>
      </c>
      <c r="AL42" s="522">
        <f t="shared" si="17"/>
        <v>0</v>
      </c>
      <c r="AM42" s="83">
        <f t="shared" si="8"/>
        <v>0</v>
      </c>
      <c r="AN42" s="118"/>
      <c r="AO42" s="2198">
        <v>9</v>
      </c>
      <c r="AP42" s="2485">
        <f t="shared" si="22"/>
        <v>15.850372483753368</v>
      </c>
      <c r="AQ42" s="2197">
        <f t="shared" si="23"/>
        <v>19.02044698050404</v>
      </c>
      <c r="AR42" s="1675"/>
      <c r="AS42" s="2198">
        <v>9</v>
      </c>
      <c r="AT42" s="1681">
        <f>AS42*(6/5)</f>
        <v>10.799999999999999</v>
      </c>
      <c r="AU42" s="1682">
        <f>3.7854*AT42/8</f>
        <v>5.11029</v>
      </c>
      <c r="AV42" s="1675"/>
      <c r="AW42" s="2198">
        <v>9</v>
      </c>
      <c r="AX42" s="2357">
        <f t="shared" si="24"/>
        <v>7.5</v>
      </c>
      <c r="AY42" s="2197">
        <f t="shared" si="25"/>
        <v>4.2585750000000004</v>
      </c>
      <c r="AZ42" s="1675"/>
      <c r="BA42" s="1679">
        <f>(BA41+BA43)/2</f>
        <v>24.5</v>
      </c>
      <c r="BB42" s="1679">
        <f>(BB41+BB43)/2</f>
        <v>0.77</v>
      </c>
      <c r="BC42" s="1659"/>
      <c r="BD42" s="977"/>
      <c r="BE42" s="977"/>
      <c r="BF42" s="977"/>
      <c r="BG42" s="977"/>
      <c r="BH42" s="977"/>
      <c r="BI42" s="977"/>
      <c r="BJ42" s="977"/>
      <c r="BK42" s="977"/>
      <c r="BL42" s="977"/>
      <c r="BM42" s="977"/>
      <c r="BN42" s="977"/>
      <c r="BO42" s="977"/>
      <c r="BP42" s="977"/>
      <c r="BQ42" s="977"/>
      <c r="BR42" s="977"/>
      <c r="BS42" s="977"/>
      <c r="BT42" s="1040"/>
    </row>
    <row r="43" spans="1:72" ht="15" customHeight="1">
      <c r="A43" s="3362"/>
      <c r="B43" s="4537" t="str">
        <f>'Beer Data Sheet'!B76</f>
        <v>Crystal (dark)</v>
      </c>
      <c r="C43" s="677"/>
      <c r="D43" s="906" t="s">
        <v>82</v>
      </c>
      <c r="E43" s="896">
        <f t="shared" si="20"/>
        <v>0</v>
      </c>
      <c r="F43" s="900">
        <f t="shared" si="4"/>
        <v>0</v>
      </c>
      <c r="G43" s="4535" t="str">
        <f>'Beer Data Sheet'!B26</f>
        <v>Northdown</v>
      </c>
      <c r="H43" s="2032">
        <f>'Beer Data Sheet'!C26</f>
        <v>8</v>
      </c>
      <c r="I43" s="961"/>
      <c r="J43" s="962"/>
      <c r="K43" s="962"/>
      <c r="L43" s="962"/>
      <c r="M43" s="962"/>
      <c r="N43" s="963"/>
      <c r="O43" s="959">
        <f t="shared" si="26"/>
        <v>0</v>
      </c>
      <c r="P43" s="960">
        <f t="shared" si="26"/>
        <v>0</v>
      </c>
      <c r="Q43" s="960">
        <f t="shared" si="26"/>
        <v>0</v>
      </c>
      <c r="R43" s="960">
        <f t="shared" si="26"/>
        <v>0</v>
      </c>
      <c r="S43" s="960">
        <f t="shared" si="26"/>
        <v>0</v>
      </c>
      <c r="T43" s="1000">
        <f t="shared" si="26"/>
        <v>0</v>
      </c>
      <c r="U43" s="1001" t="str">
        <f t="shared" si="18"/>
        <v>Northdown</v>
      </c>
      <c r="V43" s="83">
        <f t="shared" si="19"/>
        <v>0</v>
      </c>
      <c r="W43" s="83">
        <f t="shared" si="29"/>
        <v>0</v>
      </c>
      <c r="X43" s="83">
        <f t="shared" si="29"/>
        <v>0</v>
      </c>
      <c r="Y43" s="83">
        <f t="shared" si="29"/>
        <v>0</v>
      </c>
      <c r="Z43" s="83">
        <f t="shared" si="29"/>
        <v>0</v>
      </c>
      <c r="AA43" s="83">
        <f t="shared" si="29"/>
        <v>0</v>
      </c>
      <c r="AB43" s="4329">
        <f t="shared" si="29"/>
        <v>0</v>
      </c>
      <c r="AC43" s="83">
        <f t="shared" si="29"/>
        <v>0</v>
      </c>
      <c r="AD43" s="1010">
        <f t="shared" si="29"/>
        <v>0</v>
      </c>
      <c r="AE43" s="1010">
        <f t="shared" si="29"/>
        <v>0</v>
      </c>
      <c r="AF43" s="1010">
        <f t="shared" si="29"/>
        <v>0</v>
      </c>
      <c r="AG43" s="1016">
        <f t="shared" si="29"/>
        <v>0</v>
      </c>
      <c r="AH43" s="4532">
        <f>'Beer Data Sheet'!C76*$H$10/100</f>
        <v>198.75</v>
      </c>
      <c r="AI43" s="4322">
        <f t="shared" si="5"/>
        <v>0.76</v>
      </c>
      <c r="AJ43" s="1015">
        <f>'Beer Data Sheet'!E76</f>
        <v>148</v>
      </c>
      <c r="AK43" s="522">
        <f t="shared" si="16"/>
        <v>0</v>
      </c>
      <c r="AL43" s="522">
        <f t="shared" si="17"/>
        <v>0</v>
      </c>
      <c r="AM43" s="83">
        <f t="shared" si="8"/>
        <v>0</v>
      </c>
      <c r="AN43" s="118"/>
      <c r="AO43" s="2198">
        <v>10</v>
      </c>
      <c r="AP43" s="2485">
        <f t="shared" si="22"/>
        <v>17.61152498194819</v>
      </c>
      <c r="AQ43" s="2197">
        <f t="shared" si="23"/>
        <v>21.133829978337825</v>
      </c>
      <c r="AR43" s="1675"/>
      <c r="AS43" s="2198">
        <v>10</v>
      </c>
      <c r="AT43" s="1681">
        <f>AS43*(6/5)</f>
        <v>12</v>
      </c>
      <c r="AU43" s="1682">
        <f>3.7854*AT43/8</f>
        <v>5.6781000000000006</v>
      </c>
      <c r="AV43" s="1675"/>
      <c r="AW43" s="2198">
        <v>10</v>
      </c>
      <c r="AX43" s="2357">
        <f t="shared" si="24"/>
        <v>8.3333333333333339</v>
      </c>
      <c r="AY43" s="2197">
        <f t="shared" si="25"/>
        <v>4.7317499999999999</v>
      </c>
      <c r="AZ43" s="1675"/>
      <c r="BA43" s="1679">
        <v>25</v>
      </c>
      <c r="BB43" s="1680">
        <v>0.75900000000000001</v>
      </c>
      <c r="BC43" s="1659"/>
      <c r="BD43" s="977"/>
      <c r="BE43" s="977"/>
      <c r="BF43" s="977"/>
      <c r="BG43" s="977"/>
      <c r="BH43" s="977"/>
      <c r="BI43" s="977"/>
      <c r="BJ43" s="977"/>
      <c r="BK43" s="977"/>
      <c r="BL43" s="977"/>
      <c r="BM43" s="977"/>
      <c r="BN43" s="977"/>
      <c r="BO43" s="977"/>
      <c r="BP43" s="977"/>
      <c r="BQ43" s="977"/>
      <c r="BR43" s="977"/>
      <c r="BS43" s="977"/>
      <c r="BT43" s="1040"/>
    </row>
    <row r="44" spans="1:72" ht="15" customHeight="1">
      <c r="A44" s="3362"/>
      <c r="B44" s="4537" t="str">
        <f>'Beer Data Sheet'!B77</f>
        <v>Caramalt</v>
      </c>
      <c r="C44" s="677"/>
      <c r="D44" s="906" t="s">
        <v>82</v>
      </c>
      <c r="E44" s="896">
        <f t="shared" si="20"/>
        <v>0</v>
      </c>
      <c r="F44" s="900">
        <f t="shared" si="4"/>
        <v>0</v>
      </c>
      <c r="G44" s="4535" t="str">
        <f>'Beer Data Sheet'!B27</f>
        <v>Northern Brewer</v>
      </c>
      <c r="H44" s="2032">
        <f>'Beer Data Sheet'!C27</f>
        <v>7.5</v>
      </c>
      <c r="I44" s="961"/>
      <c r="J44" s="962"/>
      <c r="K44" s="962"/>
      <c r="L44" s="962"/>
      <c r="M44" s="962"/>
      <c r="N44" s="963"/>
      <c r="O44" s="959">
        <f t="shared" si="26"/>
        <v>0</v>
      </c>
      <c r="P44" s="960">
        <f t="shared" si="26"/>
        <v>0</v>
      </c>
      <c r="Q44" s="960">
        <f t="shared" si="26"/>
        <v>0</v>
      </c>
      <c r="R44" s="960">
        <f t="shared" si="26"/>
        <v>0</v>
      </c>
      <c r="S44" s="960">
        <f t="shared" si="26"/>
        <v>0</v>
      </c>
      <c r="T44" s="1000">
        <f t="shared" si="26"/>
        <v>0</v>
      </c>
      <c r="U44" s="1001" t="str">
        <f t="shared" si="18"/>
        <v>Northern Brewer</v>
      </c>
      <c r="V44" s="83">
        <f t="shared" si="19"/>
        <v>0</v>
      </c>
      <c r="W44" s="83">
        <f t="shared" si="29"/>
        <v>0</v>
      </c>
      <c r="X44" s="83">
        <f t="shared" si="29"/>
        <v>0</v>
      </c>
      <c r="Y44" s="83">
        <f t="shared" si="29"/>
        <v>0</v>
      </c>
      <c r="Z44" s="83">
        <f t="shared" si="29"/>
        <v>0</v>
      </c>
      <c r="AA44" s="83">
        <f t="shared" si="29"/>
        <v>0</v>
      </c>
      <c r="AB44" s="4329">
        <f t="shared" si="29"/>
        <v>0</v>
      </c>
      <c r="AC44" s="83">
        <f t="shared" si="29"/>
        <v>0</v>
      </c>
      <c r="AD44" s="1010">
        <f t="shared" si="29"/>
        <v>0</v>
      </c>
      <c r="AE44" s="1010">
        <f t="shared" si="29"/>
        <v>0</v>
      </c>
      <c r="AF44" s="1010">
        <f t="shared" si="29"/>
        <v>0</v>
      </c>
      <c r="AG44" s="1016">
        <f t="shared" si="29"/>
        <v>0</v>
      </c>
      <c r="AH44" s="4532">
        <f>'Beer Data Sheet'!C77*$H$10/100</f>
        <v>198.75</v>
      </c>
      <c r="AI44" s="4322">
        <f t="shared" si="5"/>
        <v>0.76</v>
      </c>
      <c r="AJ44" s="1015">
        <f>'Beer Data Sheet'!E77</f>
        <v>17.75</v>
      </c>
      <c r="AK44" s="522">
        <f t="shared" si="16"/>
        <v>0</v>
      </c>
      <c r="AL44" s="522">
        <f t="shared" si="17"/>
        <v>0</v>
      </c>
      <c r="AM44" s="83">
        <f t="shared" si="8"/>
        <v>0</v>
      </c>
      <c r="AO44" s="2198">
        <v>11</v>
      </c>
      <c r="AP44" s="2485">
        <f t="shared" si="22"/>
        <v>19.372677480143008</v>
      </c>
      <c r="AQ44" s="2197">
        <f t="shared" si="23"/>
        <v>23.247212976171607</v>
      </c>
      <c r="AR44" s="1675"/>
      <c r="AS44" s="2198">
        <v>11</v>
      </c>
      <c r="AT44" s="1681">
        <f t="shared" ref="AT44:AT47" si="30">AS44*(6/5)</f>
        <v>13.2</v>
      </c>
      <c r="AU44" s="1682">
        <f t="shared" ref="AU44:AU47" si="31">3.7854*AT44/8</f>
        <v>6.2459099999999994</v>
      </c>
      <c r="AV44" s="1675"/>
      <c r="AW44" s="2198">
        <v>11</v>
      </c>
      <c r="AX44" s="2357">
        <f t="shared" si="24"/>
        <v>9.1666666666666679</v>
      </c>
      <c r="AY44" s="2197">
        <f t="shared" si="25"/>
        <v>5.2049250000000002</v>
      </c>
      <c r="AZ44" s="1675"/>
      <c r="BA44" s="1679">
        <v>25</v>
      </c>
      <c r="BB44" s="1680">
        <v>0.75900000000000001</v>
      </c>
      <c r="BC44" s="1659"/>
      <c r="BD44" s="977"/>
      <c r="BE44" s="977"/>
      <c r="BF44" s="977"/>
      <c r="BG44" s="977"/>
      <c r="BH44" s="977"/>
      <c r="BI44" s="977"/>
      <c r="BJ44" s="977"/>
      <c r="BK44" s="977"/>
      <c r="BL44" s="977"/>
      <c r="BM44" s="977"/>
      <c r="BN44" s="977"/>
      <c r="BO44" s="977"/>
      <c r="BP44" s="977"/>
      <c r="BQ44" s="977"/>
      <c r="BR44" s="977"/>
      <c r="BS44" s="977"/>
      <c r="BT44" s="1040"/>
    </row>
    <row r="45" spans="1:72" ht="15" customHeight="1">
      <c r="A45" s="3362"/>
      <c r="B45" s="4537" t="str">
        <f>'Beer Data Sheet'!B78</f>
        <v>Caramalt Light)</v>
      </c>
      <c r="C45" s="677"/>
      <c r="D45" s="906" t="s">
        <v>82</v>
      </c>
      <c r="E45" s="896">
        <f t="shared" si="20"/>
        <v>0</v>
      </c>
      <c r="F45" s="900">
        <f t="shared" si="4"/>
        <v>0</v>
      </c>
      <c r="G45" s="4535" t="str">
        <f>'Beer Data Sheet'!B28</f>
        <v>Perle</v>
      </c>
      <c r="H45" s="2032">
        <f>'Beer Data Sheet'!C28</f>
        <v>8</v>
      </c>
      <c r="I45" s="961"/>
      <c r="J45" s="962"/>
      <c r="K45" s="962"/>
      <c r="L45" s="962"/>
      <c r="M45" s="962"/>
      <c r="N45" s="963"/>
      <c r="O45" s="959">
        <f t="shared" si="26"/>
        <v>0</v>
      </c>
      <c r="P45" s="960">
        <f t="shared" si="26"/>
        <v>0</v>
      </c>
      <c r="Q45" s="960">
        <f t="shared" si="26"/>
        <v>0</v>
      </c>
      <c r="R45" s="960">
        <f t="shared" si="26"/>
        <v>0</v>
      </c>
      <c r="S45" s="960">
        <f t="shared" si="26"/>
        <v>0</v>
      </c>
      <c r="T45" s="1000">
        <f t="shared" si="26"/>
        <v>0</v>
      </c>
      <c r="U45" s="1001" t="str">
        <f t="shared" si="18"/>
        <v>Perle</v>
      </c>
      <c r="V45" s="83">
        <f t="shared" si="19"/>
        <v>0</v>
      </c>
      <c r="W45" s="83">
        <f t="shared" si="29"/>
        <v>0</v>
      </c>
      <c r="X45" s="83">
        <f t="shared" si="29"/>
        <v>0</v>
      </c>
      <c r="Y45" s="83">
        <f t="shared" si="29"/>
        <v>0</v>
      </c>
      <c r="Z45" s="83">
        <f t="shared" si="29"/>
        <v>0</v>
      </c>
      <c r="AA45" s="83">
        <f t="shared" si="29"/>
        <v>0</v>
      </c>
      <c r="AB45" s="4329">
        <f t="shared" si="29"/>
        <v>0</v>
      </c>
      <c r="AC45" s="83">
        <f t="shared" si="29"/>
        <v>0</v>
      </c>
      <c r="AD45" s="1010">
        <f t="shared" si="29"/>
        <v>0</v>
      </c>
      <c r="AE45" s="1010">
        <f t="shared" si="29"/>
        <v>0</v>
      </c>
      <c r="AF45" s="1010">
        <f t="shared" si="29"/>
        <v>0</v>
      </c>
      <c r="AG45" s="1016">
        <f t="shared" si="29"/>
        <v>0</v>
      </c>
      <c r="AH45" s="4532">
        <f>'Beer Data Sheet'!C78*$H$10/100</f>
        <v>198.75</v>
      </c>
      <c r="AI45" s="4322">
        <f t="shared" si="5"/>
        <v>0.76</v>
      </c>
      <c r="AJ45" s="1015">
        <f>'Beer Data Sheet'!E78</f>
        <v>8.52</v>
      </c>
      <c r="AK45" s="522">
        <f t="shared" si="16"/>
        <v>0</v>
      </c>
      <c r="AL45" s="522">
        <f t="shared" si="17"/>
        <v>0</v>
      </c>
      <c r="AM45" s="83">
        <f t="shared" si="8"/>
        <v>0</v>
      </c>
      <c r="AN45" s="118"/>
      <c r="AO45" s="2198">
        <v>12</v>
      </c>
      <c r="AP45" s="2485">
        <f t="shared" si="22"/>
        <v>21.133829978337825</v>
      </c>
      <c r="AQ45" s="2197">
        <f t="shared" si="23"/>
        <v>25.360595974005388</v>
      </c>
      <c r="AR45" s="1675"/>
      <c r="AS45" s="2198">
        <v>12</v>
      </c>
      <c r="AT45" s="1681">
        <f t="shared" si="30"/>
        <v>14.399999999999999</v>
      </c>
      <c r="AU45" s="1682">
        <f t="shared" si="31"/>
        <v>6.8137199999999991</v>
      </c>
      <c r="AV45" s="1675"/>
      <c r="AW45" s="2198">
        <v>12</v>
      </c>
      <c r="AX45" s="2357">
        <f t="shared" si="24"/>
        <v>10</v>
      </c>
      <c r="AY45" s="2197">
        <f t="shared" si="25"/>
        <v>5.6781000000000006</v>
      </c>
      <c r="AZ45" s="1675"/>
      <c r="BA45" s="1679">
        <v>25</v>
      </c>
      <c r="BB45" s="1680">
        <v>0.75900000000000001</v>
      </c>
      <c r="BC45" s="1659"/>
      <c r="BD45" s="977"/>
      <c r="BE45" s="977"/>
      <c r="BF45" s="977"/>
      <c r="BG45" s="977"/>
      <c r="BH45" s="977"/>
      <c r="BI45" s="977"/>
      <c r="BJ45" s="977"/>
      <c r="BK45" s="977"/>
      <c r="BL45" s="977"/>
      <c r="BM45" s="977"/>
      <c r="BN45" s="977"/>
      <c r="BO45" s="977"/>
      <c r="BP45" s="977"/>
      <c r="BQ45" s="977"/>
      <c r="BR45" s="977"/>
      <c r="BS45" s="977"/>
      <c r="BT45" s="1040"/>
    </row>
    <row r="46" spans="1:72" ht="15" customHeight="1">
      <c r="A46" s="3362"/>
      <c r="B46" s="4537" t="str">
        <f>'Beer Data Sheet'!B79</f>
        <v>Carapils</v>
      </c>
      <c r="C46" s="677"/>
      <c r="D46" s="906" t="s">
        <v>82</v>
      </c>
      <c r="E46" s="896">
        <f t="shared" si="20"/>
        <v>0</v>
      </c>
      <c r="F46" s="900">
        <f t="shared" si="4"/>
        <v>0</v>
      </c>
      <c r="G46" s="4535" t="str">
        <f>'Beer Data Sheet'!B29</f>
        <v>Pioneer</v>
      </c>
      <c r="H46" s="2032">
        <f>'Beer Data Sheet'!C29</f>
        <v>8</v>
      </c>
      <c r="I46" s="961"/>
      <c r="J46" s="962"/>
      <c r="K46" s="962"/>
      <c r="L46" s="962"/>
      <c r="M46" s="962"/>
      <c r="N46" s="963"/>
      <c r="O46" s="959">
        <f t="shared" si="26"/>
        <v>0</v>
      </c>
      <c r="P46" s="960">
        <f t="shared" si="26"/>
        <v>0</v>
      </c>
      <c r="Q46" s="960">
        <f t="shared" si="26"/>
        <v>0</v>
      </c>
      <c r="R46" s="960">
        <f t="shared" si="26"/>
        <v>0</v>
      </c>
      <c r="S46" s="960">
        <f t="shared" si="26"/>
        <v>0</v>
      </c>
      <c r="T46" s="1000">
        <f t="shared" si="26"/>
        <v>0</v>
      </c>
      <c r="U46" s="1001" t="str">
        <f t="shared" si="18"/>
        <v>Pioneer</v>
      </c>
      <c r="V46" s="83">
        <f t="shared" si="19"/>
        <v>0</v>
      </c>
      <c r="W46" s="83">
        <f t="shared" si="29"/>
        <v>0</v>
      </c>
      <c r="X46" s="83">
        <f t="shared" si="29"/>
        <v>0</v>
      </c>
      <c r="Y46" s="83">
        <f t="shared" si="29"/>
        <v>0</v>
      </c>
      <c r="Z46" s="83">
        <f t="shared" si="29"/>
        <v>0</v>
      </c>
      <c r="AA46" s="83">
        <f t="shared" si="29"/>
        <v>0</v>
      </c>
      <c r="AB46" s="4329">
        <f t="shared" si="29"/>
        <v>0</v>
      </c>
      <c r="AC46" s="83">
        <f t="shared" si="29"/>
        <v>0</v>
      </c>
      <c r="AD46" s="1010">
        <f t="shared" si="29"/>
        <v>0</v>
      </c>
      <c r="AE46" s="1010">
        <f t="shared" si="29"/>
        <v>0</v>
      </c>
      <c r="AF46" s="1010">
        <f t="shared" si="29"/>
        <v>0</v>
      </c>
      <c r="AG46" s="1016">
        <f t="shared" si="29"/>
        <v>0</v>
      </c>
      <c r="AH46" s="4532">
        <f>'Beer Data Sheet'!C79*$H$10/100</f>
        <v>198.75</v>
      </c>
      <c r="AI46" s="4322">
        <f t="shared" si="5"/>
        <v>0.76</v>
      </c>
      <c r="AJ46" s="1015">
        <f>'Beer Data Sheet'!E79</f>
        <v>7.1</v>
      </c>
      <c r="AK46" s="522">
        <f t="shared" si="16"/>
        <v>0</v>
      </c>
      <c r="AL46" s="522">
        <f t="shared" si="17"/>
        <v>0</v>
      </c>
      <c r="AM46" s="83">
        <f t="shared" si="8"/>
        <v>0</v>
      </c>
      <c r="AN46" s="118"/>
      <c r="AO46" s="2198">
        <v>13</v>
      </c>
      <c r="AP46" s="2485">
        <f t="shared" si="22"/>
        <v>22.894982476532643</v>
      </c>
      <c r="AQ46" s="2197">
        <f t="shared" si="23"/>
        <v>27.47397897183917</v>
      </c>
      <c r="AR46" s="118"/>
      <c r="AS46" s="2198">
        <v>13</v>
      </c>
      <c r="AT46" s="1681">
        <f t="shared" si="30"/>
        <v>15.6</v>
      </c>
      <c r="AU46" s="1682">
        <f t="shared" si="31"/>
        <v>7.3815299999999997</v>
      </c>
      <c r="AV46" s="118"/>
      <c r="AW46" s="2198">
        <v>13</v>
      </c>
      <c r="AX46" s="2357">
        <f t="shared" si="24"/>
        <v>10.833333333333334</v>
      </c>
      <c r="AY46" s="2197">
        <f t="shared" si="25"/>
        <v>6.151275</v>
      </c>
      <c r="AZ46" s="1675"/>
      <c r="BA46" s="1679">
        <v>25</v>
      </c>
      <c r="BB46" s="1680">
        <v>0.75900000000000001</v>
      </c>
      <c r="BC46" s="1659"/>
      <c r="BD46" s="977"/>
      <c r="BE46" s="977"/>
      <c r="BF46" s="977"/>
      <c r="BG46" s="977"/>
      <c r="BH46" s="977"/>
      <c r="BI46" s="977"/>
      <c r="BJ46" s="977"/>
      <c r="BK46" s="977"/>
      <c r="BL46" s="977"/>
      <c r="BM46" s="977"/>
      <c r="BN46" s="977"/>
      <c r="BO46" s="977"/>
      <c r="BP46" s="977"/>
      <c r="BQ46" s="977"/>
      <c r="BR46" s="977"/>
      <c r="BS46" s="977"/>
      <c r="BT46" s="1040"/>
    </row>
    <row r="47" spans="1:72" ht="15" customHeight="1">
      <c r="A47" s="3362"/>
      <c r="B47" s="2027" t="str">
        <f>'Beer Data Sheet'!B80</f>
        <v>Roast barley</v>
      </c>
      <c r="C47" s="901">
        <v>45</v>
      </c>
      <c r="D47" s="907" t="s">
        <v>82</v>
      </c>
      <c r="E47" s="908">
        <f t="shared" si="20"/>
        <v>0.9759800466301578</v>
      </c>
      <c r="F47" s="909">
        <f t="shared" si="4"/>
        <v>0.85523414051658286</v>
      </c>
      <c r="G47" s="4535" t="str">
        <f>'Beer Data Sheet'!B30</f>
        <v>Progress</v>
      </c>
      <c r="H47" s="2032">
        <f>'Beer Data Sheet'!C30</f>
        <v>9</v>
      </c>
      <c r="I47" s="961"/>
      <c r="J47" s="962"/>
      <c r="K47" s="962"/>
      <c r="L47" s="962"/>
      <c r="M47" s="962"/>
      <c r="N47" s="963"/>
      <c r="O47" s="959">
        <f t="shared" si="26"/>
        <v>0</v>
      </c>
      <c r="P47" s="960">
        <f t="shared" si="26"/>
        <v>0</v>
      </c>
      <c r="Q47" s="960">
        <f t="shared" si="26"/>
        <v>0</v>
      </c>
      <c r="R47" s="960">
        <f t="shared" si="26"/>
        <v>0</v>
      </c>
      <c r="S47" s="960">
        <f t="shared" si="26"/>
        <v>0</v>
      </c>
      <c r="T47" s="1000">
        <f t="shared" si="26"/>
        <v>0</v>
      </c>
      <c r="U47" s="1001" t="str">
        <f t="shared" si="18"/>
        <v>Progress</v>
      </c>
      <c r="V47" s="83">
        <f t="shared" si="19"/>
        <v>0</v>
      </c>
      <c r="W47" s="83">
        <f t="shared" si="29"/>
        <v>0</v>
      </c>
      <c r="X47" s="83">
        <f t="shared" si="29"/>
        <v>0</v>
      </c>
      <c r="Y47" s="83">
        <f t="shared" si="29"/>
        <v>0</v>
      </c>
      <c r="Z47" s="83">
        <f t="shared" si="29"/>
        <v>0</v>
      </c>
      <c r="AA47" s="83">
        <f t="shared" si="29"/>
        <v>0</v>
      </c>
      <c r="AB47" s="4329">
        <f t="shared" si="29"/>
        <v>0</v>
      </c>
      <c r="AC47" s="83">
        <f t="shared" si="29"/>
        <v>0</v>
      </c>
      <c r="AD47" s="1010">
        <f t="shared" si="29"/>
        <v>0</v>
      </c>
      <c r="AE47" s="1010">
        <f t="shared" si="29"/>
        <v>0</v>
      </c>
      <c r="AF47" s="1010">
        <f t="shared" si="29"/>
        <v>0</v>
      </c>
      <c r="AG47" s="1016">
        <f t="shared" si="29"/>
        <v>0</v>
      </c>
      <c r="AH47" s="4532">
        <f>'Beer Data Sheet'!C80*$H$10/100</f>
        <v>198.75</v>
      </c>
      <c r="AI47" s="4322">
        <f t="shared" si="5"/>
        <v>0.76</v>
      </c>
      <c r="AJ47" s="1015">
        <f>'Beer Data Sheet'!E80</f>
        <v>902.8</v>
      </c>
      <c r="AK47" s="522">
        <f t="shared" si="16"/>
        <v>8.9437499999999996</v>
      </c>
      <c r="AL47" s="522">
        <f t="shared" si="17"/>
        <v>6.79725</v>
      </c>
      <c r="AM47" s="83">
        <f t="shared" si="8"/>
        <v>406.26000000000005</v>
      </c>
      <c r="AN47" s="118"/>
      <c r="AO47" s="2198">
        <v>14</v>
      </c>
      <c r="AP47" s="2485">
        <f t="shared" si="22"/>
        <v>24.656134974727465</v>
      </c>
      <c r="AQ47" s="2197">
        <f t="shared" si="23"/>
        <v>29.587361969672955</v>
      </c>
      <c r="AR47" s="118"/>
      <c r="AS47" s="2198">
        <v>14</v>
      </c>
      <c r="AT47" s="1681">
        <f t="shared" si="30"/>
        <v>16.8</v>
      </c>
      <c r="AU47" s="1682">
        <f t="shared" si="31"/>
        <v>7.9493400000000003</v>
      </c>
      <c r="AV47" s="118"/>
      <c r="AW47" s="2198">
        <v>14</v>
      </c>
      <c r="AX47" s="2357">
        <f t="shared" si="24"/>
        <v>11.666666666666668</v>
      </c>
      <c r="AY47" s="2197">
        <f t="shared" si="25"/>
        <v>6.6244500000000004</v>
      </c>
      <c r="AZ47" s="118"/>
      <c r="BA47" s="1679">
        <v>25</v>
      </c>
      <c r="BB47" s="1680">
        <v>0.75900000000000001</v>
      </c>
      <c r="BC47" s="1659"/>
      <c r="BD47" s="977"/>
      <c r="BE47" s="977"/>
      <c r="BF47" s="977"/>
      <c r="BG47" s="977"/>
      <c r="BH47" s="977"/>
      <c r="BI47" s="977"/>
      <c r="BJ47" s="977"/>
      <c r="BK47" s="977"/>
      <c r="BL47" s="977"/>
      <c r="BM47" s="977"/>
      <c r="BN47" s="977"/>
      <c r="BO47" s="977"/>
      <c r="BP47" s="977"/>
      <c r="BQ47" s="977"/>
      <c r="BR47" s="977"/>
      <c r="BS47" s="977"/>
      <c r="BT47" s="1040"/>
    </row>
    <row r="48" spans="1:72" ht="15" customHeight="1">
      <c r="A48" s="3363" t="s">
        <v>958</v>
      </c>
      <c r="B48" s="2028" t="str">
        <f>'Beer Data Sheet'!B81</f>
        <v>Extract (LIQUID - light)</v>
      </c>
      <c r="C48" s="902"/>
      <c r="D48" s="910" t="s">
        <v>82</v>
      </c>
      <c r="E48" s="904">
        <f t="shared" si="20"/>
        <v>0</v>
      </c>
      <c r="F48" s="905">
        <f t="shared" si="4"/>
        <v>0</v>
      </c>
      <c r="G48" s="4535" t="str">
        <f>'Beer Data Sheet'!B31</f>
        <v>Styrian Goldings</v>
      </c>
      <c r="H48" s="2032">
        <f>'Beer Data Sheet'!C31</f>
        <v>5.5</v>
      </c>
      <c r="I48" s="961"/>
      <c r="J48" s="962"/>
      <c r="K48" s="962"/>
      <c r="L48" s="962"/>
      <c r="M48" s="962"/>
      <c r="N48" s="963"/>
      <c r="O48" s="959">
        <f t="shared" si="26"/>
        <v>0</v>
      </c>
      <c r="P48" s="960">
        <f t="shared" si="26"/>
        <v>0</v>
      </c>
      <c r="Q48" s="960">
        <f t="shared" si="26"/>
        <v>0</v>
      </c>
      <c r="R48" s="960">
        <f t="shared" si="26"/>
        <v>0</v>
      </c>
      <c r="S48" s="960">
        <f t="shared" si="26"/>
        <v>0</v>
      </c>
      <c r="T48" s="1000">
        <f t="shared" si="26"/>
        <v>0</v>
      </c>
      <c r="U48" s="1002" t="str">
        <f t="shared" si="18"/>
        <v>Styrian Goldings</v>
      </c>
      <c r="V48" s="83">
        <f t="shared" si="19"/>
        <v>0</v>
      </c>
      <c r="W48" s="83">
        <f t="shared" si="19"/>
        <v>0</v>
      </c>
      <c r="X48" s="83">
        <f t="shared" si="19"/>
        <v>0</v>
      </c>
      <c r="Y48" s="83">
        <f t="shared" si="19"/>
        <v>0</v>
      </c>
      <c r="Z48" s="83">
        <f t="shared" si="19"/>
        <v>0</v>
      </c>
      <c r="AA48" s="83">
        <f t="shared" si="19"/>
        <v>0</v>
      </c>
      <c r="AB48" s="4329">
        <f t="shared" si="19"/>
        <v>0</v>
      </c>
      <c r="AC48" s="83">
        <f t="shared" si="19"/>
        <v>0</v>
      </c>
      <c r="AD48" s="1010">
        <f t="shared" si="19"/>
        <v>0</v>
      </c>
      <c r="AE48" s="1010">
        <f t="shared" si="19"/>
        <v>0</v>
      </c>
      <c r="AF48" s="1010">
        <f t="shared" si="19"/>
        <v>0</v>
      </c>
      <c r="AG48" s="1016">
        <f t="shared" si="19"/>
        <v>0</v>
      </c>
      <c r="AH48" s="4538">
        <f>'Beer Data Sheet'!C81</f>
        <v>310</v>
      </c>
      <c r="AI48" s="4322">
        <f t="shared" si="5"/>
        <v>0.76</v>
      </c>
      <c r="AJ48" s="1015">
        <f>'Beer Data Sheet'!E81</f>
        <v>10</v>
      </c>
      <c r="AK48" s="522">
        <f t="shared" si="16"/>
        <v>0</v>
      </c>
      <c r="AL48" s="522">
        <f t="shared" si="17"/>
        <v>0</v>
      </c>
      <c r="AM48" s="83">
        <f t="shared" si="8"/>
        <v>0</v>
      </c>
      <c r="AN48" s="118"/>
      <c r="AO48" s="118"/>
      <c r="AP48" s="118"/>
      <c r="AQ48" s="118"/>
      <c r="AR48" s="118"/>
      <c r="AS48" s="118"/>
      <c r="AT48" s="118"/>
      <c r="AU48" s="118"/>
      <c r="AV48" s="118"/>
      <c r="AW48" s="118"/>
      <c r="AX48" s="118"/>
      <c r="AY48" s="118"/>
      <c r="AZ48" s="1675"/>
      <c r="BA48" s="1679">
        <v>25</v>
      </c>
      <c r="BB48" s="1680">
        <v>0.75900000000000001</v>
      </c>
      <c r="BC48" s="1659"/>
      <c r="BD48" s="977"/>
      <c r="BE48" s="977"/>
      <c r="BF48" s="977"/>
      <c r="BG48" s="977"/>
      <c r="BH48" s="977"/>
      <c r="BI48" s="977"/>
      <c r="BJ48" s="977"/>
      <c r="BK48" s="977"/>
      <c r="BL48" s="977"/>
      <c r="BM48" s="977"/>
      <c r="BN48" s="977"/>
      <c r="BO48" s="977"/>
      <c r="BP48" s="977"/>
      <c r="BQ48" s="977"/>
      <c r="BR48" s="977"/>
      <c r="BS48" s="977"/>
      <c r="BT48" s="1040"/>
    </row>
    <row r="49" spans="1:72" ht="15" customHeight="1">
      <c r="A49" s="3363"/>
      <c r="B49" s="4539" t="str">
        <f>'Beer Data Sheet'!B82</f>
        <v>Extract (DRY - light)</v>
      </c>
      <c r="C49" s="911"/>
      <c r="D49" s="912" t="s">
        <v>82</v>
      </c>
      <c r="E49" s="896">
        <f t="shared" si="20"/>
        <v>0</v>
      </c>
      <c r="F49" s="900">
        <f t="shared" si="4"/>
        <v>0</v>
      </c>
      <c r="G49" s="4535" t="str">
        <f>'Beer Data Sheet'!B32</f>
        <v>Target</v>
      </c>
      <c r="H49" s="2032">
        <f>'Beer Data Sheet'!C32</f>
        <v>11.2</v>
      </c>
      <c r="I49" s="961"/>
      <c r="J49" s="962"/>
      <c r="K49" s="962"/>
      <c r="L49" s="962"/>
      <c r="M49" s="962"/>
      <c r="N49" s="963"/>
      <c r="O49" s="959">
        <f t="shared" si="26"/>
        <v>0</v>
      </c>
      <c r="P49" s="960">
        <f>J49</f>
        <v>0</v>
      </c>
      <c r="Q49" s="960">
        <f t="shared" si="26"/>
        <v>0</v>
      </c>
      <c r="R49" s="960">
        <f t="shared" si="26"/>
        <v>0</v>
      </c>
      <c r="S49" s="960">
        <f t="shared" si="26"/>
        <v>0</v>
      </c>
      <c r="T49" s="1000">
        <f t="shared" si="26"/>
        <v>0</v>
      </c>
      <c r="U49" s="1001" t="str">
        <f t="shared" si="18"/>
        <v>Target</v>
      </c>
      <c r="V49" s="83">
        <f t="shared" si="19"/>
        <v>0</v>
      </c>
      <c r="W49" s="83">
        <f>$H49*J49</f>
        <v>0</v>
      </c>
      <c r="X49" s="83">
        <f t="shared" si="19"/>
        <v>0</v>
      </c>
      <c r="Y49" s="83">
        <f t="shared" si="19"/>
        <v>0</v>
      </c>
      <c r="Z49" s="83">
        <f t="shared" si="19"/>
        <v>0</v>
      </c>
      <c r="AA49" s="83">
        <f t="shared" si="19"/>
        <v>0</v>
      </c>
      <c r="AB49" s="4329">
        <f t="shared" si="19"/>
        <v>0</v>
      </c>
      <c r="AC49" s="83">
        <f t="shared" si="19"/>
        <v>0</v>
      </c>
      <c r="AD49" s="1010">
        <f t="shared" si="19"/>
        <v>0</v>
      </c>
      <c r="AE49" s="1010">
        <f t="shared" si="19"/>
        <v>0</v>
      </c>
      <c r="AF49" s="1010">
        <f t="shared" si="19"/>
        <v>0</v>
      </c>
      <c r="AG49" s="1016">
        <f t="shared" si="19"/>
        <v>0</v>
      </c>
      <c r="AH49" s="4538">
        <f>'Beer Data Sheet'!C82</f>
        <v>365</v>
      </c>
      <c r="AI49" s="4322">
        <f t="shared" si="5"/>
        <v>0.76</v>
      </c>
      <c r="AJ49" s="1015">
        <f>'Beer Data Sheet'!E82</f>
        <v>11</v>
      </c>
      <c r="AK49" s="522">
        <f t="shared" si="16"/>
        <v>0</v>
      </c>
      <c r="AL49" s="522">
        <f t="shared" si="17"/>
        <v>0</v>
      </c>
      <c r="AM49" s="83">
        <f t="shared" si="8"/>
        <v>0</v>
      </c>
      <c r="AN49" s="118"/>
      <c r="AO49" s="118"/>
      <c r="AP49" s="118"/>
      <c r="AQ49" s="118"/>
      <c r="AR49" s="118"/>
      <c r="AS49" s="118"/>
      <c r="AT49" s="118"/>
      <c r="AU49" s="118"/>
      <c r="AV49" s="118"/>
      <c r="AW49" s="118"/>
      <c r="AX49" s="118"/>
      <c r="AY49" s="1675"/>
      <c r="AZ49" s="1043"/>
      <c r="BA49" s="4395">
        <v>30</v>
      </c>
      <c r="BB49" s="4396">
        <v>0.66500000000000004</v>
      </c>
      <c r="BC49" s="1659"/>
      <c r="BD49" s="977"/>
      <c r="BE49" s="977"/>
      <c r="BF49" s="977"/>
      <c r="BG49" s="977"/>
      <c r="BH49" s="977"/>
      <c r="BI49" s="977"/>
      <c r="BJ49" s="977"/>
      <c r="BK49" s="977"/>
      <c r="BL49" s="977"/>
      <c r="BM49" s="977"/>
      <c r="BN49" s="977"/>
      <c r="BO49" s="977"/>
      <c r="BP49" s="977"/>
      <c r="BQ49" s="977"/>
      <c r="BR49" s="977"/>
      <c r="BS49" s="977"/>
      <c r="BT49" s="1040"/>
    </row>
    <row r="50" spans="1:72" ht="15" customHeight="1">
      <c r="A50" s="3363"/>
      <c r="B50" s="2029" t="str">
        <f>'Beer Data Sheet'!B83</f>
        <v>Extract (DRY - wheat)</v>
      </c>
      <c r="C50" s="901"/>
      <c r="D50" s="913" t="s">
        <v>82</v>
      </c>
      <c r="E50" s="908">
        <f t="shared" si="20"/>
        <v>0</v>
      </c>
      <c r="F50" s="909">
        <f t="shared" si="4"/>
        <v>0</v>
      </c>
      <c r="G50" s="4535" t="str">
        <f>'Beer Data Sheet'!B33</f>
        <v>Tettnanger</v>
      </c>
      <c r="H50" s="2032">
        <f>'Beer Data Sheet'!C33</f>
        <v>5</v>
      </c>
      <c r="I50" s="961"/>
      <c r="J50" s="962"/>
      <c r="K50" s="962"/>
      <c r="L50" s="962"/>
      <c r="M50" s="962"/>
      <c r="N50" s="963"/>
      <c r="O50" s="959">
        <f t="shared" si="26"/>
        <v>0</v>
      </c>
      <c r="P50" s="960">
        <f t="shared" si="26"/>
        <v>0</v>
      </c>
      <c r="Q50" s="960">
        <f t="shared" si="26"/>
        <v>0</v>
      </c>
      <c r="R50" s="960">
        <f t="shared" si="26"/>
        <v>0</v>
      </c>
      <c r="S50" s="960">
        <f t="shared" si="26"/>
        <v>0</v>
      </c>
      <c r="T50" s="1000">
        <f t="shared" si="26"/>
        <v>0</v>
      </c>
      <c r="U50" s="1001" t="str">
        <f t="shared" si="18"/>
        <v>Tettnanger</v>
      </c>
      <c r="V50" s="83">
        <f t="shared" si="19"/>
        <v>0</v>
      </c>
      <c r="W50" s="83">
        <f t="shared" si="19"/>
        <v>0</v>
      </c>
      <c r="X50" s="83">
        <f t="shared" si="19"/>
        <v>0</v>
      </c>
      <c r="Y50" s="83">
        <f t="shared" si="19"/>
        <v>0</v>
      </c>
      <c r="Z50" s="83">
        <f t="shared" si="19"/>
        <v>0</v>
      </c>
      <c r="AA50" s="83">
        <f t="shared" si="19"/>
        <v>0</v>
      </c>
      <c r="AB50" s="4329">
        <f t="shared" si="19"/>
        <v>0</v>
      </c>
      <c r="AC50" s="83">
        <f t="shared" si="19"/>
        <v>0</v>
      </c>
      <c r="AD50" s="1010">
        <f t="shared" si="19"/>
        <v>0</v>
      </c>
      <c r="AE50" s="1010">
        <f t="shared" si="19"/>
        <v>0</v>
      </c>
      <c r="AF50" s="1010">
        <f t="shared" si="19"/>
        <v>0</v>
      </c>
      <c r="AG50" s="1016">
        <f t="shared" si="19"/>
        <v>0</v>
      </c>
      <c r="AH50" s="4538">
        <f>'Beer Data Sheet'!C83</f>
        <v>365</v>
      </c>
      <c r="AI50" s="4322">
        <f t="shared" si="5"/>
        <v>0.76</v>
      </c>
      <c r="AJ50" s="1015">
        <f>'Beer Data Sheet'!E83</f>
        <v>6</v>
      </c>
      <c r="AK50" s="522">
        <f t="shared" si="16"/>
        <v>0</v>
      </c>
      <c r="AL50" s="522">
        <f t="shared" si="17"/>
        <v>0</v>
      </c>
      <c r="AM50" s="83">
        <f t="shared" si="8"/>
        <v>0</v>
      </c>
      <c r="AN50" s="118"/>
      <c r="AO50" s="3351" t="s">
        <v>735</v>
      </c>
      <c r="AP50" s="3351"/>
      <c r="AQ50" s="3351"/>
      <c r="AR50" s="1685"/>
      <c r="AS50" s="1685"/>
      <c r="AT50" s="118"/>
      <c r="AU50" s="1675"/>
      <c r="AV50" s="1675"/>
      <c r="AW50" s="1675"/>
      <c r="AX50" s="1675"/>
      <c r="AY50" s="1675"/>
      <c r="AZ50" s="1043"/>
      <c r="BA50" s="342"/>
      <c r="BB50" s="342"/>
      <c r="BC50" s="1659"/>
      <c r="BD50" s="977"/>
      <c r="BE50" s="977"/>
      <c r="BF50" s="977"/>
      <c r="BG50" s="977"/>
      <c r="BH50" s="977"/>
      <c r="BI50" s="977"/>
      <c r="BJ50" s="977"/>
      <c r="BK50" s="977"/>
      <c r="BL50" s="977"/>
      <c r="BM50" s="977"/>
      <c r="BN50" s="977"/>
      <c r="BO50" s="977"/>
      <c r="BP50" s="977"/>
      <c r="BQ50" s="977"/>
      <c r="BR50" s="977"/>
      <c r="BS50" s="977"/>
      <c r="BT50" s="1040"/>
    </row>
    <row r="51" spans="1:72" ht="15" customHeight="1">
      <c r="A51" s="4540"/>
      <c r="B51" s="4541" t="str">
        <f>'Beer Data Sheet'!B84</f>
        <v>Cane ̸ beet sugar (sucrose)</v>
      </c>
      <c r="C51" s="902"/>
      <c r="D51" s="914" t="s">
        <v>82</v>
      </c>
      <c r="E51" s="896">
        <f t="shared" si="20"/>
        <v>0</v>
      </c>
      <c r="F51" s="900">
        <f t="shared" si="4"/>
        <v>0</v>
      </c>
      <c r="G51" s="4535" t="str">
        <f>'Beer Data Sheet'!B34</f>
        <v>WGV</v>
      </c>
      <c r="H51" s="2032">
        <f>'Beer Data Sheet'!C34</f>
        <v>6.3</v>
      </c>
      <c r="I51" s="961"/>
      <c r="J51" s="962"/>
      <c r="K51" s="962"/>
      <c r="L51" s="962"/>
      <c r="M51" s="962"/>
      <c r="N51" s="963"/>
      <c r="O51" s="959">
        <f>I51</f>
        <v>0</v>
      </c>
      <c r="P51" s="960">
        <f t="shared" si="26"/>
        <v>0</v>
      </c>
      <c r="Q51" s="960">
        <f t="shared" si="26"/>
        <v>0</v>
      </c>
      <c r="R51" s="960">
        <f t="shared" si="26"/>
        <v>0</v>
      </c>
      <c r="S51" s="960">
        <f t="shared" si="26"/>
        <v>0</v>
      </c>
      <c r="T51" s="1000">
        <f t="shared" si="26"/>
        <v>0</v>
      </c>
      <c r="U51" s="1001" t="str">
        <f t="shared" si="18"/>
        <v>WGV</v>
      </c>
      <c r="V51" s="83">
        <f t="shared" si="19"/>
        <v>0</v>
      </c>
      <c r="W51" s="83">
        <f t="shared" si="29"/>
        <v>0</v>
      </c>
      <c r="X51" s="83">
        <f t="shared" si="29"/>
        <v>0</v>
      </c>
      <c r="Y51" s="83">
        <f t="shared" si="29"/>
        <v>0</v>
      </c>
      <c r="Z51" s="83">
        <f t="shared" si="29"/>
        <v>0</v>
      </c>
      <c r="AA51" s="83">
        <f t="shared" si="29"/>
        <v>0</v>
      </c>
      <c r="AB51" s="4329">
        <f t="shared" si="29"/>
        <v>0</v>
      </c>
      <c r="AC51" s="83">
        <f t="shared" si="29"/>
        <v>0</v>
      </c>
      <c r="AD51" s="1010">
        <f t="shared" si="29"/>
        <v>0</v>
      </c>
      <c r="AE51" s="1010">
        <f t="shared" si="29"/>
        <v>0</v>
      </c>
      <c r="AF51" s="1010">
        <f t="shared" si="29"/>
        <v>0</v>
      </c>
      <c r="AG51" s="1016">
        <f t="shared" si="29"/>
        <v>0</v>
      </c>
      <c r="AH51" s="4542">
        <f>'Beer Data Sheet'!C84</f>
        <v>375</v>
      </c>
      <c r="AI51" s="1017">
        <f>'Beer Data Sheet'!D84</f>
        <v>1</v>
      </c>
      <c r="AJ51" s="1015">
        <f>'Beer Data Sheet'!E84</f>
        <v>0</v>
      </c>
      <c r="AK51" s="1018">
        <f t="shared" ref="AK51:AK54" si="32">0.001*AH51*AI51*C51</f>
        <v>0</v>
      </c>
      <c r="AL51" s="522">
        <f t="shared" si="17"/>
        <v>0</v>
      </c>
      <c r="AM51" s="83">
        <f t="shared" si="8"/>
        <v>0</v>
      </c>
      <c r="AN51" s="118"/>
      <c r="AO51" s="1686" t="s">
        <v>91</v>
      </c>
      <c r="AP51" s="1687" t="s">
        <v>737</v>
      </c>
      <c r="AQ51" s="3352" t="s">
        <v>959</v>
      </c>
      <c r="AR51" s="3353"/>
      <c r="AS51" s="1688" t="s">
        <v>84</v>
      </c>
      <c r="AT51" s="118"/>
      <c r="AU51" s="1689" t="s">
        <v>85</v>
      </c>
      <c r="AV51" s="1690" t="s">
        <v>86</v>
      </c>
      <c r="AW51" s="1691" t="s">
        <v>86</v>
      </c>
      <c r="AX51" s="1686" t="s">
        <v>91</v>
      </c>
      <c r="AY51" s="1675"/>
      <c r="AZ51" s="1043"/>
      <c r="BA51" s="1043"/>
      <c r="BB51" s="1043"/>
      <c r="BC51" s="1659"/>
      <c r="BD51" s="977"/>
      <c r="BE51" s="977"/>
      <c r="BF51" s="977"/>
      <c r="BG51" s="977"/>
      <c r="BH51" s="977"/>
      <c r="BI51" s="977"/>
      <c r="BJ51" s="977"/>
      <c r="BK51" s="977"/>
      <c r="BL51" s="977"/>
      <c r="BM51" s="977"/>
      <c r="BN51" s="977"/>
      <c r="BO51" s="977"/>
      <c r="BP51" s="977"/>
      <c r="BQ51" s="977"/>
      <c r="BR51" s="977"/>
      <c r="BS51" s="977"/>
      <c r="BT51" s="1040"/>
    </row>
    <row r="52" spans="1:72" ht="15" customHeight="1">
      <c r="A52" s="4540"/>
      <c r="B52" s="4541" t="str">
        <f>'Beer Data Sheet'!B85</f>
        <v>Brown sugar (light)</v>
      </c>
      <c r="C52" s="677"/>
      <c r="D52" s="914" t="s">
        <v>82</v>
      </c>
      <c r="E52" s="896">
        <f t="shared" si="20"/>
        <v>0</v>
      </c>
      <c r="F52" s="900">
        <f t="shared" si="4"/>
        <v>0</v>
      </c>
      <c r="G52" s="4535" t="str">
        <f>'Beer Data Sheet'!B35</f>
        <v>Yeoman</v>
      </c>
      <c r="H52" s="2032">
        <f>'Beer Data Sheet'!C35</f>
        <v>7.2</v>
      </c>
      <c r="I52" s="961"/>
      <c r="J52" s="962"/>
      <c r="K52" s="962"/>
      <c r="L52" s="962"/>
      <c r="M52" s="962"/>
      <c r="N52" s="963"/>
      <c r="O52" s="959">
        <f t="shared" ref="O52:T56" si="33">I52</f>
        <v>0</v>
      </c>
      <c r="P52" s="960">
        <f t="shared" si="33"/>
        <v>0</v>
      </c>
      <c r="Q52" s="960">
        <f t="shared" si="33"/>
        <v>0</v>
      </c>
      <c r="R52" s="960">
        <f t="shared" si="33"/>
        <v>0</v>
      </c>
      <c r="S52" s="960">
        <f t="shared" si="33"/>
        <v>0</v>
      </c>
      <c r="T52" s="1000">
        <f t="shared" si="33"/>
        <v>0</v>
      </c>
      <c r="U52" s="1001" t="str">
        <f t="shared" si="18"/>
        <v>Yeoman</v>
      </c>
      <c r="V52" s="83">
        <f t="shared" si="19"/>
        <v>0</v>
      </c>
      <c r="W52" s="83">
        <f t="shared" si="29"/>
        <v>0</v>
      </c>
      <c r="X52" s="83">
        <f t="shared" si="29"/>
        <v>0</v>
      </c>
      <c r="Y52" s="83">
        <f t="shared" si="29"/>
        <v>0</v>
      </c>
      <c r="Z52" s="83">
        <f t="shared" si="29"/>
        <v>0</v>
      </c>
      <c r="AA52" s="83">
        <f t="shared" si="29"/>
        <v>0</v>
      </c>
      <c r="AB52" s="4329">
        <f t="shared" si="29"/>
        <v>0</v>
      </c>
      <c r="AC52" s="83">
        <f t="shared" si="29"/>
        <v>0</v>
      </c>
      <c r="AD52" s="1010">
        <f t="shared" si="29"/>
        <v>0</v>
      </c>
      <c r="AE52" s="1010">
        <f t="shared" si="29"/>
        <v>0</v>
      </c>
      <c r="AF52" s="1010">
        <f t="shared" si="29"/>
        <v>0</v>
      </c>
      <c r="AG52" s="1016">
        <f t="shared" si="29"/>
        <v>0</v>
      </c>
      <c r="AH52" s="4542">
        <f>'Beer Data Sheet'!C85</f>
        <v>370</v>
      </c>
      <c r="AI52" s="1017">
        <f>'Beer Data Sheet'!D85</f>
        <v>1</v>
      </c>
      <c r="AJ52" s="1015">
        <f>'Beer Data Sheet'!E85</f>
        <v>16</v>
      </c>
      <c r="AK52" s="1018">
        <f t="shared" si="32"/>
        <v>0</v>
      </c>
      <c r="AL52" s="522">
        <f t="shared" si="17"/>
        <v>0</v>
      </c>
      <c r="AM52" s="83">
        <f t="shared" si="8"/>
        <v>0</v>
      </c>
      <c r="AN52" s="118"/>
      <c r="AO52" s="1669">
        <v>1</v>
      </c>
      <c r="AP52" s="1692">
        <f t="shared" ref="AP52:AP57" si="34">16*AS52</f>
        <v>3.5273368606701938E-2</v>
      </c>
      <c r="AQ52" s="3354" t="str">
        <f t="shared" ref="AQ52:AQ62" si="35">INT(AP52/16)&amp;"  lb   "&amp;FIXED(AP52-16*INT(AP52/16),2)&amp;"  oz"</f>
        <v>0  lb   0.04  oz</v>
      </c>
      <c r="AR52" s="3355"/>
      <c r="AS52" s="1693">
        <f t="shared" ref="AS52:AS57" si="36">AO52/(1000*0.4536)</f>
        <v>2.2045855379188711E-3</v>
      </c>
      <c r="AT52" s="118"/>
      <c r="AU52" s="1663">
        <v>0</v>
      </c>
      <c r="AV52" s="1664">
        <v>1</v>
      </c>
      <c r="AW52" s="1691">
        <f t="shared" ref="AW52:AW61" si="37">AU52*16+AV52</f>
        <v>1</v>
      </c>
      <c r="AX52" s="1908">
        <f t="shared" ref="AX52:AX61" si="38">1000*(AU52+AV52/16)*0.4536</f>
        <v>28.35</v>
      </c>
      <c r="AY52" s="1675"/>
      <c r="AZ52" s="1043"/>
      <c r="BA52" s="1043"/>
      <c r="BB52" s="1043"/>
      <c r="BC52" s="1659"/>
      <c r="BD52" s="977"/>
      <c r="BE52" s="977"/>
      <c r="BF52" s="977"/>
      <c r="BG52" s="977"/>
      <c r="BH52" s="977"/>
      <c r="BI52" s="977"/>
      <c r="BJ52" s="977"/>
      <c r="BK52" s="977"/>
      <c r="BL52" s="977"/>
      <c r="BM52" s="977"/>
      <c r="BN52" s="977"/>
      <c r="BO52" s="977"/>
      <c r="BP52" s="977"/>
      <c r="BQ52" s="977"/>
      <c r="BR52" s="977"/>
      <c r="BS52" s="977"/>
      <c r="BT52" s="1040"/>
    </row>
    <row r="53" spans="1:72" ht="15" customHeight="1">
      <c r="A53" s="4540"/>
      <c r="B53" s="4541" t="str">
        <f>'Beer Data Sheet'!B86</f>
        <v>Brown sugar (medium)</v>
      </c>
      <c r="C53" s="677"/>
      <c r="D53" s="914" t="s">
        <v>82</v>
      </c>
      <c r="E53" s="896">
        <f t="shared" si="20"/>
        <v>0</v>
      </c>
      <c r="F53" s="900">
        <f t="shared" si="4"/>
        <v>0</v>
      </c>
      <c r="G53" s="4535" t="str">
        <f>'Beer Data Sheet'!B36</f>
        <v>Other</v>
      </c>
      <c r="H53" s="2032">
        <f>'Beer Data Sheet'!C36</f>
        <v>0</v>
      </c>
      <c r="I53" s="961"/>
      <c r="J53" s="962"/>
      <c r="K53" s="962"/>
      <c r="L53" s="962"/>
      <c r="M53" s="962"/>
      <c r="N53" s="963"/>
      <c r="O53" s="959">
        <f t="shared" si="33"/>
        <v>0</v>
      </c>
      <c r="P53" s="960">
        <f t="shared" si="33"/>
        <v>0</v>
      </c>
      <c r="Q53" s="960">
        <f t="shared" si="33"/>
        <v>0</v>
      </c>
      <c r="R53" s="960">
        <f t="shared" si="33"/>
        <v>0</v>
      </c>
      <c r="S53" s="960">
        <f t="shared" si="33"/>
        <v>0</v>
      </c>
      <c r="T53" s="1000">
        <f t="shared" si="33"/>
        <v>0</v>
      </c>
      <c r="U53" s="1001" t="str">
        <f t="shared" si="18"/>
        <v>Other</v>
      </c>
      <c r="V53" s="83">
        <f t="shared" si="19"/>
        <v>0</v>
      </c>
      <c r="W53" s="83">
        <f t="shared" si="29"/>
        <v>0</v>
      </c>
      <c r="X53" s="83">
        <f t="shared" si="29"/>
        <v>0</v>
      </c>
      <c r="Y53" s="83">
        <f t="shared" si="29"/>
        <v>0</v>
      </c>
      <c r="Z53" s="83">
        <f t="shared" si="29"/>
        <v>0</v>
      </c>
      <c r="AA53" s="83">
        <f t="shared" si="29"/>
        <v>0</v>
      </c>
      <c r="AB53" s="4329">
        <f t="shared" si="29"/>
        <v>0</v>
      </c>
      <c r="AC53" s="83">
        <f t="shared" si="29"/>
        <v>0</v>
      </c>
      <c r="AD53" s="1010">
        <f t="shared" si="29"/>
        <v>0</v>
      </c>
      <c r="AE53" s="1010">
        <f t="shared" si="29"/>
        <v>0</v>
      </c>
      <c r="AF53" s="1010">
        <f t="shared" si="29"/>
        <v>0</v>
      </c>
      <c r="AG53" s="1016">
        <f t="shared" si="29"/>
        <v>0</v>
      </c>
      <c r="AH53" s="4542">
        <f>'Beer Data Sheet'!C86</f>
        <v>319</v>
      </c>
      <c r="AI53" s="1017">
        <f>'Beer Data Sheet'!D86</f>
        <v>1</v>
      </c>
      <c r="AJ53" s="1015">
        <f>'Beer Data Sheet'!E86</f>
        <v>45</v>
      </c>
      <c r="AK53" s="1018">
        <f t="shared" si="32"/>
        <v>0</v>
      </c>
      <c r="AL53" s="522">
        <f t="shared" si="17"/>
        <v>0</v>
      </c>
      <c r="AM53" s="83">
        <f t="shared" si="8"/>
        <v>0</v>
      </c>
      <c r="AN53" s="118"/>
      <c r="AO53" s="1669">
        <v>2</v>
      </c>
      <c r="AP53" s="1692">
        <f t="shared" si="34"/>
        <v>7.0546737213403876E-2</v>
      </c>
      <c r="AQ53" s="3354" t="str">
        <f t="shared" si="35"/>
        <v>0  lb   0.07  oz</v>
      </c>
      <c r="AR53" s="3355"/>
      <c r="AS53" s="1693">
        <f t="shared" si="36"/>
        <v>4.4091710758377423E-3</v>
      </c>
      <c r="AT53" s="118"/>
      <c r="AU53" s="1663">
        <v>1</v>
      </c>
      <c r="AV53" s="1664">
        <v>2</v>
      </c>
      <c r="AW53" s="1691">
        <f t="shared" si="37"/>
        <v>18</v>
      </c>
      <c r="AX53" s="1908">
        <f t="shared" si="38"/>
        <v>510.3</v>
      </c>
      <c r="AY53" s="1675"/>
      <c r="AZ53" s="1043"/>
      <c r="BA53" s="1043"/>
      <c r="BB53" s="1043"/>
      <c r="BC53" s="1659"/>
      <c r="BD53" s="977"/>
      <c r="BE53" s="977"/>
      <c r="BF53" s="977"/>
      <c r="BG53" s="977"/>
      <c r="BH53" s="977"/>
      <c r="BI53" s="977"/>
      <c r="BJ53" s="977"/>
      <c r="BK53" s="977"/>
      <c r="BL53" s="977"/>
      <c r="BM53" s="977"/>
      <c r="BN53" s="977"/>
      <c r="BO53" s="977"/>
      <c r="BP53" s="977"/>
      <c r="BQ53" s="977"/>
      <c r="BR53" s="977"/>
      <c r="BS53" s="977"/>
      <c r="BT53" s="1040"/>
    </row>
    <row r="54" spans="1:72" ht="15" customHeight="1">
      <c r="A54" s="4540"/>
      <c r="B54" s="4541" t="str">
        <f>'Beer Data Sheet'!B87</f>
        <v>Brewing sugar</v>
      </c>
      <c r="C54" s="677"/>
      <c r="D54" s="914" t="s">
        <v>82</v>
      </c>
      <c r="E54" s="896">
        <f t="shared" si="20"/>
        <v>0</v>
      </c>
      <c r="F54" s="900">
        <f t="shared" si="4"/>
        <v>0</v>
      </c>
      <c r="G54" s="4535" t="str">
        <f>'Beer Data Sheet'!B37</f>
        <v>Other</v>
      </c>
      <c r="H54" s="2032">
        <f>'Beer Data Sheet'!C37</f>
        <v>0</v>
      </c>
      <c r="I54" s="961"/>
      <c r="J54" s="962"/>
      <c r="K54" s="962"/>
      <c r="L54" s="962"/>
      <c r="M54" s="962"/>
      <c r="N54" s="963"/>
      <c r="O54" s="959">
        <f t="shared" si="33"/>
        <v>0</v>
      </c>
      <c r="P54" s="960">
        <f>J54</f>
        <v>0</v>
      </c>
      <c r="Q54" s="960">
        <f t="shared" si="33"/>
        <v>0</v>
      </c>
      <c r="R54" s="960">
        <f t="shared" si="33"/>
        <v>0</v>
      </c>
      <c r="S54" s="960">
        <f t="shared" si="33"/>
        <v>0</v>
      </c>
      <c r="T54" s="1000">
        <f t="shared" si="33"/>
        <v>0</v>
      </c>
      <c r="U54" s="1001" t="str">
        <f t="shared" si="18"/>
        <v>Other</v>
      </c>
      <c r="V54" s="83">
        <f t="shared" si="19"/>
        <v>0</v>
      </c>
      <c r="W54" s="83">
        <f>$H54*J54</f>
        <v>0</v>
      </c>
      <c r="X54" s="83">
        <f t="shared" si="29"/>
        <v>0</v>
      </c>
      <c r="Y54" s="83">
        <f t="shared" si="29"/>
        <v>0</v>
      </c>
      <c r="Z54" s="83">
        <f t="shared" si="29"/>
        <v>0</v>
      </c>
      <c r="AA54" s="83">
        <f t="shared" si="29"/>
        <v>0</v>
      </c>
      <c r="AB54" s="4329">
        <f t="shared" si="29"/>
        <v>0</v>
      </c>
      <c r="AC54" s="83">
        <f t="shared" si="29"/>
        <v>0</v>
      </c>
      <c r="AD54" s="1010">
        <f t="shared" si="29"/>
        <v>0</v>
      </c>
      <c r="AE54" s="1010">
        <f t="shared" si="29"/>
        <v>0</v>
      </c>
      <c r="AF54" s="1010">
        <f t="shared" si="29"/>
        <v>0</v>
      </c>
      <c r="AG54" s="1016">
        <f t="shared" si="29"/>
        <v>0</v>
      </c>
      <c r="AH54" s="4542">
        <f>'Beer Data Sheet'!C87</f>
        <v>360</v>
      </c>
      <c r="AI54" s="1017">
        <f>'Beer Data Sheet'!D87</f>
        <v>0.95</v>
      </c>
      <c r="AJ54" s="1015">
        <f>'Beer Data Sheet'!E87</f>
        <v>0</v>
      </c>
      <c r="AK54" s="1018">
        <f t="shared" si="32"/>
        <v>0</v>
      </c>
      <c r="AL54" s="522">
        <f t="shared" si="17"/>
        <v>0</v>
      </c>
      <c r="AM54" s="83">
        <f t="shared" si="8"/>
        <v>0</v>
      </c>
      <c r="AN54" s="118"/>
      <c r="AO54" s="1669">
        <v>3</v>
      </c>
      <c r="AP54" s="1692">
        <f t="shared" si="34"/>
        <v>0.10582010582010581</v>
      </c>
      <c r="AQ54" s="3354" t="str">
        <f t="shared" si="35"/>
        <v>0  lb   0.11  oz</v>
      </c>
      <c r="AR54" s="3355"/>
      <c r="AS54" s="1693">
        <f t="shared" si="36"/>
        <v>6.6137566137566134E-3</v>
      </c>
      <c r="AT54" s="118"/>
      <c r="AU54" s="1663">
        <v>2</v>
      </c>
      <c r="AV54" s="1664">
        <v>3</v>
      </c>
      <c r="AW54" s="1691">
        <f t="shared" si="37"/>
        <v>35</v>
      </c>
      <c r="AX54" s="1908">
        <f t="shared" si="38"/>
        <v>992.25</v>
      </c>
      <c r="AY54" s="1675"/>
      <c r="AZ54" s="1043"/>
      <c r="BA54" s="1043"/>
      <c r="BB54" s="1043"/>
      <c r="BC54" s="1659"/>
      <c r="BD54" s="977"/>
      <c r="BE54" s="977"/>
      <c r="BF54" s="977"/>
      <c r="BG54" s="977"/>
      <c r="BH54" s="977"/>
      <c r="BI54" s="977"/>
      <c r="BJ54" s="977"/>
      <c r="BK54" s="977"/>
      <c r="BL54" s="977"/>
      <c r="BM54" s="977"/>
      <c r="BN54" s="977"/>
      <c r="BO54" s="977"/>
      <c r="BP54" s="977"/>
      <c r="BQ54" s="977"/>
      <c r="BR54" s="977"/>
      <c r="BS54" s="977"/>
      <c r="BT54" s="1040"/>
    </row>
    <row r="55" spans="1:72" ht="15" customHeight="1">
      <c r="A55" s="4543"/>
      <c r="B55" s="2030" t="str">
        <f>'Beer Data Sheet'!B88</f>
        <v>Lactose (non-fermentable sugar, no boil)</v>
      </c>
      <c r="C55" s="915"/>
      <c r="D55" s="916" t="s">
        <v>82</v>
      </c>
      <c r="E55" s="917">
        <f t="shared" si="20"/>
        <v>0</v>
      </c>
      <c r="F55" s="918">
        <f t="shared" si="4"/>
        <v>0</v>
      </c>
      <c r="G55" s="4535" t="str">
        <f>'Beer Data Sheet'!B38</f>
        <v>Other</v>
      </c>
      <c r="H55" s="2032">
        <f>'Beer Data Sheet'!C38</f>
        <v>0</v>
      </c>
      <c r="I55" s="961"/>
      <c r="J55" s="962"/>
      <c r="K55" s="962"/>
      <c r="L55" s="962"/>
      <c r="M55" s="962"/>
      <c r="N55" s="963"/>
      <c r="O55" s="959">
        <f t="shared" si="33"/>
        <v>0</v>
      </c>
      <c r="P55" s="960">
        <f t="shared" si="33"/>
        <v>0</v>
      </c>
      <c r="Q55" s="960">
        <f t="shared" si="33"/>
        <v>0</v>
      </c>
      <c r="R55" s="960">
        <f t="shared" si="33"/>
        <v>0</v>
      </c>
      <c r="S55" s="960">
        <f t="shared" si="33"/>
        <v>0</v>
      </c>
      <c r="T55" s="1000">
        <f t="shared" si="33"/>
        <v>0</v>
      </c>
      <c r="U55" s="1001" t="str">
        <f t="shared" si="18"/>
        <v>Other</v>
      </c>
      <c r="V55" s="83">
        <f t="shared" si="19"/>
        <v>0</v>
      </c>
      <c r="W55" s="83">
        <f t="shared" si="29"/>
        <v>0</v>
      </c>
      <c r="X55" s="83">
        <f t="shared" si="29"/>
        <v>0</v>
      </c>
      <c r="Y55" s="83">
        <f t="shared" si="29"/>
        <v>0</v>
      </c>
      <c r="Z55" s="83">
        <f t="shared" si="29"/>
        <v>0</v>
      </c>
      <c r="AA55" s="83">
        <f t="shared" si="29"/>
        <v>0</v>
      </c>
      <c r="AB55" s="4329">
        <f t="shared" si="29"/>
        <v>0</v>
      </c>
      <c r="AC55" s="83">
        <f t="shared" si="29"/>
        <v>0</v>
      </c>
      <c r="AD55" s="1010">
        <f t="shared" si="29"/>
        <v>0</v>
      </c>
      <c r="AE55" s="1010">
        <f t="shared" si="29"/>
        <v>0</v>
      </c>
      <c r="AF55" s="1010">
        <f t="shared" si="29"/>
        <v>0</v>
      </c>
      <c r="AG55" s="1016">
        <f t="shared" si="29"/>
        <v>0</v>
      </c>
      <c r="AH55" s="4542">
        <f>'Beer Data Sheet'!C88</f>
        <v>380</v>
      </c>
      <c r="AI55" s="1017">
        <f>'Beer Data Sheet'!D88</f>
        <v>0</v>
      </c>
      <c r="AJ55" s="1015">
        <f>'Beer Data Sheet'!E88</f>
        <v>30</v>
      </c>
      <c r="AK55" s="1018">
        <f t="shared" si="16"/>
        <v>0</v>
      </c>
      <c r="AL55" s="522">
        <f t="shared" si="17"/>
        <v>0</v>
      </c>
      <c r="AM55" s="83">
        <f t="shared" si="8"/>
        <v>0</v>
      </c>
      <c r="AN55" s="118"/>
      <c r="AO55" s="1669">
        <v>4</v>
      </c>
      <c r="AP55" s="1692">
        <f t="shared" si="34"/>
        <v>0.14109347442680775</v>
      </c>
      <c r="AQ55" s="3354" t="str">
        <f t="shared" si="35"/>
        <v>0  lb   0.14  oz</v>
      </c>
      <c r="AR55" s="3355"/>
      <c r="AS55" s="1693">
        <f t="shared" si="36"/>
        <v>8.8183421516754845E-3</v>
      </c>
      <c r="AT55" s="118"/>
      <c r="AU55" s="1663">
        <v>3</v>
      </c>
      <c r="AV55" s="1664">
        <v>4</v>
      </c>
      <c r="AW55" s="1691">
        <f t="shared" si="37"/>
        <v>52</v>
      </c>
      <c r="AX55" s="1908">
        <f t="shared" si="38"/>
        <v>1474.2</v>
      </c>
      <c r="AY55" s="1675"/>
      <c r="AZ55" s="1043"/>
      <c r="BA55" s="342"/>
      <c r="BB55" s="342"/>
      <c r="BC55" s="1659"/>
      <c r="BD55" s="977"/>
      <c r="BE55" s="977"/>
      <c r="BF55" s="977"/>
      <c r="BG55" s="977"/>
      <c r="BH55" s="977"/>
      <c r="BI55" s="977"/>
      <c r="BJ55" s="977"/>
      <c r="BK55" s="977"/>
      <c r="BL55" s="977"/>
      <c r="BM55" s="977"/>
      <c r="BN55" s="977"/>
      <c r="BO55" s="977"/>
      <c r="BP55" s="977"/>
      <c r="BQ55" s="977"/>
      <c r="BR55" s="977"/>
      <c r="BS55" s="977"/>
      <c r="BT55" s="1040"/>
    </row>
    <row r="56" spans="1:72" ht="15" customHeight="1">
      <c r="A56" s="919"/>
      <c r="B56" s="4544" t="s">
        <v>776</v>
      </c>
      <c r="C56" s="2450">
        <f>H7*C58+(AH51*C51*AI51+AH52*C52*AI52+AH53*C53*AI53+AH54*C54*AI54)/375</f>
        <v>78.75</v>
      </c>
      <c r="D56" s="4545" t="str">
        <f>"g = "&amp;FIXED(100*((AL58+SUM(AK51:AK55))/(AL58+SUM(AK25:AK55))),1)&amp;"% of the fermentable sugars."</f>
        <v>g = 2.8% of the fermentable sugars.</v>
      </c>
      <c r="E56" s="4546"/>
      <c r="F56" s="4547"/>
      <c r="G56" s="4535" t="str">
        <f>'Beer Data Sheet'!B39</f>
        <v>Other</v>
      </c>
      <c r="H56" s="2032">
        <f>'Beer Data Sheet'!C39</f>
        <v>0</v>
      </c>
      <c r="I56" s="961"/>
      <c r="J56" s="962"/>
      <c r="K56" s="962"/>
      <c r="L56" s="962"/>
      <c r="M56" s="962"/>
      <c r="N56" s="963"/>
      <c r="O56" s="964">
        <f t="shared" si="33"/>
        <v>0</v>
      </c>
      <c r="P56" s="965">
        <f t="shared" si="33"/>
        <v>0</v>
      </c>
      <c r="Q56" s="965">
        <f t="shared" si="33"/>
        <v>0</v>
      </c>
      <c r="R56" s="965">
        <f t="shared" si="33"/>
        <v>0</v>
      </c>
      <c r="S56" s="965">
        <f t="shared" si="33"/>
        <v>0</v>
      </c>
      <c r="T56" s="1003">
        <f t="shared" si="33"/>
        <v>0</v>
      </c>
      <c r="U56" s="1001" t="str">
        <f t="shared" si="18"/>
        <v>Other</v>
      </c>
      <c r="V56" s="83">
        <f t="shared" si="19"/>
        <v>0</v>
      </c>
      <c r="W56" s="83">
        <f t="shared" si="29"/>
        <v>0</v>
      </c>
      <c r="X56" s="83">
        <f t="shared" si="29"/>
        <v>0</v>
      </c>
      <c r="Y56" s="83">
        <f t="shared" si="29"/>
        <v>0</v>
      </c>
      <c r="Z56" s="83">
        <f t="shared" si="29"/>
        <v>0</v>
      </c>
      <c r="AA56" s="83">
        <f t="shared" si="29"/>
        <v>0</v>
      </c>
      <c r="AB56" s="4329">
        <f t="shared" si="29"/>
        <v>0</v>
      </c>
      <c r="AC56" s="83">
        <f t="shared" si="29"/>
        <v>0</v>
      </c>
      <c r="AD56" s="1010">
        <f t="shared" si="29"/>
        <v>0</v>
      </c>
      <c r="AE56" s="1010">
        <f t="shared" si="29"/>
        <v>0</v>
      </c>
      <c r="AF56" s="1010">
        <f t="shared" si="29"/>
        <v>0</v>
      </c>
      <c r="AG56" s="1016">
        <f t="shared" si="29"/>
        <v>0</v>
      </c>
      <c r="AH56" s="4532"/>
      <c r="AI56" s="1017"/>
      <c r="AJ56" s="1015"/>
      <c r="AK56" s="1015"/>
      <c r="AL56" s="1019">
        <f>SUM($AK25:$AK50)</f>
        <v>1016.235</v>
      </c>
      <c r="AM56" s="83"/>
      <c r="AN56" s="118"/>
      <c r="AO56" s="1669">
        <v>5</v>
      </c>
      <c r="AP56" s="1692">
        <f t="shared" si="34"/>
        <v>0.17636684303350969</v>
      </c>
      <c r="AQ56" s="3354" t="str">
        <f t="shared" si="35"/>
        <v>0  lb   0.18  oz</v>
      </c>
      <c r="AR56" s="3355"/>
      <c r="AS56" s="1693">
        <f t="shared" si="36"/>
        <v>1.1022927689594356E-2</v>
      </c>
      <c r="AT56" s="118"/>
      <c r="AU56" s="1663">
        <v>4</v>
      </c>
      <c r="AV56" s="1664">
        <v>5</v>
      </c>
      <c r="AW56" s="1691">
        <f t="shared" si="37"/>
        <v>69</v>
      </c>
      <c r="AX56" s="1908">
        <f t="shared" si="38"/>
        <v>1956.15</v>
      </c>
      <c r="AY56" s="1675"/>
      <c r="AZ56" s="1043"/>
      <c r="BA56" s="1040"/>
      <c r="BB56" s="1040"/>
      <c r="BC56" s="1659"/>
      <c r="BD56" s="977"/>
      <c r="BE56" s="977"/>
      <c r="BF56" s="977"/>
      <c r="BG56" s="977"/>
      <c r="BH56" s="977"/>
      <c r="BI56" s="977"/>
      <c r="BJ56" s="977"/>
      <c r="BK56" s="977"/>
      <c r="BL56" s="977"/>
      <c r="BM56" s="977"/>
      <c r="BN56" s="977"/>
      <c r="BO56" s="977"/>
      <c r="BP56" s="977"/>
      <c r="BQ56" s="977"/>
      <c r="BR56" s="977"/>
      <c r="BS56" s="977"/>
      <c r="BT56" s="1040"/>
    </row>
    <row r="57" spans="1:72" ht="15" customHeight="1">
      <c r="A57" s="920"/>
      <c r="B57" s="4548" t="s">
        <v>960</v>
      </c>
      <c r="C57" s="4548"/>
      <c r="D57" s="4548"/>
      <c r="E57" s="4548"/>
      <c r="F57" s="4548"/>
      <c r="G57" s="4549" t="s">
        <v>961</v>
      </c>
      <c r="H57" s="4550"/>
      <c r="I57" s="2771"/>
      <c r="J57" s="3405" t="str">
        <f>"ml = "&amp;FIXED(I57/5)&amp;" tsp (5ml)"</f>
        <v>ml = 0.00 tsp (5ml)</v>
      </c>
      <c r="K57" s="3056"/>
      <c r="L57" s="3056"/>
      <c r="M57" s="3056"/>
      <c r="N57" s="3057"/>
      <c r="O57" s="2772"/>
      <c r="P57" s="3406" t="str">
        <f>"ml = "&amp;FIXED(O57/5)&amp;" tsp (5ml)"</f>
        <v>ml = 0.00 tsp (5ml)</v>
      </c>
      <c r="Q57" s="3073"/>
      <c r="R57" s="3073"/>
      <c r="S57" s="3073"/>
      <c r="T57" s="3074"/>
      <c r="U57" s="255"/>
      <c r="V57" s="83"/>
      <c r="W57" s="83"/>
      <c r="X57" s="83"/>
      <c r="Y57" s="83"/>
      <c r="Z57" s="83"/>
      <c r="AA57" s="83"/>
      <c r="AB57" s="4329"/>
      <c r="AC57" s="83"/>
      <c r="AD57" s="1010"/>
      <c r="AE57" s="1010"/>
      <c r="AF57" s="1010"/>
      <c r="AG57" s="1016"/>
      <c r="AH57" s="4551"/>
      <c r="AI57" s="536"/>
      <c r="AK57" s="1020"/>
      <c r="AL57" s="1021"/>
      <c r="AM57" s="70"/>
      <c r="AN57" s="118"/>
      <c r="AO57" s="1669">
        <v>100</v>
      </c>
      <c r="AP57" s="1692">
        <f t="shared" si="34"/>
        <v>3.5273368606701938</v>
      </c>
      <c r="AQ57" s="3354" t="str">
        <f t="shared" si="35"/>
        <v>0  lb   3.53  oz</v>
      </c>
      <c r="AR57" s="3355"/>
      <c r="AS57" s="1693">
        <f t="shared" si="36"/>
        <v>0.22045855379188711</v>
      </c>
      <c r="AT57" s="118"/>
      <c r="AU57" s="1663">
        <v>5</v>
      </c>
      <c r="AV57" s="1664">
        <v>6</v>
      </c>
      <c r="AW57" s="1691">
        <f t="shared" si="37"/>
        <v>86</v>
      </c>
      <c r="AX57" s="1908">
        <f t="shared" si="38"/>
        <v>2438.1</v>
      </c>
      <c r="AY57" s="1675"/>
      <c r="AZ57" s="1043"/>
      <c r="BA57" s="1044"/>
      <c r="BB57" s="1044"/>
      <c r="BC57" s="1659"/>
      <c r="BD57" s="977"/>
      <c r="BE57" s="977"/>
      <c r="BF57" s="977"/>
      <c r="BG57" s="977"/>
      <c r="BH57" s="977"/>
      <c r="BI57" s="977"/>
      <c r="BJ57" s="977"/>
      <c r="BK57" s="977"/>
      <c r="BL57" s="977"/>
      <c r="BM57" s="977"/>
      <c r="BN57" s="977"/>
      <c r="BO57" s="977"/>
      <c r="BP57" s="977"/>
      <c r="BQ57" s="977"/>
      <c r="BR57" s="977"/>
      <c r="BS57" s="977"/>
      <c r="BT57" s="1040"/>
    </row>
    <row r="58" spans="1:72" ht="15" customHeight="1">
      <c r="A58" s="920"/>
      <c r="B58" s="1657" t="str">
        <f>"Priming sugar (sucrose) g/litre, 1 level tsp = "&amp;'Beer Data Sheet'!P$21&amp;"g)"</f>
        <v>Priming sugar (sucrose) g/litre, 1 level tsp = 3.15g)</v>
      </c>
      <c r="C58" s="921">
        <v>3.15</v>
      </c>
      <c r="D58" s="922" t="s">
        <v>779</v>
      </c>
      <c r="E58" s="923">
        <f>100*IF(C58=0,0,C58*H7/$E$62)</f>
        <v>1.707965081602776</v>
      </c>
      <c r="F58" s="900">
        <f>IF(AL58=0,0,AL58*100/$F$62)</f>
        <v>2.8238863130264527</v>
      </c>
      <c r="G58" s="3407" t="s">
        <v>962</v>
      </c>
      <c r="H58" s="3408"/>
      <c r="I58" s="3444" t="s">
        <v>963</v>
      </c>
      <c r="J58" s="3445"/>
      <c r="K58" s="3445"/>
      <c r="L58" s="3445"/>
      <c r="M58" s="3445"/>
      <c r="N58" s="3445"/>
      <c r="O58" s="3445"/>
      <c r="P58" s="3445"/>
      <c r="Q58" s="3445"/>
      <c r="R58" s="3445"/>
      <c r="S58" s="3445"/>
      <c r="T58" s="3445"/>
      <c r="U58" s="255"/>
      <c r="V58" s="83">
        <f>SUM(V26:V56)</f>
        <v>371</v>
      </c>
      <c r="W58" s="83">
        <f t="shared" ref="W58:AG58" si="39">SUM(W26:W56)</f>
        <v>0</v>
      </c>
      <c r="X58" s="83">
        <f t="shared" si="39"/>
        <v>0</v>
      </c>
      <c r="Y58" s="245">
        <f t="shared" si="39"/>
        <v>0</v>
      </c>
      <c r="Z58" s="245">
        <f t="shared" si="39"/>
        <v>106</v>
      </c>
      <c r="AA58" s="245">
        <f t="shared" si="39"/>
        <v>0</v>
      </c>
      <c r="AB58" s="4552">
        <f t="shared" si="39"/>
        <v>371</v>
      </c>
      <c r="AC58" s="245">
        <f t="shared" si="39"/>
        <v>0</v>
      </c>
      <c r="AD58" s="245">
        <f t="shared" si="39"/>
        <v>0</v>
      </c>
      <c r="AE58" s="245">
        <f t="shared" si="39"/>
        <v>0</v>
      </c>
      <c r="AF58" s="1011">
        <f t="shared" si="39"/>
        <v>106</v>
      </c>
      <c r="AG58" s="245">
        <f t="shared" si="39"/>
        <v>0</v>
      </c>
      <c r="AH58" s="4553"/>
      <c r="AI58" s="1020"/>
      <c r="AJ58" s="70" t="s">
        <v>964</v>
      </c>
      <c r="AL58" s="1022">
        <f>0.001*C58*H7*375</f>
        <v>29.53125</v>
      </c>
      <c r="AM58" s="70"/>
      <c r="AN58" s="118"/>
      <c r="AO58" s="1669">
        <v>101</v>
      </c>
      <c r="AP58" s="1692">
        <f>16*AS58</f>
        <v>3.562610229276896</v>
      </c>
      <c r="AQ58" s="3354" t="str">
        <f t="shared" si="35"/>
        <v>0  lb   3.56  oz</v>
      </c>
      <c r="AR58" s="3355"/>
      <c r="AS58" s="1693">
        <f>AO58/(1000*0.4536)</f>
        <v>0.222663139329806</v>
      </c>
      <c r="AT58" s="118"/>
      <c r="AU58" s="1663">
        <v>6</v>
      </c>
      <c r="AV58" s="1664">
        <v>7</v>
      </c>
      <c r="AW58" s="1691">
        <f t="shared" si="37"/>
        <v>103</v>
      </c>
      <c r="AX58" s="1908">
        <f t="shared" si="38"/>
        <v>2920.05</v>
      </c>
      <c r="AY58" s="1684"/>
      <c r="AZ58" s="1043"/>
      <c r="BA58" s="1045"/>
      <c r="BB58" s="1045"/>
      <c r="BC58" s="1659"/>
      <c r="BD58" s="977"/>
      <c r="BE58" s="977"/>
      <c r="BF58" s="977"/>
      <c r="BG58" s="977"/>
      <c r="BH58" s="977"/>
      <c r="BI58" s="977"/>
      <c r="BJ58" s="977"/>
      <c r="BK58" s="977"/>
      <c r="BL58" s="977"/>
      <c r="BM58" s="977"/>
      <c r="BN58" s="977"/>
      <c r="BO58" s="977"/>
      <c r="BP58" s="977"/>
      <c r="BQ58" s="977"/>
      <c r="BR58" s="977"/>
      <c r="BS58" s="977"/>
      <c r="BT58" s="1040"/>
    </row>
    <row r="59" spans="1:72" ht="15" customHeight="1">
      <c r="A59" s="920"/>
      <c r="B59" s="924" t="s">
        <v>781</v>
      </c>
      <c r="C59" s="925">
        <f>C58/'Beer Data Sheet'!P21</f>
        <v>1</v>
      </c>
      <c r="D59" s="4554" t="s">
        <v>782</v>
      </c>
      <c r="E59" s="4555"/>
      <c r="F59" s="4555"/>
      <c r="G59" s="3446" t="s">
        <v>762</v>
      </c>
      <c r="H59" s="3447"/>
      <c r="I59" s="2451">
        <v>11</v>
      </c>
      <c r="J59" s="3273" t="s">
        <v>965</v>
      </c>
      <c r="K59" s="3364"/>
      <c r="L59" s="3364"/>
      <c r="M59" s="3364"/>
      <c r="N59" s="3365"/>
      <c r="O59" s="2452">
        <v>11</v>
      </c>
      <c r="P59" s="3274" t="s">
        <v>966</v>
      </c>
      <c r="Q59" s="3369"/>
      <c r="R59" s="3369"/>
      <c r="S59" s="3369"/>
      <c r="T59" s="3370"/>
      <c r="U59" s="255"/>
      <c r="V59" s="390">
        <f>SUM(I26:N56)/1.5</f>
        <v>60</v>
      </c>
      <c r="W59" s="390"/>
      <c r="X59" s="390"/>
      <c r="Y59" s="390"/>
      <c r="Z59" s="1006"/>
      <c r="AA59" s="1012" t="s">
        <v>761</v>
      </c>
      <c r="AB59" s="390">
        <f>SUM(O26:T56)/1.5</f>
        <v>60</v>
      </c>
      <c r="AC59" s="1004"/>
      <c r="AD59" s="83"/>
      <c r="AE59" s="83"/>
      <c r="AF59" s="83"/>
      <c r="AG59" s="83"/>
      <c r="AJ59" s="521" t="s">
        <v>535</v>
      </c>
      <c r="AL59" s="1023">
        <f>(SUM($AL$25:AL$50))/($H$7)</f>
        <v>30.893543999999999</v>
      </c>
      <c r="AM59" s="70"/>
      <c r="AN59" s="118"/>
      <c r="AO59" s="1669">
        <v>102</v>
      </c>
      <c r="AP59" s="1692">
        <f t="shared" ref="AP59:AP62" si="40">16*AS59</f>
        <v>3.5978835978835977</v>
      </c>
      <c r="AQ59" s="3354" t="str">
        <f t="shared" si="35"/>
        <v>0  lb   3.60  oz</v>
      </c>
      <c r="AR59" s="3355"/>
      <c r="AS59" s="1693">
        <f t="shared" ref="AS59:AS62" si="41">AO59/(1000*0.4536)</f>
        <v>0.22486772486772486</v>
      </c>
      <c r="AT59" s="118"/>
      <c r="AU59" s="1663">
        <v>7</v>
      </c>
      <c r="AV59" s="1664">
        <v>8</v>
      </c>
      <c r="AW59" s="1691">
        <f t="shared" si="37"/>
        <v>120</v>
      </c>
      <c r="AX59" s="1908">
        <f t="shared" si="38"/>
        <v>3402</v>
      </c>
      <c r="AY59" s="1684"/>
      <c r="AZ59" s="1043"/>
      <c r="BA59" s="1045"/>
      <c r="BB59" s="1045"/>
      <c r="BC59" s="1659"/>
      <c r="BD59" s="977"/>
      <c r="BE59" s="977"/>
      <c r="BF59" s="977"/>
      <c r="BG59" s="977"/>
      <c r="BH59" s="977"/>
      <c r="BI59" s="977"/>
      <c r="BJ59" s="977"/>
      <c r="BK59" s="977"/>
      <c r="BL59" s="977"/>
      <c r="BM59" s="977"/>
      <c r="BN59" s="977"/>
      <c r="BO59" s="977"/>
      <c r="BP59" s="977"/>
      <c r="BQ59" s="977"/>
      <c r="BR59" s="977"/>
      <c r="BS59" s="977"/>
      <c r="BT59" s="1040"/>
    </row>
    <row r="60" spans="1:72" ht="15" customHeight="1">
      <c r="A60" s="638"/>
      <c r="B60" s="4556" t="s">
        <v>786</v>
      </c>
      <c r="C60" s="926">
        <v>500</v>
      </c>
      <c r="D60" s="4557" t="s">
        <v>787</v>
      </c>
      <c r="E60" s="4557"/>
      <c r="F60" s="4558"/>
      <c r="G60" s="4559" t="s">
        <v>767</v>
      </c>
      <c r="H60" s="4558"/>
      <c r="I60" s="4560">
        <f>1000+SUM($AK25:$AK54)/I59</f>
        <v>1092.385</v>
      </c>
      <c r="J60" s="3366"/>
      <c r="K60" s="3367"/>
      <c r="L60" s="3367"/>
      <c r="M60" s="3367"/>
      <c r="N60" s="3368"/>
      <c r="O60" s="4561">
        <f>1000+(SUM($AK25:$AK50))/$O59</f>
        <v>1092.385</v>
      </c>
      <c r="P60" s="3371"/>
      <c r="Q60" s="3372"/>
      <c r="R60" s="3372"/>
      <c r="S60" s="3372"/>
      <c r="T60" s="3373"/>
      <c r="U60" s="255"/>
      <c r="V60" s="390">
        <f>SUM(C39:C47)/1000</f>
        <v>0.13200000000000001</v>
      </c>
      <c r="W60" s="1004"/>
      <c r="X60" s="1005">
        <f>V58/23</f>
        <v>16.130434782608695</v>
      </c>
      <c r="Y60" s="1004"/>
      <c r="Z60" s="1006"/>
      <c r="AA60" s="1012" t="s">
        <v>768</v>
      </c>
      <c r="AB60" s="4562">
        <f>SUM(C39:C47)/1000</f>
        <v>0.13200000000000001</v>
      </c>
      <c r="AC60" s="1004"/>
      <c r="AD60" s="83"/>
      <c r="AE60" s="83"/>
      <c r="AF60" s="83"/>
      <c r="AG60" s="83"/>
      <c r="AJ60" s="412" t="s">
        <v>967</v>
      </c>
      <c r="AL60" s="1024">
        <f>((AL51+AL52+AL53+AL54+AL55)/H7)</f>
        <v>0</v>
      </c>
      <c r="AM60" s="1025"/>
      <c r="AN60" s="118"/>
      <c r="AO60" s="1669">
        <v>103</v>
      </c>
      <c r="AP60" s="1692">
        <f t="shared" si="40"/>
        <v>3.6331569664902998</v>
      </c>
      <c r="AQ60" s="3354" t="str">
        <f t="shared" si="35"/>
        <v>0  lb   3.63  oz</v>
      </c>
      <c r="AR60" s="3355"/>
      <c r="AS60" s="1693">
        <f t="shared" si="41"/>
        <v>0.22707231040564374</v>
      </c>
      <c r="AT60" s="118"/>
      <c r="AU60" s="1663">
        <v>8</v>
      </c>
      <c r="AV60" s="1664">
        <v>9</v>
      </c>
      <c r="AW60" s="1691">
        <f t="shared" si="37"/>
        <v>137</v>
      </c>
      <c r="AX60" s="1908">
        <f t="shared" si="38"/>
        <v>3883.95</v>
      </c>
      <c r="AY60" s="118"/>
      <c r="AZ60" s="1043"/>
      <c r="BA60" s="1045"/>
      <c r="BB60" s="1045"/>
      <c r="BC60" s="1659"/>
      <c r="BD60" s="977"/>
      <c r="BE60" s="977"/>
      <c r="BF60" s="977"/>
      <c r="BG60" s="977"/>
      <c r="BH60" s="977"/>
      <c r="BI60" s="977"/>
      <c r="BJ60" s="977"/>
      <c r="BK60" s="977"/>
      <c r="BL60" s="977"/>
      <c r="BM60" s="977"/>
      <c r="BN60" s="977"/>
      <c r="BO60" s="977"/>
      <c r="BP60" s="977"/>
      <c r="BQ60" s="977"/>
      <c r="BR60" s="977"/>
      <c r="BS60" s="977"/>
      <c r="BT60" s="1040"/>
    </row>
    <row r="61" spans="1:72" ht="15" customHeight="1">
      <c r="A61" s="112"/>
      <c r="B61" s="4563" t="s">
        <v>793</v>
      </c>
      <c r="C61" s="1863" t="str">
        <f>FIXED(C58*C60/1000)&amp;" tsp"</f>
        <v>1.58 tsp</v>
      </c>
      <c r="D61" s="502"/>
      <c r="E61" s="502"/>
      <c r="F61" s="569"/>
      <c r="G61" s="4564" t="s">
        <v>769</v>
      </c>
      <c r="H61" s="4565"/>
      <c r="I61" s="2382">
        <v>120</v>
      </c>
      <c r="J61" s="4452">
        <v>60</v>
      </c>
      <c r="K61" s="4452">
        <v>45</v>
      </c>
      <c r="L61" s="4452">
        <v>30</v>
      </c>
      <c r="M61" s="4452">
        <v>15</v>
      </c>
      <c r="N61" s="4452">
        <v>0</v>
      </c>
      <c r="O61" s="2383">
        <v>120</v>
      </c>
      <c r="P61" s="4453">
        <f>J61</f>
        <v>60</v>
      </c>
      <c r="Q61" s="4453">
        <f>K61</f>
        <v>45</v>
      </c>
      <c r="R61" s="4453">
        <f>L61</f>
        <v>30</v>
      </c>
      <c r="S61" s="4453">
        <f>M61</f>
        <v>15</v>
      </c>
      <c r="T61" s="4453">
        <f>N61</f>
        <v>0</v>
      </c>
      <c r="U61" s="255"/>
      <c r="V61" s="390">
        <f>SUM(C51:C55)/1000</f>
        <v>0</v>
      </c>
      <c r="W61" s="1004"/>
      <c r="X61" s="1004"/>
      <c r="Y61" s="1004"/>
      <c r="Z61" s="1006"/>
      <c r="AA61" s="1012" t="s">
        <v>968</v>
      </c>
      <c r="AB61" s="4562">
        <f>SUM(C51:C55)/1000</f>
        <v>0</v>
      </c>
      <c r="AC61" s="1006"/>
      <c r="AD61" s="83"/>
      <c r="AG61" s="83"/>
      <c r="AJ61" s="412" t="s">
        <v>560</v>
      </c>
      <c r="AL61" s="1026">
        <f>((AL51+AL52+AL53+AL54+AL55+C58*(H7*0.375))/H7)</f>
        <v>1.1812499999999999</v>
      </c>
      <c r="AM61" s="70"/>
      <c r="AN61" s="118"/>
      <c r="AO61" s="1669">
        <v>104</v>
      </c>
      <c r="AP61" s="1692">
        <f t="shared" si="40"/>
        <v>3.6684303350970016</v>
      </c>
      <c r="AQ61" s="3354" t="str">
        <f t="shared" si="35"/>
        <v>0  lb   3.67  oz</v>
      </c>
      <c r="AR61" s="3355"/>
      <c r="AS61" s="1693">
        <f t="shared" si="41"/>
        <v>0.2292768959435626</v>
      </c>
      <c r="AT61" s="118"/>
      <c r="AU61" s="1663">
        <v>9</v>
      </c>
      <c r="AV61" s="1664">
        <v>10</v>
      </c>
      <c r="AW61" s="1691">
        <f t="shared" si="37"/>
        <v>154</v>
      </c>
      <c r="AX61" s="1908">
        <f t="shared" si="38"/>
        <v>4365.8999999999996</v>
      </c>
      <c r="AY61" s="118"/>
      <c r="AZ61" s="1043"/>
      <c r="BA61" s="1045"/>
      <c r="BB61" s="1045"/>
      <c r="BC61" s="1659"/>
      <c r="BD61" s="977"/>
      <c r="BE61" s="977"/>
      <c r="BF61" s="977"/>
      <c r="BG61" s="977"/>
      <c r="BH61" s="977"/>
      <c r="BI61" s="977"/>
      <c r="BJ61" s="977"/>
      <c r="BK61" s="977"/>
      <c r="BL61" s="977"/>
      <c r="BM61" s="977"/>
      <c r="BN61" s="977"/>
      <c r="BO61" s="977"/>
      <c r="BP61" s="977"/>
      <c r="BQ61" s="977"/>
      <c r="BR61" s="977"/>
      <c r="BS61" s="977"/>
      <c r="BT61" s="1040"/>
    </row>
    <row r="62" spans="1:72" ht="15" customHeight="1">
      <c r="A62" s="112"/>
      <c r="B62" s="4566" t="s">
        <v>969</v>
      </c>
      <c r="C62" s="1698">
        <f>C58*'Beer Data Sheet'!W4+VLOOKUP(H9,'Beer Data Sheet'!V7:W50,2)</f>
        <v>1.7022631578947367</v>
      </c>
      <c r="D62" s="1697" t="s">
        <v>783</v>
      </c>
      <c r="E62" s="927">
        <f>SUM(C25:$C$55)+H7*C58</f>
        <v>4610.75</v>
      </c>
      <c r="F62" s="928">
        <f>AL58+SUM(AK25:AK56)</f>
        <v>1045.7662500000001</v>
      </c>
      <c r="G62" s="4567" t="s">
        <v>770</v>
      </c>
      <c r="H62" s="3448"/>
      <c r="I62" s="4568">
        <f>I63*V58/($I59*10)</f>
        <v>57.975056623403603</v>
      </c>
      <c r="J62" s="966">
        <f t="shared" ref="J62:N62" si="42">J63*W58/($I59*10)</f>
        <v>0</v>
      </c>
      <c r="K62" s="967">
        <f t="shared" si="42"/>
        <v>0</v>
      </c>
      <c r="L62" s="966">
        <f t="shared" si="42"/>
        <v>0</v>
      </c>
      <c r="M62" s="966">
        <f t="shared" si="42"/>
        <v>7.5356366535894068</v>
      </c>
      <c r="N62" s="1929">
        <f t="shared" si="42"/>
        <v>0</v>
      </c>
      <c r="O62" s="4568">
        <f t="shared" ref="O62:T62" si="43">O63*AB58/($O59*10)</f>
        <v>57.975056623403603</v>
      </c>
      <c r="P62" s="966">
        <f t="shared" si="43"/>
        <v>0</v>
      </c>
      <c r="Q62" s="967">
        <f t="shared" si="43"/>
        <v>0</v>
      </c>
      <c r="R62" s="1929">
        <f t="shared" si="43"/>
        <v>0</v>
      </c>
      <c r="S62" s="1929">
        <f t="shared" si="43"/>
        <v>7.5356366535894068</v>
      </c>
      <c r="T62" s="1929">
        <f t="shared" si="43"/>
        <v>0</v>
      </c>
      <c r="U62" s="255"/>
      <c r="V62" s="390" t="s">
        <v>766</v>
      </c>
      <c r="W62" s="1006"/>
      <c r="X62" s="1006"/>
      <c r="Y62" s="1006"/>
      <c r="Z62" s="1006"/>
      <c r="AA62" s="1006"/>
      <c r="AB62" s="390" t="s">
        <v>766</v>
      </c>
      <c r="AC62" s="1006"/>
      <c r="AD62" s="83"/>
      <c r="AG62" s="83"/>
      <c r="AL62" s="1027"/>
      <c r="AM62" s="70"/>
      <c r="AN62" s="118"/>
      <c r="AO62" s="1669">
        <v>105</v>
      </c>
      <c r="AP62" s="1692">
        <f t="shared" si="40"/>
        <v>3.7037037037037037</v>
      </c>
      <c r="AQ62" s="3354" t="str">
        <f t="shared" si="35"/>
        <v>0  lb   3.70  oz</v>
      </c>
      <c r="AR62" s="3355"/>
      <c r="AS62" s="1693">
        <f t="shared" si="41"/>
        <v>0.23148148148148148</v>
      </c>
      <c r="AT62" s="118"/>
      <c r="AU62" s="1663">
        <v>10</v>
      </c>
      <c r="AV62" s="1664">
        <v>11</v>
      </c>
      <c r="AW62" s="1691">
        <f>AU62*16+AV62</f>
        <v>171</v>
      </c>
      <c r="AX62" s="1908">
        <f>1000*(AU62+AV62/16)*0.4536</f>
        <v>4847.8500000000004</v>
      </c>
      <c r="AY62" s="118"/>
      <c r="AZ62" s="1043"/>
      <c r="BA62" s="1045"/>
      <c r="BB62" s="1045"/>
      <c r="BC62" s="1659"/>
      <c r="BD62" s="977"/>
      <c r="BE62" s="977"/>
      <c r="BF62" s="977"/>
      <c r="BG62" s="977"/>
      <c r="BH62" s="977"/>
      <c r="BI62" s="977"/>
      <c r="BJ62" s="977"/>
      <c r="BK62" s="977"/>
      <c r="BL62" s="977"/>
      <c r="BM62" s="977"/>
      <c r="BN62" s="977"/>
      <c r="BO62" s="977"/>
      <c r="BP62" s="977"/>
      <c r="BQ62" s="977"/>
      <c r="BR62" s="977"/>
      <c r="BS62" s="977"/>
      <c r="BT62" s="1040"/>
    </row>
    <row r="63" spans="1:72" ht="15" customHeight="1">
      <c r="A63" s="112"/>
      <c r="B63" s="1904" t="s">
        <v>970</v>
      </c>
      <c r="C63" s="1864"/>
      <c r="D63" s="1697" t="s">
        <v>794</v>
      </c>
      <c r="E63" s="929">
        <f>(SUM(E25:E55)+E58)/100</f>
        <v>1</v>
      </c>
      <c r="F63" s="930">
        <f>SUM(F25:F58)/100</f>
        <v>0.99999999999999989</v>
      </c>
      <c r="G63" s="3267" t="s">
        <v>771</v>
      </c>
      <c r="H63" s="3268"/>
      <c r="I63" s="968">
        <f>165*POWER(0.000125,0.001*($I60-1000))*(1-EXP(-$C118*$I61))/$D118</f>
        <v>17.189369888340689</v>
      </c>
      <c r="J63" s="969">
        <f>165*POWER(0.000125,0.001*($I60-1000))*(1-EXP(-$C118*$J61))/$D118</f>
        <v>15.759683643695961</v>
      </c>
      <c r="K63" s="970">
        <f>165*POWER(0.000125,0.001*($I60-1000))*(1-EXP(-$C118*$K61))/$D118</f>
        <v>14.4670462880656</v>
      </c>
      <c r="L63" s="969">
        <f>165*POWER(0.000125,0.001*($I60-1000))*(1-EXP(-$C118*$L61))/$D118</f>
        <v>12.111707460284444</v>
      </c>
      <c r="M63" s="969">
        <f>165*POWER(0.000125,0.001*($I60-1000))*(1-EXP(-$C118*$M61))/$D118</f>
        <v>7.8200003008946677</v>
      </c>
      <c r="N63" s="971">
        <f>165*POWER(0.000125,0.001*($I60-1000))*(1-EXP(-$C118*$N61))/$D118</f>
        <v>0</v>
      </c>
      <c r="O63" s="972">
        <f>165*POWER(0.000125,0.001*($O60-1000))*(1-EXP(-$C118*$O61))/$D118</f>
        <v>17.189369888340689</v>
      </c>
      <c r="P63" s="969">
        <f>165*POWER(0.000125,0.001*($O60-1000))*(1-EXP(-$C118*$P61))/$D118</f>
        <v>15.759683643695961</v>
      </c>
      <c r="Q63" s="970">
        <f>165*POWER(0.000125,0.001*($O60-1000))*(1-EXP(-$C118*$Q61))/$D118</f>
        <v>14.4670462880656</v>
      </c>
      <c r="R63" s="971">
        <f>165*POWER(0.000125,0.001*($O60-1000))*(1-EXP(-$C118*$R61))/$D118</f>
        <v>12.111707460284444</v>
      </c>
      <c r="S63" s="971">
        <f>165*POWER(0.000125,0.001*($O60-1000))*(1-EXP(-$C118*$S61))/$D118</f>
        <v>7.8200003008946677</v>
      </c>
      <c r="T63" s="971">
        <f>165*POWER(0.000125,0.001*($O60-1000))*(1-EXP(-$C118*$T61))/$D118</f>
        <v>0</v>
      </c>
      <c r="U63" s="255"/>
      <c r="V63" s="1007">
        <f>SUM(I26:N56)/12.4+0.2</f>
        <v>7.4580645161290322</v>
      </c>
      <c r="Y63" s="83"/>
      <c r="Z63" s="83"/>
      <c r="AA63" s="83"/>
      <c r="AB63" s="4569">
        <f>SUM(O26:T56)/12.4+0.2</f>
        <v>7.4580645161290322</v>
      </c>
      <c r="AC63" s="83"/>
      <c r="AD63" s="83"/>
      <c r="AG63" s="83"/>
      <c r="AK63" s="412" t="s">
        <v>971</v>
      </c>
      <c r="AL63" s="1028">
        <f>(AL58+SUM(AK25:AK55))/H7</f>
        <v>41.830650000000006</v>
      </c>
      <c r="AM63" s="1015" t="s">
        <v>546</v>
      </c>
      <c r="AN63" s="118"/>
      <c r="AO63" s="1669">
        <v>1000</v>
      </c>
      <c r="AP63" s="1692">
        <f>16*AS63</f>
        <v>35.273368606701936</v>
      </c>
      <c r="AQ63" s="3354" t="str">
        <f>INT(AP63/16)&amp;"  lb   "&amp;FIXED(AP63-16*INT(AP63/16),2)&amp;"  oz"</f>
        <v>2  lb   3.27  oz</v>
      </c>
      <c r="AR63" s="3355"/>
      <c r="AS63" s="1693">
        <f>AO63/(1000*0.4536)</f>
        <v>2.204585537918871</v>
      </c>
      <c r="AT63" s="118"/>
      <c r="AU63" s="1663">
        <v>11</v>
      </c>
      <c r="AV63" s="1664">
        <v>12</v>
      </c>
      <c r="AW63" s="1691">
        <f>AU63*16+AV63</f>
        <v>188</v>
      </c>
      <c r="AX63" s="1908">
        <f>1000*(AU63+AV63/16)*0.4536</f>
        <v>5329.8</v>
      </c>
      <c r="AY63" s="118"/>
      <c r="AZ63" s="1043"/>
      <c r="BA63" s="1045"/>
      <c r="BB63" s="1045"/>
      <c r="BC63" s="1659"/>
      <c r="BD63" s="977"/>
      <c r="BE63" s="977"/>
      <c r="BF63" s="977"/>
      <c r="BG63" s="977"/>
      <c r="BH63" s="977"/>
      <c r="BI63" s="977"/>
      <c r="BJ63" s="977"/>
      <c r="BK63" s="977"/>
      <c r="BL63" s="977"/>
      <c r="BM63" s="977"/>
      <c r="BN63" s="977"/>
      <c r="BO63" s="977"/>
      <c r="BP63" s="977"/>
      <c r="BQ63" s="977"/>
      <c r="BR63" s="977"/>
      <c r="BS63" s="977"/>
      <c r="BT63" s="1040"/>
    </row>
    <row r="64" spans="1:72" ht="15" customHeight="1">
      <c r="A64" s="112"/>
      <c r="B64" s="4570" t="s">
        <v>803</v>
      </c>
      <c r="C64" s="931" t="s">
        <v>804</v>
      </c>
      <c r="D64" s="3401" t="s">
        <v>805</v>
      </c>
      <c r="E64" s="3401"/>
      <c r="F64" s="3402"/>
      <c r="G64" s="3403" t="s">
        <v>972</v>
      </c>
      <c r="H64" s="3404"/>
      <c r="I64" s="2453">
        <f>I62*$I59/$H7</f>
        <v>25.509024914297584</v>
      </c>
      <c r="J64" s="2453">
        <f t="shared" ref="J64:N64" si="44">J62*$I59/$H7</f>
        <v>0</v>
      </c>
      <c r="K64" s="2453">
        <f t="shared" si="44"/>
        <v>0</v>
      </c>
      <c r="L64" s="2453">
        <f t="shared" si="44"/>
        <v>0</v>
      </c>
      <c r="M64" s="2453">
        <f t="shared" si="44"/>
        <v>3.3156801275793391</v>
      </c>
      <c r="N64" s="2453">
        <f t="shared" si="44"/>
        <v>0</v>
      </c>
      <c r="O64" s="973">
        <f>(O62*$O59/$H7)</f>
        <v>25.509024914297584</v>
      </c>
      <c r="P64" s="973">
        <f t="shared" ref="P64:T64" si="45">(P62*$O59/$H7)</f>
        <v>0</v>
      </c>
      <c r="Q64" s="973">
        <f t="shared" si="45"/>
        <v>0</v>
      </c>
      <c r="R64" s="973">
        <f t="shared" si="45"/>
        <v>0</v>
      </c>
      <c r="S64" s="973">
        <f t="shared" si="45"/>
        <v>3.3156801275793391</v>
      </c>
      <c r="T64" s="2454">
        <f t="shared" si="45"/>
        <v>0</v>
      </c>
      <c r="U64" s="255"/>
      <c r="V64" s="83" t="str">
        <f>"(min boil vol. "&amp;FIXED((V63),1)&amp;" litres)"</f>
        <v>(min boil vol. 7.5 litres)</v>
      </c>
      <c r="AB64" s="83" t="str">
        <f>"min boil vol. "&amp;FIXED((AB63),1)&amp;" litres"</f>
        <v>min boil vol. 7.5 litres</v>
      </c>
      <c r="AC64" s="83"/>
      <c r="AD64" s="83"/>
      <c r="AG64" s="83"/>
      <c r="AJ64" s="1029"/>
      <c r="AK64" s="1012" t="s">
        <v>821</v>
      </c>
      <c r="AL64" s="1030">
        <f>SUM(AK25:AK55)/H7</f>
        <v>40.6494</v>
      </c>
      <c r="AM64" s="1031" t="s">
        <v>546</v>
      </c>
      <c r="AN64" s="118"/>
      <c r="AO64" s="1669">
        <v>1001</v>
      </c>
      <c r="AP64" s="1692">
        <f>16*AS64</f>
        <v>35.308641975308639</v>
      </c>
      <c r="AQ64" s="3354" t="str">
        <f>INT(AP64/16)&amp;"  lb   "&amp;FIXED(AP64-16*INT(AP64/16),2)&amp;"  oz"</f>
        <v>2  lb   3.31  oz</v>
      </c>
      <c r="AR64" s="3355"/>
      <c r="AS64" s="1693">
        <f>AO64/(1000*0.4536)</f>
        <v>2.2067901234567899</v>
      </c>
      <c r="AT64" s="118"/>
      <c r="AU64" s="1663">
        <v>12</v>
      </c>
      <c r="AV64" s="1664">
        <v>13</v>
      </c>
      <c r="AW64" s="1691">
        <f>AU64*16+AV64</f>
        <v>205</v>
      </c>
      <c r="AX64" s="1908">
        <f>1000*(AU64+AV64/16)*0.4536</f>
        <v>5811.75</v>
      </c>
      <c r="AY64" s="118"/>
      <c r="AZ64" s="1043"/>
      <c r="BA64" s="342"/>
      <c r="BB64" s="342"/>
      <c r="BC64" s="1659"/>
      <c r="BD64" s="977"/>
      <c r="BE64" s="977"/>
      <c r="BF64" s="977"/>
      <c r="BG64" s="977"/>
      <c r="BH64" s="977"/>
      <c r="BI64" s="977"/>
      <c r="BJ64" s="977"/>
      <c r="BK64" s="977"/>
      <c r="BL64" s="977"/>
      <c r="BM64" s="977"/>
      <c r="BN64" s="977"/>
      <c r="BO64" s="977"/>
      <c r="BP64" s="977"/>
      <c r="BQ64" s="977"/>
      <c r="BR64" s="977"/>
      <c r="BS64" s="977"/>
      <c r="BT64" s="1040"/>
    </row>
    <row r="65" spans="1:72" ht="15" customHeight="1">
      <c r="A65" s="112"/>
      <c r="B65" s="2455" t="s">
        <v>973</v>
      </c>
      <c r="C65" s="2773">
        <v>76</v>
      </c>
      <c r="D65" s="3457" t="s">
        <v>974</v>
      </c>
      <c r="E65" s="3458"/>
      <c r="F65" s="3459"/>
      <c r="G65" s="3460" t="s">
        <v>975</v>
      </c>
      <c r="H65" s="3461"/>
      <c r="I65" s="4571" t="str">
        <f>FIXED((I64+J64+K64+L64+M64+N64),1)&amp;" ̸ "&amp;FIXED((I57*69/H7),1)&amp;" EBU"</f>
        <v>28.8 ̸ 0.0 EBU</v>
      </c>
      <c r="J65" s="3462"/>
      <c r="K65" s="3462"/>
      <c r="L65" s="3462"/>
      <c r="M65" s="3462"/>
      <c r="N65" s="3463"/>
      <c r="O65" s="4572" t="str">
        <f>FIXED((O64+P64+Q64+R64+S64+T64),1)&amp;" ̸ "&amp;FIXED((O57*69/H7),1)&amp;" EBU"</f>
        <v>28.8 ̸ 0.0 EBU</v>
      </c>
      <c r="P65" s="3165"/>
      <c r="Q65" s="3464"/>
      <c r="R65" s="3464"/>
      <c r="S65" s="3464"/>
      <c r="T65" s="3465"/>
      <c r="U65" s="255"/>
      <c r="AB65" s="83"/>
      <c r="AC65" s="83"/>
      <c r="AD65" s="83"/>
      <c r="AG65" s="83"/>
      <c r="AJ65" s="1029"/>
      <c r="AK65" s="1012" t="s">
        <v>823</v>
      </c>
      <c r="AL65" s="1030">
        <f>(AL63-AL58/H7-AL59-AL60)</f>
        <v>9.7558560000000085</v>
      </c>
      <c r="AM65" s="1015" t="s">
        <v>549</v>
      </c>
      <c r="AN65" s="118"/>
      <c r="AO65" s="1669">
        <v>1002</v>
      </c>
      <c r="AP65" s="1692">
        <f>16*AS65</f>
        <v>35.343915343915342</v>
      </c>
      <c r="AQ65" s="3354" t="str">
        <f>INT(AP65/16)&amp;"  lb   "&amp;FIXED(AP65-16*INT(AP65/16),2)&amp;"  oz"</f>
        <v>2  lb   3.34  oz</v>
      </c>
      <c r="AR65" s="3355"/>
      <c r="AS65" s="1693">
        <f>AO65/(1000*0.4536)</f>
        <v>2.2089947089947088</v>
      </c>
      <c r="AT65" s="118"/>
      <c r="AU65" s="1663">
        <v>13</v>
      </c>
      <c r="AV65" s="1664">
        <v>14</v>
      </c>
      <c r="AW65" s="1691">
        <f>AU65*16+AV65</f>
        <v>222</v>
      </c>
      <c r="AX65" s="1908">
        <f>1000*(AU65+AV65/16)*0.4536</f>
        <v>6293.7</v>
      </c>
      <c r="AY65" s="118"/>
      <c r="AZ65" s="1043"/>
      <c r="BA65" s="342"/>
      <c r="BB65" s="342"/>
      <c r="BC65" s="1659"/>
      <c r="BD65" s="977"/>
      <c r="BE65" s="977"/>
      <c r="BF65" s="977"/>
      <c r="BG65" s="977"/>
      <c r="BH65" s="977"/>
      <c r="BI65" s="977"/>
      <c r="BJ65" s="977"/>
      <c r="BK65" s="977"/>
      <c r="BL65" s="977"/>
      <c r="BM65" s="977"/>
      <c r="BN65" s="977"/>
      <c r="BO65" s="977"/>
      <c r="BP65" s="977"/>
      <c r="BQ65" s="977"/>
      <c r="BR65" s="977"/>
      <c r="BS65" s="977"/>
      <c r="BT65" s="1040"/>
    </row>
    <row r="66" spans="1:72" ht="15" customHeight="1">
      <c r="A66" s="112"/>
      <c r="B66" s="2774" t="s">
        <v>976</v>
      </c>
      <c r="C66" s="2456" t="str">
        <f>FIXED((100*(1-(AL65/AL64))),1)&amp;"%"</f>
        <v>76.0%</v>
      </c>
      <c r="D66" s="3466" t="s">
        <v>227</v>
      </c>
      <c r="E66" s="3467"/>
      <c r="F66" s="2400" t="str">
        <f>FIXED(100*(1-(((0.1808*AL64)+(0.8192*AL65))/AL64)),1)&amp;"%"</f>
        <v>62.3%</v>
      </c>
      <c r="G66" s="4573" t="s">
        <v>977</v>
      </c>
      <c r="H66" s="4574"/>
      <c r="I66" s="3398"/>
      <c r="J66" s="3399"/>
      <c r="K66" s="3397" t="str">
        <f>V66</f>
        <v>28.8 EBU</v>
      </c>
      <c r="L66" s="3397"/>
      <c r="M66" s="3261" t="str">
        <f>"(min boil vol. of "&amp;FIXED((V60+V61+(V59)/12.3+0.2),2)&amp;" litres)"</f>
        <v>(min boil vol. of 5.21 litres)</v>
      </c>
      <c r="N66" s="3262"/>
      <c r="O66" s="3398"/>
      <c r="P66" s="3399"/>
      <c r="Q66" s="3400" t="str">
        <f>W66</f>
        <v>28.8 EBU</v>
      </c>
      <c r="R66" s="3400"/>
      <c r="S66" s="3261" t="str">
        <f>"(min boil vol. of "&amp;FIXED((AB60+AB61+(AB59)/12.3+0.2),2)&amp;" litres)"</f>
        <v>(min boil vol. of 5.21 litres)</v>
      </c>
      <c r="T66" s="3262"/>
      <c r="U66" s="255"/>
      <c r="V66" s="1853" t="str">
        <f>FIXED((I64+J64+K64+L64+M64+N64),1)+FIXED((I57*69/H7),1)&amp;" EBU"</f>
        <v>28.8 EBU</v>
      </c>
      <c r="W66" s="1854" t="str">
        <f>FIXED((O64+P64+Q64+R64+S64+T64),1)+FIXED((O57*69/H7),1)&amp;" EBU"</f>
        <v>28.8 EBU</v>
      </c>
      <c r="X66" s="255"/>
      <c r="Y66" s="255"/>
      <c r="Z66" s="255"/>
      <c r="AA66" s="255"/>
      <c r="AB66" s="255"/>
      <c r="AC66" s="255"/>
      <c r="AD66" s="255"/>
      <c r="AE66" s="255"/>
      <c r="AF66" s="255"/>
      <c r="AG66" s="255"/>
      <c r="AH66" s="255"/>
      <c r="AI66" s="255"/>
      <c r="AK66" s="412" t="s">
        <v>827</v>
      </c>
      <c r="AL66" s="1030">
        <f>(AL63-AL59-AL61)</f>
        <v>9.7558560000000067</v>
      </c>
      <c r="AM66" s="1015" t="s">
        <v>549</v>
      </c>
      <c r="AN66" s="255"/>
      <c r="AO66" s="255"/>
      <c r="AP66" s="255"/>
      <c r="AQ66" s="255"/>
      <c r="AR66" s="255"/>
      <c r="AS66" s="255"/>
      <c r="AT66" s="255"/>
      <c r="AU66" s="255"/>
      <c r="AV66" s="255"/>
      <c r="AW66" s="255"/>
      <c r="AX66" s="255"/>
      <c r="AY66" s="255"/>
      <c r="AZ66" s="255"/>
      <c r="BA66" s="255"/>
      <c r="BB66" s="255"/>
      <c r="BC66" s="255"/>
      <c r="BD66" s="255"/>
      <c r="BE66" s="977"/>
      <c r="BF66" s="977"/>
      <c r="BG66" s="977"/>
      <c r="BH66" s="977"/>
      <c r="BI66" s="977"/>
      <c r="BJ66" s="977"/>
      <c r="BK66" s="977"/>
      <c r="BL66" s="977"/>
      <c r="BM66" s="977"/>
      <c r="BN66" s="977"/>
      <c r="BO66" s="977"/>
      <c r="BP66" s="977"/>
      <c r="BQ66" s="977"/>
      <c r="BR66" s="977"/>
      <c r="BS66" s="977"/>
      <c r="BT66" s="1040"/>
    </row>
    <row r="67" spans="1:72" ht="15" customHeight="1">
      <c r="A67" s="112"/>
      <c r="B67" s="3468" t="s">
        <v>978</v>
      </c>
      <c r="C67" s="3469"/>
      <c r="D67" s="3469"/>
      <c r="E67" s="3469"/>
      <c r="F67" s="3469"/>
      <c r="G67" s="3469"/>
      <c r="H67" s="3470"/>
      <c r="I67" s="3374" t="str">
        <f>"Mashing all the fermentables (see cell A72-73), sparging untill the boil volume  is "&amp;I59&amp;" litres (cell I57) &amp; boiled for "&amp;I61&amp;" minutes (cell I59), (min boil vol. "&amp;FIXED((V60+V61+(V59)/12.3+0.2),2)&amp;" litres) gives the required bitterness when made up to "&amp;H7&amp;" litres."</f>
        <v>Mashing all the fermentables (see cell A72-73), sparging untill the boil volume  is 11 litres (cell I57) &amp; boiled for 120 minutes (cell I59), (min boil vol. 5.21 litres) gives the required bitterness when made up to 25 litres.</v>
      </c>
      <c r="J67" s="3375"/>
      <c r="K67" s="3375"/>
      <c r="L67" s="3375"/>
      <c r="M67" s="3375"/>
      <c r="N67" s="3376"/>
      <c r="O67" s="3382" t="str">
        <f>"Omitting any sugars/extracts from the mash &amp; then making the boil volume up to "&amp;O59&amp;" litres (cell O57).   This is then boiled for "&amp;O61&amp;" minutes (cell O59), (min boil vol. "&amp;FIXED((AB60+AB61+(AB59)/12.3+0.2),2)&amp;" litres) gives the required bitterness.  Any sugars are added directly to the fermenting vessel &amp; stirred in."</f>
        <v>Omitting any sugars/extracts from the mash &amp; then making the boil volume up to 11 litres (cell O57).   This is then boiled for 120 minutes (cell O59), (min boil vol. 5.21 litres) gives the required bitterness.  Any sugars are added directly to the fermenting vessel &amp; stirred in.</v>
      </c>
      <c r="P67" s="3383"/>
      <c r="Q67" s="3383"/>
      <c r="R67" s="3383"/>
      <c r="S67" s="3383"/>
      <c r="T67" s="3384"/>
      <c r="U67" s="255"/>
      <c r="V67" s="255"/>
      <c r="W67" s="255"/>
      <c r="X67" s="255"/>
      <c r="Y67" s="1855">
        <f>SUM(C25:C38)</f>
        <v>4400</v>
      </c>
      <c r="Z67" s="1105" t="s">
        <v>288</v>
      </c>
      <c r="AA67" s="1856">
        <f>Y67/1000</f>
        <v>4.4000000000000004</v>
      </c>
      <c r="AB67" s="1087">
        <f>AA67</f>
        <v>4.4000000000000004</v>
      </c>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977"/>
      <c r="BF67" s="977"/>
      <c r="BG67" s="977"/>
      <c r="BH67" s="977"/>
      <c r="BI67" s="977"/>
      <c r="BJ67" s="977"/>
      <c r="BK67" s="977"/>
      <c r="BL67" s="977"/>
      <c r="BM67" s="977"/>
      <c r="BN67" s="977"/>
      <c r="BO67" s="977"/>
      <c r="BP67" s="977"/>
      <c r="BQ67" s="977"/>
      <c r="BR67" s="977"/>
      <c r="BS67" s="977"/>
      <c r="BT67" s="1040"/>
    </row>
    <row r="68" spans="1:72" ht="15" customHeight="1">
      <c r="A68" s="112"/>
      <c r="B68" s="4575" t="s">
        <v>979</v>
      </c>
      <c r="C68" s="2862"/>
      <c r="D68" s="2862"/>
      <c r="E68" s="2862"/>
      <c r="F68" s="2862"/>
      <c r="G68" s="2862"/>
      <c r="H68" s="3390"/>
      <c r="I68" s="4576"/>
      <c r="J68" s="3377"/>
      <c r="K68" s="3377"/>
      <c r="L68" s="3377"/>
      <c r="M68" s="3377"/>
      <c r="N68" s="3378"/>
      <c r="O68" s="4577"/>
      <c r="P68" s="3385"/>
      <c r="Q68" s="3385"/>
      <c r="R68" s="3385"/>
      <c r="S68" s="3385"/>
      <c r="T68" s="3386"/>
      <c r="U68" s="255"/>
      <c r="V68" s="255"/>
      <c r="W68" s="255"/>
      <c r="X68" s="255"/>
      <c r="Y68" s="4578">
        <f>(C48/1.2)</f>
        <v>0</v>
      </c>
      <c r="Z68" s="237" t="s">
        <v>980</v>
      </c>
      <c r="AA68" s="70">
        <f>Y68/1000</f>
        <v>0</v>
      </c>
      <c r="AB68" s="254"/>
      <c r="AC68" s="255"/>
      <c r="AD68" s="255"/>
      <c r="AE68" s="255"/>
      <c r="AF68" s="255"/>
      <c r="AG68" s="255"/>
      <c r="AH68" s="255"/>
      <c r="AI68" s="255"/>
      <c r="AJ68" s="255"/>
      <c r="AK68" s="255"/>
      <c r="AL68" s="255"/>
      <c r="AM68" s="255"/>
      <c r="AN68" s="255"/>
      <c r="AO68" s="3243" t="s">
        <v>819</v>
      </c>
      <c r="AP68" s="3243"/>
      <c r="AQ68" s="3243"/>
      <c r="AR68" s="3243"/>
      <c r="AS68" s="3243"/>
      <c r="AT68" s="1110"/>
      <c r="AU68" s="255"/>
      <c r="AV68" s="255"/>
      <c r="AW68" s="255"/>
      <c r="AX68" s="255"/>
      <c r="AY68" s="255"/>
      <c r="AZ68" s="255"/>
      <c r="BA68" s="255"/>
      <c r="BB68" s="255"/>
      <c r="BC68" s="255"/>
      <c r="BD68" s="255"/>
      <c r="BE68" s="977"/>
      <c r="BF68" s="977"/>
      <c r="BG68" s="977"/>
      <c r="BH68" s="977"/>
      <c r="BI68" s="977"/>
      <c r="BJ68" s="977"/>
      <c r="BK68" s="977"/>
      <c r="BL68" s="977"/>
      <c r="BM68" s="977"/>
      <c r="BN68" s="977"/>
      <c r="BO68" s="977"/>
      <c r="BP68" s="977"/>
      <c r="BQ68" s="977"/>
      <c r="BR68" s="977"/>
      <c r="BS68" s="977"/>
      <c r="BT68" s="1040"/>
    </row>
    <row r="69" spans="1:72" ht="15" customHeight="1">
      <c r="A69" s="112"/>
      <c r="B69" s="4575"/>
      <c r="C69" s="2862"/>
      <c r="D69" s="2862"/>
      <c r="E69" s="2862"/>
      <c r="F69" s="2862"/>
      <c r="G69" s="2862"/>
      <c r="H69" s="3390"/>
      <c r="I69" s="4576"/>
      <c r="J69" s="3377"/>
      <c r="K69" s="3377"/>
      <c r="L69" s="3377"/>
      <c r="M69" s="3377"/>
      <c r="N69" s="3378"/>
      <c r="O69" s="4577"/>
      <c r="P69" s="3385"/>
      <c r="Q69" s="3385"/>
      <c r="R69" s="3385"/>
      <c r="S69" s="3385"/>
      <c r="T69" s="3386"/>
      <c r="U69" s="255"/>
      <c r="Y69" s="4578">
        <f>SUM(C49:C50)</f>
        <v>0</v>
      </c>
      <c r="Z69" s="237" t="s">
        <v>981</v>
      </c>
      <c r="AA69" s="70">
        <f>Y69/1000</f>
        <v>0</v>
      </c>
      <c r="AB69" s="254"/>
      <c r="AG69" s="237"/>
      <c r="AH69" s="83"/>
      <c r="AJ69" s="237"/>
      <c r="AK69" s="237"/>
      <c r="AL69" s="237"/>
      <c r="AN69" s="118"/>
      <c r="AO69" s="2839" t="s">
        <v>333</v>
      </c>
      <c r="AP69" s="2839"/>
      <c r="AQ69" s="2839"/>
      <c r="AR69" s="2839"/>
      <c r="AS69" s="2839"/>
      <c r="AT69" s="1110"/>
      <c r="AU69" s="255"/>
      <c r="AV69" s="255"/>
      <c r="AW69" s="255"/>
      <c r="AX69" s="255"/>
      <c r="AY69" s="73"/>
      <c r="AZ69" s="1775"/>
      <c r="BA69" s="73"/>
      <c r="BB69" s="1043"/>
      <c r="BC69" s="1659"/>
      <c r="BD69" s="977"/>
      <c r="BE69" s="977"/>
      <c r="BF69" s="977"/>
      <c r="BG69" s="977"/>
      <c r="BH69" s="977"/>
      <c r="BI69" s="977"/>
      <c r="BJ69" s="977"/>
      <c r="BK69" s="977"/>
      <c r="BL69" s="977"/>
      <c r="BM69" s="977"/>
      <c r="BN69" s="977"/>
      <c r="BO69" s="977"/>
      <c r="BP69" s="977"/>
      <c r="BQ69" s="977"/>
      <c r="BR69" s="977"/>
      <c r="BS69" s="977"/>
      <c r="BT69" s="1040"/>
    </row>
    <row r="70" spans="1:72" ht="15" customHeight="1">
      <c r="A70" s="112"/>
      <c r="B70" s="4575"/>
      <c r="C70" s="2862"/>
      <c r="D70" s="2862"/>
      <c r="E70" s="2862"/>
      <c r="F70" s="2862"/>
      <c r="G70" s="2862"/>
      <c r="H70" s="3390"/>
      <c r="I70" s="3379"/>
      <c r="J70" s="3380"/>
      <c r="K70" s="3380"/>
      <c r="L70" s="3380"/>
      <c r="M70" s="3380"/>
      <c r="N70" s="3381"/>
      <c r="O70" s="3387"/>
      <c r="P70" s="3388"/>
      <c r="Q70" s="3388"/>
      <c r="R70" s="3388"/>
      <c r="S70" s="3388"/>
      <c r="T70" s="3389"/>
      <c r="U70" s="255"/>
      <c r="Y70" s="4578"/>
      <c r="Z70" s="237"/>
      <c r="AB70" s="254"/>
      <c r="AG70" s="237"/>
      <c r="AJ70" s="237"/>
      <c r="AK70" s="237"/>
      <c r="AL70" s="237"/>
      <c r="AN70" s="118"/>
      <c r="AO70" s="2839" t="s">
        <v>336</v>
      </c>
      <c r="AP70" s="2839"/>
      <c r="AQ70" s="2839"/>
      <c r="AR70" s="2839"/>
      <c r="AS70" s="2839"/>
      <c r="AT70" s="1110"/>
      <c r="AU70" s="255"/>
      <c r="AV70" s="255"/>
      <c r="AW70" s="255"/>
      <c r="AX70" s="255"/>
      <c r="AY70" s="1096"/>
      <c r="AZ70" s="1043"/>
      <c r="BA70" s="342"/>
      <c r="BB70" s="342"/>
      <c r="BC70" s="1659"/>
      <c r="BD70" s="977"/>
      <c r="BE70" s="977"/>
      <c r="BF70" s="977"/>
      <c r="BG70" s="977"/>
      <c r="BH70" s="977"/>
      <c r="BI70" s="977"/>
      <c r="BJ70" s="977"/>
      <c r="BK70" s="977"/>
      <c r="BL70" s="977"/>
      <c r="BM70" s="977"/>
      <c r="BN70" s="977"/>
      <c r="BO70" s="977"/>
      <c r="BP70" s="977"/>
      <c r="BQ70" s="977"/>
      <c r="BR70" s="977"/>
      <c r="BS70" s="977"/>
      <c r="BT70" s="1040"/>
    </row>
    <row r="71" spans="1:72" ht="15" customHeight="1">
      <c r="A71" s="112"/>
      <c r="B71" s="4575"/>
      <c r="C71" s="2862"/>
      <c r="D71" s="2862"/>
      <c r="E71" s="2862"/>
      <c r="F71" s="2862"/>
      <c r="G71" s="2862"/>
      <c r="H71" s="3390"/>
      <c r="I71" s="1065"/>
      <c r="J71" s="1066"/>
      <c r="K71" s="1066"/>
      <c r="L71" s="1066"/>
      <c r="M71" s="1066"/>
      <c r="N71" s="1066"/>
      <c r="O71" s="1066"/>
      <c r="P71" s="1066"/>
      <c r="Q71" s="1066"/>
      <c r="R71" s="1066"/>
      <c r="S71" s="1066"/>
      <c r="T71" s="1066"/>
      <c r="U71" s="255"/>
      <c r="Y71" s="4578">
        <f>SUM(C39:C47)</f>
        <v>132</v>
      </c>
      <c r="Z71" s="237" t="s">
        <v>982</v>
      </c>
      <c r="AA71" s="70">
        <f>Y71/1000</f>
        <v>0.13200000000000001</v>
      </c>
      <c r="AB71" s="254">
        <f>AA71</f>
        <v>0.13200000000000001</v>
      </c>
      <c r="AG71" s="237"/>
      <c r="AH71" s="237"/>
      <c r="AI71" s="237"/>
      <c r="AJ71" s="237"/>
      <c r="AK71" s="237"/>
      <c r="AL71" s="237"/>
      <c r="AN71" s="118"/>
      <c r="AO71" s="2839" t="s">
        <v>567</v>
      </c>
      <c r="AP71" s="2839"/>
      <c r="AQ71" s="2839"/>
      <c r="AR71" s="2839"/>
      <c r="AS71" s="2839"/>
      <c r="AT71" s="2839"/>
      <c r="AU71" s="255"/>
      <c r="AV71" s="255"/>
      <c r="AW71" s="255"/>
      <c r="AX71" s="255"/>
      <c r="AY71" s="1096"/>
      <c r="AZ71" s="1043"/>
      <c r="BA71" s="342"/>
      <c r="BB71" s="342"/>
      <c r="BC71" s="1659"/>
      <c r="BD71" s="977"/>
      <c r="BE71" s="977"/>
      <c r="BF71" s="977"/>
      <c r="BG71" s="977"/>
      <c r="BH71" s="977"/>
      <c r="BI71" s="977"/>
      <c r="BJ71" s="977"/>
      <c r="BK71" s="977"/>
      <c r="BL71" s="977"/>
      <c r="BM71" s="977"/>
      <c r="BN71" s="977"/>
      <c r="BO71" s="977"/>
      <c r="BP71" s="977"/>
      <c r="BQ71" s="977"/>
      <c r="BR71" s="977"/>
      <c r="BS71" s="977"/>
      <c r="BT71" s="1040"/>
    </row>
    <row r="72" spans="1:72" ht="15" customHeight="1">
      <c r="A72" s="112"/>
      <c r="B72" s="4575"/>
      <c r="C72" s="2862"/>
      <c r="D72" s="2862"/>
      <c r="E72" s="2862"/>
      <c r="F72" s="2862"/>
      <c r="G72" s="2862"/>
      <c r="H72" s="3390"/>
      <c r="I72" s="67"/>
      <c r="J72" s="3449" t="s">
        <v>789</v>
      </c>
      <c r="K72" s="3450"/>
      <c r="L72" s="3451"/>
      <c r="M72" s="3452" t="s">
        <v>983</v>
      </c>
      <c r="N72" s="3453"/>
      <c r="O72" s="3454" t="s">
        <v>792</v>
      </c>
      <c r="P72" s="3455"/>
      <c r="Q72" s="1084"/>
      <c r="R72" s="1084"/>
      <c r="S72" s="1085"/>
      <c r="T72" s="67"/>
      <c r="U72" s="255"/>
      <c r="Y72" s="4578">
        <f>SUM(C51:C55)/3.3</f>
        <v>0</v>
      </c>
      <c r="Z72" s="237"/>
      <c r="AA72" s="70">
        <f>Y72/1000</f>
        <v>0</v>
      </c>
      <c r="AB72" s="254"/>
      <c r="AG72" s="237"/>
      <c r="AJ72" s="237"/>
      <c r="AK72" s="237"/>
      <c r="AL72" s="237"/>
      <c r="AN72" s="118"/>
      <c r="AO72" s="3456" t="s">
        <v>341</v>
      </c>
      <c r="AP72" s="3456"/>
      <c r="AQ72" s="3456"/>
      <c r="AR72" s="3456"/>
      <c r="AS72" s="3456"/>
      <c r="AT72" s="3456"/>
      <c r="AU72" s="255"/>
      <c r="AV72" s="255"/>
      <c r="AW72" s="255"/>
      <c r="AX72" s="255"/>
      <c r="AY72" s="342"/>
      <c r="AZ72" s="1043"/>
      <c r="BA72" s="342"/>
      <c r="BB72" s="342"/>
      <c r="BC72" s="1659"/>
      <c r="BD72" s="977"/>
      <c r="BE72" s="977"/>
      <c r="BF72" s="977"/>
      <c r="BG72" s="977"/>
      <c r="BH72" s="977"/>
      <c r="BI72" s="977"/>
      <c r="BJ72" s="977"/>
      <c r="BK72" s="977"/>
      <c r="BL72" s="977"/>
      <c r="BM72" s="977"/>
      <c r="BN72" s="977"/>
      <c r="BO72" s="977"/>
      <c r="BP72" s="977"/>
      <c r="BQ72" s="977"/>
      <c r="BR72" s="977"/>
      <c r="BS72" s="977"/>
      <c r="BT72" s="1040"/>
    </row>
    <row r="73" spans="1:72" ht="15" customHeight="1">
      <c r="A73" s="112"/>
      <c r="B73" s="3391"/>
      <c r="C73" s="3392"/>
      <c r="D73" s="3392"/>
      <c r="E73" s="3392"/>
      <c r="F73" s="3392"/>
      <c r="G73" s="3392"/>
      <c r="H73" s="3393"/>
      <c r="I73" s="67"/>
      <c r="J73" s="3394"/>
      <c r="K73" s="3395"/>
      <c r="L73" s="3396"/>
      <c r="M73" s="4579" t="s">
        <v>795</v>
      </c>
      <c r="N73" s="593" t="s">
        <v>796</v>
      </c>
      <c r="O73" s="594" t="s">
        <v>795</v>
      </c>
      <c r="P73" s="593" t="s">
        <v>796</v>
      </c>
      <c r="Q73" s="1084"/>
      <c r="R73" s="1084"/>
      <c r="S73" s="1085"/>
      <c r="T73" s="67"/>
      <c r="U73" s="1062"/>
      <c r="V73" s="1086" t="s">
        <v>984</v>
      </c>
      <c r="W73" s="1087"/>
      <c r="Y73" s="4578"/>
      <c r="Z73" s="237" t="s">
        <v>985</v>
      </c>
      <c r="AA73" s="237">
        <f>SUM(AA67:AA72)</f>
        <v>4.532</v>
      </c>
      <c r="AB73" s="254">
        <f>AB67</f>
        <v>4.4000000000000004</v>
      </c>
      <c r="AG73" s="237"/>
      <c r="AJ73" s="237"/>
      <c r="AK73" s="237"/>
      <c r="AL73" s="237"/>
      <c r="AN73" s="255"/>
      <c r="AO73" s="255"/>
      <c r="AP73" s="255"/>
      <c r="AQ73" s="255"/>
      <c r="AR73" s="255"/>
      <c r="AS73" s="255"/>
      <c r="AT73" s="255"/>
      <c r="AU73" s="255"/>
      <c r="AV73" s="255"/>
      <c r="AW73" s="255"/>
      <c r="AX73" s="255"/>
      <c r="AY73" s="342"/>
      <c r="AZ73" s="1043"/>
      <c r="BA73" s="342"/>
      <c r="BB73" s="342"/>
      <c r="BC73" s="1659"/>
      <c r="BD73" s="977"/>
      <c r="BE73" s="977"/>
      <c r="BF73" s="977"/>
      <c r="BG73" s="977"/>
      <c r="BH73" s="977"/>
      <c r="BI73" s="977"/>
      <c r="BJ73" s="977"/>
      <c r="BK73" s="977"/>
      <c r="BL73" s="977"/>
      <c r="BM73" s="977"/>
      <c r="BN73" s="977"/>
      <c r="BO73" s="977"/>
      <c r="BP73" s="977"/>
      <c r="BQ73" s="977"/>
      <c r="BR73" s="977"/>
      <c r="BS73" s="977"/>
      <c r="BT73" s="1040"/>
    </row>
    <row r="74" spans="1:72" ht="15" customHeight="1">
      <c r="A74" s="112"/>
      <c r="B74" s="3430" t="s">
        <v>986</v>
      </c>
      <c r="C74" s="3431"/>
      <c r="D74" s="2457">
        <v>2.5</v>
      </c>
      <c r="E74" s="3432" t="s">
        <v>987</v>
      </c>
      <c r="F74" s="3432"/>
      <c r="G74" s="3432"/>
      <c r="H74" s="3433"/>
      <c r="I74" s="67"/>
      <c r="J74" s="3422" t="s">
        <v>801</v>
      </c>
      <c r="K74" s="3423"/>
      <c r="L74" s="3424"/>
      <c r="M74" s="2458">
        <v>10</v>
      </c>
      <c r="N74" s="2459">
        <v>15</v>
      </c>
      <c r="O74" s="597">
        <f>M74</f>
        <v>10</v>
      </c>
      <c r="P74" s="2460">
        <f>N74</f>
        <v>15</v>
      </c>
      <c r="Q74" s="1088"/>
      <c r="R74" s="1088"/>
      <c r="S74" s="1085"/>
      <c r="T74" s="67"/>
      <c r="U74" s="1089"/>
      <c r="V74" s="1090">
        <f>M74*60+N74</f>
        <v>615</v>
      </c>
      <c r="W74" s="1091">
        <f>O74*60+P74</f>
        <v>615</v>
      </c>
      <c r="Y74" s="4578"/>
      <c r="Z74" s="70" t="s">
        <v>988</v>
      </c>
      <c r="AA74" s="70">
        <f>AA73*AA76</f>
        <v>11.33</v>
      </c>
      <c r="AB74" s="254">
        <f>AB73*AB76</f>
        <v>11</v>
      </c>
      <c r="AG74" s="237"/>
      <c r="AJ74" s="237"/>
      <c r="AK74" s="237"/>
      <c r="AL74" s="237"/>
      <c r="AN74" s="118"/>
      <c r="AO74" s="3436" t="str">
        <f>"1 level 5ml tsp sugar = "&amp;'Beer Data Sheet'!P21&amp;"g"</f>
        <v>1 level 5ml tsp sugar = 3.15g</v>
      </c>
      <c r="AP74" s="3436"/>
      <c r="AQ74" s="3436"/>
      <c r="AR74" s="3437" t="s">
        <v>836</v>
      </c>
      <c r="AS74" s="3437"/>
      <c r="AT74" s="342"/>
      <c r="AU74" s="342"/>
      <c r="AV74" s="342"/>
      <c r="AW74" s="342"/>
      <c r="AX74" s="255"/>
      <c r="AY74" s="342"/>
      <c r="AZ74" s="1043"/>
      <c r="BB74" s="342"/>
      <c r="BC74" s="1659"/>
      <c r="BD74" s="977"/>
      <c r="BE74" s="977"/>
      <c r="BF74" s="977"/>
      <c r="BG74" s="977"/>
      <c r="BH74" s="977"/>
      <c r="BI74" s="977"/>
      <c r="BJ74" s="977"/>
      <c r="BK74" s="977"/>
      <c r="BL74" s="977"/>
      <c r="BM74" s="977"/>
      <c r="BN74" s="977"/>
      <c r="BO74" s="977"/>
      <c r="BP74" s="977"/>
      <c r="BQ74" s="977"/>
      <c r="BR74" s="977"/>
      <c r="BS74" s="977"/>
      <c r="BT74" s="1040"/>
    </row>
    <row r="75" spans="1:72" ht="15" customHeight="1">
      <c r="A75" s="112"/>
      <c r="B75" s="3430" t="str">
        <f>"And for method 1, the vol. is approx. "&amp;FIXED((AA74),1)&amp;" litres"</f>
        <v>And for method 1, the vol. is approx. 11.3 litres</v>
      </c>
      <c r="C75" s="3431"/>
      <c r="D75" s="2461" t="s">
        <v>989</v>
      </c>
      <c r="E75" s="3438" t="str">
        <f>"method 2, the vol. is about "&amp;FIXED((AB76),1)&amp;" litres"</f>
        <v>method 2, the vol. is about 2.5 litres</v>
      </c>
      <c r="F75" s="3438"/>
      <c r="G75" s="3438"/>
      <c r="H75" s="3439"/>
      <c r="I75" s="67"/>
      <c r="J75" s="3419" t="s">
        <v>807</v>
      </c>
      <c r="K75" s="3420"/>
      <c r="L75" s="3421"/>
      <c r="M75" s="1067">
        <f t="shared" ref="M75:M80" si="46">INT(V75/60)</f>
        <v>11</v>
      </c>
      <c r="N75" s="1068">
        <f t="shared" ref="N75:N80" si="47">60*(MOD(V75/60,60)-M75)</f>
        <v>15</v>
      </c>
      <c r="O75" s="599">
        <f t="shared" ref="O75:O80" si="48">INT(W75/60)</f>
        <v>11</v>
      </c>
      <c r="P75" s="1069">
        <f t="shared" ref="P75:P80" si="49">60*(MOD(W75/60,60)-O75)</f>
        <v>15</v>
      </c>
      <c r="Q75" s="1088"/>
      <c r="R75" s="1088"/>
      <c r="S75" s="1085"/>
      <c r="T75" s="67"/>
      <c r="U75" s="1092"/>
      <c r="V75" s="4481">
        <f>V80-J61</f>
        <v>675</v>
      </c>
      <c r="W75" s="1093">
        <f>W80-P61</f>
        <v>675</v>
      </c>
      <c r="Y75" s="4580"/>
      <c r="AB75" s="254"/>
      <c r="AE75" s="237"/>
      <c r="AF75" s="237"/>
      <c r="AG75" s="237"/>
      <c r="AJ75" s="237"/>
      <c r="AK75" s="237"/>
      <c r="AL75" s="237"/>
      <c r="AN75" s="118"/>
      <c r="AO75" s="2926" t="s">
        <v>834</v>
      </c>
      <c r="AP75" s="3440"/>
      <c r="AQ75" s="3441"/>
      <c r="AR75" s="4581" t="s">
        <v>990</v>
      </c>
      <c r="AS75" s="3443"/>
      <c r="AT75" s="3443"/>
      <c r="AU75" s="3443"/>
      <c r="AV75" s="3443"/>
      <c r="AW75" s="3443"/>
      <c r="AX75" s="255"/>
      <c r="AY75" s="342"/>
      <c r="AZ75" s="1043"/>
      <c r="BA75" s="1096"/>
      <c r="BB75" s="342"/>
      <c r="BC75" s="1659"/>
      <c r="BD75" s="977"/>
      <c r="BE75" s="977"/>
      <c r="BF75" s="977"/>
      <c r="BG75" s="977"/>
      <c r="BH75" s="977"/>
      <c r="BI75" s="977"/>
      <c r="BJ75" s="977"/>
      <c r="BK75" s="977"/>
      <c r="BL75" s="977"/>
      <c r="BM75" s="977"/>
      <c r="BN75" s="977"/>
      <c r="BO75" s="977"/>
      <c r="BP75" s="977"/>
      <c r="BQ75" s="977"/>
      <c r="BR75" s="977"/>
      <c r="BS75" s="977"/>
      <c r="BT75" s="1040"/>
    </row>
    <row r="76" spans="1:72" ht="15" customHeight="1">
      <c r="A76" s="1046"/>
      <c r="B76" s="1046"/>
      <c r="C76" s="1046"/>
      <c r="D76" s="1046"/>
      <c r="E76" s="1046"/>
      <c r="F76" s="1046"/>
      <c r="G76" s="1046"/>
      <c r="H76" s="1046"/>
      <c r="I76" s="67"/>
      <c r="J76" s="3419" t="s">
        <v>813</v>
      </c>
      <c r="K76" s="3420"/>
      <c r="L76" s="3421"/>
      <c r="M76" s="1070">
        <f t="shared" si="46"/>
        <v>11</v>
      </c>
      <c r="N76" s="1071">
        <f t="shared" si="47"/>
        <v>30</v>
      </c>
      <c r="O76" s="1072">
        <f t="shared" si="48"/>
        <v>11</v>
      </c>
      <c r="P76" s="1073">
        <f t="shared" si="49"/>
        <v>30</v>
      </c>
      <c r="Q76" s="1088"/>
      <c r="R76" s="1088"/>
      <c r="S76" s="1085"/>
      <c r="T76" s="67"/>
      <c r="U76" s="1092"/>
      <c r="V76" s="4481">
        <f>V80-K61</f>
        <v>690</v>
      </c>
      <c r="W76" s="1093">
        <f>W80-Q61</f>
        <v>690</v>
      </c>
      <c r="Y76" s="4580"/>
      <c r="Z76" s="70" t="s">
        <v>991</v>
      </c>
      <c r="AA76" s="70">
        <f>D74</f>
        <v>2.5</v>
      </c>
      <c r="AB76" s="254">
        <f>D74</f>
        <v>2.5</v>
      </c>
      <c r="AE76" s="237"/>
      <c r="AF76" s="237"/>
      <c r="AG76" s="237"/>
      <c r="AI76" s="83"/>
      <c r="AJ76" s="237"/>
      <c r="AK76" s="237"/>
      <c r="AL76" s="237"/>
      <c r="AN76" s="118"/>
      <c r="AO76" s="2775" t="s">
        <v>91</v>
      </c>
      <c r="AP76" s="2410" t="s">
        <v>622</v>
      </c>
      <c r="AQ76" s="2201" t="s">
        <v>623</v>
      </c>
      <c r="AR76" s="4582"/>
      <c r="AS76" s="3443"/>
      <c r="AT76" s="3443"/>
      <c r="AU76" s="3443"/>
      <c r="AV76" s="3443"/>
      <c r="AW76" s="3443"/>
      <c r="AX76" s="255"/>
      <c r="AY76" s="342"/>
      <c r="AZ76" s="1043"/>
      <c r="BA76" s="342"/>
      <c r="BB76" s="342"/>
      <c r="BC76" s="1659"/>
      <c r="BD76" s="977"/>
      <c r="BE76" s="977"/>
      <c r="BF76" s="977"/>
      <c r="BG76" s="977"/>
      <c r="BH76" s="977"/>
      <c r="BI76" s="977"/>
      <c r="BJ76" s="977"/>
      <c r="BK76" s="977"/>
      <c r="BL76" s="977"/>
      <c r="BM76" s="977"/>
      <c r="BN76" s="977"/>
      <c r="BO76" s="977"/>
      <c r="BP76" s="977"/>
      <c r="BQ76" s="977"/>
      <c r="BR76" s="977"/>
      <c r="BS76" s="977"/>
      <c r="BT76" s="1040"/>
    </row>
    <row r="77" spans="1:72" ht="15" customHeight="1">
      <c r="A77" s="63"/>
      <c r="B77" s="1047"/>
      <c r="C77" s="3442" t="s">
        <v>992</v>
      </c>
      <c r="D77" s="3442"/>
      <c r="E77" s="1048"/>
      <c r="F77" s="1048"/>
      <c r="G77" s="1048"/>
      <c r="H77" s="67"/>
      <c r="I77" s="67"/>
      <c r="J77" s="3419" t="s">
        <v>817</v>
      </c>
      <c r="K77" s="3420"/>
      <c r="L77" s="3421"/>
      <c r="M77" s="1067">
        <f t="shared" si="46"/>
        <v>11</v>
      </c>
      <c r="N77" s="1074">
        <f t="shared" si="47"/>
        <v>45</v>
      </c>
      <c r="O77" s="1075">
        <f t="shared" si="48"/>
        <v>11</v>
      </c>
      <c r="P77" s="1069">
        <f t="shared" si="49"/>
        <v>45</v>
      </c>
      <c r="Q77" s="1088"/>
      <c r="R77" s="1088"/>
      <c r="S77" s="1085"/>
      <c r="T77" s="67"/>
      <c r="U77" s="1094"/>
      <c r="V77" s="4481">
        <f>V80-L61</f>
        <v>705</v>
      </c>
      <c r="W77" s="1093">
        <f>W80-R61</f>
        <v>705</v>
      </c>
      <c r="Y77" s="1106"/>
      <c r="Z77" s="1107" t="s">
        <v>993</v>
      </c>
      <c r="AA77" s="1107"/>
      <c r="AB77" s="1108" t="s">
        <v>994</v>
      </c>
      <c r="AE77" s="237"/>
      <c r="AF77" s="237"/>
      <c r="AG77" s="237"/>
      <c r="AH77" s="237"/>
      <c r="AI77" s="237"/>
      <c r="AJ77" s="237"/>
      <c r="AK77" s="237"/>
      <c r="AL77" s="237"/>
      <c r="AN77" s="118"/>
      <c r="AO77" s="2410">
        <f>AP77*'Beer Data Sheet'!P21</f>
        <v>9.9224999999999994</v>
      </c>
      <c r="AP77" s="1727">
        <v>3.15</v>
      </c>
      <c r="AQ77" s="2411">
        <f>AO77/'Beer Data Sheet'!P21</f>
        <v>3.15</v>
      </c>
      <c r="AR77" s="4582"/>
      <c r="AS77" s="3443"/>
      <c r="AT77" s="3443"/>
      <c r="AU77" s="3443"/>
      <c r="AV77" s="3443"/>
      <c r="AW77" s="3443"/>
      <c r="AX77" s="255"/>
      <c r="AZ77" s="1043"/>
      <c r="BA77" s="342"/>
      <c r="BB77" s="342"/>
      <c r="BC77" s="1659"/>
      <c r="BD77" s="977"/>
      <c r="BE77" s="977"/>
      <c r="BF77" s="977"/>
      <c r="BG77" s="977"/>
      <c r="BH77" s="977"/>
      <c r="BI77" s="977"/>
      <c r="BJ77" s="977"/>
      <c r="BK77" s="977"/>
      <c r="BL77" s="977"/>
      <c r="BM77" s="977"/>
      <c r="BN77" s="977"/>
      <c r="BO77" s="977"/>
      <c r="BP77" s="977"/>
      <c r="BQ77" s="977"/>
      <c r="BR77" s="977"/>
      <c r="BS77" s="977"/>
      <c r="BT77" s="1040"/>
    </row>
    <row r="78" spans="1:72" ht="15" customHeight="1">
      <c r="A78" s="63"/>
      <c r="B78" s="1047"/>
      <c r="C78" s="3150" t="s">
        <v>995</v>
      </c>
      <c r="D78" s="3150"/>
      <c r="E78" s="3150"/>
      <c r="F78" s="3150"/>
      <c r="G78" s="3150"/>
      <c r="H78" s="3150"/>
      <c r="I78" s="67"/>
      <c r="J78" s="3419" t="s">
        <v>996</v>
      </c>
      <c r="K78" s="3420"/>
      <c r="L78" s="3421"/>
      <c r="M78" s="1067">
        <f t="shared" si="46"/>
        <v>12</v>
      </c>
      <c r="N78" s="1074">
        <f t="shared" si="47"/>
        <v>0</v>
      </c>
      <c r="O78" s="1075">
        <f t="shared" si="48"/>
        <v>12</v>
      </c>
      <c r="P78" s="1069">
        <f t="shared" si="49"/>
        <v>0</v>
      </c>
      <c r="Q78" s="1088"/>
      <c r="R78" s="1088"/>
      <c r="S78" s="1085"/>
      <c r="T78" s="67"/>
      <c r="U78" s="1094"/>
      <c r="V78" s="4481">
        <f>V80-M61</f>
        <v>720</v>
      </c>
      <c r="W78" s="1093">
        <f>W80-S61</f>
        <v>720</v>
      </c>
      <c r="AE78" s="237"/>
      <c r="AF78" s="237"/>
      <c r="AG78" s="237"/>
      <c r="AH78" s="237"/>
      <c r="AI78" s="237"/>
      <c r="AJ78" s="237"/>
      <c r="AK78" s="237"/>
      <c r="AL78" s="237"/>
      <c r="AN78" s="118"/>
      <c r="AO78" s="67"/>
      <c r="AP78" s="67"/>
      <c r="AQ78" s="67"/>
      <c r="AR78" s="1096"/>
      <c r="AS78" s="1096"/>
      <c r="AT78" s="1096"/>
      <c r="AU78" s="1096"/>
      <c r="AV78" s="1096"/>
      <c r="AW78" s="1096"/>
      <c r="AX78" s="255"/>
      <c r="AY78" s="1096"/>
      <c r="AZ78" s="1043"/>
      <c r="BA78" s="342"/>
      <c r="BB78" s="342"/>
      <c r="BC78" s="1659"/>
      <c r="BD78" s="977"/>
      <c r="BE78" s="977"/>
      <c r="BF78" s="977"/>
      <c r="BG78" s="977"/>
      <c r="BH78" s="977"/>
      <c r="BI78" s="977"/>
      <c r="BJ78" s="977"/>
      <c r="BK78" s="977"/>
      <c r="BL78" s="977"/>
      <c r="BM78" s="977"/>
      <c r="BN78" s="977"/>
      <c r="BO78" s="977"/>
      <c r="BP78" s="977"/>
      <c r="BQ78" s="977"/>
      <c r="BR78" s="977"/>
      <c r="BS78" s="977"/>
      <c r="BT78" s="1040"/>
    </row>
    <row r="79" spans="1:72" ht="15" customHeight="1">
      <c r="A79" s="63"/>
      <c r="B79" s="1047"/>
      <c r="C79" s="3150"/>
      <c r="D79" s="3150"/>
      <c r="E79" s="3150"/>
      <c r="F79" s="3150"/>
      <c r="G79" s="3150"/>
      <c r="H79" s="3150"/>
      <c r="I79" s="67"/>
      <c r="J79" s="3419" t="s">
        <v>997</v>
      </c>
      <c r="K79" s="3420"/>
      <c r="L79" s="3421"/>
      <c r="M79" s="4583">
        <f t="shared" si="46"/>
        <v>12</v>
      </c>
      <c r="N79" s="1076">
        <f t="shared" si="47"/>
        <v>15</v>
      </c>
      <c r="O79" s="4584">
        <f t="shared" si="48"/>
        <v>12</v>
      </c>
      <c r="P79" s="1077">
        <f t="shared" si="49"/>
        <v>15</v>
      </c>
      <c r="Q79" s="1088"/>
      <c r="R79" s="1088"/>
      <c r="S79" s="1085"/>
      <c r="T79" s="67"/>
      <c r="U79" s="1095"/>
      <c r="V79" s="4481">
        <f>V80-N61</f>
        <v>735</v>
      </c>
      <c r="W79" s="1093">
        <f>W80-T61</f>
        <v>735</v>
      </c>
      <c r="AE79" s="237"/>
      <c r="AF79" s="237"/>
      <c r="AG79" s="237"/>
      <c r="AH79" s="237"/>
      <c r="AI79" s="237"/>
      <c r="AJ79" s="237"/>
      <c r="AK79" s="237"/>
      <c r="AL79" s="237"/>
      <c r="AN79" s="118"/>
      <c r="AO79" s="3434" t="s">
        <v>334</v>
      </c>
      <c r="AP79" s="3435"/>
      <c r="AQ79" s="342"/>
      <c r="AR79" s="342"/>
      <c r="AS79" s="342"/>
      <c r="AT79" s="342"/>
      <c r="AU79" s="342"/>
      <c r="AV79" s="342"/>
      <c r="AW79" s="342"/>
      <c r="AX79" s="255"/>
      <c r="AY79" s="342"/>
      <c r="AZ79" s="1043"/>
      <c r="BA79" s="342"/>
      <c r="BB79" s="342"/>
      <c r="BC79" s="1659"/>
      <c r="BD79" s="977"/>
      <c r="BE79" s="977"/>
      <c r="BF79" s="977"/>
      <c r="BG79" s="977"/>
      <c r="BH79" s="977"/>
      <c r="BI79" s="977"/>
      <c r="BJ79" s="977"/>
      <c r="BK79" s="977"/>
      <c r="BL79" s="977"/>
      <c r="BM79" s="977"/>
      <c r="BN79" s="977"/>
      <c r="BO79" s="977"/>
      <c r="BP79" s="977"/>
      <c r="BQ79" s="977"/>
      <c r="BR79" s="977"/>
      <c r="BS79" s="977"/>
      <c r="BT79" s="1040"/>
    </row>
    <row r="80" spans="1:72" ht="15" customHeight="1">
      <c r="A80" s="63"/>
      <c r="B80" s="1047"/>
      <c r="C80" s="1049"/>
      <c r="D80" s="1049"/>
      <c r="E80" s="1049"/>
      <c r="F80" s="1049"/>
      <c r="G80" s="1049"/>
      <c r="H80" s="67"/>
      <c r="I80" s="67"/>
      <c r="J80" s="3422" t="s">
        <v>826</v>
      </c>
      <c r="K80" s="3423"/>
      <c r="L80" s="3424"/>
      <c r="M80" s="2462">
        <f t="shared" si="46"/>
        <v>12</v>
      </c>
      <c r="N80" s="2463">
        <f t="shared" si="47"/>
        <v>15</v>
      </c>
      <c r="O80" s="2464">
        <f t="shared" si="48"/>
        <v>12</v>
      </c>
      <c r="P80" s="2465">
        <f t="shared" si="49"/>
        <v>15</v>
      </c>
      <c r="Q80" s="1088"/>
      <c r="R80" s="1088"/>
      <c r="S80" s="67"/>
      <c r="T80" s="118"/>
      <c r="U80" s="1096"/>
      <c r="V80" s="1097">
        <f>V74+I61</f>
        <v>735</v>
      </c>
      <c r="W80" s="1098">
        <f>W74+O61</f>
        <v>735</v>
      </c>
      <c r="AE80" s="237"/>
      <c r="AF80" s="237"/>
      <c r="AG80" s="237"/>
      <c r="AH80" s="237"/>
      <c r="AI80" s="237"/>
      <c r="AJ80" s="237"/>
      <c r="AK80" s="237"/>
      <c r="AL80" s="237"/>
      <c r="AN80" s="118"/>
      <c r="AO80" s="2287">
        <v>4</v>
      </c>
      <c r="AP80" s="3081" t="str">
        <f>"grams ̸ litre is equiv. to "&amp;FIXED(AS80*AO80,1)&amp;"g per"</f>
        <v>grams ̸ litre is equiv. to 85.2g per</v>
      </c>
      <c r="AQ80" s="3085"/>
      <c r="AR80" s="3082"/>
      <c r="AS80" s="2412">
        <v>21.3</v>
      </c>
      <c r="AT80" s="3078" t="s">
        <v>998</v>
      </c>
      <c r="AU80" s="3096"/>
      <c r="AW80" s="342"/>
      <c r="AX80" s="255"/>
      <c r="AY80" s="342"/>
      <c r="AZ80" s="1043"/>
      <c r="BA80" s="342"/>
      <c r="BB80" s="342"/>
      <c r="BC80" s="1659"/>
      <c r="BD80" s="977"/>
      <c r="BE80" s="977"/>
      <c r="BF80" s="977"/>
      <c r="BG80" s="977"/>
      <c r="BH80" s="977"/>
      <c r="BI80" s="977"/>
      <c r="BJ80" s="977"/>
      <c r="BK80" s="977"/>
      <c r="BL80" s="977"/>
      <c r="BM80" s="977"/>
      <c r="BN80" s="977"/>
      <c r="BO80" s="977"/>
      <c r="BP80" s="977"/>
      <c r="BQ80" s="977"/>
      <c r="BR80" s="977"/>
      <c r="BS80" s="977"/>
      <c r="BT80" s="1040"/>
    </row>
    <row r="81" spans="1:72" ht="15" customHeight="1">
      <c r="A81" s="63"/>
      <c r="B81" s="1047"/>
      <c r="C81" s="3411" t="s">
        <v>999</v>
      </c>
      <c r="D81" s="3411"/>
      <c r="E81" s="67"/>
      <c r="F81" s="67"/>
      <c r="G81" s="67"/>
      <c r="H81" s="67"/>
      <c r="I81" s="67"/>
      <c r="J81" s="3412" t="s">
        <v>830</v>
      </c>
      <c r="K81" s="3413"/>
      <c r="L81" s="3414"/>
      <c r="M81" s="1078">
        <f>I61</f>
        <v>120</v>
      </c>
      <c r="N81" s="1079" t="s">
        <v>831</v>
      </c>
      <c r="O81" s="1078">
        <f>O61</f>
        <v>120</v>
      </c>
      <c r="P81" s="1080" t="s">
        <v>831</v>
      </c>
      <c r="Q81" s="1088"/>
      <c r="R81" s="1088"/>
      <c r="S81" s="342"/>
      <c r="T81" s="342"/>
      <c r="U81" s="1096"/>
      <c r="AH81" s="237"/>
      <c r="AI81" s="237"/>
      <c r="AJ81" s="237"/>
      <c r="AK81" s="237"/>
      <c r="AL81" s="237"/>
      <c r="AN81" s="118"/>
      <c r="AO81" s="342"/>
      <c r="AP81" s="342"/>
      <c r="AQ81" s="342"/>
      <c r="AR81" s="342"/>
      <c r="AS81" s="342"/>
      <c r="AT81" s="342"/>
      <c r="AU81" s="342"/>
      <c r="AV81" s="342"/>
      <c r="AW81" s="342"/>
      <c r="AX81" s="255"/>
      <c r="AY81" s="342"/>
      <c r="AZ81" s="1043"/>
      <c r="BA81" s="342"/>
      <c r="BB81" s="342"/>
      <c r="BC81" s="1659"/>
      <c r="BD81" s="977"/>
      <c r="BE81" s="977"/>
      <c r="BF81" s="977"/>
      <c r="BG81" s="977"/>
      <c r="BH81" s="977"/>
      <c r="BI81" s="977"/>
      <c r="BJ81" s="977"/>
      <c r="BK81" s="977"/>
      <c r="BL81" s="977"/>
      <c r="BM81" s="977"/>
      <c r="BN81" s="977"/>
      <c r="BO81" s="977"/>
      <c r="BP81" s="977"/>
      <c r="BQ81" s="977"/>
      <c r="BR81" s="977"/>
      <c r="BS81" s="977"/>
      <c r="BT81" s="1040"/>
    </row>
    <row r="82" spans="1:72" ht="15" customHeight="1">
      <c r="A82" s="63"/>
      <c r="B82" s="1047"/>
      <c r="C82" s="2402">
        <v>1</v>
      </c>
      <c r="D82" s="3081" t="s">
        <v>255</v>
      </c>
      <c r="E82" s="3082"/>
      <c r="F82" s="2403">
        <v>1</v>
      </c>
      <c r="G82" s="2404" t="s">
        <v>825</v>
      </c>
      <c r="H82" s="2405" t="str">
        <f>FIXED((C82*'Beer Data Sheet'!$T$17/F82),1)&amp;" EBU"</f>
        <v>69.0 EBU</v>
      </c>
      <c r="I82" s="67"/>
      <c r="J82" s="609"/>
      <c r="K82" s="609"/>
      <c r="L82" s="342"/>
      <c r="M82" s="342"/>
      <c r="N82" s="342"/>
      <c r="O82" s="342"/>
      <c r="P82" s="342"/>
      <c r="Q82" s="342"/>
      <c r="R82" s="1099"/>
      <c r="S82" s="1099"/>
      <c r="T82" s="1099"/>
      <c r="U82" s="112"/>
      <c r="AH82" s="237"/>
      <c r="AI82" s="237"/>
      <c r="AJ82" s="237"/>
      <c r="AK82" s="237"/>
      <c r="AL82" s="237"/>
      <c r="AN82" s="118"/>
      <c r="AO82" s="2199" t="s">
        <v>338</v>
      </c>
      <c r="AP82" s="2915" t="s">
        <v>339</v>
      </c>
      <c r="AQ82" s="2930"/>
      <c r="AR82" s="2915" t="s">
        <v>340</v>
      </c>
      <c r="AS82" s="4139"/>
      <c r="AT82" s="114"/>
      <c r="AU82" s="342"/>
      <c r="AV82" s="342"/>
      <c r="AW82" s="342"/>
      <c r="AX82" s="255"/>
      <c r="AY82" s="342"/>
      <c r="AZ82" s="1043"/>
      <c r="BA82" s="342"/>
      <c r="BB82" s="342"/>
      <c r="BC82" s="1659"/>
      <c r="BD82" s="977"/>
      <c r="BE82" s="977"/>
      <c r="BF82" s="977"/>
      <c r="BG82" s="977"/>
      <c r="BH82" s="977"/>
      <c r="BI82" s="977"/>
      <c r="BJ82" s="977"/>
      <c r="BK82" s="977"/>
      <c r="BL82" s="977"/>
      <c r="BM82" s="977"/>
      <c r="BN82" s="977"/>
      <c r="BO82" s="977"/>
      <c r="BP82" s="977"/>
      <c r="BQ82" s="977"/>
      <c r="BR82" s="977"/>
      <c r="BS82" s="977"/>
      <c r="BT82" s="1040"/>
    </row>
    <row r="83" spans="1:72" ht="15" customHeight="1">
      <c r="A83" s="63"/>
      <c r="B83" s="1047"/>
      <c r="C83" s="3426" t="s">
        <v>1000</v>
      </c>
      <c r="D83" s="3426"/>
      <c r="E83" s="3426"/>
      <c r="F83" s="3426"/>
      <c r="G83" s="3426"/>
      <c r="H83" s="3426"/>
      <c r="I83" s="1081"/>
      <c r="J83" s="1082"/>
      <c r="K83" s="1082"/>
      <c r="L83" s="1082"/>
      <c r="M83" s="1082"/>
      <c r="N83" s="1082"/>
      <c r="O83" s="1082"/>
      <c r="P83" s="1082"/>
      <c r="Q83" s="1100"/>
      <c r="R83" s="1099"/>
      <c r="S83" s="1099"/>
      <c r="T83" s="1099"/>
      <c r="U83" s="67"/>
      <c r="AH83" s="237"/>
      <c r="AI83" s="237"/>
      <c r="AJ83" s="237"/>
      <c r="AK83" s="237"/>
      <c r="AL83" s="237"/>
      <c r="AN83" s="118"/>
      <c r="AO83" s="2413">
        <f>AP83*0.2489/0.262</f>
        <v>0.95</v>
      </c>
      <c r="AP83" s="2932">
        <v>1</v>
      </c>
      <c r="AQ83" s="2934"/>
      <c r="AR83" s="3181">
        <f>AP83*0.262/0.2489</f>
        <v>1.0526315789473684</v>
      </c>
      <c r="AS83" s="4139"/>
      <c r="AT83" s="342"/>
      <c r="AU83" s="342"/>
      <c r="AV83" s="342"/>
      <c r="AW83" s="342"/>
      <c r="AX83" s="255"/>
      <c r="AY83" s="342"/>
      <c r="AZ83" s="1043"/>
      <c r="BA83" s="342"/>
      <c r="BB83" s="342"/>
      <c r="BC83" s="1659"/>
      <c r="BD83" s="977"/>
      <c r="BE83" s="977"/>
      <c r="BF83" s="977"/>
      <c r="BG83" s="977"/>
      <c r="BH83" s="977"/>
      <c r="BI83" s="977"/>
      <c r="BJ83" s="977"/>
      <c r="BK83" s="977"/>
      <c r="BL83" s="977"/>
      <c r="BM83" s="977"/>
      <c r="BN83" s="977"/>
      <c r="BO83" s="977"/>
      <c r="BP83" s="977"/>
      <c r="BQ83" s="977"/>
      <c r="BR83" s="977"/>
      <c r="BS83" s="977"/>
      <c r="BT83" s="1040"/>
    </row>
    <row r="84" spans="1:72" ht="15" customHeight="1">
      <c r="A84" s="63"/>
      <c r="B84" s="1047"/>
      <c r="C84" s="3427"/>
      <c r="D84" s="3427"/>
      <c r="E84" s="3427"/>
      <c r="F84" s="3427"/>
      <c r="G84" s="3427"/>
      <c r="H84" s="3427"/>
      <c r="I84" s="1082"/>
      <c r="J84" s="1082"/>
      <c r="K84" s="1082"/>
      <c r="L84" s="1082"/>
      <c r="M84" s="1082"/>
      <c r="N84" s="1082"/>
      <c r="O84" s="1082"/>
      <c r="P84" s="1082"/>
      <c r="Q84" s="1100"/>
      <c r="R84" s="1099"/>
      <c r="S84" s="1099"/>
      <c r="T84" s="1099"/>
      <c r="U84" s="67"/>
      <c r="AM84" s="70"/>
      <c r="AN84" s="118"/>
      <c r="AO84" s="118"/>
      <c r="AP84" s="118"/>
      <c r="AQ84" s="118"/>
      <c r="AR84" s="118"/>
      <c r="AS84" s="118"/>
      <c r="AT84" s="255"/>
      <c r="AU84" s="255"/>
      <c r="AV84" s="255"/>
      <c r="AW84" s="255"/>
      <c r="AX84" s="255"/>
      <c r="AY84" s="342"/>
      <c r="AZ84" s="342"/>
      <c r="BA84" s="342"/>
      <c r="BB84" s="342"/>
      <c r="BC84" s="1659"/>
      <c r="BD84" s="977"/>
      <c r="BE84" s="977"/>
      <c r="BF84" s="977"/>
      <c r="BG84" s="977"/>
      <c r="BH84" s="977"/>
      <c r="BI84" s="977"/>
      <c r="BJ84" s="977"/>
      <c r="BK84" s="977"/>
      <c r="BL84" s="977"/>
      <c r="BM84" s="977"/>
      <c r="BN84" s="977"/>
      <c r="BO84" s="977"/>
      <c r="BP84" s="977"/>
      <c r="BQ84" s="977"/>
      <c r="BR84" s="977"/>
      <c r="BS84" s="977"/>
      <c r="BT84" s="1040"/>
    </row>
    <row r="85" spans="1:72" ht="15" customHeight="1">
      <c r="A85" s="3425" t="s">
        <v>832</v>
      </c>
      <c r="B85" s="3425"/>
      <c r="C85" s="1050"/>
      <c r="D85" s="1051"/>
      <c r="E85" s="1052"/>
      <c r="F85" s="1053"/>
      <c r="G85" s="1053"/>
      <c r="H85" s="1054"/>
      <c r="I85" s="1054"/>
      <c r="J85" s="1054"/>
      <c r="K85" s="1054"/>
      <c r="L85" s="1054"/>
      <c r="M85" s="1054"/>
      <c r="N85" s="1054"/>
      <c r="O85" s="1054"/>
      <c r="P85" s="1054"/>
      <c r="Q85" s="1054"/>
      <c r="R85" s="1054"/>
      <c r="S85" s="1054"/>
      <c r="T85" s="1101"/>
      <c r="U85" s="1102"/>
      <c r="V85" s="67"/>
      <c r="W85" s="67"/>
      <c r="X85" s="67"/>
      <c r="Y85" s="67"/>
      <c r="Z85" s="67"/>
      <c r="AA85" s="67"/>
      <c r="AB85" s="67"/>
      <c r="AC85" s="67"/>
      <c r="AD85" s="67"/>
      <c r="AE85" s="67"/>
      <c r="AF85" s="67"/>
      <c r="AG85" s="67"/>
      <c r="AH85" s="67"/>
      <c r="AI85" s="67"/>
      <c r="AJ85" s="67"/>
      <c r="AK85" s="67"/>
      <c r="AL85" s="67"/>
      <c r="AM85" s="67"/>
      <c r="AN85" s="118"/>
      <c r="AO85" s="1675"/>
      <c r="AP85" s="1675"/>
      <c r="AQ85" s="1675"/>
      <c r="AR85" s="1675"/>
      <c r="AS85" s="1675"/>
      <c r="AT85" s="1675"/>
      <c r="AU85" s="1675"/>
      <c r="AV85" s="1675"/>
      <c r="AW85" s="1675"/>
      <c r="AX85" s="342"/>
      <c r="AY85" s="342"/>
      <c r="AZ85" s="342"/>
      <c r="BA85" s="342"/>
      <c r="BB85" s="342"/>
      <c r="BC85" s="1659"/>
      <c r="BD85" s="977"/>
      <c r="BE85" s="977"/>
      <c r="BF85" s="977"/>
      <c r="BG85" s="977"/>
      <c r="BH85" s="977"/>
      <c r="BI85" s="977"/>
      <c r="BJ85" s="977"/>
      <c r="BK85" s="977"/>
      <c r="BL85" s="977"/>
      <c r="BM85" s="977"/>
      <c r="BN85" s="977"/>
      <c r="BO85" s="977"/>
      <c r="BP85" s="977"/>
      <c r="BQ85" s="977"/>
      <c r="BR85" s="977"/>
      <c r="BS85" s="977"/>
      <c r="BT85" s="1040"/>
    </row>
    <row r="86" spans="1:72" ht="15" customHeight="1">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1659"/>
      <c r="BD86" s="977"/>
      <c r="BE86" s="977"/>
      <c r="BF86" s="977"/>
      <c r="BG86" s="977"/>
      <c r="BH86" s="977"/>
      <c r="BI86" s="977"/>
      <c r="BJ86" s="977"/>
      <c r="BK86" s="977"/>
      <c r="BL86" s="977"/>
      <c r="BM86" s="977"/>
      <c r="BN86" s="977"/>
      <c r="BO86" s="977"/>
      <c r="BP86" s="977"/>
      <c r="BQ86" s="977"/>
      <c r="BR86" s="977"/>
      <c r="BS86" s="977"/>
      <c r="BT86" s="1040"/>
    </row>
    <row r="87" spans="1:72" ht="15" customHeight="1">
      <c r="A87" s="1055"/>
      <c r="B87" s="1111"/>
      <c r="C87" s="1111"/>
      <c r="D87" s="1111"/>
      <c r="E87" s="1111"/>
      <c r="F87" s="1111"/>
      <c r="G87" s="1111"/>
      <c r="H87" s="1111"/>
      <c r="I87" s="1111"/>
      <c r="J87" s="1111"/>
      <c r="K87" s="1111"/>
      <c r="L87" s="1111"/>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659"/>
      <c r="BD87" s="977"/>
      <c r="BE87" s="977"/>
      <c r="BF87" s="977"/>
      <c r="BG87" s="977"/>
      <c r="BH87" s="977"/>
      <c r="BI87" s="977"/>
      <c r="BJ87" s="977"/>
      <c r="BK87" s="977"/>
      <c r="BL87" s="977"/>
      <c r="BM87" s="977"/>
      <c r="BN87" s="977"/>
      <c r="BO87" s="977"/>
      <c r="BP87" s="977"/>
      <c r="BQ87" s="977"/>
      <c r="BR87" s="977"/>
      <c r="BS87" s="977"/>
      <c r="BT87" s="1040"/>
    </row>
    <row r="88" spans="1:72" ht="15" customHeight="1">
      <c r="A88" s="112"/>
      <c r="B88" s="1111"/>
      <c r="C88" s="1111"/>
      <c r="D88" s="1111"/>
      <c r="E88" s="1111"/>
      <c r="F88" s="1111"/>
      <c r="G88" s="1111"/>
      <c r="H88" s="1111"/>
      <c r="I88" s="1111"/>
      <c r="J88" s="1111"/>
      <c r="K88" s="1111"/>
      <c r="L88" s="1111"/>
      <c r="M88" s="1111"/>
      <c r="N88" s="1111"/>
      <c r="O88" s="1111"/>
      <c r="P88" s="1111"/>
      <c r="Q88" s="1111"/>
      <c r="R88" s="1111"/>
      <c r="S88" s="1111"/>
      <c r="T88" s="1111"/>
      <c r="U88" s="1111"/>
      <c r="V88" s="1111"/>
      <c r="W88" s="1111"/>
      <c r="X88" s="1111"/>
      <c r="Y88" s="1111"/>
      <c r="Z88" s="1111"/>
      <c r="AA88" s="1111"/>
      <c r="AB88" s="1111"/>
      <c r="AC88" s="1111"/>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659"/>
      <c r="BD88" s="977"/>
      <c r="BE88" s="977"/>
      <c r="BF88" s="977"/>
      <c r="BG88" s="977"/>
      <c r="BH88" s="977"/>
      <c r="BI88" s="977"/>
      <c r="BJ88" s="977"/>
      <c r="BK88" s="977"/>
      <c r="BL88" s="977"/>
      <c r="BM88" s="977"/>
      <c r="BN88" s="977"/>
      <c r="BO88" s="977"/>
      <c r="BP88" s="977"/>
      <c r="BQ88" s="977"/>
      <c r="BR88" s="977"/>
      <c r="BS88" s="977"/>
      <c r="BT88" s="1040"/>
    </row>
    <row r="89" spans="1:72" ht="15" customHeight="1">
      <c r="A89" s="112"/>
      <c r="B89" s="1111"/>
      <c r="C89" s="1111"/>
      <c r="D89" s="1111"/>
      <c r="E89" s="1111"/>
      <c r="F89" s="1111"/>
      <c r="G89" s="1111"/>
      <c r="H89" s="1111"/>
      <c r="I89" s="1111"/>
      <c r="J89" s="1111"/>
      <c r="K89" s="1111"/>
      <c r="L89" s="1111"/>
      <c r="M89" s="1111"/>
      <c r="N89" s="1111"/>
      <c r="O89" s="1111"/>
      <c r="P89" s="1111"/>
      <c r="Q89" s="1111"/>
      <c r="R89" s="1111"/>
      <c r="S89" s="1111"/>
      <c r="T89" s="1111"/>
      <c r="U89" s="1111"/>
      <c r="V89" s="1111"/>
      <c r="W89" s="1111"/>
      <c r="X89" s="1111"/>
      <c r="Y89" s="1111"/>
      <c r="Z89" s="1111"/>
      <c r="AA89" s="1111"/>
      <c r="AB89" s="1111"/>
      <c r="AC89" s="1111"/>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659"/>
      <c r="BD89" s="977"/>
      <c r="BE89" s="977"/>
      <c r="BF89" s="977"/>
      <c r="BG89" s="977"/>
      <c r="BH89" s="977"/>
      <c r="BI89" s="977"/>
      <c r="BJ89" s="977"/>
      <c r="BK89" s="977"/>
      <c r="BL89" s="977"/>
      <c r="BM89" s="977"/>
      <c r="BN89" s="977"/>
      <c r="BO89" s="977"/>
      <c r="BP89" s="977"/>
      <c r="BQ89" s="977"/>
      <c r="BR89" s="977"/>
      <c r="BS89" s="977"/>
      <c r="BT89" s="1040"/>
    </row>
    <row r="90" spans="1:72" ht="15" customHeight="1">
      <c r="A90" s="112"/>
      <c r="B90" s="1111"/>
      <c r="C90" s="1111"/>
      <c r="D90" s="1111"/>
      <c r="E90" s="1111"/>
      <c r="F90" s="1111"/>
      <c r="G90" s="1111"/>
      <c r="H90" s="1111"/>
      <c r="I90" s="1111"/>
      <c r="J90" s="1111"/>
      <c r="K90" s="1111"/>
      <c r="L90" s="1111"/>
      <c r="M90" s="1111"/>
      <c r="N90" s="1111"/>
      <c r="O90" s="1111"/>
      <c r="P90" s="1111"/>
      <c r="Q90" s="1111"/>
      <c r="R90" s="1111"/>
      <c r="S90" s="1111"/>
      <c r="T90" s="1111"/>
      <c r="U90" s="1111"/>
      <c r="V90" s="1111"/>
      <c r="W90" s="1111"/>
      <c r="X90" s="1111"/>
      <c r="Y90" s="1111"/>
      <c r="Z90" s="1111"/>
      <c r="AA90" s="1111"/>
      <c r="AB90" s="1111"/>
      <c r="AC90" s="1111"/>
      <c r="AD90" s="1111"/>
      <c r="AE90" s="1111"/>
      <c r="AF90" s="1111"/>
      <c r="AG90" s="1111"/>
      <c r="AH90" s="1111"/>
      <c r="AI90" s="1111"/>
      <c r="AJ90" s="1111"/>
      <c r="AK90" s="1111"/>
      <c r="AL90" s="1111"/>
      <c r="AM90" s="1111"/>
      <c r="AN90" s="1111"/>
      <c r="AO90" s="1111"/>
      <c r="AP90" s="1111"/>
      <c r="AQ90" s="1111"/>
      <c r="AR90" s="1111"/>
      <c r="AS90" s="1111"/>
      <c r="AT90" s="1111"/>
      <c r="AU90" s="1111"/>
      <c r="AV90" s="1111"/>
      <c r="AW90" s="1111"/>
      <c r="AX90" s="1111"/>
      <c r="AY90" s="1111"/>
      <c r="AZ90" s="1111"/>
      <c r="BA90" s="1111"/>
      <c r="BB90" s="1111"/>
      <c r="BC90" s="1659"/>
      <c r="BD90" s="977"/>
      <c r="BE90" s="977"/>
      <c r="BF90" s="977"/>
      <c r="BG90" s="977"/>
      <c r="BH90" s="977"/>
      <c r="BI90" s="977"/>
      <c r="BJ90" s="977"/>
      <c r="BK90" s="977"/>
      <c r="BL90" s="977"/>
      <c r="BM90" s="977"/>
      <c r="BN90" s="977"/>
      <c r="BO90" s="977"/>
      <c r="BP90" s="977"/>
      <c r="BQ90" s="977"/>
      <c r="BR90" s="977"/>
      <c r="BS90" s="977"/>
      <c r="BT90" s="1040"/>
    </row>
    <row r="91" spans="1:72" ht="15" customHeight="1">
      <c r="A91" s="112"/>
      <c r="B91" s="1111"/>
      <c r="C91" s="1111"/>
      <c r="D91" s="1111"/>
      <c r="E91" s="1111"/>
      <c r="F91" s="1111"/>
      <c r="G91" s="1111"/>
      <c r="H91" s="1111"/>
      <c r="I91" s="1111"/>
      <c r="J91" s="1111"/>
      <c r="K91" s="1111"/>
      <c r="L91" s="1111"/>
      <c r="M91" s="1111"/>
      <c r="N91" s="1111"/>
      <c r="O91" s="1111"/>
      <c r="P91" s="1111"/>
      <c r="Q91" s="1111"/>
      <c r="R91" s="1111"/>
      <c r="S91" s="1111"/>
      <c r="T91" s="1111"/>
      <c r="U91" s="1111"/>
      <c r="V91" s="1111"/>
      <c r="W91" s="1111"/>
      <c r="X91" s="1111"/>
      <c r="Y91" s="1111"/>
      <c r="Z91" s="1111"/>
      <c r="AA91" s="1111"/>
      <c r="AB91" s="1111"/>
      <c r="AC91" s="1111"/>
      <c r="AD91" s="1111"/>
      <c r="AE91" s="1111"/>
      <c r="AF91" s="1111"/>
      <c r="AG91" s="1111"/>
      <c r="AH91" s="1111"/>
      <c r="AI91" s="1111"/>
      <c r="AJ91" s="1111"/>
      <c r="AK91" s="1111"/>
      <c r="AL91" s="1111"/>
      <c r="AM91" s="1111"/>
      <c r="AN91" s="1111"/>
      <c r="AO91" s="1111"/>
      <c r="AP91" s="1111"/>
      <c r="AQ91" s="1111"/>
      <c r="AR91" s="1111"/>
      <c r="AS91" s="1111"/>
      <c r="AT91" s="1111"/>
      <c r="AU91" s="1111"/>
      <c r="AV91" s="1111"/>
      <c r="AW91" s="1111"/>
      <c r="AX91" s="1111"/>
      <c r="AY91" s="1111"/>
      <c r="AZ91" s="1111"/>
      <c r="BA91" s="1111"/>
      <c r="BB91" s="1111"/>
      <c r="BC91" s="1659"/>
      <c r="BD91" s="977"/>
      <c r="BE91" s="977"/>
      <c r="BF91" s="977"/>
      <c r="BG91" s="977"/>
      <c r="BH91" s="977"/>
      <c r="BI91" s="977"/>
      <c r="BJ91" s="977"/>
      <c r="BK91" s="977"/>
      <c r="BL91" s="977"/>
      <c r="BM91" s="977"/>
      <c r="BN91" s="977"/>
      <c r="BO91" s="977"/>
      <c r="BP91" s="977"/>
      <c r="BQ91" s="977"/>
      <c r="BR91" s="977"/>
      <c r="BS91" s="977"/>
      <c r="BT91" s="1040"/>
    </row>
    <row r="92" spans="1:72" ht="15" customHeight="1">
      <c r="A92" s="112"/>
      <c r="B92" s="1111"/>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111"/>
      <c r="AM92" s="1111"/>
      <c r="AN92" s="1111"/>
      <c r="AO92" s="1111"/>
      <c r="AP92" s="1111"/>
      <c r="AQ92" s="1111"/>
      <c r="AR92" s="1111"/>
      <c r="AS92" s="1111"/>
      <c r="AT92" s="1111"/>
      <c r="AU92" s="1111"/>
      <c r="AV92" s="1111"/>
      <c r="AW92" s="1111"/>
      <c r="AX92" s="1111"/>
      <c r="AY92" s="1111"/>
      <c r="AZ92" s="1111"/>
      <c r="BA92" s="1111"/>
      <c r="BB92" s="1111"/>
      <c r="BC92" s="1659"/>
      <c r="BD92" s="977"/>
      <c r="BE92" s="977"/>
      <c r="BF92" s="977"/>
      <c r="BG92" s="977"/>
      <c r="BH92" s="977"/>
      <c r="BI92" s="977"/>
      <c r="BJ92" s="977"/>
      <c r="BK92" s="977"/>
      <c r="BL92" s="977"/>
      <c r="BM92" s="977"/>
      <c r="BN92" s="977"/>
      <c r="BO92" s="977"/>
      <c r="BP92" s="977"/>
      <c r="BQ92" s="977"/>
      <c r="BR92" s="977"/>
      <c r="BS92" s="977"/>
      <c r="BT92" s="1040"/>
    </row>
    <row r="93" spans="1:72" ht="15" customHeight="1">
      <c r="A93" s="112"/>
      <c r="B93" s="1111"/>
      <c r="C93" s="1111"/>
      <c r="D93" s="1111"/>
      <c r="E93" s="1111"/>
      <c r="F93" s="1111"/>
      <c r="G93" s="1111"/>
      <c r="H93" s="1111"/>
      <c r="I93" s="1111"/>
      <c r="J93" s="1111"/>
      <c r="K93" s="1111"/>
      <c r="L93" s="1111"/>
      <c r="M93" s="1111"/>
      <c r="N93" s="1111"/>
      <c r="O93" s="1111"/>
      <c r="P93" s="1111"/>
      <c r="Q93" s="1111"/>
      <c r="R93" s="1111"/>
      <c r="S93" s="1111"/>
      <c r="T93" s="1111"/>
      <c r="U93" s="1111"/>
      <c r="V93" s="1111"/>
      <c r="W93" s="1111"/>
      <c r="X93" s="1111"/>
      <c r="Y93" s="1111"/>
      <c r="Z93" s="1111"/>
      <c r="AA93" s="1111"/>
      <c r="AB93" s="1111"/>
      <c r="AC93" s="1111"/>
      <c r="AD93" s="1111"/>
      <c r="AE93" s="1111"/>
      <c r="AF93" s="1111"/>
      <c r="AG93" s="1111"/>
      <c r="AH93" s="1111"/>
      <c r="AI93" s="1111"/>
      <c r="AJ93" s="1111"/>
      <c r="AK93" s="1111"/>
      <c r="AL93" s="1111"/>
      <c r="AM93" s="1111"/>
      <c r="AN93" s="1111"/>
      <c r="AO93" s="1111"/>
      <c r="AP93" s="1111"/>
      <c r="AQ93" s="1111"/>
      <c r="AR93" s="1111"/>
      <c r="AS93" s="1111"/>
      <c r="AT93" s="1111"/>
      <c r="AU93" s="1111"/>
      <c r="AV93" s="1111"/>
      <c r="AW93" s="1111"/>
      <c r="AX93" s="1111"/>
      <c r="AY93" s="1111"/>
      <c r="AZ93" s="1111"/>
      <c r="BA93" s="1111"/>
      <c r="BB93" s="1111"/>
      <c r="BC93" s="1659"/>
      <c r="BD93" s="977"/>
      <c r="BE93" s="977"/>
      <c r="BF93" s="977"/>
      <c r="BG93" s="977"/>
      <c r="BH93" s="977"/>
      <c r="BI93" s="977"/>
      <c r="BJ93" s="977"/>
      <c r="BK93" s="977"/>
      <c r="BL93" s="977"/>
      <c r="BM93" s="977"/>
      <c r="BN93" s="977"/>
      <c r="BO93" s="977"/>
      <c r="BP93" s="977"/>
      <c r="BQ93" s="977"/>
      <c r="BR93" s="977"/>
      <c r="BS93" s="977"/>
      <c r="BT93" s="1040"/>
    </row>
    <row r="94" spans="1:72" ht="15" customHeight="1">
      <c r="A94" s="112"/>
      <c r="B94" s="1111"/>
      <c r="C94" s="1111"/>
      <c r="D94" s="1111"/>
      <c r="E94" s="1111"/>
      <c r="F94" s="1111"/>
      <c r="G94" s="1111"/>
      <c r="H94" s="1111"/>
      <c r="I94" s="1111"/>
      <c r="J94" s="1111"/>
      <c r="K94" s="1111"/>
      <c r="L94" s="1111"/>
      <c r="M94" s="1111"/>
      <c r="N94" s="1111"/>
      <c r="O94" s="1111"/>
      <c r="P94" s="1111"/>
      <c r="Q94" s="1111"/>
      <c r="R94" s="1111"/>
      <c r="S94" s="1111"/>
      <c r="T94" s="1111"/>
      <c r="U94" s="1111"/>
      <c r="V94" s="1111"/>
      <c r="W94" s="1111"/>
      <c r="X94" s="1111"/>
      <c r="Y94" s="1111"/>
      <c r="Z94" s="1111"/>
      <c r="AA94" s="1111"/>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659"/>
      <c r="BD94" s="977"/>
      <c r="BE94" s="977"/>
      <c r="BF94" s="977"/>
      <c r="BG94" s="977"/>
      <c r="BH94" s="977"/>
      <c r="BI94" s="977"/>
      <c r="BJ94" s="977"/>
      <c r="BK94" s="977"/>
      <c r="BL94" s="977"/>
      <c r="BM94" s="977"/>
      <c r="BN94" s="977"/>
      <c r="BO94" s="977"/>
      <c r="BP94" s="977"/>
      <c r="BQ94" s="977"/>
      <c r="BR94" s="977"/>
      <c r="BS94" s="977"/>
      <c r="BT94" s="1040"/>
    </row>
    <row r="95" spans="1:72" ht="15" customHeight="1">
      <c r="A95" s="112"/>
      <c r="B95" s="1111"/>
      <c r="C95" s="1111"/>
      <c r="D95" s="1111"/>
      <c r="E95" s="1111"/>
      <c r="F95" s="1111"/>
      <c r="G95" s="1111"/>
      <c r="H95" s="1111"/>
      <c r="I95" s="1111"/>
      <c r="J95" s="1111"/>
      <c r="K95" s="1111"/>
      <c r="L95" s="1111"/>
      <c r="M95" s="1111"/>
      <c r="N95" s="1111"/>
      <c r="O95" s="1111"/>
      <c r="P95" s="1111"/>
      <c r="Q95" s="1111"/>
      <c r="R95" s="1111"/>
      <c r="S95" s="1111"/>
      <c r="T95" s="1111"/>
      <c r="U95" s="1111"/>
      <c r="V95" s="1111"/>
      <c r="W95" s="1111"/>
      <c r="X95" s="1111"/>
      <c r="Y95" s="1111"/>
      <c r="Z95" s="1111"/>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659"/>
      <c r="BD95" s="977"/>
      <c r="BE95" s="977"/>
      <c r="BF95" s="977"/>
      <c r="BG95" s="977"/>
      <c r="BH95" s="977"/>
      <c r="BI95" s="977"/>
      <c r="BJ95" s="977"/>
      <c r="BK95" s="977"/>
      <c r="BL95" s="977"/>
      <c r="BM95" s="977"/>
      <c r="BN95" s="977"/>
      <c r="BO95" s="977"/>
      <c r="BP95" s="977"/>
      <c r="BQ95" s="977"/>
      <c r="BR95" s="977"/>
      <c r="BS95" s="977"/>
      <c r="BT95" s="1040"/>
    </row>
    <row r="96" spans="1:72" ht="15" customHeight="1">
      <c r="A96" s="112"/>
      <c r="B96" s="1111"/>
      <c r="C96" s="1111"/>
      <c r="D96" s="1111"/>
      <c r="E96" s="1111"/>
      <c r="F96" s="1111"/>
      <c r="G96" s="1111"/>
      <c r="H96" s="1111"/>
      <c r="I96" s="1111"/>
      <c r="J96" s="1111"/>
      <c r="K96" s="1111"/>
      <c r="L96" s="1111"/>
      <c r="M96" s="1111"/>
      <c r="N96" s="1111"/>
      <c r="O96" s="1111"/>
      <c r="P96" s="1111"/>
      <c r="Q96" s="1111"/>
      <c r="R96" s="1111"/>
      <c r="S96" s="1111"/>
      <c r="T96" s="1111"/>
      <c r="U96" s="1111"/>
      <c r="V96" s="1111"/>
      <c r="W96" s="1111"/>
      <c r="X96" s="1111"/>
      <c r="Y96" s="1111"/>
      <c r="Z96" s="1111"/>
      <c r="AA96" s="1111"/>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659"/>
      <c r="BD96" s="977"/>
      <c r="BE96" s="977"/>
      <c r="BF96" s="977"/>
      <c r="BG96" s="977"/>
      <c r="BH96" s="977"/>
      <c r="BI96" s="977"/>
      <c r="BJ96" s="977"/>
      <c r="BK96" s="977"/>
      <c r="BL96" s="977"/>
      <c r="BM96" s="977"/>
      <c r="BN96" s="977"/>
      <c r="BO96" s="977"/>
      <c r="BP96" s="977"/>
      <c r="BQ96" s="977"/>
      <c r="BR96" s="977"/>
      <c r="BS96" s="977"/>
      <c r="BT96" s="1040"/>
    </row>
    <row r="97" spans="1:72" ht="15" customHeight="1">
      <c r="A97" s="112"/>
      <c r="B97" s="1056"/>
      <c r="C97" s="1056"/>
      <c r="D97" s="1056"/>
      <c r="E97" s="1056"/>
      <c r="F97" s="1056"/>
      <c r="G97" s="1056"/>
      <c r="H97" s="1056"/>
      <c r="I97" s="1056"/>
      <c r="J97" s="1056"/>
      <c r="K97" s="1056"/>
      <c r="L97" s="1056"/>
      <c r="M97" s="1056"/>
      <c r="N97" s="1056"/>
      <c r="O97" s="1056"/>
      <c r="P97" s="1056"/>
      <c r="Q97" s="1056"/>
      <c r="R97" s="1056"/>
      <c r="S97" s="1056"/>
      <c r="T97" s="1056"/>
      <c r="U97" s="1056"/>
      <c r="V97" s="1056"/>
      <c r="W97" s="1056"/>
      <c r="X97" s="1056"/>
      <c r="Y97" s="1056"/>
      <c r="Z97" s="1056"/>
      <c r="AA97" s="1056"/>
      <c r="AB97" s="1056"/>
      <c r="AC97" s="1056"/>
      <c r="AD97" s="1056"/>
      <c r="AE97" s="1056"/>
      <c r="AF97" s="1056"/>
      <c r="AG97" s="1056"/>
      <c r="AH97" s="1056"/>
      <c r="AI97" s="1056"/>
      <c r="AJ97" s="1056"/>
      <c r="AK97" s="1056"/>
      <c r="AL97" s="1056"/>
      <c r="AM97" s="1056"/>
      <c r="AN97" s="1056"/>
      <c r="AO97" s="1056"/>
      <c r="AP97" s="1056"/>
      <c r="AQ97" s="1056"/>
      <c r="AR97" s="1056"/>
      <c r="AS97" s="1054"/>
      <c r="AT97" s="3429"/>
      <c r="AU97" s="3429"/>
      <c r="AV97" s="3429"/>
      <c r="AW97" s="1112"/>
      <c r="AX97" s="1112"/>
      <c r="AY97" s="1112"/>
      <c r="AZ97" s="1113"/>
      <c r="BA97" s="1113"/>
      <c r="BB97" s="1113"/>
      <c r="BC97" s="1659"/>
      <c r="BD97" s="977"/>
      <c r="BE97" s="977"/>
      <c r="BF97" s="977"/>
      <c r="BG97" s="977"/>
      <c r="BH97" s="977"/>
      <c r="BI97" s="977"/>
      <c r="BJ97" s="977"/>
      <c r="BK97" s="977"/>
      <c r="BL97" s="977"/>
      <c r="BM97" s="977"/>
      <c r="BN97" s="977"/>
      <c r="BO97" s="977"/>
      <c r="BP97" s="977"/>
      <c r="BQ97" s="977"/>
      <c r="BR97" s="977"/>
      <c r="BS97" s="977"/>
      <c r="BT97" s="1040"/>
    </row>
    <row r="98" spans="1:72" ht="15" customHeight="1">
      <c r="A98" s="112"/>
      <c r="B98" s="3415" t="s">
        <v>1001</v>
      </c>
      <c r="C98" s="3415"/>
      <c r="D98" s="1057">
        <v>23</v>
      </c>
      <c r="E98" s="3416" t="s">
        <v>1002</v>
      </c>
      <c r="F98" s="3416"/>
      <c r="G98" s="3416"/>
      <c r="H98" s="3416"/>
      <c r="I98" s="1083">
        <v>2</v>
      </c>
      <c r="J98" s="3417" t="str">
        <f>" litres &amp; so we we use the equiv of  "&amp;D98&amp;" &amp; "&amp;I98&amp;" litres this makes up the total eqiv of the brew - "&amp;(D98+I98)&amp;" litres."</f>
        <v xml:space="preserve"> litres &amp; so we we use the equiv of  23 &amp; 2 litres this makes up the total eqiv of the brew - 25 litres.</v>
      </c>
      <c r="K98" s="3417"/>
      <c r="L98" s="3417"/>
      <c r="M98" s="3417"/>
      <c r="N98" s="3417"/>
      <c r="O98" s="3417"/>
      <c r="P98" s="3417"/>
      <c r="Q98" s="3417"/>
      <c r="R98" s="3417"/>
      <c r="S98" s="1056"/>
      <c r="T98" s="1056"/>
      <c r="U98" s="1056"/>
      <c r="V98" s="1056"/>
      <c r="W98" s="1056"/>
      <c r="X98" s="1056"/>
      <c r="Y98" s="1056"/>
      <c r="Z98" s="1056"/>
      <c r="AA98" s="1056"/>
      <c r="AB98" s="1056"/>
      <c r="AC98" s="1056"/>
      <c r="AD98" s="1056"/>
      <c r="AE98" s="1056"/>
      <c r="AF98" s="1056"/>
      <c r="AG98" s="1056"/>
      <c r="AH98" s="1056"/>
      <c r="AI98" s="1056"/>
      <c r="AJ98" s="1056"/>
      <c r="AK98" s="1056"/>
      <c r="AL98" s="1056"/>
      <c r="AM98" s="1056"/>
      <c r="AN98" s="1056"/>
      <c r="AO98" s="1056"/>
      <c r="AP98" s="1056"/>
      <c r="AQ98" s="1056"/>
      <c r="AR98" s="1056"/>
      <c r="AS98" s="1056"/>
      <c r="AT98" s="1056"/>
      <c r="AU98" s="1056"/>
      <c r="AV98" s="1056"/>
      <c r="AW98" s="1056"/>
      <c r="AX98" s="1056"/>
      <c r="AY98" s="1056"/>
      <c r="AZ98" s="1056"/>
      <c r="BA98" s="1114"/>
      <c r="BB98" s="1114"/>
      <c r="BC98" s="1659"/>
      <c r="BD98" s="977"/>
      <c r="BE98" s="977"/>
      <c r="BF98" s="977"/>
      <c r="BG98" s="977"/>
      <c r="BH98" s="977"/>
      <c r="BI98" s="977"/>
      <c r="BJ98" s="977"/>
      <c r="BK98" s="977"/>
      <c r="BL98" s="977"/>
      <c r="BM98" s="977"/>
      <c r="BN98" s="977"/>
      <c r="BO98" s="977"/>
      <c r="BP98" s="977"/>
      <c r="BQ98" s="977"/>
      <c r="BR98" s="977"/>
      <c r="BS98" s="977"/>
      <c r="BT98" s="1040"/>
    </row>
    <row r="99" spans="1:72" ht="15" customHeight="1">
      <c r="A99" s="112"/>
      <c r="C99" s="1058"/>
      <c r="D99" s="1059"/>
      <c r="E99" s="1060"/>
      <c r="F99" s="1060"/>
      <c r="G99" s="1060"/>
      <c r="H99" s="1060"/>
      <c r="I99" s="1056"/>
      <c r="J99" s="1056"/>
      <c r="K99" s="1056"/>
      <c r="L99" s="1056"/>
      <c r="M99" s="1056"/>
      <c r="N99" s="1056"/>
      <c r="O99" s="1056"/>
      <c r="P99" s="1056"/>
      <c r="Q99" s="1056"/>
      <c r="R99" s="1056"/>
      <c r="S99" s="1056"/>
      <c r="T99" s="1056"/>
      <c r="U99" s="1056"/>
      <c r="V99" s="1056"/>
      <c r="W99" s="1056"/>
      <c r="X99" s="1056"/>
      <c r="Y99" s="1056"/>
      <c r="Z99" s="1056"/>
      <c r="AA99" s="1056"/>
      <c r="AB99" s="1056"/>
      <c r="AC99" s="1056"/>
      <c r="AD99" s="1056"/>
      <c r="AE99" s="1056"/>
      <c r="AF99" s="1056"/>
      <c r="AG99" s="1056"/>
      <c r="AH99" s="1056"/>
      <c r="AI99" s="1056"/>
      <c r="AJ99" s="1056"/>
      <c r="AK99" s="1056"/>
      <c r="AL99" s="1056"/>
      <c r="AM99" s="1056"/>
      <c r="AN99" s="1056"/>
      <c r="AO99" s="1056"/>
      <c r="AP99" s="1056"/>
      <c r="AQ99" s="1056"/>
      <c r="AR99" s="1056"/>
      <c r="AS99" s="342"/>
      <c r="AT99" s="3550" t="s">
        <v>1003</v>
      </c>
      <c r="AU99" s="3550"/>
      <c r="AV99" s="3550"/>
      <c r="AW99" s="2194" t="s">
        <v>842</v>
      </c>
      <c r="AX99" s="2194"/>
      <c r="AY99" s="2194"/>
      <c r="AZ99" s="2194"/>
      <c r="BA99" s="1114"/>
      <c r="BB99" s="1114"/>
      <c r="BC99" s="1659"/>
      <c r="BD99" s="977"/>
      <c r="BE99" s="977"/>
      <c r="BF99" s="977"/>
      <c r="BG99" s="977"/>
      <c r="BH99" s="977"/>
      <c r="BI99" s="977"/>
      <c r="BJ99" s="977"/>
      <c r="BK99" s="977"/>
      <c r="BL99" s="977"/>
      <c r="BM99" s="977"/>
      <c r="BN99" s="977"/>
      <c r="BO99" s="977"/>
      <c r="BP99" s="977"/>
      <c r="BQ99" s="977"/>
      <c r="BR99" s="977"/>
      <c r="BS99" s="977"/>
      <c r="BT99" s="1040"/>
    </row>
    <row r="100" spans="1:72" ht="15" customHeight="1">
      <c r="A100" s="3222" t="s">
        <v>844</v>
      </c>
      <c r="B100" s="3222"/>
      <c r="C100" s="3222"/>
      <c r="D100" s="3222"/>
      <c r="E100" s="3222"/>
      <c r="F100" s="3222"/>
      <c r="G100" s="3222"/>
      <c r="H100" s="1056"/>
      <c r="I100" s="1056"/>
      <c r="J100" s="1056"/>
      <c r="K100" s="1056"/>
      <c r="L100" s="1056"/>
      <c r="M100" s="1056"/>
      <c r="N100" s="1056"/>
      <c r="O100" s="1056"/>
      <c r="P100" s="1056"/>
      <c r="Q100" s="1056"/>
      <c r="R100" s="1056"/>
      <c r="S100" s="67"/>
      <c r="T100" s="67"/>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342"/>
      <c r="AQ100" s="1054"/>
      <c r="AR100" s="347"/>
      <c r="AS100" s="347"/>
      <c r="AT100" s="1056"/>
      <c r="AU100" s="3551" t="s">
        <v>1004</v>
      </c>
      <c r="AV100" s="3551"/>
      <c r="AW100" s="2194" t="s">
        <v>840</v>
      </c>
      <c r="AX100" s="2194"/>
      <c r="AY100" s="2194"/>
      <c r="AZ100" s="2194"/>
      <c r="BA100" s="1114"/>
      <c r="BB100" s="1114"/>
      <c r="BC100" s="1659"/>
      <c r="BD100" s="977"/>
      <c r="BE100" s="977"/>
      <c r="BF100" s="977"/>
      <c r="BG100" s="977"/>
      <c r="BH100" s="977"/>
      <c r="BI100" s="977"/>
      <c r="BJ100" s="977"/>
      <c r="BK100" s="977"/>
      <c r="BL100" s="977"/>
      <c r="BM100" s="977"/>
      <c r="BN100" s="977"/>
      <c r="BO100" s="977"/>
      <c r="BP100" s="977"/>
      <c r="BQ100" s="977"/>
      <c r="BR100" s="977"/>
      <c r="BS100" s="977"/>
      <c r="BT100" s="1040"/>
    </row>
    <row r="101" spans="1:72" ht="15" customHeight="1">
      <c r="A101" s="1056"/>
      <c r="B101" s="1056"/>
      <c r="C101" s="1056"/>
      <c r="D101" s="1061"/>
      <c r="E101" s="1056"/>
      <c r="F101" s="1056"/>
      <c r="G101" s="1056"/>
      <c r="H101" s="1056"/>
      <c r="I101" s="1056"/>
      <c r="J101" s="1056"/>
      <c r="K101" s="1056"/>
      <c r="L101" s="1056"/>
      <c r="M101" s="1056"/>
      <c r="N101" s="1056"/>
      <c r="O101" s="1056"/>
      <c r="P101" s="1056"/>
      <c r="Q101" s="1056"/>
      <c r="S101" s="1103"/>
      <c r="T101" s="1103"/>
      <c r="U101" s="1103"/>
      <c r="V101" s="1103"/>
      <c r="W101" s="1103"/>
      <c r="X101" s="1103"/>
      <c r="Y101" s="1103"/>
      <c r="Z101" s="1103"/>
      <c r="AA101" s="1103"/>
      <c r="AB101" s="1103"/>
      <c r="AC101" s="1103"/>
      <c r="AD101" s="1103"/>
      <c r="AE101" s="1103"/>
      <c r="AF101" s="1103"/>
      <c r="AG101" s="1103"/>
      <c r="AH101" s="1103"/>
      <c r="AI101" s="1103"/>
      <c r="AJ101" s="1103"/>
      <c r="AK101" s="1103"/>
      <c r="AL101" s="1103"/>
      <c r="AM101" s="1103"/>
      <c r="AN101" s="1103"/>
      <c r="AO101" s="1103"/>
      <c r="AP101" s="1103"/>
      <c r="AQ101" s="1103"/>
      <c r="AR101" s="1103"/>
      <c r="AS101" s="1103"/>
      <c r="AT101" s="1103"/>
      <c r="AU101" s="1103"/>
      <c r="AV101" s="1056"/>
      <c r="AW101" s="3549" t="s">
        <v>1005</v>
      </c>
      <c r="AX101" s="3549"/>
      <c r="AY101" s="3549"/>
      <c r="AZ101" s="3549"/>
      <c r="BA101" s="1114"/>
      <c r="BB101" s="1114"/>
      <c r="BC101" s="1659"/>
      <c r="BD101" s="977"/>
      <c r="BE101" s="977"/>
      <c r="BF101" s="977"/>
      <c r="BG101" s="977"/>
      <c r="BH101" s="977"/>
      <c r="BI101" s="977"/>
      <c r="BJ101" s="977"/>
      <c r="BK101" s="977"/>
      <c r="BL101" s="977"/>
      <c r="BM101" s="977"/>
      <c r="BN101" s="977"/>
      <c r="BO101" s="977"/>
      <c r="BP101" s="977"/>
      <c r="BQ101" s="977"/>
      <c r="BR101" s="977"/>
      <c r="BS101" s="977"/>
      <c r="BT101" s="1040"/>
    </row>
    <row r="102" spans="1:72" ht="15" customHeight="1">
      <c r="A102" s="3410" t="s">
        <v>845</v>
      </c>
      <c r="B102" s="3410"/>
      <c r="C102" s="114"/>
      <c r="D102" s="114"/>
      <c r="E102" s="114"/>
      <c r="F102" s="114"/>
      <c r="G102" s="114"/>
      <c r="H102" s="114"/>
      <c r="I102" s="114"/>
      <c r="J102" s="114"/>
      <c r="K102" s="114"/>
      <c r="L102" s="114"/>
      <c r="M102" s="114"/>
      <c r="N102" s="114"/>
      <c r="O102" s="114"/>
      <c r="P102" s="114"/>
      <c r="Q102" s="114"/>
      <c r="R102" s="114"/>
      <c r="S102" s="114"/>
      <c r="T102" s="114"/>
      <c r="U102" s="438"/>
      <c r="AI102" s="83"/>
      <c r="AJ102" s="83"/>
      <c r="AK102" s="1018"/>
      <c r="AL102" s="83"/>
      <c r="AN102" s="438"/>
      <c r="AO102" s="438"/>
      <c r="AP102" s="438"/>
      <c r="AQ102" s="438"/>
      <c r="AR102" s="438"/>
      <c r="AS102" s="438"/>
      <c r="AT102" s="1103"/>
      <c r="AU102" s="438"/>
      <c r="AV102" s="438"/>
      <c r="AW102" s="438"/>
      <c r="AX102" s="438"/>
      <c r="AY102" s="438"/>
      <c r="AZ102" s="438"/>
      <c r="BA102" s="438"/>
      <c r="BB102" s="438"/>
      <c r="BC102" s="1659"/>
      <c r="BD102" s="977"/>
      <c r="BE102" s="977"/>
      <c r="BF102" s="977"/>
      <c r="BG102" s="977"/>
      <c r="BH102" s="977"/>
      <c r="BI102" s="977"/>
      <c r="BJ102" s="977"/>
      <c r="BK102" s="977"/>
      <c r="BL102" s="977"/>
      <c r="BM102" s="977"/>
      <c r="BN102" s="977"/>
      <c r="BO102" s="977"/>
      <c r="BP102" s="977"/>
      <c r="BQ102" s="977"/>
      <c r="BR102" s="977"/>
      <c r="BS102" s="977"/>
      <c r="BT102" s="1040"/>
    </row>
    <row r="103" spans="1:72" ht="16.899999999999999" customHeight="1">
      <c r="A103" s="3428" t="s">
        <v>1006</v>
      </c>
      <c r="B103" s="3428"/>
      <c r="C103" s="3428"/>
      <c r="D103" s="3428"/>
      <c r="E103" s="3428"/>
      <c r="F103" s="3428"/>
      <c r="G103" s="3428"/>
      <c r="H103" s="3428"/>
      <c r="I103" s="3428"/>
      <c r="J103" s="3428"/>
      <c r="K103" s="3428"/>
      <c r="L103" s="3428"/>
      <c r="M103" s="3428"/>
      <c r="N103" s="3428"/>
      <c r="O103" s="3428"/>
      <c r="P103" s="114"/>
      <c r="Q103" s="114"/>
      <c r="R103" s="114"/>
      <c r="S103" s="114"/>
      <c r="T103" s="114"/>
      <c r="U103" s="438"/>
      <c r="AI103" s="83"/>
      <c r="AJ103" s="83"/>
      <c r="AK103" s="1018"/>
      <c r="AL103" s="83"/>
      <c r="AN103" s="438"/>
      <c r="AO103" s="438"/>
      <c r="AP103" s="438"/>
      <c r="AQ103" s="438"/>
      <c r="AR103" s="438"/>
      <c r="AS103" s="438"/>
      <c r="AT103" s="1056"/>
      <c r="AU103" s="1056"/>
      <c r="AV103" s="1056"/>
      <c r="AW103" s="1056"/>
      <c r="AX103" s="1056"/>
      <c r="AY103" s="1056"/>
      <c r="AZ103" s="1056"/>
      <c r="BA103" s="1056"/>
      <c r="BB103" s="1056"/>
      <c r="BC103" s="1659"/>
      <c r="BD103" s="977"/>
      <c r="BE103" s="977"/>
      <c r="BF103" s="977"/>
      <c r="BG103" s="977"/>
      <c r="BH103" s="977"/>
      <c r="BI103" s="977"/>
      <c r="BJ103" s="977"/>
      <c r="BK103" s="977"/>
      <c r="BL103" s="977"/>
      <c r="BM103" s="977"/>
      <c r="BN103" s="977"/>
      <c r="BO103" s="977"/>
      <c r="BP103" s="977"/>
      <c r="BQ103" s="977"/>
      <c r="BR103" s="977"/>
      <c r="BS103" s="977"/>
      <c r="BT103" s="1040"/>
    </row>
    <row r="104" spans="1:72" ht="16.899999999999999" customHeight="1">
      <c r="A104" s="3428"/>
      <c r="B104" s="3428"/>
      <c r="C104" s="3428"/>
      <c r="D104" s="3428"/>
      <c r="E104" s="3428"/>
      <c r="F104" s="3428"/>
      <c r="G104" s="3428"/>
      <c r="H104" s="3428"/>
      <c r="I104" s="3428"/>
      <c r="J104" s="3428"/>
      <c r="K104" s="3428"/>
      <c r="L104" s="3428"/>
      <c r="M104" s="3428"/>
      <c r="N104" s="3428"/>
      <c r="O104" s="3428"/>
      <c r="P104" s="1062"/>
      <c r="Q104" s="1062"/>
      <c r="R104" s="1062"/>
      <c r="S104" s="1062"/>
      <c r="T104" s="1062"/>
      <c r="U104" s="438"/>
      <c r="AI104" s="83"/>
      <c r="AJ104" s="83"/>
      <c r="AK104" s="1018"/>
      <c r="AL104" s="83"/>
      <c r="AN104" s="438"/>
      <c r="AO104" s="438"/>
      <c r="AP104" s="438"/>
      <c r="AQ104" s="438"/>
      <c r="AR104" s="438"/>
      <c r="AS104" s="438"/>
      <c r="AT104" s="1056"/>
      <c r="AU104" s="1056"/>
      <c r="AV104" s="1056"/>
      <c r="AW104" s="1056"/>
      <c r="AX104" s="1056"/>
      <c r="AY104" s="1056"/>
      <c r="AZ104" s="1056"/>
      <c r="BA104" s="1056"/>
      <c r="BB104" s="1056"/>
      <c r="BC104" s="1659"/>
      <c r="BD104" s="977"/>
      <c r="BE104" s="977"/>
      <c r="BF104" s="977"/>
      <c r="BG104" s="977"/>
      <c r="BH104" s="977"/>
      <c r="BI104" s="977"/>
      <c r="BJ104" s="977"/>
      <c r="BK104" s="977"/>
      <c r="BL104" s="977"/>
      <c r="BM104" s="977"/>
      <c r="BN104" s="977"/>
      <c r="BO104" s="977"/>
      <c r="BP104" s="977"/>
      <c r="BQ104" s="977"/>
      <c r="BR104" s="977"/>
      <c r="BS104" s="977"/>
      <c r="BT104" s="1040"/>
    </row>
    <row r="105" spans="1:72" ht="16.899999999999999" customHeight="1">
      <c r="A105" s="3428"/>
      <c r="B105" s="3428"/>
      <c r="C105" s="3428"/>
      <c r="D105" s="3428"/>
      <c r="E105" s="3428"/>
      <c r="F105" s="3428"/>
      <c r="G105" s="3428"/>
      <c r="H105" s="3428"/>
      <c r="I105" s="3428"/>
      <c r="J105" s="3428"/>
      <c r="K105" s="3428"/>
      <c r="L105" s="3428"/>
      <c r="M105" s="3428"/>
      <c r="N105" s="3428"/>
      <c r="O105" s="3428"/>
      <c r="P105" s="1062"/>
      <c r="Q105" s="1062"/>
      <c r="R105" s="1062"/>
      <c r="S105" s="1062"/>
      <c r="T105" s="1062"/>
      <c r="U105" s="438"/>
      <c r="AI105" s="83"/>
      <c r="AJ105" s="83"/>
      <c r="AK105" s="1018"/>
      <c r="AL105" s="83"/>
      <c r="AN105" s="438"/>
      <c r="AO105" s="438"/>
      <c r="AP105" s="438"/>
      <c r="AQ105" s="438"/>
      <c r="AR105" s="438"/>
      <c r="AS105" s="438"/>
      <c r="AT105" s="1056"/>
      <c r="AU105" s="1056"/>
      <c r="AV105" s="1056"/>
      <c r="AW105" s="1056"/>
      <c r="AX105" s="1056"/>
      <c r="AY105" s="1056"/>
      <c r="AZ105" s="1056"/>
      <c r="BA105" s="1056"/>
      <c r="BB105" s="1056"/>
      <c r="BC105" s="1659"/>
      <c r="BD105" s="977"/>
      <c r="BE105" s="977"/>
      <c r="BF105" s="977"/>
      <c r="BG105" s="977"/>
      <c r="BH105" s="977"/>
      <c r="BI105" s="977"/>
      <c r="BJ105" s="977"/>
      <c r="BK105" s="977"/>
      <c r="BL105" s="977"/>
      <c r="BM105" s="977"/>
      <c r="BN105" s="977"/>
      <c r="BO105" s="977"/>
      <c r="BP105" s="977"/>
      <c r="BQ105" s="977"/>
      <c r="BR105" s="977"/>
      <c r="BS105" s="977"/>
      <c r="BT105" s="1040"/>
    </row>
    <row r="106" spans="1:72" ht="16.899999999999999" customHeight="1">
      <c r="A106" s="3428"/>
      <c r="B106" s="3428"/>
      <c r="C106" s="3428"/>
      <c r="D106" s="3428"/>
      <c r="E106" s="3428"/>
      <c r="F106" s="3428"/>
      <c r="G106" s="3428"/>
      <c r="H106" s="3428"/>
      <c r="I106" s="3428"/>
      <c r="J106" s="3428"/>
      <c r="K106" s="3428"/>
      <c r="L106" s="3428"/>
      <c r="M106" s="3428"/>
      <c r="N106" s="3428"/>
      <c r="O106" s="3428"/>
      <c r="P106" s="1062"/>
      <c r="Q106" s="1062"/>
      <c r="R106" s="1062"/>
      <c r="S106" s="1062"/>
      <c r="T106" s="1062"/>
      <c r="U106" s="438"/>
      <c r="AI106" s="83"/>
      <c r="AJ106" s="83"/>
      <c r="AK106" s="1018"/>
      <c r="AL106" s="83"/>
      <c r="AN106" s="438"/>
      <c r="AO106" s="438"/>
      <c r="AP106" s="438"/>
      <c r="AQ106" s="438"/>
      <c r="AR106" s="438"/>
      <c r="AS106" s="438"/>
      <c r="AT106" s="438"/>
      <c r="AU106" s="438"/>
      <c r="AV106" s="438"/>
      <c r="AW106" s="438"/>
      <c r="AX106" s="438"/>
      <c r="AY106" s="438"/>
      <c r="AZ106" s="438"/>
      <c r="BA106" s="438"/>
      <c r="BB106" s="438"/>
      <c r="BC106" s="1659"/>
      <c r="BD106" s="977"/>
      <c r="BE106" s="977"/>
      <c r="BF106" s="977"/>
      <c r="BG106" s="977"/>
      <c r="BH106" s="977"/>
      <c r="BI106" s="977"/>
      <c r="BJ106" s="977"/>
      <c r="BK106" s="977"/>
      <c r="BL106" s="977"/>
      <c r="BM106" s="977"/>
      <c r="BN106" s="977"/>
      <c r="BO106" s="977"/>
      <c r="BP106" s="977"/>
      <c r="BQ106" s="977"/>
      <c r="BR106" s="977"/>
      <c r="BS106" s="977"/>
      <c r="BT106" s="1040"/>
    </row>
    <row r="107" spans="1:72" ht="16.899999999999999" customHeight="1">
      <c r="A107" s="3428"/>
      <c r="B107" s="3428"/>
      <c r="C107" s="3428"/>
      <c r="D107" s="3428"/>
      <c r="E107" s="3428"/>
      <c r="F107" s="3428"/>
      <c r="G107" s="3428"/>
      <c r="H107" s="3428"/>
      <c r="I107" s="3428"/>
      <c r="J107" s="3428"/>
      <c r="K107" s="3428"/>
      <c r="L107" s="3428"/>
      <c r="M107" s="3428"/>
      <c r="N107" s="3428"/>
      <c r="O107" s="3428"/>
      <c r="P107" s="1062"/>
      <c r="Q107" s="1062"/>
      <c r="R107" s="1062"/>
      <c r="S107" s="1062"/>
      <c r="T107" s="1062"/>
      <c r="U107" s="438"/>
      <c r="V107" s="70" t="s">
        <v>1007</v>
      </c>
      <c r="AI107" s="83"/>
      <c r="AJ107" s="83"/>
      <c r="AK107" s="1018"/>
      <c r="AL107" s="83"/>
      <c r="AN107" s="438"/>
      <c r="AO107" s="438"/>
      <c r="AP107" s="438"/>
      <c r="AQ107" s="438"/>
      <c r="AR107" s="438"/>
      <c r="AS107" s="438"/>
      <c r="AT107" s="438"/>
      <c r="AU107" s="438"/>
      <c r="AV107" s="438"/>
      <c r="AW107" s="438"/>
      <c r="AX107" s="438"/>
      <c r="AY107" s="438"/>
      <c r="AZ107" s="438"/>
      <c r="BA107" s="438"/>
      <c r="BB107" s="438"/>
      <c r="BC107" s="1659"/>
      <c r="BD107" s="977"/>
      <c r="BE107" s="977"/>
      <c r="BF107" s="977"/>
      <c r="BG107" s="977"/>
      <c r="BH107" s="977"/>
      <c r="BI107" s="977"/>
      <c r="BJ107" s="977"/>
      <c r="BK107" s="977"/>
      <c r="BL107" s="977"/>
      <c r="BM107" s="977"/>
      <c r="BN107" s="977"/>
      <c r="BO107" s="977"/>
      <c r="BP107" s="977"/>
      <c r="BQ107" s="977"/>
      <c r="BR107" s="977"/>
      <c r="BS107" s="977"/>
      <c r="BT107" s="1040"/>
    </row>
    <row r="108" spans="1:72" ht="16.899999999999999" customHeight="1">
      <c r="A108" s="3428"/>
      <c r="B108" s="3428"/>
      <c r="C108" s="3428"/>
      <c r="D108" s="3428"/>
      <c r="E108" s="3428"/>
      <c r="F108" s="3428"/>
      <c r="G108" s="3428"/>
      <c r="H108" s="3428"/>
      <c r="I108" s="3428"/>
      <c r="J108" s="3428"/>
      <c r="K108" s="3428"/>
      <c r="L108" s="3428"/>
      <c r="M108" s="3428"/>
      <c r="N108" s="3428"/>
      <c r="O108" s="3428"/>
      <c r="P108" s="1062"/>
      <c r="Q108" s="1062"/>
      <c r="R108" s="1062"/>
      <c r="S108" s="1062"/>
      <c r="T108" s="1062"/>
      <c r="U108" s="438"/>
      <c r="AB108" s="1109" t="s">
        <v>1008</v>
      </c>
      <c r="AC108" s="70" t="s">
        <v>1009</v>
      </c>
      <c r="AD108" s="70" t="s">
        <v>1010</v>
      </c>
      <c r="AI108" s="83"/>
      <c r="AJ108" s="83"/>
      <c r="AK108" s="1018"/>
      <c r="AL108" s="83"/>
      <c r="AN108" s="438"/>
      <c r="AO108" s="438"/>
      <c r="AP108" s="438"/>
      <c r="AQ108" s="438"/>
      <c r="AR108" s="438"/>
      <c r="AS108" s="438"/>
      <c r="AT108" s="438"/>
      <c r="AU108" s="438"/>
      <c r="AV108" s="438"/>
      <c r="AW108" s="438"/>
      <c r="AX108" s="438"/>
      <c r="AY108" s="438"/>
      <c r="AZ108" s="438"/>
      <c r="BA108" s="438"/>
      <c r="BB108" s="438"/>
      <c r="BC108" s="1659"/>
      <c r="BD108" s="977"/>
      <c r="BE108" s="977"/>
      <c r="BF108" s="977"/>
      <c r="BG108" s="977"/>
      <c r="BH108" s="977"/>
      <c r="BI108" s="977"/>
      <c r="BJ108" s="977"/>
      <c r="BK108" s="977"/>
      <c r="BL108" s="977"/>
      <c r="BM108" s="977"/>
      <c r="BN108" s="977"/>
      <c r="BO108" s="977"/>
      <c r="BP108" s="977"/>
      <c r="BQ108" s="977"/>
      <c r="BR108" s="977"/>
      <c r="BS108" s="977"/>
      <c r="BT108" s="1040"/>
    </row>
    <row r="109" spans="1:72" ht="16.899999999999999" customHeight="1">
      <c r="A109" s="3428"/>
      <c r="B109" s="3428"/>
      <c r="C109" s="3428"/>
      <c r="D109" s="3428"/>
      <c r="E109" s="3428"/>
      <c r="F109" s="3428"/>
      <c r="G109" s="3428"/>
      <c r="H109" s="3428"/>
      <c r="I109" s="3428"/>
      <c r="J109" s="3428"/>
      <c r="K109" s="3428"/>
      <c r="L109" s="3428"/>
      <c r="M109" s="3428"/>
      <c r="N109" s="3428"/>
      <c r="O109" s="3428"/>
      <c r="P109" s="1062"/>
      <c r="Q109" s="1062"/>
      <c r="R109" s="1062"/>
      <c r="S109" s="1062"/>
      <c r="T109" s="1062"/>
      <c r="U109" s="438"/>
      <c r="V109" s="70">
        <v>1000</v>
      </c>
      <c r="W109" s="70" t="s">
        <v>1011</v>
      </c>
      <c r="Y109" s="70">
        <f t="shared" ref="Y109:Y113" si="50">V109*0.00265</f>
        <v>2.65</v>
      </c>
      <c r="Z109" s="70" t="s">
        <v>319</v>
      </c>
      <c r="AC109" s="70" t="s">
        <v>1012</v>
      </c>
      <c r="AI109" s="83"/>
      <c r="AJ109" s="83"/>
      <c r="AK109" s="1018"/>
      <c r="AL109" s="83"/>
      <c r="AN109" s="438"/>
      <c r="AO109" s="438"/>
      <c r="AP109" s="438"/>
      <c r="AQ109" s="438"/>
      <c r="AR109" s="438"/>
      <c r="AS109" s="438"/>
      <c r="AT109" s="438"/>
      <c r="AU109" s="438"/>
      <c r="AV109" s="438"/>
      <c r="AW109" s="438"/>
      <c r="AX109" s="438"/>
      <c r="AY109" s="438"/>
      <c r="AZ109" s="438"/>
      <c r="BA109" s="438"/>
      <c r="BB109" s="438"/>
      <c r="BC109" s="1659"/>
      <c r="BD109" s="977"/>
      <c r="BE109" s="977"/>
      <c r="BF109" s="977"/>
      <c r="BG109" s="977"/>
      <c r="BH109" s="977"/>
      <c r="BI109" s="977"/>
      <c r="BJ109" s="977"/>
      <c r="BK109" s="977"/>
      <c r="BL109" s="977"/>
      <c r="BM109" s="977"/>
      <c r="BN109" s="977"/>
      <c r="BO109" s="977"/>
      <c r="BP109" s="977"/>
      <c r="BQ109" s="977"/>
      <c r="BR109" s="977"/>
      <c r="BS109" s="977"/>
      <c r="BT109" s="1040"/>
    </row>
    <row r="110" spans="1:72" ht="16.899999999999999" customHeight="1">
      <c r="A110" s="3428"/>
      <c r="B110" s="3428"/>
      <c r="C110" s="3428"/>
      <c r="D110" s="3428"/>
      <c r="E110" s="3428"/>
      <c r="F110" s="3428"/>
      <c r="G110" s="3428"/>
      <c r="H110" s="3428"/>
      <c r="I110" s="3428"/>
      <c r="J110" s="3428"/>
      <c r="K110" s="3428"/>
      <c r="L110" s="3428"/>
      <c r="M110" s="3428"/>
      <c r="N110" s="3428"/>
      <c r="O110" s="3428"/>
      <c r="P110" s="1062"/>
      <c r="Q110" s="1062"/>
      <c r="R110" s="1062"/>
      <c r="S110" s="1062"/>
      <c r="T110" s="1062"/>
      <c r="U110" s="438"/>
      <c r="V110" s="70">
        <v>1</v>
      </c>
      <c r="W110" s="70" t="s">
        <v>1013</v>
      </c>
      <c r="Y110" s="70">
        <f t="shared" si="50"/>
        <v>2.65E-3</v>
      </c>
      <c r="Z110" s="70" t="s">
        <v>319</v>
      </c>
      <c r="AI110" s="83"/>
      <c r="AJ110" s="83"/>
      <c r="AK110" s="1018"/>
      <c r="AL110" s="83"/>
      <c r="AN110" s="438"/>
      <c r="AO110" s="438"/>
      <c r="AP110" s="438"/>
      <c r="AQ110" s="438"/>
      <c r="AR110" s="438"/>
      <c r="AS110" s="438"/>
      <c r="AT110" s="438"/>
      <c r="AU110" s="438"/>
      <c r="AV110" s="438"/>
      <c r="AW110" s="438"/>
      <c r="AX110" s="438"/>
      <c r="AY110" s="438"/>
      <c r="AZ110" s="438"/>
      <c r="BA110" s="438"/>
      <c r="BB110" s="438"/>
      <c r="BC110" s="1659"/>
      <c r="BD110" s="977"/>
      <c r="BE110" s="977"/>
      <c r="BF110" s="977"/>
      <c r="BG110" s="977"/>
      <c r="BH110" s="977"/>
      <c r="BI110" s="977"/>
      <c r="BJ110" s="977"/>
      <c r="BK110" s="977"/>
      <c r="BL110" s="977"/>
      <c r="BM110" s="977"/>
      <c r="BN110" s="977"/>
      <c r="BO110" s="977"/>
      <c r="BP110" s="977"/>
      <c r="BQ110" s="977"/>
      <c r="BR110" s="977"/>
      <c r="BS110" s="977"/>
      <c r="BT110" s="1040"/>
    </row>
    <row r="111" spans="1:72" ht="16.899999999999999" customHeight="1">
      <c r="A111" s="3428"/>
      <c r="B111" s="3428"/>
      <c r="C111" s="3428"/>
      <c r="D111" s="3428"/>
      <c r="E111" s="3428"/>
      <c r="F111" s="3428"/>
      <c r="G111" s="3428"/>
      <c r="H111" s="3428"/>
      <c r="I111" s="3428"/>
      <c r="J111" s="3428"/>
      <c r="K111" s="3428"/>
      <c r="L111" s="3428"/>
      <c r="M111" s="3428"/>
      <c r="N111" s="3428"/>
      <c r="O111" s="3428"/>
      <c r="P111" s="1062"/>
      <c r="Q111" s="1062"/>
      <c r="R111" s="1062"/>
      <c r="S111" s="1062"/>
      <c r="T111" s="1062"/>
      <c r="U111" s="438"/>
      <c r="V111" s="70">
        <v>100</v>
      </c>
      <c r="W111" s="70" t="s">
        <v>1013</v>
      </c>
      <c r="Y111" s="70">
        <f t="shared" si="50"/>
        <v>0.26500000000000001</v>
      </c>
      <c r="Z111" s="70" t="s">
        <v>319</v>
      </c>
      <c r="AI111" s="83"/>
      <c r="AJ111" s="83"/>
      <c r="AK111" s="1018"/>
      <c r="AL111" s="83"/>
      <c r="AN111" s="438"/>
      <c r="AO111" s="438"/>
      <c r="AP111" s="438"/>
      <c r="AQ111" s="438"/>
      <c r="AR111" s="438"/>
      <c r="AS111" s="438"/>
      <c r="AT111" s="438"/>
      <c r="AU111" s="438"/>
      <c r="AV111" s="438"/>
      <c r="AW111" s="438"/>
      <c r="AX111" s="438"/>
      <c r="AY111" s="438"/>
      <c r="AZ111" s="438"/>
      <c r="BA111" s="438"/>
      <c r="BB111" s="438"/>
      <c r="BC111" s="1659"/>
      <c r="BD111" s="977"/>
      <c r="BE111" s="977"/>
      <c r="BF111" s="977"/>
      <c r="BG111" s="977"/>
      <c r="BH111" s="977"/>
      <c r="BI111" s="977"/>
      <c r="BJ111" s="977"/>
      <c r="BK111" s="977"/>
      <c r="BL111" s="977"/>
      <c r="BM111" s="977"/>
      <c r="BN111" s="977"/>
      <c r="BO111" s="977"/>
      <c r="BP111" s="977"/>
      <c r="BQ111" s="977"/>
      <c r="BR111" s="977"/>
      <c r="BS111" s="977"/>
      <c r="BT111" s="1040"/>
    </row>
    <row r="112" spans="1:72" ht="16.899999999999999" customHeight="1">
      <c r="A112" s="3428"/>
      <c r="B112" s="3428"/>
      <c r="C112" s="3428"/>
      <c r="D112" s="3428"/>
      <c r="E112" s="3428"/>
      <c r="F112" s="3428"/>
      <c r="G112" s="3428"/>
      <c r="H112" s="3428"/>
      <c r="I112" s="3428"/>
      <c r="J112" s="3428"/>
      <c r="K112" s="3428"/>
      <c r="L112" s="3428"/>
      <c r="M112" s="3428"/>
      <c r="N112" s="3428"/>
      <c r="O112" s="3428"/>
      <c r="P112" s="1062"/>
      <c r="Q112" s="1062"/>
      <c r="R112" s="1062"/>
      <c r="S112" s="1062"/>
      <c r="T112" s="1062"/>
      <c r="U112" s="438"/>
      <c r="V112" s="70">
        <v>1000</v>
      </c>
      <c r="W112" s="70" t="s">
        <v>1013</v>
      </c>
      <c r="Y112" s="70">
        <f t="shared" si="50"/>
        <v>2.65</v>
      </c>
      <c r="Z112" s="70" t="s">
        <v>319</v>
      </c>
      <c r="AI112" s="83"/>
      <c r="AJ112" s="83"/>
      <c r="AK112" s="1018"/>
      <c r="AL112" s="83"/>
      <c r="AN112" s="438"/>
      <c r="AO112" s="438"/>
      <c r="AP112" s="438"/>
      <c r="AQ112" s="438"/>
      <c r="AR112" s="438"/>
      <c r="AS112" s="438"/>
      <c r="AT112" s="438"/>
      <c r="AU112" s="438"/>
      <c r="AV112" s="438"/>
      <c r="AW112" s="438"/>
      <c r="AX112" s="438"/>
      <c r="AY112" s="438"/>
      <c r="AZ112" s="438"/>
      <c r="BA112" s="438"/>
      <c r="BB112" s="438"/>
      <c r="BC112" s="1659"/>
      <c r="BD112" s="977"/>
      <c r="BE112" s="977"/>
      <c r="BF112" s="977"/>
      <c r="BG112" s="977"/>
      <c r="BH112" s="977"/>
      <c r="BI112" s="977"/>
      <c r="BJ112" s="977"/>
      <c r="BK112" s="977"/>
      <c r="BL112" s="977"/>
      <c r="BM112" s="977"/>
      <c r="BN112" s="977"/>
      <c r="BO112" s="977"/>
      <c r="BP112" s="977"/>
      <c r="BQ112" s="977"/>
      <c r="BR112" s="977"/>
      <c r="BS112" s="977"/>
      <c r="BT112" s="1040"/>
    </row>
    <row r="113" spans="1:72" ht="16.899999999999999" customHeight="1">
      <c r="A113" s="3428"/>
      <c r="B113" s="3428"/>
      <c r="C113" s="3428"/>
      <c r="D113" s="3428"/>
      <c r="E113" s="3428"/>
      <c r="F113" s="3428"/>
      <c r="G113" s="3428"/>
      <c r="H113" s="3428"/>
      <c r="I113" s="3428"/>
      <c r="J113" s="3428"/>
      <c r="K113" s="3428"/>
      <c r="L113" s="3428"/>
      <c r="M113" s="3428"/>
      <c r="N113" s="3428"/>
      <c r="O113" s="3428"/>
      <c r="P113" s="1062"/>
      <c r="Q113" s="1062"/>
      <c r="R113" s="1062"/>
      <c r="S113" s="1062"/>
      <c r="T113" s="1062"/>
      <c r="U113" s="438"/>
      <c r="V113" s="70">
        <v>500</v>
      </c>
      <c r="W113" s="70" t="s">
        <v>1013</v>
      </c>
      <c r="Y113" s="70">
        <f t="shared" si="50"/>
        <v>1.325</v>
      </c>
      <c r="Z113" s="70" t="s">
        <v>319</v>
      </c>
      <c r="AI113" s="83"/>
      <c r="AJ113" s="83"/>
      <c r="AK113" s="1018"/>
      <c r="AL113" s="83"/>
      <c r="AN113" s="438"/>
      <c r="AO113" s="438"/>
      <c r="AP113" s="438"/>
      <c r="AQ113" s="438"/>
      <c r="AR113" s="438"/>
      <c r="AS113" s="438"/>
      <c r="AT113" s="438"/>
      <c r="AU113" s="438"/>
      <c r="AV113" s="438"/>
      <c r="AW113" s="438"/>
      <c r="AX113" s="438"/>
      <c r="AY113" s="438"/>
      <c r="AZ113" s="438"/>
      <c r="BA113" s="438"/>
      <c r="BB113" s="438"/>
      <c r="BC113" s="1659"/>
      <c r="BD113" s="977"/>
      <c r="BE113" s="977"/>
      <c r="BF113" s="977"/>
      <c r="BG113" s="977"/>
      <c r="BH113" s="977"/>
      <c r="BI113" s="977"/>
      <c r="BJ113" s="977"/>
      <c r="BK113" s="977"/>
      <c r="BL113" s="977"/>
      <c r="BM113" s="977"/>
      <c r="BN113" s="977"/>
      <c r="BO113" s="977"/>
      <c r="BP113" s="977"/>
      <c r="BQ113" s="977"/>
      <c r="BR113" s="977"/>
      <c r="BS113" s="977"/>
      <c r="BT113" s="1040"/>
    </row>
    <row r="114" spans="1:72" ht="15" customHeight="1">
      <c r="A114" s="3428"/>
      <c r="B114" s="3428"/>
      <c r="C114" s="3428"/>
      <c r="D114" s="3428"/>
      <c r="E114" s="3428"/>
      <c r="F114" s="3428"/>
      <c r="G114" s="3428"/>
      <c r="H114" s="3428"/>
      <c r="I114" s="3428"/>
      <c r="J114" s="3428"/>
      <c r="K114" s="3428"/>
      <c r="L114" s="3428"/>
      <c r="M114" s="3428"/>
      <c r="N114" s="3428"/>
      <c r="O114" s="3428"/>
      <c r="P114" s="1062"/>
      <c r="Q114" s="1062"/>
      <c r="R114" s="1062"/>
      <c r="S114" s="1062"/>
      <c r="T114" s="1062"/>
      <c r="U114" s="438"/>
      <c r="AI114" s="83"/>
      <c r="AJ114" s="83"/>
      <c r="AK114" s="1018"/>
      <c r="AL114" s="83"/>
      <c r="AN114" s="438"/>
      <c r="AO114" s="438"/>
      <c r="AP114" s="438"/>
      <c r="AQ114" s="438"/>
      <c r="AR114" s="438"/>
      <c r="AS114" s="438"/>
      <c r="AT114" s="438"/>
      <c r="AU114" s="438"/>
      <c r="AV114" s="438"/>
      <c r="AW114" s="438"/>
      <c r="AX114" s="438"/>
      <c r="AY114" s="438"/>
      <c r="AZ114" s="438"/>
      <c r="BA114" s="438"/>
      <c r="BB114" s="438"/>
      <c r="BC114" s="1659"/>
      <c r="BD114" s="977"/>
      <c r="BE114" s="977"/>
      <c r="BF114" s="977"/>
      <c r="BG114" s="977"/>
      <c r="BH114" s="977"/>
      <c r="BI114" s="977"/>
      <c r="BJ114" s="977"/>
      <c r="BK114" s="977"/>
      <c r="BL114" s="977"/>
      <c r="BM114" s="977"/>
      <c r="BN114" s="977"/>
      <c r="BO114" s="977"/>
      <c r="BP114" s="977"/>
      <c r="BQ114" s="977"/>
      <c r="BR114" s="977"/>
      <c r="BS114" s="977"/>
      <c r="BT114" s="1040"/>
    </row>
    <row r="115" spans="1:72" ht="15" customHeight="1">
      <c r="A115" s="548"/>
      <c r="B115" s="548"/>
      <c r="C115" s="548"/>
      <c r="D115" s="548"/>
      <c r="E115" s="548"/>
      <c r="F115" s="548"/>
      <c r="G115" s="548"/>
      <c r="H115" s="548"/>
      <c r="I115" s="548"/>
      <c r="J115" s="548"/>
      <c r="K115" s="1766"/>
      <c r="L115" s="1062"/>
      <c r="M115" s="1062"/>
      <c r="N115" s="1062"/>
      <c r="O115" s="1062"/>
      <c r="P115" s="1062"/>
      <c r="Q115" s="1062"/>
      <c r="R115" s="1062"/>
      <c r="S115" s="1062"/>
      <c r="T115" s="1062"/>
      <c r="U115" s="438"/>
      <c r="AI115" s="83"/>
      <c r="AJ115" s="83"/>
      <c r="AK115" s="1018"/>
      <c r="AL115" s="83"/>
      <c r="AN115" s="438"/>
      <c r="AO115" s="438"/>
      <c r="AP115" s="438"/>
      <c r="AQ115" s="438"/>
      <c r="AR115" s="438"/>
      <c r="AS115" s="438"/>
      <c r="AT115" s="438"/>
      <c r="AU115" s="438"/>
      <c r="AV115" s="438"/>
      <c r="AW115" s="438"/>
      <c r="AX115" s="438"/>
      <c r="AY115" s="438"/>
      <c r="AZ115" s="438"/>
      <c r="BA115" s="438"/>
      <c r="BB115" s="438"/>
      <c r="BC115" s="1659"/>
      <c r="BD115" s="977"/>
      <c r="BE115" s="977"/>
      <c r="BF115" s="977"/>
      <c r="BG115" s="977"/>
      <c r="BH115" s="977"/>
      <c r="BI115" s="977"/>
      <c r="BJ115" s="977"/>
      <c r="BK115" s="977"/>
      <c r="BL115" s="977"/>
      <c r="BM115" s="977"/>
      <c r="BN115" s="977"/>
      <c r="BO115" s="977"/>
      <c r="BP115" s="977"/>
      <c r="BQ115" s="977"/>
      <c r="BR115" s="977"/>
      <c r="BS115" s="977"/>
      <c r="BT115" s="1040"/>
    </row>
    <row r="116" spans="1:72" ht="15" customHeight="1">
      <c r="A116" s="1062"/>
      <c r="B116" s="3409" t="s">
        <v>1014</v>
      </c>
      <c r="C116" s="3409"/>
      <c r="D116" s="1062"/>
      <c r="E116" s="1062"/>
      <c r="F116" s="1062"/>
      <c r="G116" s="1062"/>
      <c r="H116" s="1062"/>
      <c r="I116" s="1062"/>
      <c r="J116" s="1062"/>
      <c r="K116" s="1062"/>
      <c r="L116" s="1062"/>
      <c r="M116" s="1062"/>
      <c r="N116" s="1062"/>
      <c r="O116" s="1062"/>
      <c r="P116" s="1062"/>
      <c r="Q116" s="1062"/>
      <c r="R116" s="1062"/>
      <c r="S116" s="1062"/>
      <c r="T116" s="1062"/>
      <c r="U116" s="438"/>
      <c r="V116" s="70">
        <v>6700</v>
      </c>
      <c r="W116" s="70" t="s">
        <v>1013</v>
      </c>
      <c r="Y116" s="70">
        <f>V116*0.00265</f>
        <v>17.754999999999999</v>
      </c>
      <c r="Z116" s="70" t="s">
        <v>319</v>
      </c>
      <c r="AI116" s="83"/>
      <c r="AJ116" s="83"/>
      <c r="AK116" s="1018"/>
      <c r="AL116" s="83"/>
      <c r="AN116" s="438"/>
      <c r="AO116" s="438"/>
      <c r="AP116" s="438"/>
      <c r="AQ116" s="438"/>
      <c r="AR116" s="438"/>
      <c r="AS116" s="438"/>
      <c r="AT116" s="438"/>
      <c r="AU116" s="438"/>
      <c r="AV116" s="438"/>
      <c r="AW116" s="438"/>
      <c r="AX116" s="438"/>
      <c r="AY116" s="438"/>
      <c r="AZ116" s="438"/>
      <c r="BA116" s="438"/>
      <c r="BB116" s="438"/>
      <c r="BC116" s="1659"/>
      <c r="BD116" s="977"/>
      <c r="BE116" s="977"/>
      <c r="BF116" s="977"/>
      <c r="BG116" s="977"/>
      <c r="BH116" s="977"/>
      <c r="BI116" s="977"/>
      <c r="BJ116" s="977"/>
      <c r="BK116" s="977"/>
      <c r="BL116" s="977"/>
      <c r="BM116" s="977"/>
      <c r="BN116" s="977"/>
      <c r="BO116" s="977"/>
      <c r="BP116" s="977"/>
      <c r="BQ116" s="977"/>
      <c r="BR116" s="977"/>
      <c r="BS116" s="977"/>
      <c r="BT116" s="1040"/>
    </row>
    <row r="117" spans="1:72" ht="15" customHeight="1">
      <c r="A117" s="112"/>
      <c r="B117" s="1063" t="s">
        <v>1015</v>
      </c>
      <c r="C117" s="2776">
        <v>0.04</v>
      </c>
      <c r="D117" s="2777">
        <v>4.1500000000000004</v>
      </c>
      <c r="E117" s="4585" t="s">
        <v>812</v>
      </c>
      <c r="F117" s="3418"/>
      <c r="G117" s="255"/>
      <c r="H117" s="1064"/>
      <c r="I117" s="1064"/>
      <c r="J117" s="1064"/>
      <c r="K117" s="112"/>
      <c r="L117" s="112"/>
      <c r="M117" s="112"/>
      <c r="N117" s="112"/>
      <c r="O117" s="112"/>
      <c r="P117" s="112"/>
      <c r="Q117" s="112"/>
      <c r="R117" s="112"/>
      <c r="S117" s="991"/>
      <c r="T117" s="991"/>
      <c r="U117" s="438"/>
      <c r="V117" s="70">
        <v>4750</v>
      </c>
      <c r="W117" s="70" t="s">
        <v>1013</v>
      </c>
      <c r="Y117" s="70">
        <f>V117*0.00265</f>
        <v>12.5875</v>
      </c>
      <c r="Z117" s="70" t="s">
        <v>319</v>
      </c>
      <c r="AI117" s="83"/>
      <c r="AJ117" s="83"/>
      <c r="AK117" s="1018"/>
      <c r="AL117" s="83"/>
      <c r="AN117" s="438"/>
      <c r="AO117" s="438"/>
      <c r="AP117" s="438"/>
      <c r="AQ117" s="438"/>
      <c r="AR117" s="438"/>
      <c r="AS117" s="438"/>
      <c r="AT117" s="438"/>
      <c r="AU117" s="438"/>
      <c r="AV117" s="438"/>
      <c r="AW117" s="438"/>
      <c r="AX117" s="438"/>
      <c r="AY117" s="438"/>
      <c r="AZ117" s="438"/>
      <c r="BA117" s="438"/>
      <c r="BB117" s="438"/>
      <c r="BC117" s="1659"/>
      <c r="BD117" s="977"/>
      <c r="BE117" s="977"/>
      <c r="BF117" s="977"/>
      <c r="BG117" s="977"/>
      <c r="BH117" s="977"/>
      <c r="BI117" s="977"/>
      <c r="BJ117" s="977"/>
      <c r="BK117" s="977"/>
      <c r="BL117" s="977"/>
      <c r="BM117" s="977"/>
      <c r="BN117" s="977"/>
      <c r="BO117" s="977"/>
      <c r="BP117" s="977"/>
      <c r="BQ117" s="977"/>
      <c r="BR117" s="977"/>
      <c r="BS117" s="977"/>
      <c r="BT117" s="1040"/>
    </row>
    <row r="118" spans="1:72" ht="15" customHeight="1">
      <c r="A118" s="112"/>
      <c r="B118" s="1063"/>
      <c r="C118" s="2778">
        <v>0.04</v>
      </c>
      <c r="D118" s="2778">
        <v>4.1500000000000004</v>
      </c>
      <c r="E118" s="4575" t="s">
        <v>816</v>
      </c>
      <c r="F118" s="2862"/>
      <c r="G118" s="112"/>
      <c r="H118" s="1064"/>
      <c r="I118" s="1064"/>
      <c r="J118" s="1064"/>
      <c r="K118" s="112"/>
      <c r="L118" s="112"/>
      <c r="M118" s="112"/>
      <c r="N118" s="112"/>
      <c r="O118" s="112"/>
      <c r="P118" s="112"/>
      <c r="Q118" s="112"/>
      <c r="R118" s="112"/>
      <c r="S118" s="991"/>
      <c r="T118" s="991"/>
      <c r="U118" s="438"/>
      <c r="AI118" s="83"/>
      <c r="AJ118" s="83"/>
      <c r="AK118" s="1018"/>
      <c r="AL118" s="83"/>
      <c r="AN118" s="438"/>
      <c r="AO118" s="438"/>
      <c r="AP118" s="438"/>
      <c r="AQ118" s="438"/>
      <c r="AR118" s="438"/>
      <c r="AS118" s="438"/>
      <c r="AT118" s="438"/>
      <c r="AU118" s="438"/>
      <c r="AV118" s="438"/>
      <c r="AW118" s="438"/>
      <c r="AX118" s="438"/>
      <c r="AY118" s="438"/>
      <c r="AZ118" s="438"/>
      <c r="BA118" s="438"/>
      <c r="BB118" s="438"/>
      <c r="BC118" s="1659"/>
      <c r="BD118" s="977"/>
      <c r="BE118" s="977"/>
      <c r="BF118" s="977"/>
      <c r="BG118" s="977"/>
      <c r="BH118" s="977"/>
      <c r="BI118" s="977"/>
      <c r="BJ118" s="977"/>
      <c r="BK118" s="977"/>
      <c r="BL118" s="977"/>
      <c r="BM118" s="977"/>
      <c r="BN118" s="977"/>
      <c r="BO118" s="977"/>
      <c r="BP118" s="977"/>
      <c r="BQ118" s="977"/>
      <c r="BR118" s="977"/>
      <c r="BS118" s="977"/>
      <c r="BT118" s="1040"/>
    </row>
    <row r="119" spans="1:72" ht="15" customHeight="1">
      <c r="A119" s="63"/>
      <c r="B119" s="63"/>
      <c r="C119" s="63"/>
      <c r="D119" s="63"/>
      <c r="E119" s="63"/>
      <c r="F119" s="3552" t="s">
        <v>935</v>
      </c>
      <c r="G119" s="3552"/>
      <c r="H119" s="3552"/>
      <c r="I119" s="3552"/>
      <c r="J119" s="3552"/>
      <c r="K119" s="3552"/>
      <c r="L119" s="3552"/>
      <c r="M119" s="3552"/>
      <c r="N119" s="3552"/>
      <c r="O119" s="3552"/>
      <c r="P119" s="2066"/>
      <c r="Q119" s="1544"/>
      <c r="R119" s="1544"/>
      <c r="S119" s="1544"/>
      <c r="T119" s="1544"/>
      <c r="U119" s="438"/>
      <c r="AI119" s="83"/>
      <c r="AJ119" s="83"/>
      <c r="AK119" s="1018"/>
      <c r="AL119" s="83"/>
      <c r="AN119" s="438"/>
      <c r="AO119" s="438"/>
      <c r="AP119" s="438"/>
      <c r="AQ119" s="438"/>
      <c r="AR119" s="438"/>
      <c r="AS119" s="438"/>
      <c r="AT119" s="438"/>
      <c r="AU119" s="438"/>
      <c r="AV119" s="438"/>
      <c r="AW119" s="438"/>
      <c r="AX119" s="438"/>
      <c r="AY119" s="438"/>
      <c r="AZ119" s="438"/>
      <c r="BA119" s="438"/>
      <c r="BB119" s="438"/>
      <c r="BC119" s="1659"/>
      <c r="BD119" s="977"/>
      <c r="BE119" s="977"/>
      <c r="BF119" s="977"/>
      <c r="BG119" s="977"/>
      <c r="BH119" s="977"/>
      <c r="BI119" s="977"/>
      <c r="BJ119" s="977"/>
      <c r="BK119" s="977"/>
      <c r="BL119" s="977"/>
      <c r="BM119" s="977"/>
      <c r="BN119" s="977"/>
      <c r="BO119" s="977"/>
      <c r="BP119" s="977"/>
      <c r="BQ119" s="977"/>
      <c r="BR119" s="977"/>
      <c r="BS119" s="977"/>
      <c r="BT119" s="1040"/>
    </row>
    <row r="120" spans="1:72" ht="15" customHeight="1">
      <c r="A120" s="67"/>
      <c r="B120" s="67"/>
      <c r="C120" s="118"/>
      <c r="D120" s="67"/>
      <c r="E120" s="67"/>
      <c r="F120" s="67"/>
      <c r="G120" s="67"/>
      <c r="H120" s="1064"/>
      <c r="I120" s="1064"/>
      <c r="J120" s="1064"/>
      <c r="K120" s="67"/>
      <c r="L120" s="67"/>
      <c r="M120" s="67"/>
      <c r="N120" s="67"/>
      <c r="O120" s="67"/>
      <c r="P120" s="67"/>
      <c r="Q120" s="67"/>
      <c r="R120" s="67"/>
      <c r="S120" s="1104"/>
      <c r="T120" s="1104"/>
      <c r="U120" s="438"/>
      <c r="AI120" s="83"/>
      <c r="AJ120" s="83"/>
      <c r="AK120" s="1018"/>
      <c r="AL120" s="83"/>
      <c r="AN120" s="438"/>
      <c r="AO120" s="438"/>
      <c r="AP120" s="438"/>
      <c r="AQ120" s="438"/>
      <c r="AR120" s="438"/>
      <c r="AS120" s="438"/>
      <c r="AT120" s="438"/>
      <c r="AU120" s="438"/>
      <c r="AV120" s="438"/>
      <c r="AW120" s="438"/>
      <c r="AX120" s="438"/>
      <c r="AY120" s="438"/>
      <c r="AZ120" s="438"/>
      <c r="BA120" s="438"/>
      <c r="BB120" s="438"/>
      <c r="BC120" s="1659"/>
      <c r="BD120" s="977"/>
      <c r="BE120" s="977"/>
      <c r="BF120" s="977"/>
      <c r="BG120" s="977"/>
      <c r="BH120" s="977"/>
      <c r="BI120" s="977"/>
      <c r="BJ120" s="977"/>
      <c r="BK120" s="977"/>
      <c r="BL120" s="977"/>
      <c r="BM120" s="977"/>
      <c r="BN120" s="977"/>
      <c r="BO120" s="977"/>
      <c r="BP120" s="977"/>
      <c r="BQ120" s="977"/>
      <c r="BR120" s="977"/>
      <c r="BS120" s="977"/>
      <c r="BT120" s="1040"/>
    </row>
  </sheetData>
  <sheetProtection password="FA80" sheet="1" objects="1" scenarios="1"/>
  <mergeCells count="182">
    <mergeCell ref="AW101:AZ101"/>
    <mergeCell ref="AT99:AV99"/>
    <mergeCell ref="AU100:AV100"/>
    <mergeCell ref="F119:O119"/>
    <mergeCell ref="BE4:BG4"/>
    <mergeCell ref="I4:M5"/>
    <mergeCell ref="I10:M10"/>
    <mergeCell ref="AR10:AS10"/>
    <mergeCell ref="AR7:AS7"/>
    <mergeCell ref="I23:N23"/>
    <mergeCell ref="O23:T23"/>
    <mergeCell ref="V23:W23"/>
    <mergeCell ref="U21:U25"/>
    <mergeCell ref="AR20:AT20"/>
    <mergeCell ref="AW7:AX7"/>
    <mergeCell ref="AR21:AT21"/>
    <mergeCell ref="AR22:AT22"/>
    <mergeCell ref="AW16:AY21"/>
    <mergeCell ref="AR15:AT16"/>
    <mergeCell ref="AU11:AX11"/>
    <mergeCell ref="AR17:AT17"/>
    <mergeCell ref="AR19:AT19"/>
    <mergeCell ref="BC4:BD5"/>
    <mergeCell ref="I20:Q20"/>
    <mergeCell ref="D12:F12"/>
    <mergeCell ref="I12:Q12"/>
    <mergeCell ref="AR12:AS12"/>
    <mergeCell ref="D13:F13"/>
    <mergeCell ref="L13:M13"/>
    <mergeCell ref="N13:O13"/>
    <mergeCell ref="P13:Q13"/>
    <mergeCell ref="AP4:AP12"/>
    <mergeCell ref="AU7:AV7"/>
    <mergeCell ref="D8:G8"/>
    <mergeCell ref="AR8:AS8"/>
    <mergeCell ref="AU8:AV8"/>
    <mergeCell ref="AR9:AS9"/>
    <mergeCell ref="AU9:AX9"/>
    <mergeCell ref="AU10:AV10"/>
    <mergeCell ref="AW10:AX10"/>
    <mergeCell ref="C11:G11"/>
    <mergeCell ref="I11:Q11"/>
    <mergeCell ref="AR11:AS11"/>
    <mergeCell ref="I7:K7"/>
    <mergeCell ref="I8:N8"/>
    <mergeCell ref="AX1:AY1"/>
    <mergeCell ref="A5:C5"/>
    <mergeCell ref="AR5:AV5"/>
    <mergeCell ref="C6:G6"/>
    <mergeCell ref="AE6:AG6"/>
    <mergeCell ref="AR6:AS6"/>
    <mergeCell ref="AU6:AX6"/>
    <mergeCell ref="M1:R1"/>
    <mergeCell ref="N4:Q6"/>
    <mergeCell ref="D14:F14"/>
    <mergeCell ref="I14:K14"/>
    <mergeCell ref="D15:F15"/>
    <mergeCell ref="I15:K15"/>
    <mergeCell ref="B21:F23"/>
    <mergeCell ref="G21:H23"/>
    <mergeCell ref="I21:N22"/>
    <mergeCell ref="O21:T22"/>
    <mergeCell ref="D16:G16"/>
    <mergeCell ref="I16:K16"/>
    <mergeCell ref="D17:G17"/>
    <mergeCell ref="I17:K17"/>
    <mergeCell ref="B18:G18"/>
    <mergeCell ref="I18:K18"/>
    <mergeCell ref="H17:H18"/>
    <mergeCell ref="D19:F19"/>
    <mergeCell ref="I19:K19"/>
    <mergeCell ref="B20:H20"/>
    <mergeCell ref="I58:T58"/>
    <mergeCell ref="D59:F59"/>
    <mergeCell ref="G59:H59"/>
    <mergeCell ref="G60:H60"/>
    <mergeCell ref="G61:H61"/>
    <mergeCell ref="G62:H62"/>
    <mergeCell ref="G63:H63"/>
    <mergeCell ref="AQ65:AR65"/>
    <mergeCell ref="J72:L72"/>
    <mergeCell ref="M72:N72"/>
    <mergeCell ref="O72:P72"/>
    <mergeCell ref="AO72:AT72"/>
    <mergeCell ref="D65:F65"/>
    <mergeCell ref="G65:H65"/>
    <mergeCell ref="I65:N65"/>
    <mergeCell ref="O65:T65"/>
    <mergeCell ref="D66:E66"/>
    <mergeCell ref="G66:H66"/>
    <mergeCell ref="I66:J66"/>
    <mergeCell ref="B67:H67"/>
    <mergeCell ref="AO68:AS68"/>
    <mergeCell ref="AO69:AS69"/>
    <mergeCell ref="AO70:AS70"/>
    <mergeCell ref="AO71:AT71"/>
    <mergeCell ref="AP82:AQ82"/>
    <mergeCell ref="AR82:AS82"/>
    <mergeCell ref="AP83:AQ83"/>
    <mergeCell ref="AR83:AS83"/>
    <mergeCell ref="AT97:AV97"/>
    <mergeCell ref="B74:C74"/>
    <mergeCell ref="E74:H74"/>
    <mergeCell ref="J74:L74"/>
    <mergeCell ref="AO79:AP79"/>
    <mergeCell ref="AP80:AR80"/>
    <mergeCell ref="AT80:AU80"/>
    <mergeCell ref="AO74:AQ74"/>
    <mergeCell ref="AR74:AS74"/>
    <mergeCell ref="B75:C75"/>
    <mergeCell ref="E75:H75"/>
    <mergeCell ref="J75:L75"/>
    <mergeCell ref="AO75:AQ75"/>
    <mergeCell ref="J76:L76"/>
    <mergeCell ref="C77:D77"/>
    <mergeCell ref="J77:L77"/>
    <mergeCell ref="AR75:AW77"/>
    <mergeCell ref="E118:F118"/>
    <mergeCell ref="C78:H79"/>
    <mergeCell ref="B116:C116"/>
    <mergeCell ref="A102:B102"/>
    <mergeCell ref="C81:D81"/>
    <mergeCell ref="J81:L81"/>
    <mergeCell ref="D82:E82"/>
    <mergeCell ref="B98:C98"/>
    <mergeCell ref="E98:H98"/>
    <mergeCell ref="J98:R98"/>
    <mergeCell ref="E117:F117"/>
    <mergeCell ref="A100:G100"/>
    <mergeCell ref="J78:L78"/>
    <mergeCell ref="J79:L79"/>
    <mergeCell ref="J80:L80"/>
    <mergeCell ref="A85:B85"/>
    <mergeCell ref="C83:H84"/>
    <mergeCell ref="A103:O114"/>
    <mergeCell ref="A25:A38"/>
    <mergeCell ref="A39:A47"/>
    <mergeCell ref="A48:A50"/>
    <mergeCell ref="A51:A55"/>
    <mergeCell ref="J59:N60"/>
    <mergeCell ref="P59:T60"/>
    <mergeCell ref="I67:N70"/>
    <mergeCell ref="O67:T70"/>
    <mergeCell ref="B68:H73"/>
    <mergeCell ref="J73:L73"/>
    <mergeCell ref="K66:L66"/>
    <mergeCell ref="M66:N66"/>
    <mergeCell ref="O66:P66"/>
    <mergeCell ref="Q66:R66"/>
    <mergeCell ref="S66:T66"/>
    <mergeCell ref="D60:F60"/>
    <mergeCell ref="D56:F56"/>
    <mergeCell ref="B57:F57"/>
    <mergeCell ref="G57:H57"/>
    <mergeCell ref="D64:F64"/>
    <mergeCell ref="G64:H64"/>
    <mergeCell ref="J57:N57"/>
    <mergeCell ref="P57:T57"/>
    <mergeCell ref="G58:H58"/>
    <mergeCell ref="AQ58:AR58"/>
    <mergeCell ref="AQ59:AR59"/>
    <mergeCell ref="AQ60:AR60"/>
    <mergeCell ref="AQ61:AR61"/>
    <mergeCell ref="AQ62:AR62"/>
    <mergeCell ref="AQ63:AR63"/>
    <mergeCell ref="AQ64:AR64"/>
    <mergeCell ref="AQ53:AR53"/>
    <mergeCell ref="AQ54:AR54"/>
    <mergeCell ref="AQ55:AR55"/>
    <mergeCell ref="AQ56:AR56"/>
    <mergeCell ref="AQ57:AR57"/>
    <mergeCell ref="BD32:BJ32"/>
    <mergeCell ref="BC6:BC12"/>
    <mergeCell ref="BE31:BF31"/>
    <mergeCell ref="AO29:AX29"/>
    <mergeCell ref="AR18:AT18"/>
    <mergeCell ref="AO32:AQ32"/>
    <mergeCell ref="AO50:AQ50"/>
    <mergeCell ref="AQ51:AR51"/>
    <mergeCell ref="AQ52:AR52"/>
    <mergeCell ref="AU12:AX12"/>
    <mergeCell ref="AW8:AX8"/>
  </mergeCells>
  <conditionalFormatting sqref="AT6">
    <cfRule type="cellIs" dxfId="785" priority="55" operator="notEqual">
      <formula>76</formula>
    </cfRule>
    <cfRule type="cellIs" dxfId="784" priority="56" operator="notEqual">
      <formula>75</formula>
    </cfRule>
    <cfRule type="cellIs" dxfId="783" priority="57" operator="notEqual">
      <formula>75</formula>
    </cfRule>
    <cfRule type="cellIs" dxfId="782" priority="58" operator="notEqual">
      <formula>75</formula>
    </cfRule>
    <cfRule type="cellIs" dxfId="781" priority="59" operator="notEqual">
      <formula>75</formula>
    </cfRule>
    <cfRule type="cellIs" dxfId="780" priority="60" operator="notEqual">
      <formula>75</formula>
    </cfRule>
    <cfRule type="cellIs" dxfId="779" priority="61" operator="notEqual">
      <formula>75</formula>
    </cfRule>
    <cfRule type="cellIs" dxfId="778" priority="62" operator="notEqual">
      <formula>75</formula>
    </cfRule>
    <cfRule type="cellIs" dxfId="777" priority="63" operator="notEqual">
      <formula>75</formula>
    </cfRule>
    <cfRule type="cellIs" dxfId="776" priority="64" operator="notEqual">
      <formula>75</formula>
    </cfRule>
    <cfRule type="cellIs" dxfId="775" priority="65" operator="notEqual">
      <formula>75</formula>
    </cfRule>
    <cfRule type="cellIs" dxfId="774" priority="66" operator="notEqual">
      <formula>75</formula>
    </cfRule>
    <cfRule type="cellIs" dxfId="773" priority="67" operator="notEqual">
      <formula>75</formula>
    </cfRule>
    <cfRule type="cellIs" dxfId="772" priority="68" operator="notEqual">
      <formula>75</formula>
    </cfRule>
    <cfRule type="cellIs" dxfId="771" priority="69" operator="notEqual">
      <formula>75</formula>
    </cfRule>
    <cfRule type="cellIs" dxfId="770" priority="70" operator="notEqual">
      <formula>75</formula>
    </cfRule>
    <cfRule type="cellIs" dxfId="769" priority="71" operator="notEqual">
      <formula>75</formula>
    </cfRule>
    <cfRule type="cellIs" dxfId="768" priority="72" operator="notEqual">
      <formula>75</formula>
    </cfRule>
    <cfRule type="cellIs" dxfId="767" priority="73" operator="notEqual">
      <formula>75</formula>
    </cfRule>
    <cfRule type="cellIs" dxfId="766" priority="74" operator="notEqual">
      <formula>75</formula>
    </cfRule>
    <cfRule type="cellIs" dxfId="765" priority="75" operator="notEqual">
      <formula>75</formula>
    </cfRule>
  </conditionalFormatting>
  <conditionalFormatting sqref="H10">
    <cfRule type="cellIs" dxfId="764" priority="87" operator="notEqual">
      <formula>75</formula>
    </cfRule>
    <cfRule type="cellIs" dxfId="763" priority="88" operator="notEqual">
      <formula>75</formula>
    </cfRule>
    <cfRule type="cellIs" dxfId="762" priority="89" operator="notEqual">
      <formula>75</formula>
    </cfRule>
    <cfRule type="cellIs" dxfId="761" priority="90" operator="notEqual">
      <formula>75</formula>
    </cfRule>
    <cfRule type="cellIs" dxfId="760" priority="91" operator="notEqual">
      <formula>75</formula>
    </cfRule>
    <cfRule type="cellIs" dxfId="759" priority="92" operator="notEqual">
      <formula>75</formula>
    </cfRule>
    <cfRule type="cellIs" dxfId="758" priority="93" operator="notEqual">
      <formula>75</formula>
    </cfRule>
    <cfRule type="cellIs" dxfId="757" priority="94" operator="notEqual">
      <formula>75</formula>
    </cfRule>
    <cfRule type="cellIs" dxfId="756" priority="95" operator="notEqual">
      <formula>75</formula>
    </cfRule>
    <cfRule type="cellIs" dxfId="755" priority="96" operator="notEqual">
      <formula>75</formula>
    </cfRule>
    <cfRule type="cellIs" dxfId="754" priority="97" operator="notEqual">
      <formula>75</formula>
    </cfRule>
    <cfRule type="cellIs" dxfId="753" priority="98" operator="notEqual">
      <formula>75</formula>
    </cfRule>
    <cfRule type="cellIs" dxfId="752" priority="99" operator="notEqual">
      <formula>75</formula>
    </cfRule>
    <cfRule type="cellIs" dxfId="751" priority="100" operator="notEqual">
      <formula>75</formula>
    </cfRule>
    <cfRule type="cellIs" dxfId="750" priority="101" operator="notEqual">
      <formula>75</formula>
    </cfRule>
    <cfRule type="cellIs" dxfId="749" priority="102" operator="notEqual">
      <formula>75</formula>
    </cfRule>
    <cfRule type="cellIs" dxfId="748" priority="103" operator="notEqual">
      <formula>75</formula>
    </cfRule>
    <cfRule type="cellIs" dxfId="747" priority="104" operator="notEqual">
      <formula>75</formula>
    </cfRule>
    <cfRule type="cellIs" dxfId="746" priority="105" operator="notEqual">
      <formula>75</formula>
    </cfRule>
    <cfRule type="cellIs" dxfId="745" priority="106" operator="notEqual">
      <formula>75</formula>
    </cfRule>
    <cfRule type="cellIs" dxfId="744" priority="107" operator="notEqual">
      <formula>75</formula>
    </cfRule>
    <cfRule type="cellIs" dxfId="743" priority="108" operator="notEqual">
      <formula>75</formula>
    </cfRule>
    <cfRule type="cellIs" dxfId="742" priority="109" operator="notEqual">
      <formula>75</formula>
    </cfRule>
    <cfRule type="cellIs" dxfId="741" priority="110" operator="notEqual">
      <formula>75</formula>
    </cfRule>
    <cfRule type="cellIs" dxfId="740" priority="111" operator="notEqual">
      <formula>75</formula>
    </cfRule>
    <cfRule type="cellIs" dxfId="739" priority="112" operator="notEqual">
      <formula>75</formula>
    </cfRule>
    <cfRule type="cellIs" dxfId="738" priority="113" operator="notEqual">
      <formula>75</formula>
    </cfRule>
    <cfRule type="cellIs" dxfId="737" priority="114" operator="notEqual">
      <formula>75</formula>
    </cfRule>
    <cfRule type="cellIs" dxfId="736" priority="117" operator="notEqual">
      <formula>75</formula>
    </cfRule>
    <cfRule type="cellIs" dxfId="735" priority="118" operator="notEqual">
      <formula>75</formula>
    </cfRule>
    <cfRule type="cellIs" dxfId="734" priority="119" operator="notEqual">
      <formula>75</formula>
    </cfRule>
    <cfRule type="cellIs" dxfId="733" priority="120" operator="notEqual">
      <formula>75</formula>
    </cfRule>
    <cfRule type="cellIs" dxfId="732" priority="121" operator="notEqual">
      <formula>75</formula>
    </cfRule>
    <cfRule type="cellIs" dxfId="731" priority="122" operator="notEqual">
      <formula>75</formula>
    </cfRule>
    <cfRule type="cellIs" dxfId="730" priority="123" operator="notEqual">
      <formula>75</formula>
    </cfRule>
  </conditionalFormatting>
  <conditionalFormatting sqref="J61:N61">
    <cfRule type="cellIs" dxfId="729" priority="116" operator="greaterThan">
      <formula>I61</formula>
    </cfRule>
  </conditionalFormatting>
  <conditionalFormatting sqref="P61:T61">
    <cfRule type="cellIs" dxfId="728" priority="115" operator="greaterThan">
      <formula>O61</formula>
    </cfRule>
  </conditionalFormatting>
  <conditionalFormatting sqref="C62">
    <cfRule type="cellIs" dxfId="727" priority="134" stopIfTrue="1" operator="between">
      <formula>2.7</formula>
      <formula>4</formula>
    </cfRule>
    <cfRule type="cellIs" dxfId="726" priority="135" stopIfTrue="1" operator="greaterThan">
      <formula>4</formula>
    </cfRule>
  </conditionalFormatting>
  <conditionalFormatting sqref="C65">
    <cfRule type="cellIs" dxfId="725" priority="76" operator="notEqual">
      <formula>76</formula>
    </cfRule>
    <cfRule type="cellIs" dxfId="724" priority="77" operator="notEqual">
      <formula>75</formula>
    </cfRule>
    <cfRule type="cellIs" dxfId="723" priority="78" operator="notEqual">
      <formula>75</formula>
    </cfRule>
    <cfRule type="cellIs" dxfId="722" priority="79" operator="notEqual">
      <formula>75</formula>
    </cfRule>
    <cfRule type="cellIs" dxfId="721" priority="80" operator="notEqual">
      <formula>75</formula>
    </cfRule>
    <cfRule type="cellIs" dxfId="720" priority="81" operator="notEqual">
      <formula>75</formula>
    </cfRule>
    <cfRule type="cellIs" dxfId="719" priority="82" operator="notEqual">
      <formula>75</formula>
    </cfRule>
    <cfRule type="cellIs" dxfId="718" priority="83" operator="notEqual">
      <formula>75</formula>
    </cfRule>
    <cfRule type="cellIs" dxfId="717" priority="84" operator="notEqual">
      <formula>75</formula>
    </cfRule>
    <cfRule type="cellIs" dxfId="716" priority="85" operator="notEqual">
      <formula>75</formula>
    </cfRule>
    <cfRule type="cellIs" dxfId="715" priority="86" operator="notEqual">
      <formula>75</formula>
    </cfRule>
  </conditionalFormatting>
  <conditionalFormatting sqref="C65 H10">
    <cfRule type="cellIs" dxfId="714" priority="124" operator="notEqual">
      <formula>75</formula>
    </cfRule>
    <cfRule type="cellIs" dxfId="713" priority="125" operator="notEqual">
      <formula>75</formula>
    </cfRule>
    <cfRule type="cellIs" dxfId="712" priority="126" operator="notEqual">
      <formula>75</formula>
    </cfRule>
    <cfRule type="cellIs" dxfId="711" priority="127" operator="notEqual">
      <formula>75</formula>
    </cfRule>
    <cfRule type="cellIs" dxfId="710" priority="128" operator="notEqual">
      <formula>75</formula>
    </cfRule>
    <cfRule type="cellIs" dxfId="709" priority="129" operator="notEqual">
      <formula>75</formula>
    </cfRule>
    <cfRule type="cellIs" dxfId="708" priority="130" operator="notEqual">
      <formula>75</formula>
    </cfRule>
    <cfRule type="cellIs" dxfId="707" priority="131" operator="notEqual">
      <formula>75</formula>
    </cfRule>
    <cfRule type="cellIs" dxfId="706" priority="132" operator="notEqual">
      <formula>75</formula>
    </cfRule>
    <cfRule type="cellIs" dxfId="705" priority="133" operator="notEqual">
      <formula>75</formula>
    </cfRule>
  </conditionalFormatting>
  <conditionalFormatting sqref="AT6">
    <cfRule type="cellIs" dxfId="704" priority="1" operator="notEqual">
      <formula>75</formula>
    </cfRule>
    <cfRule type="cellIs" dxfId="703" priority="2" operator="notEqual">
      <formula>75</formula>
    </cfRule>
    <cfRule type="cellIs" dxfId="702" priority="3" operator="notEqual">
      <formula>75</formula>
    </cfRule>
    <cfRule type="cellIs" dxfId="701" priority="4" operator="notEqual">
      <formula>75</formula>
    </cfRule>
    <cfRule type="cellIs" dxfId="700" priority="5" operator="notEqual">
      <formula>75</formula>
    </cfRule>
    <cfRule type="cellIs" dxfId="699" priority="6" operator="notEqual">
      <formula>75</formula>
    </cfRule>
    <cfRule type="cellIs" dxfId="698" priority="7" operator="notEqual">
      <formula>75</formula>
    </cfRule>
    <cfRule type="cellIs" dxfId="697" priority="8" operator="notEqual">
      <formula>75</formula>
    </cfRule>
    <cfRule type="cellIs" dxfId="696" priority="9" operator="notEqual">
      <formula>75</formula>
    </cfRule>
    <cfRule type="cellIs" dxfId="695" priority="10" operator="notEqual">
      <formula>75</formula>
    </cfRule>
  </conditionalFormatting>
  <conditionalFormatting sqref="AT6">
    <cfRule type="cellIs" dxfId="694" priority="11" operator="notEqual">
      <formula>76</formula>
    </cfRule>
  </conditionalFormatting>
  <hyperlinks>
    <hyperlink ref="C6" location="'Beer Calc'!A134" display="To amend ̸ modify any data, please refer to the &quot;Technical Section&quot;." xr:uid="{00000000-0004-0000-0400-000000000000}"/>
    <hyperlink ref="D58" location="Beer!AP63" display="g ̸ litre" xr:uid="{00000000-0004-0000-0400-000001000000}"/>
    <hyperlink ref="B63" location="Primer!D9" display="For more info. see the &quot;Beer Primer&quot; page." xr:uid="{00000000-0004-0000-0400-000002000000}"/>
    <hyperlink ref="D65" location="'Beer Data Sheet'!AO4" display="(76% is generally assumed)" xr:uid="{00000000-0004-0000-0400-000003000000}"/>
    <hyperlink ref="C17" location="Beer!Q64" display="=Q64&amp;&quot;,&quot;" xr:uid="{00000000-0004-0000-0400-000004000000}"/>
    <hyperlink ref="C16" location="Beer!K64" display="=K64&amp;&quot;,&quot;" xr:uid="{00000000-0004-0000-0400-000005000000}"/>
    <hyperlink ref="I58" location="'Beer Data Sheet'!N15" display="See &quot;Beer Data Sheet&quot; cells M17 etc. for the Isomerised hop extract settings." xr:uid="{00000000-0004-0000-0400-000006000000}"/>
    <hyperlink ref="C6:G6" location="Beer!A100" display="To amend ̸ modify any data, please refer to the &quot;Technical Section&quot;." xr:uid="{00000000-0004-0000-0400-000007000000}"/>
    <hyperlink ref="B116:D116" location="Beer!AY24" display="Use this to change the hop boil settings (cells BB3 ̸ BQ27)." xr:uid="{00000000-0004-0000-0400-000008000000}"/>
    <hyperlink ref="AO72" location="'Primer'!D1" display="For more information about &quot;carbonation&quot; see &quot;Beer Primer&quot; page." xr:uid="{00000000-0004-0000-0400-000009000000}"/>
    <hyperlink ref="AO74" location="'Beer Data Sheet'!P20" display="=&quot;1 level 5ml tsp sugar = &quot;&amp;'Beer Data Sheet'!P21&amp;&quot;g&quot;" xr:uid="{00000000-0004-0000-0400-00000A000000}"/>
    <hyperlink ref="AO72:AS72" location="Primer!F1" display="For more information about &quot;carbonation&quot; see &quot;Beer Primer&quot; page." xr:uid="{00000000-0004-0000-0400-00000B000000}"/>
    <hyperlink ref="H17:H18" location="Beer!AP4" display="=&quot;(&quot;&amp;IF(H14/((H10-1000)+0.001)&gt;0.81,&quot;Too Hoppy?&quot;,IF(H14/(H10-1000)&gt;0.65,&quot;Very Hoppy&quot;,IF(H14/(H10-1000)&gt;0.55,&quot;Slightly Hoppy&quot;,IF(H14/(H10-1000)&gt;0.45,&quot;Balanced&quot;,IF(H14/(H10-1000)&gt;0.35,&quot;Slightly Malty&quot;,IF(H14/(H10-1000)&gt;0.25,&quot;Very Malty&quot;,IF((H14+0.001)/(H10-1000)&gt;0,&quot;Too Malty?&quot;)))))))&amp;&quot;)&quot;" xr:uid="{00000000-0004-0000-0400-00000C000000}"/>
    <hyperlink ref="I58:T58" location="'Beer Data Sheet'!M17" display="See &quot;Beer Data Sheet&quot; cells M17 etc. for the Isomerised hop extract settings." xr:uid="{00000000-0004-0000-0400-00000D000000}"/>
    <hyperlink ref="AW100" r:id="rId1" xr:uid="{00000000-0004-0000-0400-00000E000000}"/>
    <hyperlink ref="AW99" r:id="rId2" xr:uid="{00000000-0004-0000-0400-00000F000000}"/>
    <hyperlink ref="B58" location="Beer!AQ72" display="=&quot;Priming sugar (sucrose) g/litre, 1 level tsp = &quot;&amp;'Beer Data Sheet'!P$21&amp;&quot;g)&quot;" xr:uid="{00000000-0004-0000-0400-000010000000}"/>
    <hyperlink ref="BD32:BJ32" location="Beer!C118" display=" See the hop utilization setting (cells C118 &amp; D118)" xr:uid="{00000000-0004-0000-0400-000011000000}"/>
    <hyperlink ref="AR12" location="'Wine Calc'!AA7" display="BREWING Sugar" xr:uid="{00000000-0004-0000-0400-000012000000}"/>
    <hyperlink ref="C83:H84" location="'Beer Data Sheet'!T17" display=" Note:- 1 ml of Ritchie's hop extract in 1 litre of beer adds 69 EBU's. See &quot;Beer Data Sheet&quot; cell T17." xr:uid="{00000000-0004-0000-0400-000013000000}"/>
    <hyperlink ref="AO74:AQ74" location="'Beer Data Sheet'!P21" display="'Beer Data Sheet'!P21" xr:uid="{00000000-0004-0000-0400-000014000000}"/>
    <hyperlink ref="B116:C116" location="Beer!BD4" display="Use this to change the hop boil settings (cells BD4 ̸ BS28)." xr:uid="{00000000-0004-0000-0400-000015000000}"/>
    <hyperlink ref="D65:F65" location="'Beer Data Sheet'!AD4" display="(76% is generally assumed)" xr:uid="{00000000-0004-0000-0400-000016000000}"/>
  </hyperlinks>
  <printOptions horizontalCentered="1"/>
  <pageMargins left="0.47244094488188998" right="0.47244094488188998" top="0.43307086614173201" bottom="0.62992125984252001" header="0.35433070866141703" footer="0.511811023622047"/>
  <pageSetup paperSize="9" scale="33" orientation="landscape" r:id="rId3"/>
  <headerFooter alignWithMargins="0"/>
  <rowBreaks count="2" manualBreakCount="2">
    <brk id="5" max="51" man="1"/>
    <brk id="86" max="16383" man="1"/>
  </rowBreaks>
  <colBreaks count="1" manualBreakCount="1">
    <brk id="45" max="98"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AT165"/>
  <sheetViews>
    <sheetView zoomScale="72" zoomScaleNormal="72" zoomScaleSheetLayoutView="30" zoomScalePageLayoutView="10" workbookViewId="0">
      <selection activeCell="I165" sqref="I165"/>
    </sheetView>
  </sheetViews>
  <sheetFormatPr defaultColWidth="9.42578125" defaultRowHeight="13.9"/>
  <cols>
    <col min="1" max="1" width="4.42578125" style="634" customWidth="1"/>
    <col min="2" max="2" width="46" style="634" customWidth="1"/>
    <col min="3" max="3" width="14.42578125" style="634" customWidth="1"/>
    <col min="4" max="4" width="14.28515625" style="634" customWidth="1"/>
    <col min="5" max="5" width="14" style="634" customWidth="1"/>
    <col min="6" max="6" width="14.28515625" style="634" customWidth="1"/>
    <col min="7" max="7" width="21.7109375" style="634" customWidth="1"/>
    <col min="8" max="16" width="12.28515625" style="634" customWidth="1"/>
    <col min="17" max="20" width="13.7109375" style="634" customWidth="1"/>
    <col min="21" max="25" width="9.7109375" style="634" customWidth="1"/>
    <col min="26" max="26" width="7.5703125" style="634" customWidth="1"/>
    <col min="27" max="46" width="10.140625" style="634" hidden="1" customWidth="1"/>
    <col min="47" max="16384" width="9.42578125" style="634"/>
  </cols>
  <sheetData>
    <row r="1" spans="1:46" ht="39.75" customHeight="1">
      <c r="A1" s="2163"/>
      <c r="B1" s="2163"/>
      <c r="C1" s="635"/>
      <c r="D1" s="635"/>
      <c r="E1" s="635"/>
      <c r="F1" s="635"/>
      <c r="G1" s="635"/>
      <c r="H1" s="3784" t="s">
        <v>1016</v>
      </c>
      <c r="I1" s="3784"/>
      <c r="J1" s="3784"/>
      <c r="K1" s="3784"/>
      <c r="L1" s="3784"/>
      <c r="M1" s="3784"/>
      <c r="N1" s="3784"/>
      <c r="O1" s="692"/>
      <c r="P1" s="692"/>
      <c r="Q1" s="692"/>
      <c r="R1" s="692"/>
      <c r="S1" s="692"/>
      <c r="T1" s="692"/>
      <c r="U1" s="692"/>
      <c r="V1" s="692"/>
      <c r="W1" s="692"/>
      <c r="X1" s="2185"/>
      <c r="Y1" s="3775" t="s">
        <v>1</v>
      </c>
      <c r="Z1" s="3775"/>
      <c r="AA1" s="714"/>
      <c r="AB1" s="714"/>
      <c r="AC1" s="714"/>
      <c r="AD1" s="714"/>
      <c r="AE1" s="714"/>
      <c r="AF1" s="714"/>
      <c r="AG1" s="714"/>
      <c r="AH1" s="714"/>
      <c r="AI1" s="714"/>
      <c r="AJ1" s="714"/>
      <c r="AK1" s="714"/>
      <c r="AL1" s="714"/>
      <c r="AM1" s="714"/>
      <c r="AN1" s="714"/>
      <c r="AO1" s="714"/>
      <c r="AP1" s="714"/>
      <c r="AQ1" s="714"/>
      <c r="AR1" s="714"/>
      <c r="AS1" s="714"/>
      <c r="AT1" s="714"/>
    </row>
    <row r="2" spans="1:46" ht="15" customHeight="1">
      <c r="A2" s="637"/>
      <c r="B2" s="637"/>
      <c r="C2" s="637"/>
      <c r="D2" s="637"/>
      <c r="E2" s="637"/>
      <c r="F2" s="637"/>
      <c r="G2" s="637"/>
      <c r="H2" s="637"/>
      <c r="I2" s="637"/>
      <c r="J2" s="637"/>
      <c r="K2" s="638"/>
      <c r="L2" s="638"/>
      <c r="M2" s="645"/>
      <c r="N2" s="645"/>
      <c r="O2" s="645"/>
      <c r="P2" s="693"/>
      <c r="Q2" s="693"/>
      <c r="R2" s="693"/>
      <c r="S2" s="693"/>
      <c r="T2" s="693"/>
      <c r="U2" s="702"/>
      <c r="V2" s="703"/>
      <c r="W2" s="636"/>
      <c r="X2" s="2192"/>
      <c r="Y2" s="2192"/>
      <c r="Z2" s="2192"/>
      <c r="AA2" s="715"/>
      <c r="AB2" s="715"/>
      <c r="AC2" s="715"/>
      <c r="AD2" s="715"/>
      <c r="AE2" s="715"/>
      <c r="AF2" s="715"/>
      <c r="AG2" s="715"/>
      <c r="AH2" s="715"/>
      <c r="AI2" s="715"/>
      <c r="AJ2" s="715"/>
      <c r="AK2" s="715"/>
      <c r="AL2" s="715"/>
      <c r="AM2" s="715"/>
      <c r="AN2" s="715"/>
      <c r="AO2" s="715"/>
      <c r="AP2" s="715"/>
      <c r="AQ2" s="715"/>
      <c r="AR2" s="715"/>
      <c r="AS2" s="715"/>
      <c r="AT2" s="715"/>
    </row>
    <row r="3" spans="1:46" ht="15" customHeight="1">
      <c r="A3" s="3776" t="s">
        <v>1017</v>
      </c>
      <c r="B3" s="3776"/>
      <c r="C3" s="638"/>
      <c r="D3" s="638"/>
      <c r="E3" s="638"/>
      <c r="F3" s="2466"/>
      <c r="G3" s="4586" t="s">
        <v>1018</v>
      </c>
      <c r="H3" s="639"/>
      <c r="I3" s="3777" t="s">
        <v>637</v>
      </c>
      <c r="J3" s="3777"/>
      <c r="K3" s="3777"/>
      <c r="L3" s="3777"/>
      <c r="M3" s="694"/>
      <c r="N3" s="694"/>
      <c r="O3" s="694"/>
      <c r="P3" s="694"/>
      <c r="Q3" s="694"/>
      <c r="R3" s="694"/>
      <c r="S3" s="3778" t="s">
        <v>334</v>
      </c>
      <c r="T3" s="3778"/>
      <c r="U3" s="694"/>
      <c r="V3" s="694"/>
      <c r="W3" s="694"/>
      <c r="X3" s="694"/>
      <c r="Y3" s="694"/>
      <c r="Z3" s="694"/>
      <c r="AA3" s="716"/>
      <c r="AB3" s="716"/>
      <c r="AC3" s="716"/>
      <c r="AD3" s="716"/>
      <c r="AE3" s="716"/>
      <c r="AF3" s="716"/>
      <c r="AG3" s="716"/>
      <c r="AH3" s="716"/>
      <c r="AI3" s="716"/>
      <c r="AJ3" s="716"/>
      <c r="AK3" s="716"/>
      <c r="AL3" s="716"/>
      <c r="AM3" s="716"/>
      <c r="AN3" s="716"/>
      <c r="AO3" s="716"/>
      <c r="AP3" s="716"/>
      <c r="AQ3" s="716"/>
      <c r="AR3" s="716"/>
      <c r="AS3" s="716"/>
      <c r="AT3" s="716"/>
    </row>
    <row r="4" spans="1:46" ht="15" customHeight="1">
      <c r="A4" s="638"/>
      <c r="B4" s="3761" t="s">
        <v>1019</v>
      </c>
      <c r="C4" s="3761"/>
      <c r="D4" s="3761"/>
      <c r="E4" s="3761"/>
      <c r="F4" s="2467"/>
      <c r="G4" s="4587" t="s">
        <v>1020</v>
      </c>
      <c r="H4" s="639"/>
      <c r="I4" s="639"/>
      <c r="J4" s="3779" t="s">
        <v>643</v>
      </c>
      <c r="K4" s="3780"/>
      <c r="L4" s="2468">
        <v>76</v>
      </c>
      <c r="M4" s="4588" t="s">
        <v>1021</v>
      </c>
      <c r="N4" s="3781"/>
      <c r="O4" s="3781"/>
      <c r="P4" s="3781"/>
      <c r="Q4" s="3781"/>
      <c r="R4" s="3781"/>
      <c r="S4" s="2469">
        <v>3.15</v>
      </c>
      <c r="T4" s="3081" t="str">
        <f>"gram ̸ litre is equivalent to "&amp;FIXED(W4*S4,1)&amp;"g in"</f>
        <v>gram ̸ litre is equivalent to 72.5g in</v>
      </c>
      <c r="U4" s="3085"/>
      <c r="V4" s="3082"/>
      <c r="W4" s="2287">
        <v>23</v>
      </c>
      <c r="X4" s="3782" t="s">
        <v>998</v>
      </c>
      <c r="Y4" s="3783"/>
      <c r="Z4" s="653"/>
      <c r="AA4" s="636"/>
      <c r="AB4" s="636"/>
      <c r="AC4" s="636"/>
      <c r="AD4" s="636"/>
      <c r="AE4" s="636"/>
      <c r="AF4" s="636"/>
      <c r="AG4" s="636"/>
      <c r="AH4" s="636"/>
      <c r="AI4" s="636"/>
      <c r="AJ4" s="636"/>
      <c r="AK4" s="636"/>
      <c r="AL4" s="636"/>
      <c r="AM4" s="636"/>
      <c r="AN4" s="636"/>
      <c r="AO4" s="636"/>
      <c r="AP4" s="636"/>
      <c r="AQ4" s="636"/>
      <c r="AR4" s="636"/>
      <c r="AS4" s="636"/>
      <c r="AT4" s="636"/>
    </row>
    <row r="5" spans="1:46" ht="15" customHeight="1">
      <c r="A5" s="638"/>
      <c r="B5" s="3584" t="s">
        <v>1022</v>
      </c>
      <c r="C5" s="3584"/>
      <c r="D5" s="3584"/>
      <c r="E5" s="640"/>
      <c r="F5" s="640"/>
      <c r="G5" s="640"/>
      <c r="H5" s="640"/>
      <c r="I5" s="640"/>
      <c r="J5" s="3764" t="s">
        <v>641</v>
      </c>
      <c r="K5" s="3765"/>
      <c r="L5" s="2470">
        <v>20</v>
      </c>
      <c r="M5" s="4589" t="s">
        <v>1023</v>
      </c>
      <c r="N5" s="1935"/>
      <c r="O5" s="1935"/>
      <c r="P5" s="1945"/>
      <c r="Q5" s="1945"/>
      <c r="R5" s="1945"/>
      <c r="S5" s="653"/>
      <c r="T5" s="653"/>
      <c r="U5" s="653"/>
      <c r="V5" s="653"/>
      <c r="W5" s="653"/>
      <c r="X5" s="653"/>
      <c r="Y5" s="653"/>
      <c r="Z5" s="653"/>
      <c r="AA5" s="636"/>
      <c r="AB5" s="636"/>
      <c r="AC5" s="636"/>
      <c r="AD5" s="636"/>
      <c r="AE5" s="636"/>
      <c r="AF5" s="636"/>
      <c r="AG5" s="636"/>
      <c r="AH5" s="636"/>
      <c r="AI5" s="636"/>
      <c r="AJ5" s="636"/>
      <c r="AK5" s="636"/>
      <c r="AL5" s="636"/>
      <c r="AM5" s="636"/>
      <c r="AN5" s="636"/>
      <c r="AO5" s="636"/>
      <c r="AP5" s="636"/>
      <c r="AQ5" s="636"/>
      <c r="AR5" s="636"/>
      <c r="AS5" s="636"/>
      <c r="AT5" s="636"/>
    </row>
    <row r="6" spans="1:46" ht="15" customHeight="1">
      <c r="A6" s="638"/>
      <c r="B6" s="3584"/>
      <c r="C6" s="3584"/>
      <c r="D6" s="3584"/>
      <c r="E6" s="640"/>
      <c r="F6" s="640"/>
      <c r="G6" s="641"/>
      <c r="H6" s="641"/>
      <c r="I6" s="641"/>
      <c r="J6" s="641"/>
      <c r="K6" s="641"/>
      <c r="L6" s="641"/>
      <c r="M6" s="641"/>
      <c r="N6" s="641"/>
      <c r="O6" s="641"/>
      <c r="P6" s="693"/>
      <c r="Q6" s="704"/>
      <c r="R6" s="704"/>
      <c r="S6" s="2199" t="s">
        <v>338</v>
      </c>
      <c r="T6" s="2915" t="s">
        <v>339</v>
      </c>
      <c r="U6" s="2930"/>
      <c r="V6" s="2915" t="s">
        <v>340</v>
      </c>
      <c r="W6" s="2930"/>
      <c r="X6" s="1945"/>
      <c r="Y6" s="1945"/>
      <c r="Z6" s="653"/>
      <c r="AA6" s="636"/>
      <c r="AB6" s="636"/>
      <c r="AC6" s="636"/>
      <c r="AD6" s="636"/>
      <c r="AE6" s="636"/>
      <c r="AF6" s="636"/>
      <c r="AG6" s="636"/>
      <c r="AH6" s="636"/>
      <c r="AI6" s="636"/>
      <c r="AJ6" s="636"/>
      <c r="AK6" s="636"/>
      <c r="AL6" s="636"/>
      <c r="AM6" s="636"/>
      <c r="AN6" s="636"/>
      <c r="AO6" s="636"/>
      <c r="AP6" s="636"/>
      <c r="AQ6" s="636"/>
      <c r="AR6" s="636"/>
      <c r="AS6" s="636"/>
      <c r="AT6" s="636"/>
    </row>
    <row r="7" spans="1:46" ht="15" customHeight="1">
      <c r="A7" s="114"/>
      <c r="B7" s="114" t="s">
        <v>1024</v>
      </c>
      <c r="C7" s="642"/>
      <c r="D7" s="636"/>
      <c r="E7" s="640"/>
      <c r="F7" s="3766" t="s">
        <v>999</v>
      </c>
      <c r="G7" s="3766"/>
      <c r="H7" s="643"/>
      <c r="I7" s="643"/>
      <c r="J7" s="643"/>
      <c r="K7" s="643"/>
      <c r="L7" s="643"/>
      <c r="M7" s="3767" t="s">
        <v>1025</v>
      </c>
      <c r="N7" s="3767"/>
      <c r="O7" s="637"/>
      <c r="P7" s="637"/>
      <c r="Q7" s="637"/>
      <c r="R7" s="637"/>
      <c r="S7" s="2413">
        <f>T7*0.2489/0.262</f>
        <v>0.95</v>
      </c>
      <c r="T7" s="2932">
        <v>1</v>
      </c>
      <c r="U7" s="2934"/>
      <c r="V7" s="3768">
        <f>T7*0.262/0.2489</f>
        <v>1.0526315789473684</v>
      </c>
      <c r="W7" s="3769"/>
      <c r="X7" s="637"/>
      <c r="Y7" s="637"/>
      <c r="Z7" s="637"/>
      <c r="AA7" s="636"/>
      <c r="AB7" s="636"/>
      <c r="AC7" s="636"/>
      <c r="AD7" s="636"/>
      <c r="AE7" s="636"/>
      <c r="AF7" s="636"/>
      <c r="AG7" s="636"/>
      <c r="AH7" s="636"/>
      <c r="AI7" s="636"/>
      <c r="AJ7" s="636"/>
      <c r="AK7" s="636"/>
      <c r="AL7" s="636"/>
      <c r="AM7" s="636"/>
      <c r="AN7" s="636"/>
      <c r="AO7" s="636"/>
      <c r="AP7" s="636"/>
      <c r="AQ7" s="636"/>
      <c r="AR7" s="636"/>
      <c r="AS7" s="636"/>
      <c r="AT7" s="636"/>
    </row>
    <row r="8" spans="1:46" ht="15" customHeight="1">
      <c r="A8" s="114"/>
      <c r="B8" s="114" t="s">
        <v>1026</v>
      </c>
      <c r="C8" s="642"/>
      <c r="D8" s="644"/>
      <c r="E8" s="636"/>
      <c r="F8" s="2402">
        <v>1</v>
      </c>
      <c r="G8" s="2196" t="s">
        <v>255</v>
      </c>
      <c r="H8" s="2403">
        <v>23</v>
      </c>
      <c r="I8" s="3183" t="s">
        <v>825</v>
      </c>
      <c r="J8" s="3184"/>
      <c r="K8" s="2405" t="str">
        <f>FIXED((F8*'Beer Data Sheet'!$T$17/H8),1)&amp;" EBU"</f>
        <v>3.0 EBU</v>
      </c>
      <c r="L8" s="693"/>
      <c r="M8" s="2471" t="s">
        <v>797</v>
      </c>
      <c r="N8" s="2472">
        <v>1035.2</v>
      </c>
      <c r="O8" s="2471" t="s">
        <v>861</v>
      </c>
      <c r="P8" s="2473">
        <v>20</v>
      </c>
      <c r="Q8" s="2474" t="s">
        <v>248</v>
      </c>
      <c r="R8" s="637"/>
      <c r="S8" s="637"/>
      <c r="T8" s="637"/>
      <c r="U8" s="637"/>
      <c r="V8" s="637"/>
      <c r="W8" s="637"/>
      <c r="X8" s="637"/>
      <c r="Y8" s="637"/>
      <c r="Z8" s="637"/>
      <c r="AA8" s="636"/>
      <c r="AB8" s="636"/>
      <c r="AC8" s="636"/>
      <c r="AD8" s="636"/>
      <c r="AE8" s="636"/>
      <c r="AF8" s="636"/>
      <c r="AG8" s="636"/>
      <c r="AH8" s="636"/>
      <c r="AI8" s="636"/>
      <c r="AJ8" s="636"/>
      <c r="AK8" s="636"/>
      <c r="AL8" s="636"/>
      <c r="AM8" s="636"/>
      <c r="AN8" s="636"/>
      <c r="AO8" s="636"/>
      <c r="AP8" s="636"/>
      <c r="AQ8" s="636"/>
      <c r="AR8" s="636"/>
      <c r="AS8" s="636"/>
      <c r="AT8" s="636"/>
    </row>
    <row r="9" spans="1:46" ht="15" customHeight="1">
      <c r="A9" s="114"/>
      <c r="B9" s="3770" t="s">
        <v>1027</v>
      </c>
      <c r="C9" s="3770"/>
      <c r="D9" s="1944"/>
      <c r="E9" s="645"/>
      <c r="F9" s="3771" t="s">
        <v>1000</v>
      </c>
      <c r="G9" s="3771"/>
      <c r="H9" s="3771"/>
      <c r="I9" s="3771"/>
      <c r="J9" s="3771"/>
      <c r="K9" s="3771"/>
      <c r="L9" s="693"/>
      <c r="M9" s="3772" t="str">
        <f>"The BU/GU ratio is "&amp;FIXED(P8/(N8-1000))&amp;" which is classed as "&amp;IF((P8)/((N8-1000)+0.001)&gt;0.81,"Too Hoppy?",IF((P8)/(N8-1000)&gt;0.65,"Very Hoppy",IF((P8)/(N8-1000)&gt;0.55,"Slightly Hoppy",IF((P8)/(N8-1000)&gt;0.45,"Balanced",IF((P8)/(N8-1000)&gt;0.35,"Slightly Malty",IF((P8)/(N8-1000)&gt;0.25,"Very Malty",IF((P8+0.001)/(N8-1000)&gt;0,"Too Malty?")))))))</f>
        <v>The BU/GU ratio is 0.57 which is classed as Slightly Hoppy</v>
      </c>
      <c r="N9" s="3773"/>
      <c r="O9" s="3773"/>
      <c r="P9" s="3773"/>
      <c r="Q9" s="3774"/>
      <c r="R9" s="637"/>
      <c r="S9" s="3128" t="str">
        <f>"1 level 5ml tsp sugar = "&amp;'Beer Data Sheet'!P21&amp;"g"</f>
        <v>1 level 5ml tsp sugar = 3.15g</v>
      </c>
      <c r="T9" s="3128"/>
      <c r="U9" s="3128"/>
      <c r="V9" s="637"/>
      <c r="W9" s="705" t="s">
        <v>202</v>
      </c>
      <c r="X9" s="637"/>
      <c r="Y9" s="637"/>
      <c r="Z9" s="637"/>
      <c r="AA9" s="636"/>
      <c r="AB9" s="636"/>
      <c r="AC9" s="636"/>
      <c r="AD9" s="636"/>
      <c r="AE9" s="636"/>
      <c r="AF9" s="636"/>
      <c r="AG9" s="636"/>
      <c r="AH9" s="636"/>
      <c r="AI9" s="636"/>
      <c r="AJ9" s="636"/>
      <c r="AK9" s="636"/>
      <c r="AL9" s="636"/>
      <c r="AM9" s="636"/>
      <c r="AN9" s="636"/>
      <c r="AO9" s="636"/>
      <c r="AP9" s="636"/>
      <c r="AQ9" s="636"/>
      <c r="AR9" s="636"/>
      <c r="AS9" s="636"/>
      <c r="AT9" s="636"/>
    </row>
    <row r="10" spans="1:46" ht="15" customHeight="1">
      <c r="A10" s="114"/>
      <c r="B10" s="645"/>
      <c r="C10" s="645"/>
      <c r="D10" s="1943" t="s">
        <v>1028</v>
      </c>
      <c r="E10" s="1943"/>
      <c r="F10" s="640"/>
      <c r="G10" s="637"/>
      <c r="H10" s="637"/>
      <c r="I10" s="637"/>
      <c r="J10" s="637"/>
      <c r="K10" s="637"/>
      <c r="L10" s="643"/>
      <c r="M10" s="637"/>
      <c r="N10" s="637"/>
      <c r="O10" s="637"/>
      <c r="P10" s="637"/>
      <c r="Q10" s="637"/>
      <c r="R10" s="637"/>
      <c r="S10" s="3188" t="s">
        <v>834</v>
      </c>
      <c r="T10" s="3755"/>
      <c r="U10" s="3756"/>
      <c r="V10" s="637"/>
      <c r="W10" s="3025" t="s">
        <v>162</v>
      </c>
      <c r="X10" s="3026"/>
      <c r="Y10" s="2475">
        <v>1038.9000000000001</v>
      </c>
      <c r="Z10" s="655"/>
      <c r="AA10" s="636"/>
      <c r="AB10" s="636"/>
      <c r="AC10" s="636"/>
      <c r="AD10" s="636"/>
      <c r="AE10" s="636"/>
      <c r="AF10" s="636"/>
      <c r="AG10" s="636"/>
      <c r="AH10" s="636"/>
      <c r="AI10" s="636"/>
      <c r="AJ10" s="636"/>
      <c r="AK10" s="636"/>
      <c r="AL10" s="636"/>
      <c r="AM10" s="636"/>
      <c r="AN10" s="636"/>
      <c r="AO10" s="636"/>
      <c r="AP10" s="636"/>
      <c r="AQ10" s="636"/>
      <c r="AR10" s="636"/>
      <c r="AS10" s="636"/>
      <c r="AT10" s="636"/>
    </row>
    <row r="11" spans="1:46" ht="15" customHeight="1">
      <c r="A11" s="637"/>
      <c r="B11" s="646" t="s">
        <v>1029</v>
      </c>
      <c r="C11" s="645"/>
      <c r="D11" s="2476">
        <v>0.04</v>
      </c>
      <c r="E11" s="2477">
        <v>0.04</v>
      </c>
      <c r="F11" s="640"/>
      <c r="G11" s="3757" t="s">
        <v>9</v>
      </c>
      <c r="H11" s="3757"/>
      <c r="I11" s="3757"/>
      <c r="J11" s="140"/>
      <c r="K11" s="140"/>
      <c r="L11" s="140"/>
      <c r="M11" s="637"/>
      <c r="N11" s="67"/>
      <c r="O11" s="67"/>
      <c r="P11" s="67"/>
      <c r="Q11" s="67"/>
      <c r="R11" s="644"/>
      <c r="S11" s="2410" t="s">
        <v>91</v>
      </c>
      <c r="T11" s="2410" t="s">
        <v>622</v>
      </c>
      <c r="U11" s="2201" t="s">
        <v>623</v>
      </c>
      <c r="V11" s="637"/>
      <c r="W11" s="3027" t="s">
        <v>165</v>
      </c>
      <c r="X11" s="3758"/>
      <c r="Y11" s="4590">
        <v>1009.9</v>
      </c>
      <c r="Z11" s="717"/>
      <c r="AA11" s="636"/>
      <c r="AB11" s="636"/>
      <c r="AC11" s="636"/>
      <c r="AD11" s="636"/>
      <c r="AE11" s="636"/>
      <c r="AF11" s="636"/>
      <c r="AG11" s="636"/>
      <c r="AH11" s="636"/>
      <c r="AI11" s="636"/>
      <c r="AJ11" s="636"/>
      <c r="AK11" s="636"/>
      <c r="AL11" s="636"/>
      <c r="AM11" s="636"/>
      <c r="AN11" s="636"/>
      <c r="AO11" s="636"/>
      <c r="AP11" s="636"/>
      <c r="AQ11" s="636"/>
      <c r="AR11" s="636"/>
      <c r="AS11" s="636"/>
      <c r="AT11" s="636"/>
    </row>
    <row r="12" spans="1:46" ht="15" customHeight="1">
      <c r="A12" s="647"/>
      <c r="B12" s="648" t="s">
        <v>333</v>
      </c>
      <c r="C12" s="645"/>
      <c r="D12" s="4591">
        <v>4.1500000000000004</v>
      </c>
      <c r="E12" s="649">
        <v>4.1500000000000004</v>
      </c>
      <c r="F12" s="640"/>
      <c r="G12" s="2204" t="s">
        <v>120</v>
      </c>
      <c r="H12" s="650">
        <v>76</v>
      </c>
      <c r="I12" s="3041" t="s">
        <v>121</v>
      </c>
      <c r="J12" s="3042"/>
      <c r="K12" s="3042"/>
      <c r="L12" s="3043"/>
      <c r="M12" s="637"/>
      <c r="N12" s="3585" t="s">
        <v>122</v>
      </c>
      <c r="O12" s="3585"/>
      <c r="P12" s="2206" t="s">
        <v>123</v>
      </c>
      <c r="Q12" s="2207"/>
      <c r="R12" s="637"/>
      <c r="S12" s="2411">
        <f>T12*'Beer Data Sheet'!P21</f>
        <v>3.15</v>
      </c>
      <c r="T12" s="1727">
        <v>1</v>
      </c>
      <c r="U12" s="2411">
        <f>T12/'Beer Data Sheet'!P21</f>
        <v>0.31746031746031744</v>
      </c>
      <c r="V12" s="637"/>
      <c r="W12" s="3013" t="s">
        <v>166</v>
      </c>
      <c r="X12" s="3014"/>
      <c r="Y12" s="4592">
        <f>(Y10-Y11)/(7.75-3*(Y10-1000)/800)</f>
        <v>3.8137195272303011</v>
      </c>
      <c r="Z12" s="717"/>
      <c r="AA12" s="636"/>
      <c r="AB12" s="636"/>
      <c r="AC12" s="636"/>
      <c r="AD12" s="636"/>
      <c r="AE12" s="636"/>
      <c r="AF12" s="636"/>
      <c r="AG12" s="636"/>
      <c r="AH12" s="636"/>
      <c r="AI12" s="636"/>
      <c r="AJ12" s="636"/>
      <c r="AK12" s="636"/>
      <c r="AL12" s="636"/>
      <c r="AM12" s="636"/>
      <c r="AN12" s="636"/>
      <c r="AO12" s="636"/>
      <c r="AP12" s="636"/>
      <c r="AQ12" s="636"/>
      <c r="AR12" s="636"/>
      <c r="AS12" s="636"/>
      <c r="AT12" s="636"/>
    </row>
    <row r="13" spans="1:46" ht="15" customHeight="1">
      <c r="A13" s="637"/>
      <c r="B13" s="114" t="s">
        <v>336</v>
      </c>
      <c r="C13" s="645"/>
      <c r="D13" s="4593" t="s">
        <v>1030</v>
      </c>
      <c r="E13" s="651" t="s">
        <v>1031</v>
      </c>
      <c r="F13" s="640"/>
      <c r="G13" s="2209" t="s">
        <v>128</v>
      </c>
      <c r="H13" s="1727">
        <v>4450</v>
      </c>
      <c r="I13" s="3044" t="str">
        <f>"g = "&amp;1*FIXED((H12/100*P14/P15*H13),0)&amp;"g LIQUID Extract"</f>
        <v>g = 3273g LIQUID Extract</v>
      </c>
      <c r="J13" s="3045"/>
      <c r="K13" s="3759" t="str">
        <f>"= "&amp;1*FIXED((H12/100*H13*P14/P17),0)&amp;"g DRY Extract"</f>
        <v>= 2780g DRY Extract</v>
      </c>
      <c r="L13" s="3760"/>
      <c r="M13" s="637"/>
      <c r="N13" s="3585"/>
      <c r="O13" s="3585"/>
      <c r="P13" s="4594" t="s">
        <v>129</v>
      </c>
      <c r="Q13" s="4595" t="s">
        <v>130</v>
      </c>
      <c r="R13" s="694"/>
      <c r="S13" s="694"/>
      <c r="T13" s="694"/>
      <c r="U13" s="694"/>
      <c r="V13" s="694"/>
      <c r="W13" s="694"/>
      <c r="X13" s="637"/>
      <c r="Y13" s="637"/>
      <c r="Z13" s="637"/>
      <c r="AA13" s="636"/>
      <c r="AB13" s="636"/>
      <c r="AC13" s="636"/>
      <c r="AD13" s="636"/>
      <c r="AE13" s="636"/>
      <c r="AF13" s="636"/>
      <c r="AG13" s="636"/>
      <c r="AH13" s="636"/>
      <c r="AI13" s="636"/>
      <c r="AJ13" s="636"/>
      <c r="AK13" s="636"/>
      <c r="AL13" s="636"/>
      <c r="AM13" s="636"/>
      <c r="AN13" s="636"/>
      <c r="AO13" s="636"/>
      <c r="AP13" s="636"/>
      <c r="AQ13" s="636"/>
      <c r="AR13" s="636"/>
      <c r="AS13" s="636"/>
      <c r="AT13" s="636"/>
    </row>
    <row r="14" spans="1:46" ht="15" customHeight="1">
      <c r="A14" s="647"/>
      <c r="B14" s="3761" t="s">
        <v>567</v>
      </c>
      <c r="C14" s="3761"/>
      <c r="D14" s="652" t="s">
        <v>1032</v>
      </c>
      <c r="E14" s="652" t="s">
        <v>1032</v>
      </c>
      <c r="F14" s="640"/>
      <c r="G14" s="2211" t="s">
        <v>131</v>
      </c>
      <c r="H14" s="1727">
        <v>4450</v>
      </c>
      <c r="I14" s="3762" t="str">
        <f>"g = "&amp;1*FIXED((P17/P14*H14),0)&amp;"g DRY Extract"</f>
        <v>g = 5414g DRY Extract</v>
      </c>
      <c r="J14" s="3763"/>
      <c r="K14" s="3050" t="str">
        <f>"= "&amp;1*FIXED((H14*P15/(P14*H12/100)),0)&amp;"g Pale MALT"</f>
        <v>= 6050g Pale MALT</v>
      </c>
      <c r="L14" s="3051"/>
      <c r="M14" s="637"/>
      <c r="N14" s="2863" t="s">
        <v>937</v>
      </c>
      <c r="O14" s="2863"/>
      <c r="P14" s="2212">
        <v>300</v>
      </c>
      <c r="Q14" s="2213">
        <v>300</v>
      </c>
      <c r="R14" s="642"/>
      <c r="S14" s="642"/>
      <c r="T14" s="642"/>
      <c r="U14" s="642"/>
      <c r="V14" s="642"/>
      <c r="W14" s="637"/>
      <c r="X14" s="637"/>
      <c r="Y14" s="637"/>
      <c r="Z14" s="637"/>
      <c r="AA14" s="636"/>
      <c r="AB14" s="636"/>
      <c r="AC14" s="636"/>
      <c r="AD14" s="636"/>
      <c r="AE14" s="636"/>
      <c r="AF14" s="636"/>
      <c r="AG14" s="636"/>
      <c r="AH14" s="636"/>
      <c r="AI14" s="636"/>
      <c r="AJ14" s="636"/>
      <c r="AK14" s="636"/>
      <c r="AL14" s="636"/>
      <c r="AM14" s="636"/>
      <c r="AN14" s="636"/>
      <c r="AO14" s="636"/>
      <c r="AP14" s="636"/>
      <c r="AQ14" s="636"/>
      <c r="AR14" s="636"/>
      <c r="AS14" s="636"/>
      <c r="AT14" s="636"/>
    </row>
    <row r="15" spans="1:46" ht="15" customHeight="1">
      <c r="A15" s="653"/>
      <c r="B15" s="636"/>
      <c r="C15" s="653"/>
      <c r="D15" s="653"/>
      <c r="E15" s="653"/>
      <c r="F15" s="640"/>
      <c r="G15" s="2478" t="s">
        <v>1033</v>
      </c>
      <c r="H15" s="1727">
        <v>4450</v>
      </c>
      <c r="I15" s="3748" t="str">
        <f>"g = "&amp;1*FIXED((P16/P15*H15),0)&amp;"g NEW Extract"</f>
        <v>g = 4350g NEW Extract</v>
      </c>
      <c r="J15" s="3749"/>
      <c r="K15" s="3749"/>
      <c r="L15" s="3750"/>
      <c r="M15" s="637"/>
      <c r="N15" s="2863" t="s">
        <v>134</v>
      </c>
      <c r="O15" s="2863"/>
      <c r="P15" s="2212">
        <v>310</v>
      </c>
      <c r="Q15" s="2213">
        <v>310</v>
      </c>
      <c r="R15" s="645"/>
      <c r="S15" s="645"/>
      <c r="T15" s="645"/>
      <c r="U15" s="645"/>
      <c r="V15" s="645"/>
      <c r="W15" s="637"/>
      <c r="X15" s="637"/>
      <c r="Y15" s="637"/>
      <c r="Z15" s="637"/>
      <c r="AA15" s="636"/>
      <c r="AB15" s="636"/>
      <c r="AC15" s="636"/>
      <c r="AD15" s="636"/>
      <c r="AE15" s="636"/>
      <c r="AF15" s="636"/>
      <c r="AG15" s="636"/>
      <c r="AH15" s="636"/>
      <c r="AI15" s="636"/>
      <c r="AJ15" s="636"/>
      <c r="AK15" s="636"/>
      <c r="AL15" s="636"/>
      <c r="AM15" s="636"/>
      <c r="AN15" s="636"/>
      <c r="AO15" s="636"/>
      <c r="AP15" s="636"/>
      <c r="AQ15" s="636"/>
      <c r="AR15" s="636"/>
      <c r="AS15" s="636"/>
      <c r="AT15" s="636"/>
    </row>
    <row r="16" spans="1:46" ht="15" customHeight="1">
      <c r="A16" s="653"/>
      <c r="B16" s="654" t="s">
        <v>836</v>
      </c>
      <c r="C16" s="623"/>
      <c r="D16" s="623"/>
      <c r="E16" s="623"/>
      <c r="F16" s="640"/>
      <c r="G16" s="2211" t="s">
        <v>137</v>
      </c>
      <c r="H16" s="1727">
        <v>1000</v>
      </c>
      <c r="I16" s="3048" t="str">
        <f>"g = "&amp;1*FIXED((P17/P15*H16),0)&amp;"g LIQUID Extract"</f>
        <v>g = 1177g LIQUID Extract</v>
      </c>
      <c r="J16" s="3049"/>
      <c r="K16" s="3056" t="str">
        <f>"= "&amp;1*FIXED((H16*100/H12*P17/P14),0)&amp;"g Pale MALT"</f>
        <v>= 1601g Pale MALT</v>
      </c>
      <c r="L16" s="3057"/>
      <c r="M16" s="637"/>
      <c r="N16" s="3058" t="s">
        <v>138</v>
      </c>
      <c r="O16" s="3060"/>
      <c r="P16" s="2212">
        <v>303</v>
      </c>
      <c r="Q16" s="2213">
        <v>303</v>
      </c>
      <c r="R16" s="637"/>
      <c r="S16" s="637"/>
      <c r="T16" s="637"/>
      <c r="U16" s="637"/>
      <c r="V16" s="637"/>
      <c r="W16" s="637"/>
      <c r="X16" s="637"/>
      <c r="Y16" s="637"/>
      <c r="Z16" s="637"/>
      <c r="AA16" s="636"/>
      <c r="AB16" s="636"/>
      <c r="AC16" s="636"/>
      <c r="AD16" s="636"/>
      <c r="AE16" s="636"/>
      <c r="AF16" s="636"/>
      <c r="AG16" s="636"/>
      <c r="AH16" s="636"/>
      <c r="AI16" s="636"/>
      <c r="AJ16" s="636"/>
      <c r="AK16" s="636"/>
      <c r="AL16" s="636"/>
      <c r="AM16" s="636"/>
      <c r="AN16" s="636"/>
      <c r="AO16" s="636"/>
      <c r="AP16" s="636"/>
      <c r="AQ16" s="636"/>
      <c r="AR16" s="636"/>
      <c r="AS16" s="636"/>
      <c r="AT16" s="735"/>
    </row>
    <row r="17" spans="1:46" ht="15" customHeight="1">
      <c r="A17" s="653"/>
      <c r="B17" s="3570" t="s">
        <v>1034</v>
      </c>
      <c r="C17" s="3570"/>
      <c r="D17" s="3570"/>
      <c r="E17" s="3570"/>
      <c r="F17" s="640"/>
      <c r="G17" s="2209" t="s">
        <v>139</v>
      </c>
      <c r="H17" s="1727">
        <v>1000</v>
      </c>
      <c r="I17" s="3061" t="str">
        <f>"g = "&amp;1*FIXED((H17*0.262/0.2489),1)&amp;"g BREWING Sugar (Dextrose)"</f>
        <v>g = 1052.6g BREWING Sugar (Dextrose)</v>
      </c>
      <c r="J17" s="3062"/>
      <c r="K17" s="3062"/>
      <c r="L17" s="3063"/>
      <c r="M17" s="637"/>
      <c r="N17" s="2863" t="s">
        <v>137</v>
      </c>
      <c r="O17" s="2863"/>
      <c r="P17" s="2212">
        <v>365</v>
      </c>
      <c r="Q17" s="2213">
        <v>365</v>
      </c>
      <c r="R17" s="636"/>
      <c r="S17" s="637"/>
      <c r="T17" s="637"/>
      <c r="U17" s="637"/>
      <c r="V17" s="637"/>
      <c r="W17" s="637"/>
      <c r="X17" s="637"/>
      <c r="Y17" s="637"/>
      <c r="Z17" s="637"/>
      <c r="AA17" s="636"/>
      <c r="AB17" s="636"/>
      <c r="AC17" s="636"/>
      <c r="AD17" s="636"/>
      <c r="AE17" s="636"/>
      <c r="AF17" s="636"/>
      <c r="AG17" s="636"/>
      <c r="AH17" s="636"/>
      <c r="AI17" s="636"/>
      <c r="AJ17" s="636"/>
      <c r="AK17" s="636"/>
      <c r="AL17" s="636"/>
      <c r="AM17" s="636"/>
      <c r="AN17" s="636"/>
      <c r="AO17" s="636"/>
      <c r="AP17" s="636"/>
      <c r="AQ17" s="636"/>
      <c r="AR17" s="636"/>
      <c r="AS17" s="636"/>
      <c r="AT17" s="636"/>
    </row>
    <row r="18" spans="1:46" ht="17.25" customHeight="1">
      <c r="A18" s="655"/>
      <c r="B18" s="3570"/>
      <c r="C18" s="3570"/>
      <c r="D18" s="3570"/>
      <c r="E18" s="3570"/>
      <c r="F18" s="637"/>
      <c r="G18" s="2209" t="s">
        <v>140</v>
      </c>
      <c r="H18" s="1727">
        <v>1000</v>
      </c>
      <c r="I18" s="3752" t="str">
        <f>"g = "&amp;1*FIXED((H18*0.2489/0.262),1)&amp;"g CANE Sugar"</f>
        <v>g = 950g CANE Sugar</v>
      </c>
      <c r="J18" s="3753"/>
      <c r="K18" s="3753"/>
      <c r="L18" s="3754"/>
      <c r="M18" s="637"/>
      <c r="N18" s="3037" t="s">
        <v>139</v>
      </c>
      <c r="O18" s="3037"/>
      <c r="P18" s="2215">
        <v>375</v>
      </c>
      <c r="Q18" s="2213">
        <v>375</v>
      </c>
      <c r="R18" s="706"/>
      <c r="S18" s="3751" t="s">
        <v>953</v>
      </c>
      <c r="T18" s="3751"/>
      <c r="U18" s="3751"/>
      <c r="V18" s="3751"/>
      <c r="W18" s="3751"/>
      <c r="X18" s="3751"/>
      <c r="Y18" s="3751"/>
      <c r="Z18" s="637"/>
      <c r="AA18" s="636"/>
      <c r="AB18" s="636"/>
      <c r="AC18" s="636"/>
      <c r="AD18" s="636"/>
      <c r="AE18" s="636"/>
      <c r="AF18" s="636"/>
      <c r="AG18" s="636"/>
      <c r="AH18" s="636"/>
      <c r="AI18" s="636"/>
      <c r="AJ18" s="636"/>
      <c r="AK18" s="636"/>
      <c r="AL18" s="636"/>
      <c r="AM18" s="636"/>
      <c r="AN18" s="636"/>
      <c r="AO18" s="636"/>
      <c r="AP18" s="636"/>
      <c r="AQ18" s="636"/>
      <c r="AR18" s="636"/>
      <c r="AS18" s="636"/>
      <c r="AT18" s="735"/>
    </row>
    <row r="19" spans="1:46" ht="15" customHeight="1">
      <c r="A19" s="655"/>
      <c r="B19" s="637"/>
      <c r="C19" s="637"/>
      <c r="D19" s="637"/>
      <c r="E19" s="637"/>
      <c r="F19" s="637"/>
      <c r="G19" s="422"/>
      <c r="H19" s="422"/>
      <c r="I19" s="695"/>
      <c r="J19" s="695"/>
      <c r="K19" s="695"/>
      <c r="L19" s="695"/>
      <c r="M19" s="636"/>
      <c r="N19" s="3728" t="s">
        <v>1035</v>
      </c>
      <c r="O19" s="3729"/>
      <c r="P19" s="2215">
        <f>375*0.2489/0.262</f>
        <v>356.25</v>
      </c>
      <c r="Q19" s="2213">
        <v>356</v>
      </c>
      <c r="R19" s="707"/>
      <c r="S19" s="706"/>
      <c r="T19" s="706"/>
      <c r="U19" s="707"/>
      <c r="V19" s="707"/>
      <c r="W19" s="636"/>
      <c r="X19" s="707"/>
      <c r="Y19" s="706"/>
      <c r="Z19" s="637"/>
      <c r="AA19" s="636"/>
      <c r="AB19" s="636"/>
      <c r="AC19" s="636"/>
      <c r="AD19" s="636"/>
      <c r="AE19" s="636"/>
      <c r="AF19" s="636"/>
      <c r="AG19" s="636"/>
      <c r="AH19" s="636"/>
      <c r="AI19" s="636"/>
      <c r="AJ19" s="636"/>
      <c r="AK19" s="636"/>
      <c r="AL19" s="636"/>
      <c r="AM19" s="636"/>
      <c r="AN19" s="636"/>
      <c r="AO19" s="636"/>
      <c r="AP19" s="636"/>
      <c r="AQ19" s="636"/>
      <c r="AR19" s="636"/>
      <c r="AS19" s="636"/>
      <c r="AT19" s="735"/>
    </row>
    <row r="20" spans="1:46" ht="15.75" customHeight="1">
      <c r="A20" s="655"/>
      <c r="B20" s="637"/>
      <c r="C20" s="637"/>
      <c r="D20" s="637"/>
      <c r="E20" s="637"/>
      <c r="F20" s="637"/>
      <c r="G20" s="656"/>
      <c r="H20" s="656"/>
      <c r="I20" s="696"/>
      <c r="J20" s="696"/>
      <c r="K20" s="696"/>
      <c r="L20" s="697"/>
      <c r="M20" s="697"/>
      <c r="N20" s="697"/>
      <c r="O20" s="1939"/>
      <c r="P20" s="636"/>
      <c r="Q20" s="707"/>
      <c r="R20" s="707"/>
      <c r="S20" s="707"/>
      <c r="T20" s="707"/>
      <c r="U20" s="707"/>
      <c r="V20" s="707"/>
      <c r="W20" s="707"/>
      <c r="X20" s="707"/>
      <c r="Y20" s="706"/>
      <c r="Z20" s="637"/>
      <c r="AA20" s="636"/>
      <c r="AB20" s="636"/>
      <c r="AC20" s="636"/>
      <c r="AD20" s="636"/>
      <c r="AE20" s="636"/>
      <c r="AF20" s="636"/>
      <c r="AG20" s="636"/>
      <c r="AH20" s="636"/>
      <c r="AI20" s="636"/>
      <c r="AJ20" s="636"/>
      <c r="AK20" s="636"/>
      <c r="AL20" s="636"/>
      <c r="AM20" s="636"/>
      <c r="AN20" s="636"/>
      <c r="AO20" s="636"/>
      <c r="AP20" s="636"/>
      <c r="AQ20" s="636"/>
      <c r="AR20" s="636"/>
      <c r="AS20" s="636"/>
      <c r="AT20" s="736"/>
    </row>
    <row r="21" spans="1:46" ht="15" customHeight="1">
      <c r="A21" s="653"/>
      <c r="B21" s="2479" t="s">
        <v>1036</v>
      </c>
      <c r="C21" s="3730" t="s">
        <v>1037</v>
      </c>
      <c r="D21" s="3731"/>
      <c r="E21" s="3731"/>
      <c r="F21" s="3732"/>
      <c r="G21" s="3586" t="s">
        <v>45</v>
      </c>
      <c r="H21" s="3587"/>
      <c r="I21" s="3587"/>
      <c r="J21" s="3587"/>
      <c r="K21" s="3587"/>
      <c r="L21" s="3587"/>
      <c r="M21" s="3587"/>
      <c r="N21" s="3588"/>
      <c r="O21" s="3733" t="s">
        <v>1038</v>
      </c>
      <c r="P21" s="3734"/>
      <c r="Q21" s="3734"/>
      <c r="R21" s="3734"/>
      <c r="S21" s="3734"/>
      <c r="T21" s="3735"/>
      <c r="U21" s="707"/>
      <c r="V21" s="3350" t="s">
        <v>680</v>
      </c>
      <c r="W21" s="3350"/>
      <c r="X21" s="3350"/>
      <c r="Y21" s="637"/>
      <c r="Z21" s="637"/>
      <c r="AA21" s="636"/>
      <c r="AB21" s="636"/>
      <c r="AC21" s="636"/>
      <c r="AD21" s="636"/>
      <c r="AE21" s="636"/>
      <c r="AF21" s="636"/>
      <c r="AG21" s="636"/>
      <c r="AH21" s="636"/>
      <c r="AI21" s="636"/>
      <c r="AJ21" s="636"/>
      <c r="AK21" s="636"/>
      <c r="AL21" s="636"/>
      <c r="AM21" s="636"/>
      <c r="AN21" s="636"/>
      <c r="AO21" s="636"/>
      <c r="AP21" s="636"/>
      <c r="AQ21" s="636"/>
      <c r="AR21" s="636"/>
      <c r="AS21" s="636"/>
      <c r="AT21" s="636"/>
    </row>
    <row r="22" spans="1:46" ht="15" customHeight="1">
      <c r="A22" s="653"/>
      <c r="B22" s="657" t="s">
        <v>649</v>
      </c>
      <c r="C22" s="658">
        <f>1000+AK69</f>
        <v>1038.2523200000001</v>
      </c>
      <c r="D22" s="2480">
        <f>1000+AO69</f>
        <v>1038.2523200000001</v>
      </c>
      <c r="E22" s="659">
        <f>1000+AS69</f>
        <v>1038.2283199999999</v>
      </c>
      <c r="F22" s="4596">
        <v>1038</v>
      </c>
      <c r="G22" s="4597"/>
      <c r="H22" s="3589"/>
      <c r="I22" s="3589"/>
      <c r="J22" s="3589"/>
      <c r="K22" s="3589"/>
      <c r="L22" s="3589"/>
      <c r="M22" s="3589"/>
      <c r="N22" s="3590"/>
      <c r="O22" s="3736" t="s">
        <v>578</v>
      </c>
      <c r="P22" s="3737"/>
      <c r="Q22" s="3738"/>
      <c r="R22" s="2481">
        <v>500</v>
      </c>
      <c r="S22" s="2482">
        <v>500</v>
      </c>
      <c r="T22" s="2483">
        <v>500</v>
      </c>
      <c r="U22" s="637"/>
      <c r="V22" s="2302" t="s">
        <v>693</v>
      </c>
      <c r="W22" s="1729" t="s">
        <v>956</v>
      </c>
      <c r="X22" s="1729" t="s">
        <v>957</v>
      </c>
      <c r="Y22" s="637"/>
      <c r="Z22" s="637"/>
      <c r="AA22" s="636"/>
      <c r="AB22" s="636"/>
      <c r="AC22" s="636"/>
      <c r="AD22" s="636"/>
      <c r="AE22" s="636"/>
      <c r="AF22" s="636"/>
      <c r="AG22" s="636"/>
      <c r="AH22" s="636"/>
      <c r="AI22" s="636"/>
      <c r="AJ22" s="636"/>
      <c r="AK22" s="636"/>
      <c r="AL22" s="636"/>
      <c r="AM22" s="636"/>
      <c r="AN22" s="636"/>
      <c r="AO22" s="636"/>
      <c r="AP22" s="636"/>
      <c r="AQ22" s="636"/>
      <c r="AR22" s="636"/>
      <c r="AS22" s="636"/>
      <c r="AT22" s="636"/>
    </row>
    <row r="23" spans="1:46" ht="15" customHeight="1">
      <c r="A23" s="653"/>
      <c r="B23" s="4598" t="s">
        <v>927</v>
      </c>
      <c r="C23" s="4599">
        <f>1000+AK73</f>
        <v>1009.1805568</v>
      </c>
      <c r="D23" s="4600">
        <f>1000+AO73</f>
        <v>1009.1805568</v>
      </c>
      <c r="E23" s="660">
        <f>1000+AS73</f>
        <v>1009.1747968</v>
      </c>
      <c r="F23" s="4596">
        <v>1009</v>
      </c>
      <c r="G23" s="3591"/>
      <c r="H23" s="3592"/>
      <c r="I23" s="3592"/>
      <c r="J23" s="3592"/>
      <c r="K23" s="3592"/>
      <c r="L23" s="3592"/>
      <c r="M23" s="3592"/>
      <c r="N23" s="3593"/>
      <c r="O23" s="3641" t="s">
        <v>583</v>
      </c>
      <c r="P23" s="3642"/>
      <c r="Q23" s="3643"/>
      <c r="R23" s="708">
        <f>$AC$69*R22</f>
        <v>105.74712663523212</v>
      </c>
      <c r="S23" s="708">
        <f>$AM$69*S22</f>
        <v>105.74712663523212</v>
      </c>
      <c r="T23" s="2484">
        <f>$AQ$69*T22</f>
        <v>105.67952913129746</v>
      </c>
      <c r="U23" s="637"/>
      <c r="V23" s="2198">
        <v>19</v>
      </c>
      <c r="W23" s="2485">
        <f t="shared" ref="W23:W31" si="0">X23*(5/6)</f>
        <v>33.461897465701554</v>
      </c>
      <c r="X23" s="2197">
        <f t="shared" ref="X23:X31" si="1">8*V23/3.7854</f>
        <v>40.154276958841862</v>
      </c>
      <c r="Y23" s="637"/>
      <c r="Z23" s="718"/>
      <c r="AA23" s="636"/>
      <c r="AB23" s="636"/>
      <c r="AC23" s="636"/>
      <c r="AD23" s="636"/>
      <c r="AE23" s="636"/>
      <c r="AF23" s="636"/>
      <c r="AG23" s="636"/>
      <c r="AH23" s="636"/>
      <c r="AI23" s="636"/>
      <c r="AJ23" s="636"/>
      <c r="AK23" s="636"/>
      <c r="AL23" s="636"/>
      <c r="AM23" s="636"/>
      <c r="AN23" s="636"/>
      <c r="AO23" s="636"/>
      <c r="AP23" s="636"/>
      <c r="AQ23" s="636"/>
      <c r="AR23" s="636"/>
      <c r="AS23" s="636"/>
      <c r="AT23" s="636"/>
    </row>
    <row r="24" spans="1:46" ht="15" customHeight="1">
      <c r="A24" s="653"/>
      <c r="B24" s="661" t="s">
        <v>928</v>
      </c>
      <c r="C24" s="662">
        <f>(C22-C23)/(7.75-(3*(C22-1000)/800))</f>
        <v>3.8219361835053451</v>
      </c>
      <c r="D24" s="1852">
        <f>(D22-D23)/(7.75-(3*(D22-1000)/800))</f>
        <v>3.8219361835053451</v>
      </c>
      <c r="E24" s="663">
        <f>(E22-E23)/(7.75-(3*(E22-1000)/800))</f>
        <v>3.8194930594751879</v>
      </c>
      <c r="F24" s="4601">
        <v>3.9</v>
      </c>
      <c r="G24" s="4602" t="s">
        <v>1039</v>
      </c>
      <c r="H24" s="4603"/>
      <c r="I24" s="3739">
        <v>11</v>
      </c>
      <c r="J24" s="3740"/>
      <c r="K24" s="3741">
        <v>11</v>
      </c>
      <c r="L24" s="3742"/>
      <c r="M24" s="3743">
        <v>11</v>
      </c>
      <c r="N24" s="3744"/>
      <c r="O24" s="3745" t="s">
        <v>932</v>
      </c>
      <c r="P24" s="3746"/>
      <c r="Q24" s="3747"/>
      <c r="R24" s="709">
        <f>$AC$70*R22</f>
        <v>70.362309436010591</v>
      </c>
      <c r="S24" s="709">
        <f>$AM$70*S22</f>
        <v>70.362309436010591</v>
      </c>
      <c r="T24" s="710">
        <f>$AQ$70*T22</f>
        <v>70.316214123354229</v>
      </c>
      <c r="U24" s="637"/>
      <c r="V24" s="2198">
        <v>2</v>
      </c>
      <c r="W24" s="2485">
        <f t="shared" si="0"/>
        <v>3.5223049963896376</v>
      </c>
      <c r="X24" s="2197">
        <f t="shared" si="1"/>
        <v>4.2267659956675647</v>
      </c>
      <c r="Y24" s="637"/>
      <c r="Z24" s="718"/>
      <c r="AA24" s="636"/>
      <c r="AB24" s="636"/>
      <c r="AC24" s="636"/>
      <c r="AD24" s="636"/>
      <c r="AE24" s="636"/>
      <c r="AF24" s="636"/>
      <c r="AG24" s="636"/>
      <c r="AH24" s="636"/>
      <c r="AI24" s="636"/>
      <c r="AJ24" s="636"/>
      <c r="AK24" s="636"/>
      <c r="AL24" s="636"/>
      <c r="AM24" s="636"/>
      <c r="AN24" s="636"/>
      <c r="AO24" s="636"/>
      <c r="AP24" s="636"/>
      <c r="AQ24" s="636"/>
      <c r="AR24" s="636"/>
      <c r="AS24" s="636"/>
      <c r="AT24" s="636"/>
    </row>
    <row r="25" spans="1:46" ht="15" customHeight="1">
      <c r="A25" s="653"/>
      <c r="B25" s="4604" t="s">
        <v>1040</v>
      </c>
      <c r="C25" s="4605">
        <f>1000+AK70</f>
        <v>1038.2523200000001</v>
      </c>
      <c r="D25" s="4606">
        <f>1000+AO70</f>
        <v>1038.2523200000001</v>
      </c>
      <c r="E25" s="664">
        <f>1000+AS70</f>
        <v>1038.2283199999999</v>
      </c>
      <c r="F25" s="3571" t="s">
        <v>1041</v>
      </c>
      <c r="G25" s="4607" t="s">
        <v>1042</v>
      </c>
      <c r="H25" s="4608"/>
      <c r="I25" s="2486">
        <v>120</v>
      </c>
      <c r="J25" s="2487">
        <v>15</v>
      </c>
      <c r="K25" s="2488">
        <v>120</v>
      </c>
      <c r="L25" s="2489">
        <v>15</v>
      </c>
      <c r="M25" s="2486">
        <v>120</v>
      </c>
      <c r="N25" s="2487">
        <v>15</v>
      </c>
      <c r="O25" s="4609" t="s">
        <v>588</v>
      </c>
      <c r="P25" s="3614"/>
      <c r="Q25" s="3615"/>
      <c r="R25" s="711">
        <f>SUM(R23:R24)</f>
        <v>176.10943607124273</v>
      </c>
      <c r="S25" s="712">
        <f>SUM(S23:S24)</f>
        <v>176.10943607124273</v>
      </c>
      <c r="T25" s="712">
        <f>SUM(T23:T24)</f>
        <v>175.9957432546517</v>
      </c>
      <c r="U25" s="637"/>
      <c r="V25" s="2198">
        <v>3</v>
      </c>
      <c r="W25" s="2485">
        <f t="shared" si="0"/>
        <v>5.2834574945844563</v>
      </c>
      <c r="X25" s="2197">
        <f t="shared" si="1"/>
        <v>6.3401489935013471</v>
      </c>
      <c r="Y25" s="637"/>
      <c r="Z25" s="718"/>
      <c r="AA25" s="719"/>
      <c r="AB25" s="719"/>
      <c r="AC25" s="719"/>
      <c r="AD25" s="719"/>
      <c r="AE25" s="720"/>
      <c r="AF25" s="720"/>
      <c r="AG25" s="720"/>
      <c r="AH25" s="720"/>
      <c r="AI25" s="720"/>
      <c r="AJ25" s="720"/>
      <c r="AK25" s="720"/>
      <c r="AL25" s="720"/>
      <c r="AM25" s="720"/>
      <c r="AN25" s="720"/>
      <c r="AO25" s="720"/>
      <c r="AP25" s="720"/>
      <c r="AQ25" s="720"/>
      <c r="AR25" s="720"/>
      <c r="AS25" s="720"/>
      <c r="AT25" s="720"/>
    </row>
    <row r="26" spans="1:46" ht="15" customHeight="1">
      <c r="A26" s="653"/>
      <c r="B26" s="4604" t="s">
        <v>1043</v>
      </c>
      <c r="C26" s="4605">
        <f>1000+AK72</f>
        <v>1009.1805568</v>
      </c>
      <c r="D26" s="4606">
        <f>1000+AO72</f>
        <v>1009.1805568</v>
      </c>
      <c r="E26" s="664">
        <f>1000+AS72</f>
        <v>1009.1747968</v>
      </c>
      <c r="F26" s="3572"/>
      <c r="G26" s="4610" t="s">
        <v>1044</v>
      </c>
      <c r="H26" s="4611"/>
      <c r="I26" s="3616">
        <f>1000+SUM($AJ32:$AJ61)/$I24</f>
        <v>1086.937090909091</v>
      </c>
      <c r="J26" s="3617"/>
      <c r="K26" s="3616">
        <f>1000+SUM($AN32:$AN61)/$K24</f>
        <v>1086.937090909091</v>
      </c>
      <c r="L26" s="3617"/>
      <c r="M26" s="3616">
        <f>1000+SUM($AR32:$AR61)/$M24</f>
        <v>1086.8825454545454</v>
      </c>
      <c r="N26" s="3617"/>
      <c r="O26" s="4612" t="s">
        <v>1045</v>
      </c>
      <c r="P26" s="3649"/>
      <c r="Q26" s="3650"/>
      <c r="R26" s="4613">
        <f>R24/3.85</f>
        <v>18.275924528833919</v>
      </c>
      <c r="S26" s="4614">
        <f>S24/3.85</f>
        <v>18.275924528833919</v>
      </c>
      <c r="T26" s="4614">
        <f>T24/3.85</f>
        <v>18.263951720351749</v>
      </c>
      <c r="U26" s="637"/>
      <c r="V26" s="2198">
        <v>4</v>
      </c>
      <c r="W26" s="2485">
        <f t="shared" si="0"/>
        <v>7.0446099927792751</v>
      </c>
      <c r="X26" s="2197">
        <f t="shared" si="1"/>
        <v>8.4535319913351294</v>
      </c>
      <c r="Y26" s="637"/>
      <c r="Z26" s="718"/>
      <c r="AA26" s="719"/>
      <c r="AB26" s="719"/>
      <c r="AC26" s="719"/>
      <c r="AD26" s="719"/>
      <c r="AE26" s="720"/>
      <c r="AF26" s="720"/>
      <c r="AG26" s="720"/>
      <c r="AH26" s="720"/>
      <c r="AI26" s="720"/>
      <c r="AJ26" s="720"/>
      <c r="AK26" s="720"/>
      <c r="AL26" s="720"/>
      <c r="AM26" s="720"/>
      <c r="AN26" s="720"/>
      <c r="AO26" s="720"/>
      <c r="AP26" s="720"/>
      <c r="AQ26" s="720"/>
      <c r="AR26" s="720"/>
      <c r="AS26" s="720"/>
      <c r="AT26" s="720"/>
    </row>
    <row r="27" spans="1:46" ht="15" customHeight="1">
      <c r="A27" s="653"/>
      <c r="B27" s="4615" t="s">
        <v>1046</v>
      </c>
      <c r="C27" s="665" t="str">
        <f>I30</f>
        <v>39.4 EBU</v>
      </c>
      <c r="D27" s="665" t="str">
        <f>K30</f>
        <v>39.4 EBU</v>
      </c>
      <c r="E27" s="666" t="str">
        <f>M30</f>
        <v>39.4 EBU</v>
      </c>
      <c r="F27" s="2093">
        <v>40</v>
      </c>
      <c r="G27" s="4610" t="s">
        <v>1047</v>
      </c>
      <c r="H27" s="4611"/>
      <c r="I27" s="4616">
        <f>I28*AA66/(I24*10)</f>
        <v>82.136280678898643</v>
      </c>
      <c r="J27" s="4616">
        <f>J28*AB66/(I24*10)</f>
        <v>7.316507796639824</v>
      </c>
      <c r="K27" s="4616">
        <f>K28*AC66/(K24*10)</f>
        <v>82.136280678898643</v>
      </c>
      <c r="L27" s="4616">
        <f>L28*AD66/(K24*10)</f>
        <v>7.316507796639824</v>
      </c>
      <c r="M27" s="4616">
        <f>M28*AE66/(M24*10)</f>
        <v>82.176554636032364</v>
      </c>
      <c r="N27" s="4617">
        <f>N28*AF66/(M24*10)</f>
        <v>7.3200953065554755</v>
      </c>
      <c r="O27" s="4612" t="s">
        <v>675</v>
      </c>
      <c r="P27" s="3649"/>
      <c r="Q27" s="3650"/>
      <c r="R27" s="4618">
        <f>R28*R22/1000</f>
        <v>1.9109680917526726</v>
      </c>
      <c r="S27" s="4619">
        <f>S28*S22/1000</f>
        <v>1.9109680917526726</v>
      </c>
      <c r="T27" s="4619">
        <f>T28*T22/1000</f>
        <v>1.909746529737594</v>
      </c>
      <c r="U27" s="637"/>
      <c r="V27" s="2198">
        <v>5</v>
      </c>
      <c r="W27" s="2485">
        <f t="shared" si="0"/>
        <v>8.8057624909740948</v>
      </c>
      <c r="X27" s="2197">
        <f t="shared" si="1"/>
        <v>10.566914989168913</v>
      </c>
      <c r="Y27" s="637"/>
      <c r="Z27" s="718"/>
      <c r="AA27" s="3725" t="s">
        <v>1048</v>
      </c>
      <c r="AB27" s="3725"/>
      <c r="AC27" s="3725"/>
      <c r="AD27" s="3725"/>
      <c r="AE27" s="3725"/>
      <c r="AF27" s="3725"/>
      <c r="AG27" s="3725"/>
      <c r="AH27" s="3725"/>
      <c r="AI27" s="3725"/>
      <c r="AJ27" s="3725"/>
      <c r="AK27" s="3725"/>
      <c r="AL27" s="3725"/>
      <c r="AM27" s="3725"/>
      <c r="AN27" s="3725"/>
      <c r="AO27" s="3725"/>
      <c r="AP27" s="3725"/>
      <c r="AQ27" s="3725"/>
      <c r="AR27" s="3725"/>
      <c r="AS27" s="3725"/>
      <c r="AT27" s="3725"/>
    </row>
    <row r="28" spans="1:46" ht="15" customHeight="1">
      <c r="A28" s="653"/>
      <c r="B28" s="4620" t="s">
        <v>271</v>
      </c>
      <c r="C28" s="4621" t="str">
        <f>FIXED(SUM(AL32:AL62)/C30,1)&amp;" EBC"</f>
        <v>15.7 EBC</v>
      </c>
      <c r="D28" s="4622" t="str">
        <f>FIXED(SUM(AP32:AP62)/D30,1)&amp;" EBC"</f>
        <v>15.7 EBC</v>
      </c>
      <c r="E28" s="667" t="str">
        <f>FIXED(SUM(AT32:AT62)/E30,1)&amp;" EBC"</f>
        <v>20.9 EBC</v>
      </c>
      <c r="F28" s="4601" t="s">
        <v>1049</v>
      </c>
      <c r="G28" s="4623" t="s">
        <v>1050</v>
      </c>
      <c r="H28" s="4624"/>
      <c r="I28" s="4625">
        <f>165*POWER(0.000125,0.001*($I26-1000))*(1-EXP(-$E11*$I25))/$E12</f>
        <v>18.051929819538167</v>
      </c>
      <c r="J28" s="4625">
        <f>165*POWER(0.000125,0.001*($I26-1000))*(1-EXP(-$E11*$J25))/$E12</f>
        <v>8.2124067105140881</v>
      </c>
      <c r="K28" s="4625">
        <f>165*POWER(0.000125,0.001*($K26-1000))*(1-EXP(-$E11*$K25))/$E12</f>
        <v>18.051929819538167</v>
      </c>
      <c r="L28" s="4625">
        <f>165*POWER(0.000125,0.001*($K26-1000))*(1-EXP(-$E11*$L25))/$E12</f>
        <v>8.2124067105140881</v>
      </c>
      <c r="M28" s="4625">
        <f>165*POWER(0.000125,0.001*($M26-1000))*(1-EXP(-$E11*$M25))/$E12</f>
        <v>18.060781238688431</v>
      </c>
      <c r="N28" s="4626">
        <f>165*POWER(0.000125,0.001*($M26-1000))*(1-EXP(-$E11*$N25))/$E12</f>
        <v>8.216433507358186</v>
      </c>
      <c r="O28" s="3685" t="s">
        <v>202</v>
      </c>
      <c r="P28" s="3686"/>
      <c r="Q28" s="3687"/>
      <c r="R28" s="713">
        <f>C24</f>
        <v>3.8219361835053451</v>
      </c>
      <c r="S28" s="4627">
        <f>D24</f>
        <v>3.8219361835053451</v>
      </c>
      <c r="T28" s="4627">
        <f>E24</f>
        <v>3.8194930594751879</v>
      </c>
      <c r="U28" s="637"/>
      <c r="V28" s="2198">
        <v>6</v>
      </c>
      <c r="W28" s="2485">
        <f t="shared" si="0"/>
        <v>10.566914989168913</v>
      </c>
      <c r="X28" s="2197">
        <f t="shared" si="1"/>
        <v>12.680297987002694</v>
      </c>
      <c r="Y28" s="637"/>
      <c r="Z28" s="637"/>
      <c r="AA28" s="636"/>
      <c r="AB28" s="721"/>
      <c r="AC28" s="721"/>
      <c r="AD28" s="721"/>
      <c r="AE28" s="721"/>
      <c r="AF28" s="721"/>
      <c r="AG28" s="721"/>
      <c r="AH28" s="721"/>
      <c r="AI28" s="721"/>
      <c r="AJ28" s="721"/>
      <c r="AK28" s="721"/>
      <c r="AL28" s="721"/>
      <c r="AM28" s="721"/>
      <c r="AN28" s="721"/>
      <c r="AO28" s="721"/>
      <c r="AP28" s="721"/>
      <c r="AQ28" s="721"/>
      <c r="AR28" s="721"/>
      <c r="AS28" s="721"/>
      <c r="AT28" s="721"/>
    </row>
    <row r="29" spans="1:46" ht="15" customHeight="1">
      <c r="A29" s="653"/>
      <c r="B29" s="668"/>
      <c r="C29" s="669" t="str">
        <f>"≈ "&amp;FIXED(0.508*SUM(AL32:AL61)/C30,1)&amp;" SRM"</f>
        <v>≈ 8.0 SRM</v>
      </c>
      <c r="D29" s="4628" t="str">
        <f>"≈ "&amp;FIXED(0.508*SUM(AP32:AP61)/D30,1)&amp;" SRM"</f>
        <v>≈ 8.0 SRM</v>
      </c>
      <c r="E29" s="670" t="str">
        <f>"≈ "&amp;FIXED(0.508*SUM(AT32:AT61)/E30,1)&amp;" SRM"</f>
        <v>≈ 10.6 SRM</v>
      </c>
      <c r="F29" s="2093">
        <v>6.9</v>
      </c>
      <c r="G29" s="4629" t="s">
        <v>1051</v>
      </c>
      <c r="H29" s="4630"/>
      <c r="I29" s="4631">
        <f>I27*$I24/$C30</f>
        <v>36.139963498715403</v>
      </c>
      <c r="J29" s="4631">
        <f>((J27*$I24/$C30))</f>
        <v>3.2192634305215226</v>
      </c>
      <c r="K29" s="4631">
        <f>K27*$K24/$D30</f>
        <v>36.139963498715403</v>
      </c>
      <c r="L29" s="4631">
        <f>L27*$K24/$D30</f>
        <v>3.2192634305215226</v>
      </c>
      <c r="M29" s="4631">
        <f>M27*$M24/$E30</f>
        <v>36.157684039854239</v>
      </c>
      <c r="N29" s="4631">
        <f>N27*$M24/$E30</f>
        <v>3.2208419348844091</v>
      </c>
      <c r="O29" s="645"/>
      <c r="P29" s="645"/>
      <c r="Q29" s="645"/>
      <c r="R29" s="645"/>
      <c r="S29" s="645"/>
      <c r="T29" s="645"/>
      <c r="U29" s="645"/>
      <c r="V29" s="2198">
        <v>7</v>
      </c>
      <c r="W29" s="2485">
        <f t="shared" si="0"/>
        <v>12.328067487363732</v>
      </c>
      <c r="X29" s="2197">
        <f t="shared" si="1"/>
        <v>14.793680984836477</v>
      </c>
      <c r="Y29" s="637"/>
      <c r="Z29" s="637"/>
      <c r="AA29" s="3726" t="s">
        <v>516</v>
      </c>
      <c r="AB29" s="3726"/>
      <c r="AC29" s="722"/>
      <c r="AD29" s="722"/>
      <c r="AE29" s="722"/>
      <c r="AF29" s="722"/>
      <c r="AG29" s="721"/>
      <c r="AH29" s="721"/>
      <c r="AI29" s="721"/>
      <c r="AJ29" s="636"/>
      <c r="AK29" s="636"/>
      <c r="AL29" s="636"/>
      <c r="AM29" s="721"/>
      <c r="AN29" s="721"/>
      <c r="AO29" s="721"/>
      <c r="AP29" s="730"/>
      <c r="AQ29" s="721"/>
      <c r="AR29" s="721"/>
      <c r="AS29" s="636"/>
      <c r="AT29" s="636"/>
    </row>
    <row r="30" spans="1:46" ht="15" customHeight="1">
      <c r="A30" s="653"/>
      <c r="B30" s="2781" t="s">
        <v>1052</v>
      </c>
      <c r="C30" s="671">
        <v>25</v>
      </c>
      <c r="D30" s="672">
        <v>25</v>
      </c>
      <c r="E30" s="673">
        <v>25</v>
      </c>
      <c r="F30" s="2490" t="s">
        <v>319</v>
      </c>
      <c r="G30" s="4632" t="s">
        <v>774</v>
      </c>
      <c r="H30" s="4633"/>
      <c r="I30" s="3708" t="str">
        <f>FIXED((I29+J29)+(I66*69/C30),1)&amp;" EBU"</f>
        <v>39.4 EBU</v>
      </c>
      <c r="J30" s="3727"/>
      <c r="K30" s="3708" t="str">
        <f>FIXED((K29+L29)+(K66*69/D30),1)&amp;" EBU"</f>
        <v>39.4 EBU</v>
      </c>
      <c r="L30" s="3727"/>
      <c r="M30" s="3708" t="str">
        <f>FIXED((M29+N29)+(M66*69/E30),1)&amp;" EBU"</f>
        <v>39.4 EBU</v>
      </c>
      <c r="N30" s="3727"/>
      <c r="O30" s="645"/>
      <c r="P30" s="3607" t="s">
        <v>1053</v>
      </c>
      <c r="Q30" s="3607"/>
      <c r="R30" s="655"/>
      <c r="S30" s="655"/>
      <c r="T30" s="655"/>
      <c r="U30" s="655"/>
      <c r="V30" s="2198">
        <v>8</v>
      </c>
      <c r="W30" s="2485">
        <f t="shared" si="0"/>
        <v>14.08921998555855</v>
      </c>
      <c r="X30" s="2197">
        <f t="shared" si="1"/>
        <v>16.907063982670259</v>
      </c>
      <c r="Y30" s="637"/>
      <c r="Z30" s="645"/>
      <c r="AA30" s="723" t="s">
        <v>1054</v>
      </c>
      <c r="AB30" s="1941" t="s">
        <v>1055</v>
      </c>
      <c r="AC30" s="724" t="s">
        <v>517</v>
      </c>
      <c r="AD30" s="725" t="s">
        <v>1055</v>
      </c>
      <c r="AE30" s="725" t="s">
        <v>518</v>
      </c>
      <c r="AF30" s="725" t="s">
        <v>1055</v>
      </c>
      <c r="AG30" s="636"/>
      <c r="AH30" s="636"/>
      <c r="AI30" s="4634"/>
      <c r="AJ30" s="721" t="s">
        <v>516</v>
      </c>
      <c r="AK30" s="721"/>
      <c r="AL30" s="728"/>
      <c r="AM30" s="729"/>
      <c r="AN30" s="4635" t="s">
        <v>517</v>
      </c>
      <c r="AO30" s="721"/>
      <c r="AP30" s="728"/>
      <c r="AQ30" s="636"/>
      <c r="AR30" s="4636" t="s">
        <v>518</v>
      </c>
      <c r="AS30" s="721"/>
      <c r="AT30" s="721"/>
    </row>
    <row r="31" spans="1:46" ht="15" customHeight="1">
      <c r="A31" s="653"/>
      <c r="B31" s="2491" t="s">
        <v>948</v>
      </c>
      <c r="C31" s="2492" t="s">
        <v>1056</v>
      </c>
      <c r="D31" s="2493" t="s">
        <v>1057</v>
      </c>
      <c r="E31" s="2494" t="s">
        <v>1058</v>
      </c>
      <c r="F31" s="674" t="s">
        <v>352</v>
      </c>
      <c r="G31" s="2495" t="s">
        <v>701</v>
      </c>
      <c r="H31" s="2496" t="s">
        <v>1059</v>
      </c>
      <c r="I31" s="2497" t="s">
        <v>1056</v>
      </c>
      <c r="J31" s="2498" t="s">
        <v>1060</v>
      </c>
      <c r="K31" s="2499" t="s">
        <v>1057</v>
      </c>
      <c r="L31" s="2500" t="s">
        <v>1061</v>
      </c>
      <c r="M31" s="2498" t="s">
        <v>1058</v>
      </c>
      <c r="N31" s="2498" t="s">
        <v>1062</v>
      </c>
      <c r="O31" s="698"/>
      <c r="P31" s="698"/>
      <c r="Q31" s="698"/>
      <c r="R31" s="698"/>
      <c r="S31" s="698"/>
      <c r="T31" s="698"/>
      <c r="U31" s="655"/>
      <c r="V31" s="2198">
        <v>10</v>
      </c>
      <c r="W31" s="2485">
        <f t="shared" si="0"/>
        <v>17.61152498194819</v>
      </c>
      <c r="X31" s="2197">
        <f t="shared" si="1"/>
        <v>21.133829978337825</v>
      </c>
      <c r="Y31" s="637"/>
      <c r="Z31" s="645"/>
      <c r="AA31" s="1941" t="s">
        <v>248</v>
      </c>
      <c r="AB31" s="726">
        <v>15</v>
      </c>
      <c r="AC31" s="724" t="s">
        <v>248</v>
      </c>
      <c r="AD31" s="727">
        <v>15</v>
      </c>
      <c r="AE31" s="722" t="s">
        <v>248</v>
      </c>
      <c r="AF31" s="727">
        <v>15</v>
      </c>
      <c r="AG31" s="4635" t="s">
        <v>1063</v>
      </c>
      <c r="AH31" s="721" t="s">
        <v>950</v>
      </c>
      <c r="AI31" s="4635" t="s">
        <v>515</v>
      </c>
      <c r="AJ31" s="730" t="s">
        <v>689</v>
      </c>
      <c r="AK31" s="721" t="s">
        <v>951</v>
      </c>
      <c r="AL31" s="721" t="s">
        <v>950</v>
      </c>
      <c r="AM31" s="4637" t="s">
        <v>515</v>
      </c>
      <c r="AN31" s="730" t="s">
        <v>689</v>
      </c>
      <c r="AO31" s="721" t="s">
        <v>951</v>
      </c>
      <c r="AP31" s="721" t="s">
        <v>950</v>
      </c>
      <c r="AQ31" s="4637" t="s">
        <v>515</v>
      </c>
      <c r="AR31" s="730" t="s">
        <v>689</v>
      </c>
      <c r="AS31" s="721" t="s">
        <v>951</v>
      </c>
      <c r="AT31" s="721" t="s">
        <v>950</v>
      </c>
    </row>
    <row r="32" spans="1:46" ht="15" customHeight="1">
      <c r="A32" s="3665" t="s">
        <v>952</v>
      </c>
      <c r="B32" s="4638" t="str">
        <f>'Beer Data Sheet'!B58</f>
        <v>Pale malt</v>
      </c>
      <c r="C32" s="2501">
        <v>4000</v>
      </c>
      <c r="D32" s="675">
        <f t="shared" ref="D32" si="2">C32</f>
        <v>4000</v>
      </c>
      <c r="E32" s="676"/>
      <c r="F32" s="2782" t="s">
        <v>82</v>
      </c>
      <c r="G32" s="2007" t="str">
        <f>'Beer Data Sheet'!B10</f>
        <v>Boadicea</v>
      </c>
      <c r="H32" s="2008">
        <f>'Beer Data Sheet'!C10</f>
        <v>9.5</v>
      </c>
      <c r="I32" s="2783"/>
      <c r="J32" s="2502"/>
      <c r="K32" s="2503">
        <f t="shared" ref="K32:M65" si="3">I32</f>
        <v>0</v>
      </c>
      <c r="L32" s="2504">
        <f t="shared" si="3"/>
        <v>0</v>
      </c>
      <c r="M32" s="2784">
        <f t="shared" si="3"/>
        <v>0</v>
      </c>
      <c r="N32" s="699">
        <f>J32</f>
        <v>0</v>
      </c>
      <c r="O32" s="698"/>
      <c r="P32" s="1115"/>
      <c r="Q32" s="698"/>
      <c r="R32" s="698"/>
      <c r="S32" s="698"/>
      <c r="T32" s="698"/>
      <c r="U32" s="655"/>
      <c r="V32" s="655"/>
      <c r="W32" s="655"/>
      <c r="X32" s="655"/>
      <c r="Y32" s="637"/>
      <c r="Z32" s="645"/>
      <c r="AA32" s="648">
        <f>H32*I32</f>
        <v>0</v>
      </c>
      <c r="AB32" s="721">
        <f t="shared" ref="AB32:AB65" si="4">H32*J32</f>
        <v>0</v>
      </c>
      <c r="AC32" s="648">
        <f>H32*K32</f>
        <v>0</v>
      </c>
      <c r="AD32" s="721">
        <f>H32*L32</f>
        <v>0</v>
      </c>
      <c r="AE32" s="648">
        <f>H32*M32</f>
        <v>0</v>
      </c>
      <c r="AF32" s="721">
        <f t="shared" ref="AF32" si="5">H32*N32</f>
        <v>0</v>
      </c>
      <c r="AG32" s="4639">
        <f>'Beer Data Sheet'!$C58*$L$4/100</f>
        <v>228</v>
      </c>
      <c r="AH32" s="731">
        <f>'Beer Data Sheet'!E58</f>
        <v>4.0999999999999996</v>
      </c>
      <c r="AI32" s="4640">
        <f>'Beer Scaling'!C$66/100</f>
        <v>0.76</v>
      </c>
      <c r="AJ32" s="731">
        <f t="shared" ref="AJ32:AJ62" si="6">0.001*AG32*C32</f>
        <v>912</v>
      </c>
      <c r="AK32" s="648">
        <f t="shared" ref="AK32:AK62" si="7">AJ32*AI32</f>
        <v>693.12</v>
      </c>
      <c r="AL32" s="648">
        <f t="shared" ref="AL32:AL62" si="8">0.01*AH32*C32</f>
        <v>163.99999999999997</v>
      </c>
      <c r="AM32" s="4640">
        <f>D$66/100</f>
        <v>0.76</v>
      </c>
      <c r="AN32" s="731">
        <f t="shared" ref="AN32:AN62" si="9">0.001*AG32*D32</f>
        <v>912</v>
      </c>
      <c r="AO32" s="648">
        <f>AN32*AM32</f>
        <v>693.12</v>
      </c>
      <c r="AP32" s="648">
        <f t="shared" ref="AP32:AP60" si="10">0.01*AH32*D32</f>
        <v>163.99999999999997</v>
      </c>
      <c r="AQ32" s="4640">
        <f>E$66/100</f>
        <v>0.76</v>
      </c>
      <c r="AR32" s="731">
        <f t="shared" ref="AR32:AR62" si="11">0.001*AG32*E32</f>
        <v>0</v>
      </c>
      <c r="AS32" s="648">
        <f>AR32*AQ32</f>
        <v>0</v>
      </c>
      <c r="AT32" s="737">
        <f t="shared" ref="AT32:AT62" si="12">0.01*AH32*E32</f>
        <v>0</v>
      </c>
    </row>
    <row r="33" spans="1:46" ht="15" customHeight="1">
      <c r="A33" s="4641"/>
      <c r="B33" s="4638" t="str">
        <f>'Beer Data Sheet'!B59</f>
        <v>Mild Ale malt</v>
      </c>
      <c r="C33" s="677"/>
      <c r="D33" s="675">
        <f t="shared" ref="D33:E47" si="13">C33</f>
        <v>0</v>
      </c>
      <c r="E33" s="676">
        <f t="shared" si="13"/>
        <v>0</v>
      </c>
      <c r="F33" s="678" t="s">
        <v>82</v>
      </c>
      <c r="G33" s="2007" t="str">
        <f>'Beer Data Sheet'!B11</f>
        <v>Bramling Cross</v>
      </c>
      <c r="H33" s="2008">
        <f>'Beer Data Sheet'!C11</f>
        <v>5.0999999999999996</v>
      </c>
      <c r="I33" s="700"/>
      <c r="J33" s="699"/>
      <c r="K33" s="701">
        <f t="shared" si="3"/>
        <v>0</v>
      </c>
      <c r="L33" s="1967">
        <f t="shared" si="3"/>
        <v>0</v>
      </c>
      <c r="M33" s="676">
        <f t="shared" si="3"/>
        <v>0</v>
      </c>
      <c r="N33" s="699">
        <f>J33</f>
        <v>0</v>
      </c>
      <c r="O33" s="698"/>
      <c r="P33" s="698"/>
      <c r="Q33" s="698"/>
      <c r="R33" s="698"/>
      <c r="S33" s="698"/>
      <c r="T33" s="698"/>
      <c r="U33" s="655"/>
      <c r="V33" s="1729" t="s">
        <v>956</v>
      </c>
      <c r="W33" s="1729" t="s">
        <v>957</v>
      </c>
      <c r="X33" s="2302" t="s">
        <v>693</v>
      </c>
      <c r="Y33" s="637"/>
      <c r="Z33" s="645"/>
      <c r="AA33" s="648">
        <f t="shared" ref="AA33:AA65" si="14">H33*I33</f>
        <v>0</v>
      </c>
      <c r="AB33" s="721">
        <f t="shared" si="4"/>
        <v>0</v>
      </c>
      <c r="AC33" s="648">
        <f t="shared" ref="AC33:AC65" si="15">H33*K33</f>
        <v>0</v>
      </c>
      <c r="AD33" s="721">
        <f t="shared" ref="AD33:AD65" si="16">H33*L33</f>
        <v>0</v>
      </c>
      <c r="AE33" s="648">
        <f t="shared" ref="AE33:AE65" si="17">H33*M33</f>
        <v>0</v>
      </c>
      <c r="AF33" s="721">
        <f t="shared" ref="AF33:AF65" si="18">H33*N33</f>
        <v>0</v>
      </c>
      <c r="AG33" s="4639">
        <f>'Beer Data Sheet'!$C59*$L$4/100</f>
        <v>224.2</v>
      </c>
      <c r="AH33" s="731">
        <f>'Beer Data Sheet'!E59</f>
        <v>4.97</v>
      </c>
      <c r="AI33" s="4640">
        <f>'Beer Scaling'!C$66/100</f>
        <v>0.76</v>
      </c>
      <c r="AJ33" s="731">
        <f t="shared" si="6"/>
        <v>0</v>
      </c>
      <c r="AK33" s="648">
        <f t="shared" si="7"/>
        <v>0</v>
      </c>
      <c r="AL33" s="648">
        <f t="shared" si="8"/>
        <v>0</v>
      </c>
      <c r="AM33" s="4640">
        <f t="shared" ref="AM33:AM57" si="19">D$66/100</f>
        <v>0.76</v>
      </c>
      <c r="AN33" s="731">
        <f t="shared" si="9"/>
        <v>0</v>
      </c>
      <c r="AO33" s="648">
        <f t="shared" ref="AO33:AO62" si="20">AN33*AM33</f>
        <v>0</v>
      </c>
      <c r="AP33" s="648">
        <f t="shared" si="10"/>
        <v>0</v>
      </c>
      <c r="AQ33" s="4640">
        <f t="shared" ref="AQ33:AQ56" si="21">E$66/100</f>
        <v>0.76</v>
      </c>
      <c r="AR33" s="731">
        <f t="shared" si="11"/>
        <v>0</v>
      </c>
      <c r="AS33" s="648">
        <f t="shared" ref="AS33:AS62" si="22">AR33*AQ33</f>
        <v>0</v>
      </c>
      <c r="AT33" s="737">
        <f t="shared" si="12"/>
        <v>0</v>
      </c>
    </row>
    <row r="34" spans="1:46" ht="15" customHeight="1">
      <c r="A34" s="4641"/>
      <c r="B34" s="4638" t="str">
        <f>'Beer Data Sheet'!B60</f>
        <v>Lager malt (Pilsner)</v>
      </c>
      <c r="C34" s="677"/>
      <c r="D34" s="675">
        <f t="shared" si="13"/>
        <v>0</v>
      </c>
      <c r="E34" s="676">
        <f t="shared" si="13"/>
        <v>0</v>
      </c>
      <c r="F34" s="678" t="s">
        <v>82</v>
      </c>
      <c r="G34" s="2007" t="str">
        <f>'Beer Data Sheet'!B12</f>
        <v>Brewers Gold</v>
      </c>
      <c r="H34" s="2008">
        <f>'Beer Data Sheet'!C12</f>
        <v>5.5</v>
      </c>
      <c r="I34" s="700"/>
      <c r="J34" s="699"/>
      <c r="K34" s="701">
        <f t="shared" si="3"/>
        <v>0</v>
      </c>
      <c r="L34" s="1967">
        <f t="shared" si="3"/>
        <v>0</v>
      </c>
      <c r="M34" s="676">
        <f t="shared" si="3"/>
        <v>0</v>
      </c>
      <c r="N34" s="699">
        <f t="shared" ref="N34:N65" si="23">J34</f>
        <v>0</v>
      </c>
      <c r="O34" s="698"/>
      <c r="P34" s="698"/>
      <c r="Q34" s="698"/>
      <c r="R34" s="698"/>
      <c r="S34" s="698"/>
      <c r="T34" s="698"/>
      <c r="U34" s="655"/>
      <c r="V34" s="2198">
        <v>1</v>
      </c>
      <c r="W34" s="2505">
        <f t="shared" ref="W34:W43" si="24">V46*(6/5)</f>
        <v>24</v>
      </c>
      <c r="X34" s="2506">
        <f t="shared" ref="X34:X43" si="25">3.7854*W34/8</f>
        <v>11.356200000000001</v>
      </c>
      <c r="Y34" s="637"/>
      <c r="Z34" s="645"/>
      <c r="AA34" s="648">
        <f t="shared" si="14"/>
        <v>0</v>
      </c>
      <c r="AB34" s="721">
        <f t="shared" si="4"/>
        <v>0</v>
      </c>
      <c r="AC34" s="648">
        <f t="shared" si="15"/>
        <v>0</v>
      </c>
      <c r="AD34" s="721">
        <f t="shared" si="16"/>
        <v>0</v>
      </c>
      <c r="AE34" s="648">
        <f t="shared" si="17"/>
        <v>0</v>
      </c>
      <c r="AF34" s="721">
        <f t="shared" si="18"/>
        <v>0</v>
      </c>
      <c r="AG34" s="4639">
        <f>'Beer Data Sheet'!$C60*$L$4/100</f>
        <v>228</v>
      </c>
      <c r="AH34" s="731">
        <f>'Beer Data Sheet'!E60</f>
        <v>2.2000000000000002</v>
      </c>
      <c r="AI34" s="4640">
        <f>'Beer Scaling'!C$66/100</f>
        <v>0.76</v>
      </c>
      <c r="AJ34" s="731">
        <f t="shared" si="6"/>
        <v>0</v>
      </c>
      <c r="AK34" s="648">
        <f t="shared" si="7"/>
        <v>0</v>
      </c>
      <c r="AL34" s="648">
        <f t="shared" si="8"/>
        <v>0</v>
      </c>
      <c r="AM34" s="4640">
        <f t="shared" si="19"/>
        <v>0.76</v>
      </c>
      <c r="AN34" s="731">
        <f t="shared" si="9"/>
        <v>0</v>
      </c>
      <c r="AO34" s="648">
        <f t="shared" si="20"/>
        <v>0</v>
      </c>
      <c r="AP34" s="648">
        <f t="shared" si="10"/>
        <v>0</v>
      </c>
      <c r="AQ34" s="4640">
        <f t="shared" si="21"/>
        <v>0.76</v>
      </c>
      <c r="AR34" s="731">
        <f t="shared" si="11"/>
        <v>0</v>
      </c>
      <c r="AS34" s="648">
        <f t="shared" si="22"/>
        <v>0</v>
      </c>
      <c r="AT34" s="737">
        <f t="shared" si="12"/>
        <v>0</v>
      </c>
    </row>
    <row r="35" spans="1:46" ht="15" customHeight="1">
      <c r="A35" s="4641"/>
      <c r="B35" s="4638" t="str">
        <f>'Beer Data Sheet'!B61</f>
        <v>Munich malt</v>
      </c>
      <c r="C35" s="677"/>
      <c r="D35" s="675">
        <f t="shared" si="13"/>
        <v>0</v>
      </c>
      <c r="E35" s="676">
        <f t="shared" si="13"/>
        <v>0</v>
      </c>
      <c r="F35" s="678" t="s">
        <v>82</v>
      </c>
      <c r="G35" s="2007" t="str">
        <f>'Beer Data Sheet'!B13</f>
        <v>Bullion</v>
      </c>
      <c r="H35" s="2008">
        <f>'Beer Data Sheet'!C13</f>
        <v>10</v>
      </c>
      <c r="I35" s="700"/>
      <c r="J35" s="699"/>
      <c r="K35" s="701">
        <f t="shared" si="3"/>
        <v>0</v>
      </c>
      <c r="L35" s="1967">
        <f t="shared" si="3"/>
        <v>0</v>
      </c>
      <c r="M35" s="676">
        <f t="shared" si="3"/>
        <v>0</v>
      </c>
      <c r="N35" s="699">
        <f t="shared" si="23"/>
        <v>0</v>
      </c>
      <c r="O35" s="698"/>
      <c r="P35" s="698"/>
      <c r="Q35" s="698"/>
      <c r="R35" s="698"/>
      <c r="S35" s="698"/>
      <c r="T35" s="698"/>
      <c r="U35" s="655"/>
      <c r="V35" s="2198">
        <v>2</v>
      </c>
      <c r="W35" s="2505">
        <f t="shared" si="24"/>
        <v>21</v>
      </c>
      <c r="X35" s="2506">
        <f t="shared" si="25"/>
        <v>9.936675000000001</v>
      </c>
      <c r="Y35" s="637"/>
      <c r="Z35" s="645"/>
      <c r="AA35" s="648">
        <f t="shared" si="14"/>
        <v>0</v>
      </c>
      <c r="AB35" s="721">
        <f t="shared" si="4"/>
        <v>0</v>
      </c>
      <c r="AC35" s="648">
        <f t="shared" si="15"/>
        <v>0</v>
      </c>
      <c r="AD35" s="721">
        <f t="shared" si="16"/>
        <v>0</v>
      </c>
      <c r="AE35" s="648">
        <f t="shared" si="17"/>
        <v>0</v>
      </c>
      <c r="AF35" s="721">
        <f t="shared" si="18"/>
        <v>0</v>
      </c>
      <c r="AG35" s="4639">
        <f>'Beer Data Sheet'!$C61*$L$4/100</f>
        <v>224.2</v>
      </c>
      <c r="AH35" s="731">
        <f>'Beer Data Sheet'!E61</f>
        <v>12.15</v>
      </c>
      <c r="AI35" s="4640">
        <f>'Beer Scaling'!C$66/100</f>
        <v>0.76</v>
      </c>
      <c r="AJ35" s="731">
        <f t="shared" si="6"/>
        <v>0</v>
      </c>
      <c r="AK35" s="648">
        <f t="shared" si="7"/>
        <v>0</v>
      </c>
      <c r="AL35" s="648">
        <f t="shared" si="8"/>
        <v>0</v>
      </c>
      <c r="AM35" s="4640">
        <f t="shared" si="19"/>
        <v>0.76</v>
      </c>
      <c r="AN35" s="731">
        <f t="shared" si="9"/>
        <v>0</v>
      </c>
      <c r="AO35" s="648">
        <f t="shared" si="20"/>
        <v>0</v>
      </c>
      <c r="AP35" s="648">
        <f t="shared" si="10"/>
        <v>0</v>
      </c>
      <c r="AQ35" s="4640">
        <f t="shared" si="21"/>
        <v>0.76</v>
      </c>
      <c r="AR35" s="731">
        <f t="shared" si="11"/>
        <v>0</v>
      </c>
      <c r="AS35" s="648">
        <f t="shared" si="22"/>
        <v>0</v>
      </c>
      <c r="AT35" s="737">
        <f t="shared" si="12"/>
        <v>0</v>
      </c>
    </row>
    <row r="36" spans="1:46" ht="15" customHeight="1">
      <c r="A36" s="4641"/>
      <c r="B36" s="4638" t="str">
        <f>'Beer Data Sheet'!B62</f>
        <v>Vienna malt</v>
      </c>
      <c r="C36" s="677"/>
      <c r="D36" s="675">
        <f t="shared" si="13"/>
        <v>0</v>
      </c>
      <c r="E36" s="676">
        <f t="shared" si="13"/>
        <v>0</v>
      </c>
      <c r="F36" s="678" t="s">
        <v>82</v>
      </c>
      <c r="G36" s="2007" t="str">
        <f>'Beer Data Sheet'!B14</f>
        <v>Challenger</v>
      </c>
      <c r="H36" s="2008">
        <f>'Beer Data Sheet'!C14</f>
        <v>7.7</v>
      </c>
      <c r="I36" s="700">
        <v>65</v>
      </c>
      <c r="J36" s="699"/>
      <c r="K36" s="701">
        <f t="shared" ref="K36:K42" si="26">I36</f>
        <v>65</v>
      </c>
      <c r="L36" s="1967">
        <f t="shared" si="3"/>
        <v>0</v>
      </c>
      <c r="M36" s="676">
        <f t="shared" si="3"/>
        <v>65</v>
      </c>
      <c r="N36" s="699">
        <f t="shared" si="23"/>
        <v>0</v>
      </c>
      <c r="O36" s="698"/>
      <c r="P36" s="698"/>
      <c r="Q36" s="698"/>
      <c r="R36" s="698"/>
      <c r="S36" s="698"/>
      <c r="T36" s="698"/>
      <c r="U36" s="655"/>
      <c r="V36" s="2198">
        <v>3</v>
      </c>
      <c r="W36" s="2505">
        <f t="shared" si="24"/>
        <v>3.5999999999999996</v>
      </c>
      <c r="X36" s="2506">
        <f t="shared" si="25"/>
        <v>1.7034299999999998</v>
      </c>
      <c r="Y36" s="637"/>
      <c r="Z36" s="645"/>
      <c r="AA36" s="648">
        <f t="shared" ref="AA36:AA42" si="27">H36*I36</f>
        <v>500.5</v>
      </c>
      <c r="AB36" s="721">
        <f t="shared" si="4"/>
        <v>0</v>
      </c>
      <c r="AC36" s="648">
        <f t="shared" si="15"/>
        <v>500.5</v>
      </c>
      <c r="AD36" s="721">
        <f t="shared" si="16"/>
        <v>0</v>
      </c>
      <c r="AE36" s="648">
        <f t="shared" si="17"/>
        <v>500.5</v>
      </c>
      <c r="AF36" s="721">
        <f t="shared" si="18"/>
        <v>0</v>
      </c>
      <c r="AG36" s="4639">
        <f>'Beer Data Sheet'!$C62*$L$4/100</f>
        <v>224.2</v>
      </c>
      <c r="AH36" s="731">
        <f>'Beer Data Sheet'!E62</f>
        <v>6.57</v>
      </c>
      <c r="AI36" s="4640">
        <f>'Beer Scaling'!C$66/100</f>
        <v>0.76</v>
      </c>
      <c r="AJ36" s="731">
        <f t="shared" si="6"/>
        <v>0</v>
      </c>
      <c r="AK36" s="648">
        <f t="shared" si="7"/>
        <v>0</v>
      </c>
      <c r="AL36" s="648">
        <f t="shared" si="8"/>
        <v>0</v>
      </c>
      <c r="AM36" s="4640">
        <f t="shared" si="19"/>
        <v>0.76</v>
      </c>
      <c r="AN36" s="731">
        <f t="shared" si="9"/>
        <v>0</v>
      </c>
      <c r="AO36" s="648">
        <f t="shared" si="20"/>
        <v>0</v>
      </c>
      <c r="AP36" s="648">
        <f t="shared" si="10"/>
        <v>0</v>
      </c>
      <c r="AQ36" s="4640">
        <f t="shared" si="21"/>
        <v>0.76</v>
      </c>
      <c r="AR36" s="731">
        <f t="shared" si="11"/>
        <v>0</v>
      </c>
      <c r="AS36" s="648">
        <f t="shared" si="22"/>
        <v>0</v>
      </c>
      <c r="AT36" s="737">
        <f t="shared" si="12"/>
        <v>0</v>
      </c>
    </row>
    <row r="37" spans="1:46" ht="15" customHeight="1">
      <c r="A37" s="4641"/>
      <c r="B37" s="4638" t="str">
        <f>'Beer Data Sheet'!B63</f>
        <v>Amber malt</v>
      </c>
      <c r="C37" s="677"/>
      <c r="D37" s="675">
        <f t="shared" si="13"/>
        <v>0</v>
      </c>
      <c r="E37" s="676">
        <f t="shared" si="13"/>
        <v>0</v>
      </c>
      <c r="F37" s="678" t="s">
        <v>82</v>
      </c>
      <c r="G37" s="2007" t="str">
        <f>'Beer Data Sheet'!B15</f>
        <v>Cluster</v>
      </c>
      <c r="H37" s="2008">
        <f>'Beer Data Sheet'!C15</f>
        <v>6.9</v>
      </c>
      <c r="I37" s="700"/>
      <c r="J37" s="699"/>
      <c r="K37" s="701">
        <f t="shared" si="26"/>
        <v>0</v>
      </c>
      <c r="L37" s="1967">
        <f t="shared" si="3"/>
        <v>0</v>
      </c>
      <c r="M37" s="676">
        <f t="shared" si="3"/>
        <v>0</v>
      </c>
      <c r="N37" s="699">
        <f t="shared" si="23"/>
        <v>0</v>
      </c>
      <c r="O37" s="698"/>
      <c r="P37" s="698"/>
      <c r="Q37" s="698"/>
      <c r="R37" s="698"/>
      <c r="S37" s="698"/>
      <c r="T37" s="698"/>
      <c r="U37" s="655"/>
      <c r="V37" s="2198">
        <v>4</v>
      </c>
      <c r="W37" s="2505">
        <f t="shared" si="24"/>
        <v>4.8</v>
      </c>
      <c r="X37" s="2506">
        <f t="shared" si="25"/>
        <v>2.2712400000000001</v>
      </c>
      <c r="Y37" s="637"/>
      <c r="Z37" s="645"/>
      <c r="AA37" s="648">
        <f t="shared" si="27"/>
        <v>0</v>
      </c>
      <c r="AB37" s="721">
        <f t="shared" si="4"/>
        <v>0</v>
      </c>
      <c r="AC37" s="648">
        <f t="shared" si="15"/>
        <v>0</v>
      </c>
      <c r="AD37" s="721">
        <f t="shared" si="16"/>
        <v>0</v>
      </c>
      <c r="AE37" s="648">
        <f t="shared" si="17"/>
        <v>0</v>
      </c>
      <c r="AF37" s="721">
        <f t="shared" si="18"/>
        <v>0</v>
      </c>
      <c r="AG37" s="4639">
        <f>'Beer Data Sheet'!$C63*$L$4/100</f>
        <v>205.2</v>
      </c>
      <c r="AH37" s="731">
        <f>'Beer Data Sheet'!E63</f>
        <v>25.9</v>
      </c>
      <c r="AI37" s="4640">
        <f>'Beer Scaling'!C$66/100</f>
        <v>0.76</v>
      </c>
      <c r="AJ37" s="731">
        <f t="shared" si="6"/>
        <v>0</v>
      </c>
      <c r="AK37" s="648">
        <f t="shared" si="7"/>
        <v>0</v>
      </c>
      <c r="AL37" s="648">
        <f t="shared" si="8"/>
        <v>0</v>
      </c>
      <c r="AM37" s="4640">
        <f t="shared" si="19"/>
        <v>0.76</v>
      </c>
      <c r="AN37" s="731">
        <f t="shared" si="9"/>
        <v>0</v>
      </c>
      <c r="AO37" s="648">
        <f t="shared" si="20"/>
        <v>0</v>
      </c>
      <c r="AP37" s="648">
        <f t="shared" si="10"/>
        <v>0</v>
      </c>
      <c r="AQ37" s="4640">
        <f t="shared" si="21"/>
        <v>0.76</v>
      </c>
      <c r="AR37" s="731">
        <f t="shared" si="11"/>
        <v>0</v>
      </c>
      <c r="AS37" s="648">
        <f t="shared" si="22"/>
        <v>0</v>
      </c>
      <c r="AT37" s="737">
        <f t="shared" si="12"/>
        <v>0</v>
      </c>
    </row>
    <row r="38" spans="1:46" ht="15" customHeight="1">
      <c r="A38" s="4641"/>
      <c r="B38" s="4638" t="str">
        <f>'Beer Data Sheet'!B64</f>
        <v>Flaked barley</v>
      </c>
      <c r="C38" s="677"/>
      <c r="D38" s="675">
        <f t="shared" si="13"/>
        <v>0</v>
      </c>
      <c r="E38" s="676">
        <f t="shared" si="13"/>
        <v>0</v>
      </c>
      <c r="F38" s="678" t="s">
        <v>82</v>
      </c>
      <c r="G38" s="2007" t="str">
        <f>'Beer Data Sheet'!B16</f>
        <v>EKG</v>
      </c>
      <c r="H38" s="2008">
        <f>'Beer Data Sheet'!C16</f>
        <v>5.5</v>
      </c>
      <c r="I38" s="700"/>
      <c r="J38" s="699"/>
      <c r="K38" s="701">
        <f t="shared" si="26"/>
        <v>0</v>
      </c>
      <c r="L38" s="1967">
        <f t="shared" si="3"/>
        <v>0</v>
      </c>
      <c r="M38" s="676">
        <f>K38</f>
        <v>0</v>
      </c>
      <c r="N38" s="699">
        <f t="shared" si="23"/>
        <v>0</v>
      </c>
      <c r="O38" s="698"/>
      <c r="P38" s="698"/>
      <c r="Q38" s="698"/>
      <c r="R38" s="698"/>
      <c r="S38" s="698"/>
      <c r="T38" s="698"/>
      <c r="U38" s="655"/>
      <c r="V38" s="2198">
        <v>5</v>
      </c>
      <c r="W38" s="2505">
        <f t="shared" si="24"/>
        <v>6</v>
      </c>
      <c r="X38" s="2506">
        <f t="shared" si="25"/>
        <v>2.8390500000000003</v>
      </c>
      <c r="Y38" s="637"/>
      <c r="Z38" s="645"/>
      <c r="AA38" s="648">
        <f t="shared" si="27"/>
        <v>0</v>
      </c>
      <c r="AB38" s="721">
        <f t="shared" si="4"/>
        <v>0</v>
      </c>
      <c r="AC38" s="648">
        <f t="shared" si="15"/>
        <v>0</v>
      </c>
      <c r="AD38" s="721">
        <f t="shared" si="16"/>
        <v>0</v>
      </c>
      <c r="AE38" s="648">
        <f t="shared" si="17"/>
        <v>0</v>
      </c>
      <c r="AF38" s="721">
        <f t="shared" si="18"/>
        <v>0</v>
      </c>
      <c r="AG38" s="4639">
        <f>'Beer Data Sheet'!$C64*$L$4/100</f>
        <v>197.6</v>
      </c>
      <c r="AH38" s="731">
        <f>'Beer Data Sheet'!E64</f>
        <v>1.7749999999999999</v>
      </c>
      <c r="AI38" s="4640">
        <f>'Beer Scaling'!C$66/100</f>
        <v>0.76</v>
      </c>
      <c r="AJ38" s="731">
        <f t="shared" si="6"/>
        <v>0</v>
      </c>
      <c r="AK38" s="648">
        <f t="shared" si="7"/>
        <v>0</v>
      </c>
      <c r="AL38" s="648">
        <f t="shared" si="8"/>
        <v>0</v>
      </c>
      <c r="AM38" s="4640">
        <f t="shared" si="19"/>
        <v>0.76</v>
      </c>
      <c r="AN38" s="731">
        <f t="shared" si="9"/>
        <v>0</v>
      </c>
      <c r="AO38" s="648">
        <f t="shared" si="20"/>
        <v>0</v>
      </c>
      <c r="AP38" s="648">
        <f t="shared" si="10"/>
        <v>0</v>
      </c>
      <c r="AQ38" s="4640">
        <f t="shared" si="21"/>
        <v>0.76</v>
      </c>
      <c r="AR38" s="731">
        <f t="shared" si="11"/>
        <v>0</v>
      </c>
      <c r="AS38" s="648">
        <f t="shared" si="22"/>
        <v>0</v>
      </c>
      <c r="AT38" s="737">
        <f t="shared" si="12"/>
        <v>0</v>
      </c>
    </row>
    <row r="39" spans="1:46" ht="15" customHeight="1">
      <c r="A39" s="4641"/>
      <c r="B39" s="4638" t="str">
        <f>'Beer Data Sheet'!B65</f>
        <v>Flaked maize</v>
      </c>
      <c r="C39" s="677"/>
      <c r="D39" s="675">
        <f t="shared" si="13"/>
        <v>0</v>
      </c>
      <c r="E39" s="676">
        <f t="shared" si="13"/>
        <v>0</v>
      </c>
      <c r="F39" s="678" t="s">
        <v>82</v>
      </c>
      <c r="G39" s="2007" t="str">
        <f>'Beer Data Sheet'!B17</f>
        <v>First Gold</v>
      </c>
      <c r="H39" s="2008">
        <f>'Beer Data Sheet'!C17</f>
        <v>7.9</v>
      </c>
      <c r="I39" s="700"/>
      <c r="J39" s="699"/>
      <c r="K39" s="701">
        <f t="shared" si="26"/>
        <v>0</v>
      </c>
      <c r="L39" s="1967">
        <f t="shared" si="3"/>
        <v>0</v>
      </c>
      <c r="M39" s="676">
        <f t="shared" si="3"/>
        <v>0</v>
      </c>
      <c r="N39" s="699">
        <f t="shared" si="23"/>
        <v>0</v>
      </c>
      <c r="O39" s="698"/>
      <c r="P39" s="698"/>
      <c r="Q39" s="698"/>
      <c r="R39" s="698"/>
      <c r="S39" s="698"/>
      <c r="T39" s="698"/>
      <c r="U39" s="655"/>
      <c r="V39" s="2198">
        <v>6</v>
      </c>
      <c r="W39" s="2505">
        <f t="shared" si="24"/>
        <v>7.1999999999999993</v>
      </c>
      <c r="X39" s="2506">
        <f t="shared" si="25"/>
        <v>3.4068599999999996</v>
      </c>
      <c r="Y39" s="637"/>
      <c r="Z39" s="645"/>
      <c r="AA39" s="648">
        <f t="shared" si="27"/>
        <v>0</v>
      </c>
      <c r="AB39" s="721">
        <f t="shared" si="4"/>
        <v>0</v>
      </c>
      <c r="AC39" s="648">
        <f t="shared" si="15"/>
        <v>0</v>
      </c>
      <c r="AD39" s="721">
        <f t="shared" si="16"/>
        <v>0</v>
      </c>
      <c r="AE39" s="648">
        <f t="shared" si="17"/>
        <v>0</v>
      </c>
      <c r="AF39" s="721">
        <f t="shared" si="18"/>
        <v>0</v>
      </c>
      <c r="AG39" s="4639">
        <f>'Beer Data Sheet'!$C65*$L$4/100</f>
        <v>235.6</v>
      </c>
      <c r="AH39" s="731">
        <f>'Beer Data Sheet'!E65</f>
        <v>0.71</v>
      </c>
      <c r="AI39" s="4640">
        <f>'Beer Scaling'!C$66/100</f>
        <v>0.76</v>
      </c>
      <c r="AJ39" s="731">
        <f t="shared" si="6"/>
        <v>0</v>
      </c>
      <c r="AK39" s="648">
        <f t="shared" si="7"/>
        <v>0</v>
      </c>
      <c r="AL39" s="648">
        <f t="shared" si="8"/>
        <v>0</v>
      </c>
      <c r="AM39" s="4640">
        <f t="shared" si="19"/>
        <v>0.76</v>
      </c>
      <c r="AN39" s="731">
        <f t="shared" si="9"/>
        <v>0</v>
      </c>
      <c r="AO39" s="648">
        <f t="shared" si="20"/>
        <v>0</v>
      </c>
      <c r="AP39" s="648">
        <f t="shared" si="10"/>
        <v>0</v>
      </c>
      <c r="AQ39" s="4640">
        <f t="shared" si="21"/>
        <v>0.76</v>
      </c>
      <c r="AR39" s="731">
        <f t="shared" si="11"/>
        <v>0</v>
      </c>
      <c r="AS39" s="648">
        <f t="shared" si="22"/>
        <v>0</v>
      </c>
      <c r="AT39" s="737">
        <f t="shared" si="12"/>
        <v>0</v>
      </c>
    </row>
    <row r="40" spans="1:46" ht="15" customHeight="1">
      <c r="A40" s="4641"/>
      <c r="B40" s="4638" t="str">
        <f>'Beer Data Sheet'!B66</f>
        <v xml:space="preserve">Flaked ̸ Torrified barley </v>
      </c>
      <c r="C40" s="677"/>
      <c r="D40" s="675">
        <f t="shared" si="13"/>
        <v>0</v>
      </c>
      <c r="E40" s="676">
        <f t="shared" si="13"/>
        <v>0</v>
      </c>
      <c r="F40" s="678" t="s">
        <v>82</v>
      </c>
      <c r="G40" s="2007" t="str">
        <f>'Beer Data Sheet'!B18</f>
        <v>Fuggles</v>
      </c>
      <c r="H40" s="2008">
        <f>'Beer Data Sheet'!C18</f>
        <v>4.5</v>
      </c>
      <c r="I40" s="700"/>
      <c r="J40" s="699">
        <v>10</v>
      </c>
      <c r="K40" s="701">
        <f t="shared" si="26"/>
        <v>0</v>
      </c>
      <c r="L40" s="1967">
        <f t="shared" si="3"/>
        <v>10</v>
      </c>
      <c r="M40" s="676">
        <f t="shared" si="3"/>
        <v>0</v>
      </c>
      <c r="N40" s="699">
        <f t="shared" si="23"/>
        <v>10</v>
      </c>
      <c r="O40" s="698"/>
      <c r="P40" s="698"/>
      <c r="Q40" s="698"/>
      <c r="R40" s="698"/>
      <c r="S40" s="698"/>
      <c r="T40" s="698"/>
      <c r="U40" s="655"/>
      <c r="V40" s="2198">
        <v>7</v>
      </c>
      <c r="W40" s="2505">
        <f t="shared" si="24"/>
        <v>8.4</v>
      </c>
      <c r="X40" s="2506">
        <f t="shared" si="25"/>
        <v>3.9746700000000001</v>
      </c>
      <c r="Y40" s="637"/>
      <c r="Z40" s="645"/>
      <c r="AA40" s="648">
        <f t="shared" si="27"/>
        <v>0</v>
      </c>
      <c r="AB40" s="721">
        <f t="shared" si="4"/>
        <v>45</v>
      </c>
      <c r="AC40" s="648">
        <f t="shared" si="15"/>
        <v>0</v>
      </c>
      <c r="AD40" s="721">
        <f t="shared" si="16"/>
        <v>45</v>
      </c>
      <c r="AE40" s="648">
        <f t="shared" si="17"/>
        <v>0</v>
      </c>
      <c r="AF40" s="721">
        <f t="shared" si="18"/>
        <v>45</v>
      </c>
      <c r="AG40" s="4639">
        <f>'Beer Data Sheet'!$C66*$L$4/100</f>
        <v>190</v>
      </c>
      <c r="AH40" s="731">
        <f>'Beer Data Sheet'!E66</f>
        <v>2.13</v>
      </c>
      <c r="AI40" s="4640">
        <f>'Beer Scaling'!C$66/100</f>
        <v>0.76</v>
      </c>
      <c r="AJ40" s="731">
        <f t="shared" si="6"/>
        <v>0</v>
      </c>
      <c r="AK40" s="648">
        <f t="shared" si="7"/>
        <v>0</v>
      </c>
      <c r="AL40" s="648">
        <f t="shared" si="8"/>
        <v>0</v>
      </c>
      <c r="AM40" s="4640">
        <f t="shared" si="19"/>
        <v>0.76</v>
      </c>
      <c r="AN40" s="731">
        <f t="shared" si="9"/>
        <v>0</v>
      </c>
      <c r="AO40" s="648">
        <f t="shared" si="20"/>
        <v>0</v>
      </c>
      <c r="AP40" s="648">
        <f t="shared" si="10"/>
        <v>0</v>
      </c>
      <c r="AQ40" s="4640">
        <f t="shared" si="21"/>
        <v>0.76</v>
      </c>
      <c r="AR40" s="731">
        <f t="shared" si="11"/>
        <v>0</v>
      </c>
      <c r="AS40" s="648">
        <f t="shared" si="22"/>
        <v>0</v>
      </c>
      <c r="AT40" s="737">
        <f t="shared" si="12"/>
        <v>0</v>
      </c>
    </row>
    <row r="41" spans="1:46" ht="15" customHeight="1">
      <c r="A41" s="4641"/>
      <c r="B41" s="4638" t="str">
        <f>'Beer Data Sheet'!B67</f>
        <v>Oats</v>
      </c>
      <c r="C41" s="677"/>
      <c r="D41" s="675">
        <f t="shared" si="13"/>
        <v>0</v>
      </c>
      <c r="E41" s="676">
        <f t="shared" si="13"/>
        <v>0</v>
      </c>
      <c r="F41" s="678" t="s">
        <v>82</v>
      </c>
      <c r="G41" s="2007" t="str">
        <f>'Beer Data Sheet'!B19</f>
        <v>Goldings (Worc.)</v>
      </c>
      <c r="H41" s="2008">
        <f>'Beer Data Sheet'!C19</f>
        <v>5.3</v>
      </c>
      <c r="I41" s="700"/>
      <c r="J41" s="699">
        <v>10</v>
      </c>
      <c r="K41" s="701">
        <f t="shared" si="26"/>
        <v>0</v>
      </c>
      <c r="L41" s="1967">
        <f>J41</f>
        <v>10</v>
      </c>
      <c r="M41" s="676">
        <f t="shared" si="3"/>
        <v>0</v>
      </c>
      <c r="N41" s="699">
        <f t="shared" si="23"/>
        <v>10</v>
      </c>
      <c r="O41" s="698"/>
      <c r="P41" s="698"/>
      <c r="Q41" s="698"/>
      <c r="R41" s="698"/>
      <c r="S41" s="698"/>
      <c r="T41" s="698"/>
      <c r="U41" s="655"/>
      <c r="V41" s="2198">
        <v>8</v>
      </c>
      <c r="W41" s="2505">
        <f t="shared" si="24"/>
        <v>9.6</v>
      </c>
      <c r="X41" s="2506">
        <f t="shared" si="25"/>
        <v>4.5424800000000003</v>
      </c>
      <c r="Y41" s="637"/>
      <c r="Z41" s="645"/>
      <c r="AA41" s="648">
        <f t="shared" si="27"/>
        <v>0</v>
      </c>
      <c r="AB41" s="721">
        <f t="shared" si="4"/>
        <v>53</v>
      </c>
      <c r="AC41" s="648">
        <f t="shared" si="15"/>
        <v>0</v>
      </c>
      <c r="AD41" s="721">
        <f t="shared" si="16"/>
        <v>53</v>
      </c>
      <c r="AE41" s="648">
        <f t="shared" si="17"/>
        <v>0</v>
      </c>
      <c r="AF41" s="721">
        <f t="shared" si="18"/>
        <v>53</v>
      </c>
      <c r="AG41" s="4639">
        <f>'Beer Data Sheet'!$C67*$L$4/100</f>
        <v>190</v>
      </c>
      <c r="AH41" s="731">
        <f>'Beer Data Sheet'!E67</f>
        <v>1.0649999999999999</v>
      </c>
      <c r="AI41" s="4640">
        <f>'Beer Scaling'!C$66/100</f>
        <v>0.76</v>
      </c>
      <c r="AJ41" s="731">
        <f t="shared" si="6"/>
        <v>0</v>
      </c>
      <c r="AK41" s="648">
        <f t="shared" si="7"/>
        <v>0</v>
      </c>
      <c r="AL41" s="648">
        <f t="shared" si="8"/>
        <v>0</v>
      </c>
      <c r="AM41" s="4640">
        <f t="shared" si="19"/>
        <v>0.76</v>
      </c>
      <c r="AN41" s="731">
        <f t="shared" si="9"/>
        <v>0</v>
      </c>
      <c r="AO41" s="648">
        <f t="shared" si="20"/>
        <v>0</v>
      </c>
      <c r="AP41" s="648">
        <f t="shared" si="10"/>
        <v>0</v>
      </c>
      <c r="AQ41" s="4640">
        <f t="shared" si="21"/>
        <v>0.76</v>
      </c>
      <c r="AR41" s="731">
        <f t="shared" si="11"/>
        <v>0</v>
      </c>
      <c r="AS41" s="648">
        <f t="shared" si="22"/>
        <v>0</v>
      </c>
      <c r="AT41" s="737">
        <f t="shared" si="12"/>
        <v>0</v>
      </c>
    </row>
    <row r="42" spans="1:46" ht="15" customHeight="1">
      <c r="A42" s="4641"/>
      <c r="B42" s="4638" t="str">
        <f>'Beer Data Sheet'!B68</f>
        <v>Torrified wheat</v>
      </c>
      <c r="C42" s="677"/>
      <c r="D42" s="675">
        <f t="shared" si="13"/>
        <v>0</v>
      </c>
      <c r="E42" s="676">
        <f t="shared" si="13"/>
        <v>0</v>
      </c>
      <c r="F42" s="678" t="s">
        <v>82</v>
      </c>
      <c r="G42" s="2007" t="str">
        <f>'Beer Data Sheet'!B20</f>
        <v>Hallertauer ("German")</v>
      </c>
      <c r="H42" s="2008">
        <f>'Beer Data Sheet'!C20</f>
        <v>2</v>
      </c>
      <c r="I42" s="700"/>
      <c r="J42" s="699"/>
      <c r="K42" s="701">
        <f t="shared" si="26"/>
        <v>0</v>
      </c>
      <c r="L42" s="1967">
        <f t="shared" si="3"/>
        <v>0</v>
      </c>
      <c r="M42" s="676">
        <f t="shared" si="3"/>
        <v>0</v>
      </c>
      <c r="N42" s="699">
        <f t="shared" si="23"/>
        <v>0</v>
      </c>
      <c r="O42" s="698"/>
      <c r="P42" s="698"/>
      <c r="Q42" s="698"/>
      <c r="R42" s="698"/>
      <c r="S42" s="698"/>
      <c r="T42" s="698"/>
      <c r="U42" s="655"/>
      <c r="V42" s="2198">
        <v>9</v>
      </c>
      <c r="W42" s="2505">
        <f t="shared" si="24"/>
        <v>10.799999999999999</v>
      </c>
      <c r="X42" s="2506">
        <f t="shared" si="25"/>
        <v>5.11029</v>
      </c>
      <c r="Y42" s="637"/>
      <c r="Z42" s="645"/>
      <c r="AA42" s="648">
        <f t="shared" si="27"/>
        <v>0</v>
      </c>
      <c r="AB42" s="721">
        <f t="shared" si="4"/>
        <v>0</v>
      </c>
      <c r="AC42" s="648">
        <f t="shared" si="15"/>
        <v>0</v>
      </c>
      <c r="AD42" s="721">
        <f t="shared" si="16"/>
        <v>0</v>
      </c>
      <c r="AE42" s="648">
        <f t="shared" si="17"/>
        <v>0</v>
      </c>
      <c r="AF42" s="721">
        <f t="shared" si="18"/>
        <v>0</v>
      </c>
      <c r="AG42" s="4639">
        <f>'Beer Data Sheet'!$C68*$L$4/100</f>
        <v>218.88</v>
      </c>
      <c r="AH42" s="731">
        <f>'Beer Data Sheet'!E68</f>
        <v>2.84</v>
      </c>
      <c r="AI42" s="4640">
        <f>'Beer Scaling'!C$66/100</f>
        <v>0.76</v>
      </c>
      <c r="AJ42" s="731">
        <f t="shared" si="6"/>
        <v>0</v>
      </c>
      <c r="AK42" s="648">
        <f t="shared" si="7"/>
        <v>0</v>
      </c>
      <c r="AL42" s="648">
        <f t="shared" si="8"/>
        <v>0</v>
      </c>
      <c r="AM42" s="4640">
        <f t="shared" si="19"/>
        <v>0.76</v>
      </c>
      <c r="AN42" s="731">
        <f t="shared" si="9"/>
        <v>0</v>
      </c>
      <c r="AO42" s="648">
        <f t="shared" si="20"/>
        <v>0</v>
      </c>
      <c r="AP42" s="648">
        <f t="shared" si="10"/>
        <v>0</v>
      </c>
      <c r="AQ42" s="4640">
        <f t="shared" si="21"/>
        <v>0.76</v>
      </c>
      <c r="AR42" s="731">
        <f t="shared" si="11"/>
        <v>0</v>
      </c>
      <c r="AS42" s="648">
        <f t="shared" si="22"/>
        <v>0</v>
      </c>
      <c r="AT42" s="737">
        <f t="shared" si="12"/>
        <v>0</v>
      </c>
    </row>
    <row r="43" spans="1:46" ht="15" customHeight="1">
      <c r="A43" s="4641"/>
      <c r="B43" s="4638" t="str">
        <f>'Beer Data Sheet'!B69</f>
        <v xml:space="preserve">Wheat flakes </v>
      </c>
      <c r="C43" s="677"/>
      <c r="D43" s="675">
        <f t="shared" si="13"/>
        <v>0</v>
      </c>
      <c r="E43" s="676">
        <f t="shared" si="13"/>
        <v>0</v>
      </c>
      <c r="F43" s="678" t="s">
        <v>82</v>
      </c>
      <c r="G43" s="2007" t="str">
        <f>'Beer Data Sheet'!B21</f>
        <v>Hallertauer ("Pacific")</v>
      </c>
      <c r="H43" s="2008">
        <f>'Beer Data Sheet'!C21</f>
        <v>6.7</v>
      </c>
      <c r="I43" s="700"/>
      <c r="J43" s="699"/>
      <c r="K43" s="701">
        <f t="shared" si="3"/>
        <v>0</v>
      </c>
      <c r="L43" s="1967">
        <f t="shared" si="3"/>
        <v>0</v>
      </c>
      <c r="M43" s="676">
        <f t="shared" si="3"/>
        <v>0</v>
      </c>
      <c r="N43" s="699">
        <f t="shared" si="23"/>
        <v>0</v>
      </c>
      <c r="O43" s="698"/>
      <c r="P43" s="698"/>
      <c r="Q43" s="698"/>
      <c r="R43" s="698"/>
      <c r="S43" s="698"/>
      <c r="T43" s="698"/>
      <c r="U43" s="655"/>
      <c r="V43" s="2198">
        <v>10</v>
      </c>
      <c r="W43" s="2505">
        <f t="shared" si="24"/>
        <v>12</v>
      </c>
      <c r="X43" s="2506">
        <f t="shared" si="25"/>
        <v>5.6781000000000006</v>
      </c>
      <c r="Y43" s="637"/>
      <c r="Z43" s="645"/>
      <c r="AA43" s="648">
        <f t="shared" si="14"/>
        <v>0</v>
      </c>
      <c r="AB43" s="721">
        <f t="shared" si="4"/>
        <v>0</v>
      </c>
      <c r="AC43" s="648">
        <f t="shared" si="15"/>
        <v>0</v>
      </c>
      <c r="AD43" s="721">
        <f t="shared" si="16"/>
        <v>0</v>
      </c>
      <c r="AE43" s="648">
        <f t="shared" si="17"/>
        <v>0</v>
      </c>
      <c r="AF43" s="721">
        <f t="shared" si="18"/>
        <v>0</v>
      </c>
      <c r="AG43" s="4639">
        <f>'Beer Data Sheet'!$C69*$L$4/100</f>
        <v>131.47999999999999</v>
      </c>
      <c r="AH43" s="731">
        <f>'Beer Data Sheet'!E69</f>
        <v>0</v>
      </c>
      <c r="AI43" s="4640">
        <f>'Beer Scaling'!C$66/100</f>
        <v>0.76</v>
      </c>
      <c r="AJ43" s="731">
        <f t="shared" si="6"/>
        <v>0</v>
      </c>
      <c r="AK43" s="648">
        <f t="shared" si="7"/>
        <v>0</v>
      </c>
      <c r="AL43" s="648">
        <f t="shared" si="8"/>
        <v>0</v>
      </c>
      <c r="AM43" s="4640">
        <f t="shared" si="19"/>
        <v>0.76</v>
      </c>
      <c r="AN43" s="731">
        <f t="shared" si="9"/>
        <v>0</v>
      </c>
      <c r="AO43" s="648">
        <f t="shared" si="20"/>
        <v>0</v>
      </c>
      <c r="AP43" s="648">
        <f t="shared" si="10"/>
        <v>0</v>
      </c>
      <c r="AQ43" s="4640">
        <f t="shared" si="21"/>
        <v>0.76</v>
      </c>
      <c r="AR43" s="731">
        <f t="shared" si="11"/>
        <v>0</v>
      </c>
      <c r="AS43" s="648">
        <f t="shared" si="22"/>
        <v>0</v>
      </c>
      <c r="AT43" s="737">
        <f t="shared" si="12"/>
        <v>0</v>
      </c>
    </row>
    <row r="44" spans="1:46" ht="15" customHeight="1">
      <c r="A44" s="4641"/>
      <c r="B44" s="4638" t="str">
        <f>'Beer Data Sheet'!B70</f>
        <v>Wheat flour</v>
      </c>
      <c r="C44" s="677"/>
      <c r="D44" s="675">
        <f t="shared" si="13"/>
        <v>0</v>
      </c>
      <c r="E44" s="676">
        <f t="shared" si="13"/>
        <v>0</v>
      </c>
      <c r="F44" s="678" t="s">
        <v>82</v>
      </c>
      <c r="G44" s="2007" t="str">
        <f>'Beer Data Sheet'!B22</f>
        <v>Lublin</v>
      </c>
      <c r="H44" s="2008">
        <f>'Beer Data Sheet'!C22</f>
        <v>3</v>
      </c>
      <c r="I44" s="700"/>
      <c r="J44" s="699"/>
      <c r="K44" s="701">
        <f t="shared" si="3"/>
        <v>0</v>
      </c>
      <c r="L44" s="1967">
        <f t="shared" si="3"/>
        <v>0</v>
      </c>
      <c r="M44" s="676">
        <f t="shared" si="3"/>
        <v>0</v>
      </c>
      <c r="N44" s="699">
        <f t="shared" si="23"/>
        <v>0</v>
      </c>
      <c r="O44" s="698"/>
      <c r="P44" s="698"/>
      <c r="Q44" s="698"/>
      <c r="R44" s="698"/>
      <c r="S44" s="698"/>
      <c r="T44" s="698"/>
      <c r="U44" s="655"/>
      <c r="V44" s="655"/>
      <c r="W44" s="655"/>
      <c r="X44" s="655"/>
      <c r="Y44" s="637"/>
      <c r="Z44" s="645"/>
      <c r="AA44" s="648">
        <f t="shared" si="14"/>
        <v>0</v>
      </c>
      <c r="AB44" s="721">
        <f t="shared" si="4"/>
        <v>0</v>
      </c>
      <c r="AC44" s="648">
        <f t="shared" si="15"/>
        <v>0</v>
      </c>
      <c r="AD44" s="721">
        <f t="shared" si="16"/>
        <v>0</v>
      </c>
      <c r="AE44" s="648">
        <f t="shared" si="17"/>
        <v>0</v>
      </c>
      <c r="AF44" s="721">
        <f t="shared" si="18"/>
        <v>0</v>
      </c>
      <c r="AG44" s="4639">
        <f>'Beer Data Sheet'!$C70*$L$4/100</f>
        <v>231.04</v>
      </c>
      <c r="AH44" s="731">
        <f>'Beer Data Sheet'!E70</f>
        <v>0</v>
      </c>
      <c r="AI44" s="4640">
        <f>'Beer Scaling'!C$66/100</f>
        <v>0.76</v>
      </c>
      <c r="AJ44" s="731">
        <f t="shared" si="6"/>
        <v>0</v>
      </c>
      <c r="AK44" s="648">
        <f t="shared" si="7"/>
        <v>0</v>
      </c>
      <c r="AL44" s="648">
        <f t="shared" si="8"/>
        <v>0</v>
      </c>
      <c r="AM44" s="4640">
        <f t="shared" si="19"/>
        <v>0.76</v>
      </c>
      <c r="AN44" s="731">
        <f t="shared" si="9"/>
        <v>0</v>
      </c>
      <c r="AO44" s="648">
        <f t="shared" si="20"/>
        <v>0</v>
      </c>
      <c r="AP44" s="648">
        <f t="shared" si="10"/>
        <v>0</v>
      </c>
      <c r="AQ44" s="4640">
        <f t="shared" si="21"/>
        <v>0.76</v>
      </c>
      <c r="AR44" s="731">
        <f t="shared" si="11"/>
        <v>0</v>
      </c>
      <c r="AS44" s="648">
        <f t="shared" si="22"/>
        <v>0</v>
      </c>
      <c r="AT44" s="737">
        <f t="shared" si="12"/>
        <v>0</v>
      </c>
    </row>
    <row r="45" spans="1:46" ht="15" customHeight="1">
      <c r="A45" s="3666"/>
      <c r="B45" s="4638" t="str">
        <f>'Beer Data Sheet'!B71</f>
        <v>Wheat malt ̸ Malted wheat</v>
      </c>
      <c r="C45" s="677"/>
      <c r="D45" s="675">
        <f t="shared" si="13"/>
        <v>0</v>
      </c>
      <c r="E45" s="676">
        <f t="shared" si="13"/>
        <v>0</v>
      </c>
      <c r="F45" s="678" t="s">
        <v>82</v>
      </c>
      <c r="G45" s="2007" t="str">
        <f>'Beer Data Sheet'!B23</f>
        <v>Magnum</v>
      </c>
      <c r="H45" s="2008">
        <f>'Beer Data Sheet'!C23</f>
        <v>13</v>
      </c>
      <c r="I45" s="700"/>
      <c r="J45" s="699"/>
      <c r="K45" s="701">
        <f t="shared" si="3"/>
        <v>0</v>
      </c>
      <c r="L45" s="1967">
        <f t="shared" si="3"/>
        <v>0</v>
      </c>
      <c r="M45" s="676">
        <f t="shared" si="3"/>
        <v>0</v>
      </c>
      <c r="N45" s="699">
        <f t="shared" si="23"/>
        <v>0</v>
      </c>
      <c r="O45" s="698"/>
      <c r="P45" s="698"/>
      <c r="Q45" s="698"/>
      <c r="R45" s="698"/>
      <c r="S45" s="698"/>
      <c r="T45" s="698"/>
      <c r="U45" s="655"/>
      <c r="V45" s="1729" t="s">
        <v>957</v>
      </c>
      <c r="W45" s="1729" t="s">
        <v>956</v>
      </c>
      <c r="X45" s="2197" t="s">
        <v>693</v>
      </c>
      <c r="Y45" s="637"/>
      <c r="Z45" s="645"/>
      <c r="AA45" s="648">
        <f t="shared" si="14"/>
        <v>0</v>
      </c>
      <c r="AB45" s="721">
        <f t="shared" si="4"/>
        <v>0</v>
      </c>
      <c r="AC45" s="648">
        <f t="shared" si="15"/>
        <v>0</v>
      </c>
      <c r="AD45" s="721">
        <f t="shared" si="16"/>
        <v>0</v>
      </c>
      <c r="AE45" s="648">
        <f t="shared" si="17"/>
        <v>0</v>
      </c>
      <c r="AF45" s="721">
        <f t="shared" si="18"/>
        <v>0</v>
      </c>
      <c r="AG45" s="4639">
        <f>'Beer Data Sheet'!$C71*$L$4/100</f>
        <v>231.8</v>
      </c>
      <c r="AH45" s="731">
        <f>'Beer Data Sheet'!E71</f>
        <v>2.13</v>
      </c>
      <c r="AI45" s="4640">
        <f>'Beer Scaling'!C$66/100</f>
        <v>0.76</v>
      </c>
      <c r="AJ45" s="731">
        <f t="shared" si="6"/>
        <v>0</v>
      </c>
      <c r="AK45" s="648">
        <f t="shared" si="7"/>
        <v>0</v>
      </c>
      <c r="AL45" s="648">
        <f t="shared" si="8"/>
        <v>0</v>
      </c>
      <c r="AM45" s="4640">
        <f t="shared" si="19"/>
        <v>0.76</v>
      </c>
      <c r="AN45" s="731">
        <f t="shared" si="9"/>
        <v>0</v>
      </c>
      <c r="AO45" s="648">
        <f t="shared" si="20"/>
        <v>0</v>
      </c>
      <c r="AP45" s="648">
        <f t="shared" si="10"/>
        <v>0</v>
      </c>
      <c r="AQ45" s="4640">
        <f t="shared" si="21"/>
        <v>0.76</v>
      </c>
      <c r="AR45" s="731">
        <f t="shared" si="11"/>
        <v>0</v>
      </c>
      <c r="AS45" s="648">
        <f t="shared" si="22"/>
        <v>0</v>
      </c>
      <c r="AT45" s="737">
        <f t="shared" si="12"/>
        <v>0</v>
      </c>
    </row>
    <row r="46" spans="1:46" ht="15" customHeight="1">
      <c r="A46" s="3667" t="s">
        <v>731</v>
      </c>
      <c r="B46" s="4642" t="str">
        <f>'Beer Data Sheet'!B72</f>
        <v>Black</v>
      </c>
      <c r="C46" s="677"/>
      <c r="D46" s="675">
        <f t="shared" si="13"/>
        <v>0</v>
      </c>
      <c r="E46" s="676">
        <f t="shared" si="13"/>
        <v>0</v>
      </c>
      <c r="F46" s="679" t="s">
        <v>82</v>
      </c>
      <c r="G46" s="2007" t="str">
        <f>'Beer Data Sheet'!B24</f>
        <v>Marynka</v>
      </c>
      <c r="H46" s="2008">
        <f>'Beer Data Sheet'!C24</f>
        <v>10.5</v>
      </c>
      <c r="I46" s="700"/>
      <c r="J46" s="699"/>
      <c r="K46" s="701">
        <f t="shared" si="3"/>
        <v>0</v>
      </c>
      <c r="L46" s="1967">
        <f t="shared" si="3"/>
        <v>0</v>
      </c>
      <c r="M46" s="676">
        <f t="shared" si="3"/>
        <v>0</v>
      </c>
      <c r="N46" s="699">
        <f t="shared" si="23"/>
        <v>0</v>
      </c>
      <c r="O46" s="698"/>
      <c r="P46" s="698"/>
      <c r="Q46" s="698"/>
      <c r="R46" s="698"/>
      <c r="S46" s="698"/>
      <c r="T46" s="698"/>
      <c r="U46" s="655"/>
      <c r="V46" s="2198">
        <v>20</v>
      </c>
      <c r="W46" s="2357">
        <f t="shared" ref="W46:W55" si="28">V46*(5/6)</f>
        <v>16.666666666666668</v>
      </c>
      <c r="X46" s="2197">
        <f t="shared" ref="X46:X55" si="29">3.7854*V46/8</f>
        <v>9.4634999999999998</v>
      </c>
      <c r="Y46" s="637"/>
      <c r="Z46" s="717"/>
      <c r="AA46" s="648">
        <f t="shared" si="14"/>
        <v>0</v>
      </c>
      <c r="AB46" s="721">
        <f t="shared" si="4"/>
        <v>0</v>
      </c>
      <c r="AC46" s="648">
        <f t="shared" si="15"/>
        <v>0</v>
      </c>
      <c r="AD46" s="721">
        <f t="shared" si="16"/>
        <v>0</v>
      </c>
      <c r="AE46" s="648">
        <f t="shared" si="17"/>
        <v>0</v>
      </c>
      <c r="AF46" s="721">
        <f t="shared" si="18"/>
        <v>0</v>
      </c>
      <c r="AG46" s="4639">
        <f>'Beer Data Sheet'!$C72*$L$4/100</f>
        <v>201.4</v>
      </c>
      <c r="AH46" s="731">
        <f>'Beer Data Sheet'!E72</f>
        <v>908.8</v>
      </c>
      <c r="AI46" s="4640">
        <f>'Beer Scaling'!C$66/100</f>
        <v>0.76</v>
      </c>
      <c r="AJ46" s="731">
        <f t="shared" si="6"/>
        <v>0</v>
      </c>
      <c r="AK46" s="648">
        <f t="shared" si="7"/>
        <v>0</v>
      </c>
      <c r="AL46" s="648">
        <f t="shared" si="8"/>
        <v>0</v>
      </c>
      <c r="AM46" s="4640">
        <f t="shared" si="19"/>
        <v>0.76</v>
      </c>
      <c r="AN46" s="731">
        <f t="shared" si="9"/>
        <v>0</v>
      </c>
      <c r="AO46" s="648">
        <f t="shared" si="20"/>
        <v>0</v>
      </c>
      <c r="AP46" s="648">
        <f t="shared" si="10"/>
        <v>0</v>
      </c>
      <c r="AQ46" s="4640">
        <f t="shared" si="21"/>
        <v>0.76</v>
      </c>
      <c r="AR46" s="731">
        <f t="shared" si="11"/>
        <v>0</v>
      </c>
      <c r="AS46" s="648">
        <f t="shared" si="22"/>
        <v>0</v>
      </c>
      <c r="AT46" s="737">
        <f t="shared" si="12"/>
        <v>0</v>
      </c>
    </row>
    <row r="47" spans="1:46" ht="15" customHeight="1">
      <c r="A47" s="3667"/>
      <c r="B47" s="4642" t="str">
        <f>'Beer Data Sheet'!B73</f>
        <v>Chocolate</v>
      </c>
      <c r="C47" s="677"/>
      <c r="D47" s="675">
        <f t="shared" si="13"/>
        <v>0</v>
      </c>
      <c r="E47" s="676">
        <f t="shared" si="13"/>
        <v>0</v>
      </c>
      <c r="F47" s="679" t="s">
        <v>82</v>
      </c>
      <c r="G47" s="2007" t="str">
        <f>'Beer Data Sheet'!B25</f>
        <v>Mount Hood</v>
      </c>
      <c r="H47" s="2008">
        <f>'Beer Data Sheet'!C25</f>
        <v>5</v>
      </c>
      <c r="I47" s="700"/>
      <c r="J47" s="699"/>
      <c r="K47" s="701">
        <f t="shared" si="3"/>
        <v>0</v>
      </c>
      <c r="L47" s="1967">
        <f t="shared" si="3"/>
        <v>0</v>
      </c>
      <c r="M47" s="676">
        <f t="shared" si="3"/>
        <v>0</v>
      </c>
      <c r="N47" s="699">
        <f t="shared" si="23"/>
        <v>0</v>
      </c>
      <c r="O47" s="698"/>
      <c r="P47" s="698"/>
      <c r="Q47" s="698"/>
      <c r="R47" s="698"/>
      <c r="S47" s="698"/>
      <c r="T47" s="698"/>
      <c r="U47" s="655"/>
      <c r="V47" s="2198">
        <v>17.5</v>
      </c>
      <c r="W47" s="2357">
        <f t="shared" si="28"/>
        <v>14.583333333333334</v>
      </c>
      <c r="X47" s="2197">
        <f t="shared" si="29"/>
        <v>8.2805625000000003</v>
      </c>
      <c r="Y47" s="637"/>
      <c r="Z47" s="717"/>
      <c r="AA47" s="648">
        <f t="shared" si="14"/>
        <v>0</v>
      </c>
      <c r="AB47" s="721">
        <f t="shared" si="4"/>
        <v>0</v>
      </c>
      <c r="AC47" s="648">
        <f t="shared" si="15"/>
        <v>0</v>
      </c>
      <c r="AD47" s="721">
        <f t="shared" si="16"/>
        <v>0</v>
      </c>
      <c r="AE47" s="648">
        <f t="shared" si="17"/>
        <v>0</v>
      </c>
      <c r="AF47" s="721">
        <f t="shared" si="18"/>
        <v>0</v>
      </c>
      <c r="AG47" s="4639">
        <f>'Beer Data Sheet'!$C73*$L$4/100</f>
        <v>201.4</v>
      </c>
      <c r="AH47" s="731">
        <f>'Beer Data Sheet'!E73</f>
        <v>763.2</v>
      </c>
      <c r="AI47" s="4640">
        <f>'Beer Scaling'!C$66/100</f>
        <v>0.76</v>
      </c>
      <c r="AJ47" s="731">
        <f t="shared" si="6"/>
        <v>0</v>
      </c>
      <c r="AK47" s="648">
        <f t="shared" si="7"/>
        <v>0</v>
      </c>
      <c r="AL47" s="648">
        <f t="shared" si="8"/>
        <v>0</v>
      </c>
      <c r="AM47" s="4640">
        <f t="shared" si="19"/>
        <v>0.76</v>
      </c>
      <c r="AN47" s="731">
        <f t="shared" si="9"/>
        <v>0</v>
      </c>
      <c r="AO47" s="648">
        <f t="shared" si="20"/>
        <v>0</v>
      </c>
      <c r="AP47" s="648">
        <f t="shared" si="10"/>
        <v>0</v>
      </c>
      <c r="AQ47" s="4640">
        <f t="shared" si="21"/>
        <v>0.76</v>
      </c>
      <c r="AR47" s="731">
        <f t="shared" si="11"/>
        <v>0</v>
      </c>
      <c r="AS47" s="648">
        <f t="shared" si="22"/>
        <v>0</v>
      </c>
      <c r="AT47" s="737">
        <f t="shared" si="12"/>
        <v>0</v>
      </c>
    </row>
    <row r="48" spans="1:46" ht="15" customHeight="1">
      <c r="A48" s="3667"/>
      <c r="B48" s="4642" t="str">
        <f>'Beer Data Sheet'!B74</f>
        <v>Crystal (light)</v>
      </c>
      <c r="C48" s="677"/>
      <c r="D48" s="675">
        <f t="shared" ref="D48" si="30">C48</f>
        <v>0</v>
      </c>
      <c r="E48" s="676">
        <f t="shared" ref="E48" si="31">D48</f>
        <v>0</v>
      </c>
      <c r="F48" s="679" t="s">
        <v>82</v>
      </c>
      <c r="G48" s="2007" t="str">
        <f>'Beer Data Sheet'!B26</f>
        <v>Northdown</v>
      </c>
      <c r="H48" s="2008">
        <f>'Beer Data Sheet'!C26</f>
        <v>8</v>
      </c>
      <c r="I48" s="700"/>
      <c r="J48" s="699"/>
      <c r="K48" s="701">
        <f t="shared" si="3"/>
        <v>0</v>
      </c>
      <c r="L48" s="1967">
        <f t="shared" si="3"/>
        <v>0</v>
      </c>
      <c r="M48" s="676">
        <f t="shared" si="3"/>
        <v>0</v>
      </c>
      <c r="N48" s="699">
        <f t="shared" si="23"/>
        <v>0</v>
      </c>
      <c r="O48" s="698"/>
      <c r="P48" s="698"/>
      <c r="Q48" s="698"/>
      <c r="R48" s="698"/>
      <c r="S48" s="698"/>
      <c r="T48" s="698"/>
      <c r="U48" s="655"/>
      <c r="V48" s="2198">
        <v>3</v>
      </c>
      <c r="W48" s="2357">
        <f t="shared" si="28"/>
        <v>2.5</v>
      </c>
      <c r="X48" s="2197">
        <f t="shared" si="29"/>
        <v>1.4195250000000001</v>
      </c>
      <c r="Y48" s="637"/>
      <c r="Z48" s="653"/>
      <c r="AA48" s="648">
        <f t="shared" si="14"/>
        <v>0</v>
      </c>
      <c r="AB48" s="721">
        <f t="shared" si="4"/>
        <v>0</v>
      </c>
      <c r="AC48" s="648">
        <f t="shared" si="15"/>
        <v>0</v>
      </c>
      <c r="AD48" s="721">
        <f t="shared" si="16"/>
        <v>0</v>
      </c>
      <c r="AE48" s="648">
        <f t="shared" si="17"/>
        <v>0</v>
      </c>
      <c r="AF48" s="721">
        <f t="shared" si="18"/>
        <v>0</v>
      </c>
      <c r="AG48" s="4639">
        <f>'Beer Data Sheet'!$C74*$L$4/100</f>
        <v>201.4</v>
      </c>
      <c r="AH48" s="731">
        <f>'Beer Data Sheet'!E74</f>
        <v>77.7</v>
      </c>
      <c r="AI48" s="4640">
        <f>'Beer Scaling'!C$66/100</f>
        <v>0.76</v>
      </c>
      <c r="AJ48" s="731">
        <f t="shared" si="6"/>
        <v>0</v>
      </c>
      <c r="AK48" s="648">
        <f t="shared" si="7"/>
        <v>0</v>
      </c>
      <c r="AL48" s="648">
        <f t="shared" si="8"/>
        <v>0</v>
      </c>
      <c r="AM48" s="4640">
        <f t="shared" si="19"/>
        <v>0.76</v>
      </c>
      <c r="AN48" s="731">
        <f t="shared" si="9"/>
        <v>0</v>
      </c>
      <c r="AO48" s="648">
        <f t="shared" si="20"/>
        <v>0</v>
      </c>
      <c r="AP48" s="648">
        <f t="shared" si="10"/>
        <v>0</v>
      </c>
      <c r="AQ48" s="4640">
        <f t="shared" si="21"/>
        <v>0.76</v>
      </c>
      <c r="AR48" s="731">
        <f t="shared" si="11"/>
        <v>0</v>
      </c>
      <c r="AS48" s="648">
        <f t="shared" si="22"/>
        <v>0</v>
      </c>
      <c r="AT48" s="737">
        <f t="shared" si="12"/>
        <v>0</v>
      </c>
    </row>
    <row r="49" spans="1:46" ht="15" customHeight="1">
      <c r="A49" s="3667"/>
      <c r="B49" s="4642" t="str">
        <f>'Beer Data Sheet'!B75</f>
        <v>Crystal (medium)</v>
      </c>
      <c r="C49" s="677">
        <v>220</v>
      </c>
      <c r="D49" s="675">
        <f t="shared" ref="D49:E53" si="32">C49</f>
        <v>220</v>
      </c>
      <c r="E49" s="676">
        <f t="shared" si="32"/>
        <v>220</v>
      </c>
      <c r="F49" s="679" t="s">
        <v>82</v>
      </c>
      <c r="G49" s="2007" t="str">
        <f>'Beer Data Sheet'!B27</f>
        <v>Northern Brewer</v>
      </c>
      <c r="H49" s="2008">
        <f>'Beer Data Sheet'!C27</f>
        <v>7.5</v>
      </c>
      <c r="I49" s="700"/>
      <c r="J49" s="699"/>
      <c r="K49" s="701">
        <f t="shared" si="3"/>
        <v>0</v>
      </c>
      <c r="L49" s="1967">
        <f t="shared" si="3"/>
        <v>0</v>
      </c>
      <c r="M49" s="676">
        <f t="shared" si="3"/>
        <v>0</v>
      </c>
      <c r="N49" s="699">
        <f t="shared" si="23"/>
        <v>0</v>
      </c>
      <c r="O49" s="698"/>
      <c r="P49" s="698"/>
      <c r="Q49" s="698"/>
      <c r="R49" s="698"/>
      <c r="S49" s="698"/>
      <c r="T49" s="698"/>
      <c r="U49" s="655"/>
      <c r="V49" s="2198">
        <v>4</v>
      </c>
      <c r="W49" s="2357">
        <f t="shared" si="28"/>
        <v>3.3333333333333335</v>
      </c>
      <c r="X49" s="2197">
        <f t="shared" si="29"/>
        <v>1.8927</v>
      </c>
      <c r="Y49" s="637"/>
      <c r="Z49" s="647"/>
      <c r="AA49" s="648">
        <f t="shared" si="14"/>
        <v>0</v>
      </c>
      <c r="AB49" s="721">
        <f t="shared" si="4"/>
        <v>0</v>
      </c>
      <c r="AC49" s="648">
        <f t="shared" si="15"/>
        <v>0</v>
      </c>
      <c r="AD49" s="721">
        <f t="shared" si="16"/>
        <v>0</v>
      </c>
      <c r="AE49" s="648">
        <f t="shared" si="17"/>
        <v>0</v>
      </c>
      <c r="AF49" s="721">
        <f t="shared" si="18"/>
        <v>0</v>
      </c>
      <c r="AG49" s="4639">
        <f>'Beer Data Sheet'!$C75*$L$4/100</f>
        <v>201.4</v>
      </c>
      <c r="AH49" s="731">
        <f>'Beer Data Sheet'!E75</f>
        <v>103.6</v>
      </c>
      <c r="AI49" s="4640">
        <f>'Beer Scaling'!C$66/100</f>
        <v>0.76</v>
      </c>
      <c r="AJ49" s="731">
        <f t="shared" si="6"/>
        <v>44.308000000000007</v>
      </c>
      <c r="AK49" s="648">
        <f t="shared" si="7"/>
        <v>33.674080000000004</v>
      </c>
      <c r="AL49" s="648">
        <f t="shared" si="8"/>
        <v>227.92000000000002</v>
      </c>
      <c r="AM49" s="4640">
        <f t="shared" si="19"/>
        <v>0.76</v>
      </c>
      <c r="AN49" s="731">
        <f t="shared" si="9"/>
        <v>44.308000000000007</v>
      </c>
      <c r="AO49" s="648">
        <f t="shared" si="20"/>
        <v>33.674080000000004</v>
      </c>
      <c r="AP49" s="648">
        <f t="shared" si="10"/>
        <v>227.92000000000002</v>
      </c>
      <c r="AQ49" s="4640">
        <f t="shared" si="21"/>
        <v>0.76</v>
      </c>
      <c r="AR49" s="731">
        <f t="shared" si="11"/>
        <v>44.308000000000007</v>
      </c>
      <c r="AS49" s="648">
        <f t="shared" si="22"/>
        <v>33.674080000000004</v>
      </c>
      <c r="AT49" s="737">
        <f t="shared" si="12"/>
        <v>227.92000000000002</v>
      </c>
    </row>
    <row r="50" spans="1:46" ht="15" customHeight="1">
      <c r="A50" s="3667"/>
      <c r="B50" s="4642" t="str">
        <f>'Beer Data Sheet'!B76</f>
        <v>Crystal (dark)</v>
      </c>
      <c r="C50" s="677"/>
      <c r="D50" s="675">
        <f t="shared" si="32"/>
        <v>0</v>
      </c>
      <c r="E50" s="676">
        <f t="shared" ref="D50:E62" si="33">D50</f>
        <v>0</v>
      </c>
      <c r="F50" s="679" t="s">
        <v>82</v>
      </c>
      <c r="G50" s="2007" t="str">
        <f>'Beer Data Sheet'!B28</f>
        <v>Perle</v>
      </c>
      <c r="H50" s="2008">
        <f>'Beer Data Sheet'!C28</f>
        <v>8</v>
      </c>
      <c r="I50" s="700"/>
      <c r="J50" s="699"/>
      <c r="K50" s="701">
        <f t="shared" si="3"/>
        <v>0</v>
      </c>
      <c r="L50" s="1967">
        <f t="shared" si="3"/>
        <v>0</v>
      </c>
      <c r="M50" s="676">
        <f t="shared" si="3"/>
        <v>0</v>
      </c>
      <c r="N50" s="699">
        <f t="shared" si="23"/>
        <v>0</v>
      </c>
      <c r="O50" s="698"/>
      <c r="P50" s="698"/>
      <c r="Q50" s="698"/>
      <c r="R50" s="698"/>
      <c r="S50" s="698"/>
      <c r="T50" s="698"/>
      <c r="U50" s="655"/>
      <c r="V50" s="2198">
        <v>5</v>
      </c>
      <c r="W50" s="2357">
        <f t="shared" si="28"/>
        <v>4.166666666666667</v>
      </c>
      <c r="X50" s="2197">
        <f t="shared" si="29"/>
        <v>2.365875</v>
      </c>
      <c r="Y50" s="637"/>
      <c r="Z50" s="647"/>
      <c r="AA50" s="648">
        <f t="shared" si="14"/>
        <v>0</v>
      </c>
      <c r="AB50" s="721">
        <f t="shared" si="4"/>
        <v>0</v>
      </c>
      <c r="AC50" s="648">
        <f t="shared" si="15"/>
        <v>0</v>
      </c>
      <c r="AD50" s="721">
        <f t="shared" si="16"/>
        <v>0</v>
      </c>
      <c r="AE50" s="648">
        <f t="shared" si="17"/>
        <v>0</v>
      </c>
      <c r="AF50" s="721">
        <f t="shared" si="18"/>
        <v>0</v>
      </c>
      <c r="AG50" s="4639">
        <f>'Beer Data Sheet'!$C76*$L$4/100</f>
        <v>201.4</v>
      </c>
      <c r="AH50" s="731">
        <f>'Beer Data Sheet'!E76</f>
        <v>148</v>
      </c>
      <c r="AI50" s="4640">
        <f>'Beer Scaling'!C$66/100</f>
        <v>0.76</v>
      </c>
      <c r="AJ50" s="731">
        <f t="shared" si="6"/>
        <v>0</v>
      </c>
      <c r="AK50" s="648">
        <f t="shared" si="7"/>
        <v>0</v>
      </c>
      <c r="AL50" s="648">
        <f t="shared" si="8"/>
        <v>0</v>
      </c>
      <c r="AM50" s="4640">
        <f t="shared" si="19"/>
        <v>0.76</v>
      </c>
      <c r="AN50" s="731">
        <f t="shared" si="9"/>
        <v>0</v>
      </c>
      <c r="AO50" s="648">
        <f t="shared" si="20"/>
        <v>0</v>
      </c>
      <c r="AP50" s="648">
        <f t="shared" si="10"/>
        <v>0</v>
      </c>
      <c r="AQ50" s="4640">
        <f t="shared" si="21"/>
        <v>0.76</v>
      </c>
      <c r="AR50" s="731">
        <f t="shared" si="11"/>
        <v>0</v>
      </c>
      <c r="AS50" s="648">
        <f t="shared" si="22"/>
        <v>0</v>
      </c>
      <c r="AT50" s="737">
        <f t="shared" si="12"/>
        <v>0</v>
      </c>
    </row>
    <row r="51" spans="1:46" ht="15" customHeight="1">
      <c r="A51" s="3667"/>
      <c r="B51" s="4642" t="str">
        <f>'Beer Data Sheet'!B77</f>
        <v>Caramalt</v>
      </c>
      <c r="C51" s="677"/>
      <c r="D51" s="675">
        <f t="shared" si="32"/>
        <v>0</v>
      </c>
      <c r="E51" s="676">
        <f t="shared" si="33"/>
        <v>0</v>
      </c>
      <c r="F51" s="679" t="s">
        <v>82</v>
      </c>
      <c r="G51" s="2007" t="str">
        <f>'Beer Data Sheet'!B29</f>
        <v>Pioneer</v>
      </c>
      <c r="H51" s="2008">
        <f>'Beer Data Sheet'!C29</f>
        <v>8</v>
      </c>
      <c r="I51" s="700"/>
      <c r="J51" s="699"/>
      <c r="K51" s="701">
        <f t="shared" si="3"/>
        <v>0</v>
      </c>
      <c r="L51" s="1967">
        <f t="shared" si="3"/>
        <v>0</v>
      </c>
      <c r="M51" s="676">
        <f t="shared" si="3"/>
        <v>0</v>
      </c>
      <c r="N51" s="699">
        <f t="shared" si="23"/>
        <v>0</v>
      </c>
      <c r="O51" s="698"/>
      <c r="P51" s="698"/>
      <c r="Q51" s="698"/>
      <c r="R51" s="698"/>
      <c r="S51" s="698"/>
      <c r="T51" s="698"/>
      <c r="U51" s="655"/>
      <c r="V51" s="2198">
        <v>6</v>
      </c>
      <c r="W51" s="2357">
        <f t="shared" si="28"/>
        <v>5</v>
      </c>
      <c r="X51" s="2197">
        <f t="shared" si="29"/>
        <v>2.8390500000000003</v>
      </c>
      <c r="Y51" s="637"/>
      <c r="Z51" s="637"/>
      <c r="AA51" s="648">
        <f t="shared" si="14"/>
        <v>0</v>
      </c>
      <c r="AB51" s="721">
        <f t="shared" si="4"/>
        <v>0</v>
      </c>
      <c r="AC51" s="648">
        <f t="shared" si="15"/>
        <v>0</v>
      </c>
      <c r="AD51" s="721">
        <f t="shared" si="16"/>
        <v>0</v>
      </c>
      <c r="AE51" s="648">
        <f t="shared" si="17"/>
        <v>0</v>
      </c>
      <c r="AF51" s="721">
        <f t="shared" si="18"/>
        <v>0</v>
      </c>
      <c r="AG51" s="4639">
        <f>'Beer Data Sheet'!$C77*$L$4/100</f>
        <v>201.4</v>
      </c>
      <c r="AH51" s="731">
        <f>'Beer Data Sheet'!E77</f>
        <v>17.75</v>
      </c>
      <c r="AI51" s="4640">
        <f>'Beer Scaling'!C$66/100</f>
        <v>0.76</v>
      </c>
      <c r="AJ51" s="731">
        <f t="shared" si="6"/>
        <v>0</v>
      </c>
      <c r="AK51" s="648">
        <f t="shared" si="7"/>
        <v>0</v>
      </c>
      <c r="AL51" s="648">
        <f t="shared" si="8"/>
        <v>0</v>
      </c>
      <c r="AM51" s="4640">
        <f t="shared" si="19"/>
        <v>0.76</v>
      </c>
      <c r="AN51" s="731">
        <f t="shared" si="9"/>
        <v>0</v>
      </c>
      <c r="AO51" s="648">
        <f t="shared" si="20"/>
        <v>0</v>
      </c>
      <c r="AP51" s="648">
        <f t="shared" si="10"/>
        <v>0</v>
      </c>
      <c r="AQ51" s="4640">
        <f t="shared" si="21"/>
        <v>0.76</v>
      </c>
      <c r="AR51" s="731">
        <f t="shared" si="11"/>
        <v>0</v>
      </c>
      <c r="AS51" s="648">
        <f t="shared" si="22"/>
        <v>0</v>
      </c>
      <c r="AT51" s="737">
        <f t="shared" si="12"/>
        <v>0</v>
      </c>
    </row>
    <row r="52" spans="1:46" ht="15" customHeight="1">
      <c r="A52" s="3667"/>
      <c r="B52" s="4642" t="str">
        <f>'Beer Data Sheet'!B78</f>
        <v>Caramalt Light)</v>
      </c>
      <c r="C52" s="677"/>
      <c r="D52" s="675">
        <f t="shared" si="32"/>
        <v>0</v>
      </c>
      <c r="E52" s="676">
        <f t="shared" si="33"/>
        <v>0</v>
      </c>
      <c r="F52" s="679" t="s">
        <v>82</v>
      </c>
      <c r="G52" s="2007" t="str">
        <f>'Beer Data Sheet'!B30</f>
        <v>Progress</v>
      </c>
      <c r="H52" s="2008">
        <f>'Beer Data Sheet'!C30</f>
        <v>9</v>
      </c>
      <c r="I52" s="700"/>
      <c r="J52" s="699"/>
      <c r="K52" s="701">
        <f t="shared" si="3"/>
        <v>0</v>
      </c>
      <c r="L52" s="1967">
        <f t="shared" si="3"/>
        <v>0</v>
      </c>
      <c r="M52" s="676">
        <f t="shared" si="3"/>
        <v>0</v>
      </c>
      <c r="N52" s="699">
        <f t="shared" si="23"/>
        <v>0</v>
      </c>
      <c r="O52" s="698"/>
      <c r="P52" s="698"/>
      <c r="Q52" s="698"/>
      <c r="R52" s="698"/>
      <c r="S52" s="698"/>
      <c r="T52" s="698"/>
      <c r="U52" s="655"/>
      <c r="V52" s="2198">
        <v>7</v>
      </c>
      <c r="W52" s="2357">
        <f t="shared" si="28"/>
        <v>5.8333333333333339</v>
      </c>
      <c r="X52" s="2197">
        <f t="shared" si="29"/>
        <v>3.3122250000000002</v>
      </c>
      <c r="Y52" s="637"/>
      <c r="Z52" s="637"/>
      <c r="AA52" s="648">
        <f t="shared" si="14"/>
        <v>0</v>
      </c>
      <c r="AB52" s="721">
        <f t="shared" si="4"/>
        <v>0</v>
      </c>
      <c r="AC52" s="648">
        <f t="shared" si="15"/>
        <v>0</v>
      </c>
      <c r="AD52" s="721">
        <f t="shared" si="16"/>
        <v>0</v>
      </c>
      <c r="AE52" s="648">
        <f t="shared" si="17"/>
        <v>0</v>
      </c>
      <c r="AF52" s="721">
        <f t="shared" si="18"/>
        <v>0</v>
      </c>
      <c r="AG52" s="4639">
        <f>'Beer Data Sheet'!$C78*$L$4/100</f>
        <v>201.4</v>
      </c>
      <c r="AH52" s="731">
        <f>'Beer Data Sheet'!E78</f>
        <v>8.52</v>
      </c>
      <c r="AI52" s="4640">
        <f>'Beer Scaling'!C$66/100</f>
        <v>0.76</v>
      </c>
      <c r="AJ52" s="731">
        <f t="shared" si="6"/>
        <v>0</v>
      </c>
      <c r="AK52" s="648">
        <f t="shared" si="7"/>
        <v>0</v>
      </c>
      <c r="AL52" s="648">
        <f t="shared" si="8"/>
        <v>0</v>
      </c>
      <c r="AM52" s="4640">
        <f t="shared" si="19"/>
        <v>0.76</v>
      </c>
      <c r="AN52" s="731">
        <f t="shared" si="9"/>
        <v>0</v>
      </c>
      <c r="AO52" s="648">
        <f t="shared" si="20"/>
        <v>0</v>
      </c>
      <c r="AP52" s="648">
        <f t="shared" si="10"/>
        <v>0</v>
      </c>
      <c r="AQ52" s="4640">
        <f t="shared" si="21"/>
        <v>0.76</v>
      </c>
      <c r="AR52" s="731">
        <f t="shared" si="11"/>
        <v>0</v>
      </c>
      <c r="AS52" s="648">
        <f t="shared" si="22"/>
        <v>0</v>
      </c>
      <c r="AT52" s="737">
        <f t="shared" si="12"/>
        <v>0</v>
      </c>
    </row>
    <row r="53" spans="1:46" ht="15" customHeight="1">
      <c r="A53" s="3667"/>
      <c r="B53" s="4642" t="str">
        <f>'Beer Data Sheet'!B79</f>
        <v>Carapils</v>
      </c>
      <c r="C53" s="677"/>
      <c r="D53" s="675">
        <f t="shared" si="32"/>
        <v>0</v>
      </c>
      <c r="E53" s="676">
        <f t="shared" si="33"/>
        <v>0</v>
      </c>
      <c r="F53" s="679" t="s">
        <v>82</v>
      </c>
      <c r="G53" s="2007" t="str">
        <f>'Beer Data Sheet'!B31</f>
        <v>Styrian Goldings</v>
      </c>
      <c r="H53" s="2008">
        <f>'Beer Data Sheet'!C31</f>
        <v>5.5</v>
      </c>
      <c r="I53" s="700"/>
      <c r="J53" s="699"/>
      <c r="K53" s="701">
        <f t="shared" si="3"/>
        <v>0</v>
      </c>
      <c r="L53" s="1967">
        <f t="shared" si="3"/>
        <v>0</v>
      </c>
      <c r="M53" s="676">
        <f t="shared" si="3"/>
        <v>0</v>
      </c>
      <c r="N53" s="699">
        <f t="shared" si="23"/>
        <v>0</v>
      </c>
      <c r="O53" s="698"/>
      <c r="P53" s="698"/>
      <c r="Q53" s="698"/>
      <c r="R53" s="698"/>
      <c r="S53" s="698"/>
      <c r="T53" s="698"/>
      <c r="U53" s="655"/>
      <c r="V53" s="2198">
        <v>8</v>
      </c>
      <c r="W53" s="2357">
        <f t="shared" si="28"/>
        <v>6.666666666666667</v>
      </c>
      <c r="X53" s="2197">
        <f t="shared" si="29"/>
        <v>3.7854000000000001</v>
      </c>
      <c r="Y53" s="637"/>
      <c r="Z53" s="637"/>
      <c r="AA53" s="648">
        <f t="shared" si="14"/>
        <v>0</v>
      </c>
      <c r="AB53" s="721">
        <f t="shared" si="4"/>
        <v>0</v>
      </c>
      <c r="AC53" s="648">
        <f t="shared" si="15"/>
        <v>0</v>
      </c>
      <c r="AD53" s="721">
        <f t="shared" si="16"/>
        <v>0</v>
      </c>
      <c r="AE53" s="648">
        <f t="shared" si="17"/>
        <v>0</v>
      </c>
      <c r="AF53" s="721">
        <f t="shared" si="18"/>
        <v>0</v>
      </c>
      <c r="AG53" s="4639">
        <f>'Beer Data Sheet'!$C79*$L$4/100</f>
        <v>201.4</v>
      </c>
      <c r="AH53" s="731">
        <f>'Beer Data Sheet'!E79</f>
        <v>7.1</v>
      </c>
      <c r="AI53" s="4640">
        <f>'Beer Scaling'!C$66/100</f>
        <v>0.76</v>
      </c>
      <c r="AJ53" s="731">
        <f t="shared" si="6"/>
        <v>0</v>
      </c>
      <c r="AK53" s="648">
        <f t="shared" si="7"/>
        <v>0</v>
      </c>
      <c r="AL53" s="648">
        <f t="shared" si="8"/>
        <v>0</v>
      </c>
      <c r="AM53" s="4640">
        <f t="shared" si="19"/>
        <v>0.76</v>
      </c>
      <c r="AN53" s="731">
        <f t="shared" si="9"/>
        <v>0</v>
      </c>
      <c r="AO53" s="648">
        <f t="shared" si="20"/>
        <v>0</v>
      </c>
      <c r="AP53" s="648">
        <f t="shared" si="10"/>
        <v>0</v>
      </c>
      <c r="AQ53" s="4640">
        <f t="shared" si="21"/>
        <v>0.76</v>
      </c>
      <c r="AR53" s="731">
        <f t="shared" si="11"/>
        <v>0</v>
      </c>
      <c r="AS53" s="648">
        <f t="shared" si="22"/>
        <v>0</v>
      </c>
      <c r="AT53" s="737">
        <f t="shared" si="12"/>
        <v>0</v>
      </c>
    </row>
    <row r="54" spans="1:46" ht="15" customHeight="1">
      <c r="A54" s="3667"/>
      <c r="B54" s="4642" t="str">
        <f>'Beer Data Sheet'!B80</f>
        <v>Roast barley</v>
      </c>
      <c r="C54" s="677"/>
      <c r="D54" s="675">
        <f t="shared" ref="D54:D58" si="34">C54</f>
        <v>0</v>
      </c>
      <c r="E54" s="676">
        <f t="shared" ref="E54:E58" si="35">D54</f>
        <v>0</v>
      </c>
      <c r="F54" s="679" t="s">
        <v>82</v>
      </c>
      <c r="G54" s="2007" t="str">
        <f>'Beer Data Sheet'!B32</f>
        <v>Target</v>
      </c>
      <c r="H54" s="2008">
        <f>'Beer Data Sheet'!C32</f>
        <v>11.2</v>
      </c>
      <c r="I54" s="700"/>
      <c r="J54" s="699"/>
      <c r="K54" s="701">
        <f t="shared" si="3"/>
        <v>0</v>
      </c>
      <c r="L54" s="1967">
        <f t="shared" si="3"/>
        <v>0</v>
      </c>
      <c r="M54" s="676">
        <f t="shared" si="3"/>
        <v>0</v>
      </c>
      <c r="N54" s="699">
        <f t="shared" si="23"/>
        <v>0</v>
      </c>
      <c r="O54" s="698"/>
      <c r="P54" s="698"/>
      <c r="Q54" s="698"/>
      <c r="R54" s="698"/>
      <c r="S54" s="698"/>
      <c r="T54" s="698"/>
      <c r="U54" s="655"/>
      <c r="V54" s="2198">
        <v>9</v>
      </c>
      <c r="W54" s="2357">
        <f t="shared" si="28"/>
        <v>7.5</v>
      </c>
      <c r="X54" s="2197">
        <f t="shared" si="29"/>
        <v>4.2585750000000004</v>
      </c>
      <c r="Y54" s="637"/>
      <c r="Z54" s="637"/>
      <c r="AA54" s="648">
        <f t="shared" si="14"/>
        <v>0</v>
      </c>
      <c r="AB54" s="721">
        <f t="shared" si="4"/>
        <v>0</v>
      </c>
      <c r="AC54" s="648">
        <f t="shared" si="15"/>
        <v>0</v>
      </c>
      <c r="AD54" s="721">
        <f t="shared" si="16"/>
        <v>0</v>
      </c>
      <c r="AE54" s="648">
        <f t="shared" si="17"/>
        <v>0</v>
      </c>
      <c r="AF54" s="721">
        <f t="shared" si="18"/>
        <v>0</v>
      </c>
      <c r="AG54" s="4639">
        <f>'Beer Data Sheet'!$C80*$L$4/100</f>
        <v>201.4</v>
      </c>
      <c r="AH54" s="731">
        <f>'Beer Data Sheet'!E80</f>
        <v>902.8</v>
      </c>
      <c r="AI54" s="4640">
        <f>'Beer Scaling'!C$66/100</f>
        <v>0.76</v>
      </c>
      <c r="AJ54" s="731">
        <f t="shared" si="6"/>
        <v>0</v>
      </c>
      <c r="AK54" s="648">
        <f t="shared" si="7"/>
        <v>0</v>
      </c>
      <c r="AL54" s="648">
        <f t="shared" si="8"/>
        <v>0</v>
      </c>
      <c r="AM54" s="4640">
        <f t="shared" si="19"/>
        <v>0.76</v>
      </c>
      <c r="AN54" s="731">
        <f t="shared" si="9"/>
        <v>0</v>
      </c>
      <c r="AO54" s="648">
        <f t="shared" si="20"/>
        <v>0</v>
      </c>
      <c r="AP54" s="648">
        <f t="shared" si="10"/>
        <v>0</v>
      </c>
      <c r="AQ54" s="4640">
        <f t="shared" si="21"/>
        <v>0.76</v>
      </c>
      <c r="AR54" s="731">
        <f t="shared" si="11"/>
        <v>0</v>
      </c>
      <c r="AS54" s="648">
        <f t="shared" si="22"/>
        <v>0</v>
      </c>
      <c r="AT54" s="737">
        <f t="shared" si="12"/>
        <v>0</v>
      </c>
    </row>
    <row r="55" spans="1:46" ht="15" customHeight="1">
      <c r="A55" s="3668" t="s">
        <v>958</v>
      </c>
      <c r="B55" s="4643" t="str">
        <f>'Beer Data Sheet'!B81</f>
        <v>Extract (LIQUID - light)</v>
      </c>
      <c r="C55" s="677"/>
      <c r="D55" s="675">
        <f t="shared" si="34"/>
        <v>0</v>
      </c>
      <c r="E55" s="676">
        <v>2940</v>
      </c>
      <c r="F55" s="680" t="s">
        <v>82</v>
      </c>
      <c r="G55" s="2007" t="str">
        <f>'Beer Data Sheet'!B33</f>
        <v>Tettnanger</v>
      </c>
      <c r="H55" s="2008">
        <f>'Beer Data Sheet'!C33</f>
        <v>5</v>
      </c>
      <c r="I55" s="700"/>
      <c r="J55" s="699"/>
      <c r="K55" s="701">
        <f t="shared" si="3"/>
        <v>0</v>
      </c>
      <c r="L55" s="1967">
        <f t="shared" si="3"/>
        <v>0</v>
      </c>
      <c r="M55" s="676">
        <f t="shared" si="3"/>
        <v>0</v>
      </c>
      <c r="N55" s="699">
        <f t="shared" si="23"/>
        <v>0</v>
      </c>
      <c r="O55" s="698"/>
      <c r="P55" s="698"/>
      <c r="Q55" s="698"/>
      <c r="R55" s="698"/>
      <c r="S55" s="698"/>
      <c r="T55" s="698"/>
      <c r="U55" s="655"/>
      <c r="V55" s="2198">
        <v>10</v>
      </c>
      <c r="W55" s="2357">
        <f t="shared" si="28"/>
        <v>8.3333333333333339</v>
      </c>
      <c r="X55" s="2197">
        <f t="shared" si="29"/>
        <v>4.7317499999999999</v>
      </c>
      <c r="Y55" s="637"/>
      <c r="Z55" s="717"/>
      <c r="AA55" s="648">
        <f t="shared" si="14"/>
        <v>0</v>
      </c>
      <c r="AB55" s="721">
        <f t="shared" si="4"/>
        <v>0</v>
      </c>
      <c r="AC55" s="648">
        <f t="shared" si="15"/>
        <v>0</v>
      </c>
      <c r="AD55" s="721">
        <f t="shared" si="16"/>
        <v>0</v>
      </c>
      <c r="AE55" s="648">
        <f t="shared" si="17"/>
        <v>0</v>
      </c>
      <c r="AF55" s="721">
        <f t="shared" si="18"/>
        <v>0</v>
      </c>
      <c r="AG55" s="4644">
        <f>'Beer Data Sheet'!C81</f>
        <v>310</v>
      </c>
      <c r="AH55" s="731">
        <f>'Beer Data Sheet'!E81</f>
        <v>10</v>
      </c>
      <c r="AI55" s="4640">
        <f>'Beer Scaling'!C$66/100</f>
        <v>0.76</v>
      </c>
      <c r="AJ55" s="731">
        <f t="shared" si="6"/>
        <v>0</v>
      </c>
      <c r="AK55" s="648">
        <f t="shared" si="7"/>
        <v>0</v>
      </c>
      <c r="AL55" s="648">
        <f t="shared" si="8"/>
        <v>0</v>
      </c>
      <c r="AM55" s="4640">
        <f t="shared" si="19"/>
        <v>0.76</v>
      </c>
      <c r="AN55" s="731">
        <f t="shared" si="9"/>
        <v>0</v>
      </c>
      <c r="AO55" s="648">
        <f t="shared" si="20"/>
        <v>0</v>
      </c>
      <c r="AP55" s="648">
        <f t="shared" si="10"/>
        <v>0</v>
      </c>
      <c r="AQ55" s="4640">
        <f t="shared" si="21"/>
        <v>0.76</v>
      </c>
      <c r="AR55" s="731">
        <f t="shared" si="11"/>
        <v>911.4</v>
      </c>
      <c r="AS55" s="648">
        <f t="shared" si="22"/>
        <v>692.66399999999999</v>
      </c>
      <c r="AT55" s="737">
        <f t="shared" si="12"/>
        <v>294</v>
      </c>
    </row>
    <row r="56" spans="1:46" ht="15" customHeight="1">
      <c r="A56" s="3668"/>
      <c r="B56" s="4643" t="str">
        <f>'Beer Data Sheet'!B82</f>
        <v>Extract (DRY - light)</v>
      </c>
      <c r="C56" s="677"/>
      <c r="D56" s="675">
        <f t="shared" si="34"/>
        <v>0</v>
      </c>
      <c r="E56" s="676">
        <f t="shared" si="35"/>
        <v>0</v>
      </c>
      <c r="F56" s="680" t="s">
        <v>82</v>
      </c>
      <c r="G56" s="2007" t="str">
        <f>'Beer Data Sheet'!B34</f>
        <v>WGV</v>
      </c>
      <c r="H56" s="2008">
        <f>'Beer Data Sheet'!C34</f>
        <v>6.3</v>
      </c>
      <c r="I56" s="700"/>
      <c r="J56" s="699"/>
      <c r="K56" s="701">
        <f t="shared" si="3"/>
        <v>0</v>
      </c>
      <c r="L56" s="1967">
        <f t="shared" si="3"/>
        <v>0</v>
      </c>
      <c r="M56" s="676">
        <f t="shared" si="3"/>
        <v>0</v>
      </c>
      <c r="N56" s="699">
        <f t="shared" si="23"/>
        <v>0</v>
      </c>
      <c r="O56" s="698"/>
      <c r="P56" s="698"/>
      <c r="Q56" s="698"/>
      <c r="R56" s="698"/>
      <c r="S56" s="698"/>
      <c r="T56" s="698"/>
      <c r="U56" s="636"/>
      <c r="V56" s="655"/>
      <c r="W56" s="655"/>
      <c r="X56" s="655"/>
      <c r="Y56" s="655"/>
      <c r="Z56" s="717"/>
      <c r="AA56" s="648">
        <f t="shared" si="14"/>
        <v>0</v>
      </c>
      <c r="AB56" s="721">
        <f t="shared" si="4"/>
        <v>0</v>
      </c>
      <c r="AC56" s="648">
        <f t="shared" si="15"/>
        <v>0</v>
      </c>
      <c r="AD56" s="721">
        <f t="shared" si="16"/>
        <v>0</v>
      </c>
      <c r="AE56" s="648">
        <f t="shared" si="17"/>
        <v>0</v>
      </c>
      <c r="AF56" s="721">
        <f t="shared" si="18"/>
        <v>0</v>
      </c>
      <c r="AG56" s="4644">
        <f>'Beer Data Sheet'!C82</f>
        <v>365</v>
      </c>
      <c r="AH56" s="731">
        <f>'Beer Data Sheet'!E82</f>
        <v>11</v>
      </c>
      <c r="AI56" s="4640">
        <f>'Beer Scaling'!C$66/100</f>
        <v>0.76</v>
      </c>
      <c r="AJ56" s="731">
        <f t="shared" si="6"/>
        <v>0</v>
      </c>
      <c r="AK56" s="648">
        <f t="shared" si="7"/>
        <v>0</v>
      </c>
      <c r="AL56" s="648">
        <f t="shared" si="8"/>
        <v>0</v>
      </c>
      <c r="AM56" s="4640">
        <f t="shared" si="19"/>
        <v>0.76</v>
      </c>
      <c r="AN56" s="731">
        <f t="shared" si="9"/>
        <v>0</v>
      </c>
      <c r="AO56" s="648">
        <f t="shared" si="20"/>
        <v>0</v>
      </c>
      <c r="AP56" s="648">
        <f t="shared" si="10"/>
        <v>0</v>
      </c>
      <c r="AQ56" s="4640">
        <f t="shared" si="21"/>
        <v>0.76</v>
      </c>
      <c r="AR56" s="731">
        <f t="shared" si="11"/>
        <v>0</v>
      </c>
      <c r="AS56" s="648">
        <f t="shared" si="22"/>
        <v>0</v>
      </c>
      <c r="AT56" s="737">
        <f t="shared" si="12"/>
        <v>0</v>
      </c>
    </row>
    <row r="57" spans="1:46" ht="15" customHeight="1">
      <c r="A57" s="3668"/>
      <c r="B57" s="4643" t="str">
        <f>'Beer Data Sheet'!B83</f>
        <v>Extract (DRY - wheat)</v>
      </c>
      <c r="C57" s="677"/>
      <c r="D57" s="675">
        <f t="shared" si="34"/>
        <v>0</v>
      </c>
      <c r="E57" s="676">
        <f t="shared" si="35"/>
        <v>0</v>
      </c>
      <c r="F57" s="680" t="s">
        <v>82</v>
      </c>
      <c r="G57" s="2007" t="str">
        <f>'Beer Data Sheet'!B35</f>
        <v>Yeoman</v>
      </c>
      <c r="H57" s="2008">
        <f>'Beer Data Sheet'!C35</f>
        <v>7.2</v>
      </c>
      <c r="I57" s="700"/>
      <c r="J57" s="699"/>
      <c r="K57" s="701">
        <f t="shared" si="3"/>
        <v>0</v>
      </c>
      <c r="L57" s="1967">
        <f t="shared" si="3"/>
        <v>0</v>
      </c>
      <c r="M57" s="676">
        <f t="shared" si="3"/>
        <v>0</v>
      </c>
      <c r="N57" s="699">
        <f t="shared" si="23"/>
        <v>0</v>
      </c>
      <c r="O57" s="698"/>
      <c r="P57" s="698"/>
      <c r="Q57" s="698"/>
      <c r="R57" s="698"/>
      <c r="S57" s="698"/>
      <c r="T57" s="698"/>
      <c r="U57" s="655"/>
      <c r="V57" s="655"/>
      <c r="W57" s="655"/>
      <c r="X57" s="655"/>
      <c r="Y57" s="655"/>
      <c r="Z57" s="717"/>
      <c r="AA57" s="648">
        <f t="shared" si="14"/>
        <v>0</v>
      </c>
      <c r="AB57" s="721">
        <f t="shared" si="4"/>
        <v>0</v>
      </c>
      <c r="AC57" s="648">
        <f t="shared" si="15"/>
        <v>0</v>
      </c>
      <c r="AD57" s="721">
        <f t="shared" si="16"/>
        <v>0</v>
      </c>
      <c r="AE57" s="648">
        <f t="shared" si="17"/>
        <v>0</v>
      </c>
      <c r="AF57" s="721">
        <f t="shared" si="18"/>
        <v>0</v>
      </c>
      <c r="AG57" s="4644">
        <f>'Beer Data Sheet'!C83</f>
        <v>365</v>
      </c>
      <c r="AH57" s="731">
        <f>'Beer Data Sheet'!E83</f>
        <v>6</v>
      </c>
      <c r="AI57" s="4640">
        <f>'Beer Scaling'!C$66/100</f>
        <v>0.76</v>
      </c>
      <c r="AJ57" s="731">
        <f t="shared" si="6"/>
        <v>0</v>
      </c>
      <c r="AK57" s="648">
        <f t="shared" si="7"/>
        <v>0</v>
      </c>
      <c r="AL57" s="648">
        <f t="shared" si="8"/>
        <v>0</v>
      </c>
      <c r="AM57" s="4640">
        <f t="shared" si="19"/>
        <v>0.76</v>
      </c>
      <c r="AN57" s="731">
        <f t="shared" si="9"/>
        <v>0</v>
      </c>
      <c r="AO57" s="648">
        <f t="shared" si="20"/>
        <v>0</v>
      </c>
      <c r="AP57" s="648">
        <f t="shared" si="10"/>
        <v>0</v>
      </c>
      <c r="AQ57" s="4640">
        <f t="shared" ref="AQ57" si="36">E90/100</f>
        <v>0</v>
      </c>
      <c r="AR57" s="731">
        <f t="shared" si="11"/>
        <v>0</v>
      </c>
      <c r="AS57" s="648">
        <f t="shared" si="22"/>
        <v>0</v>
      </c>
      <c r="AT57" s="737">
        <f t="shared" si="12"/>
        <v>0</v>
      </c>
    </row>
    <row r="58" spans="1:46" ht="15" customHeight="1">
      <c r="A58" s="4645" t="s">
        <v>749</v>
      </c>
      <c r="B58" s="4646" t="str">
        <f>'Beer Data Sheet'!B84</f>
        <v>Cane ̸ beet sugar (sucrose)</v>
      </c>
      <c r="C58" s="677"/>
      <c r="D58" s="675">
        <f t="shared" si="34"/>
        <v>0</v>
      </c>
      <c r="E58" s="676">
        <f t="shared" si="35"/>
        <v>0</v>
      </c>
      <c r="F58" s="681" t="s">
        <v>82</v>
      </c>
      <c r="G58" s="2007" t="str">
        <f>'Beer Data Sheet'!B36</f>
        <v>Other</v>
      </c>
      <c r="H58" s="2008">
        <f>'Beer Data Sheet'!C36</f>
        <v>0</v>
      </c>
      <c r="I58" s="700"/>
      <c r="J58" s="699"/>
      <c r="K58" s="701">
        <f t="shared" si="3"/>
        <v>0</v>
      </c>
      <c r="L58" s="1967">
        <f t="shared" si="3"/>
        <v>0</v>
      </c>
      <c r="M58" s="676">
        <f t="shared" si="3"/>
        <v>0</v>
      </c>
      <c r="N58" s="699">
        <f t="shared" si="23"/>
        <v>0</v>
      </c>
      <c r="O58" s="698"/>
      <c r="P58" s="698"/>
      <c r="Q58" s="698"/>
      <c r="R58" s="698"/>
      <c r="S58" s="698"/>
      <c r="T58" s="698"/>
      <c r="U58" s="655"/>
      <c r="V58" s="3350" t="s">
        <v>735</v>
      </c>
      <c r="W58" s="3350"/>
      <c r="X58" s="3350"/>
      <c r="Y58" s="637"/>
      <c r="Z58" s="717"/>
      <c r="AA58" s="648">
        <f t="shared" si="14"/>
        <v>0</v>
      </c>
      <c r="AB58" s="721">
        <f t="shared" si="4"/>
        <v>0</v>
      </c>
      <c r="AC58" s="648">
        <f t="shared" si="15"/>
        <v>0</v>
      </c>
      <c r="AD58" s="721">
        <f t="shared" si="16"/>
        <v>0</v>
      </c>
      <c r="AE58" s="648">
        <f t="shared" si="17"/>
        <v>0</v>
      </c>
      <c r="AF58" s="721">
        <f t="shared" si="18"/>
        <v>0</v>
      </c>
      <c r="AG58" s="4647">
        <f>'Beer Data Sheet'!C84</f>
        <v>375</v>
      </c>
      <c r="AH58" s="731">
        <f>'Beer Data Sheet'!E84</f>
        <v>0</v>
      </c>
      <c r="AI58" s="4322">
        <v>1</v>
      </c>
      <c r="AJ58" s="731">
        <f t="shared" si="6"/>
        <v>0</v>
      </c>
      <c r="AK58" s="648">
        <f t="shared" si="7"/>
        <v>0</v>
      </c>
      <c r="AL58" s="648">
        <f t="shared" si="8"/>
        <v>0</v>
      </c>
      <c r="AM58" s="4648">
        <v>1</v>
      </c>
      <c r="AN58" s="731">
        <f t="shared" si="9"/>
        <v>0</v>
      </c>
      <c r="AO58" s="648">
        <f t="shared" si="20"/>
        <v>0</v>
      </c>
      <c r="AP58" s="648">
        <f t="shared" si="10"/>
        <v>0</v>
      </c>
      <c r="AQ58" s="4640">
        <v>1</v>
      </c>
      <c r="AR58" s="731">
        <f t="shared" si="11"/>
        <v>0</v>
      </c>
      <c r="AS58" s="648">
        <f t="shared" si="22"/>
        <v>0</v>
      </c>
      <c r="AT58" s="737">
        <f t="shared" si="12"/>
        <v>0</v>
      </c>
    </row>
    <row r="59" spans="1:46" ht="15" customHeight="1">
      <c r="A59" s="4645"/>
      <c r="B59" s="4646" t="str">
        <f>'Beer Data Sheet'!B85</f>
        <v>Brown sugar (light)</v>
      </c>
      <c r="C59" s="677"/>
      <c r="D59" s="675">
        <f t="shared" si="33"/>
        <v>0</v>
      </c>
      <c r="E59" s="676">
        <f t="shared" si="33"/>
        <v>0</v>
      </c>
      <c r="F59" s="681" t="s">
        <v>82</v>
      </c>
      <c r="G59" s="2007" t="str">
        <f>'Beer Data Sheet'!B37</f>
        <v>Other</v>
      </c>
      <c r="H59" s="2008">
        <f>'Beer Data Sheet'!C37</f>
        <v>0</v>
      </c>
      <c r="I59" s="700"/>
      <c r="J59" s="699"/>
      <c r="K59" s="701">
        <f t="shared" si="3"/>
        <v>0</v>
      </c>
      <c r="L59" s="1967">
        <f t="shared" si="3"/>
        <v>0</v>
      </c>
      <c r="M59" s="676">
        <f t="shared" si="3"/>
        <v>0</v>
      </c>
      <c r="N59" s="699">
        <f t="shared" si="23"/>
        <v>0</v>
      </c>
      <c r="O59" s="698"/>
      <c r="P59" s="698"/>
      <c r="Q59" s="698"/>
      <c r="R59" s="698"/>
      <c r="S59" s="698"/>
      <c r="T59" s="698"/>
      <c r="U59" s="655"/>
      <c r="V59" s="2377" t="s">
        <v>85</v>
      </c>
      <c r="W59" s="2378" t="s">
        <v>86</v>
      </c>
      <c r="X59" s="2757" t="s">
        <v>86</v>
      </c>
      <c r="Y59" s="2302" t="s">
        <v>91</v>
      </c>
      <c r="Z59" s="717"/>
      <c r="AA59" s="648">
        <f t="shared" si="14"/>
        <v>0</v>
      </c>
      <c r="AB59" s="721">
        <f t="shared" si="4"/>
        <v>0</v>
      </c>
      <c r="AC59" s="648">
        <f t="shared" si="15"/>
        <v>0</v>
      </c>
      <c r="AD59" s="721">
        <f t="shared" si="16"/>
        <v>0</v>
      </c>
      <c r="AE59" s="648">
        <f t="shared" si="17"/>
        <v>0</v>
      </c>
      <c r="AF59" s="721">
        <f t="shared" si="18"/>
        <v>0</v>
      </c>
      <c r="AG59" s="4647">
        <f>'Beer Data Sheet'!C85</f>
        <v>370</v>
      </c>
      <c r="AH59" s="731">
        <f>'Beer Data Sheet'!E85</f>
        <v>16</v>
      </c>
      <c r="AI59" s="4322">
        <v>1</v>
      </c>
      <c r="AJ59" s="731">
        <f t="shared" si="6"/>
        <v>0</v>
      </c>
      <c r="AK59" s="648">
        <f t="shared" si="7"/>
        <v>0</v>
      </c>
      <c r="AL59" s="648">
        <f t="shared" si="8"/>
        <v>0</v>
      </c>
      <c r="AM59" s="4648">
        <v>1</v>
      </c>
      <c r="AN59" s="731">
        <f t="shared" si="9"/>
        <v>0</v>
      </c>
      <c r="AO59" s="648">
        <f t="shared" si="20"/>
        <v>0</v>
      </c>
      <c r="AP59" s="648">
        <f t="shared" si="10"/>
        <v>0</v>
      </c>
      <c r="AQ59" s="4640">
        <v>1</v>
      </c>
      <c r="AR59" s="731">
        <f t="shared" si="11"/>
        <v>0</v>
      </c>
      <c r="AS59" s="648">
        <f t="shared" si="22"/>
        <v>0</v>
      </c>
      <c r="AT59" s="737">
        <f t="shared" si="12"/>
        <v>0</v>
      </c>
    </row>
    <row r="60" spans="1:46" ht="15" customHeight="1">
      <c r="A60" s="4645"/>
      <c r="B60" s="4646" t="str">
        <f>'Beer Data Sheet'!B86</f>
        <v>Brown sugar (medium)</v>
      </c>
      <c r="C60" s="677"/>
      <c r="D60" s="675">
        <f t="shared" si="33"/>
        <v>0</v>
      </c>
      <c r="E60" s="676">
        <f t="shared" si="33"/>
        <v>0</v>
      </c>
      <c r="F60" s="681" t="s">
        <v>82</v>
      </c>
      <c r="G60" s="2007" t="str">
        <f>'Beer Data Sheet'!B38</f>
        <v>Other</v>
      </c>
      <c r="H60" s="2008">
        <f>'Beer Data Sheet'!C38</f>
        <v>0</v>
      </c>
      <c r="I60" s="700"/>
      <c r="J60" s="699"/>
      <c r="K60" s="701">
        <f t="shared" si="3"/>
        <v>0</v>
      </c>
      <c r="L60" s="1967">
        <f t="shared" si="3"/>
        <v>0</v>
      </c>
      <c r="M60" s="676">
        <f t="shared" si="3"/>
        <v>0</v>
      </c>
      <c r="N60" s="699">
        <f t="shared" si="23"/>
        <v>0</v>
      </c>
      <c r="O60" s="698"/>
      <c r="P60" s="698"/>
      <c r="Q60" s="698"/>
      <c r="R60" s="698"/>
      <c r="S60" s="698"/>
      <c r="T60" s="698"/>
      <c r="U60" s="655"/>
      <c r="V60" s="2785">
        <v>12</v>
      </c>
      <c r="W60" s="2507"/>
      <c r="X60" s="2654">
        <f t="shared" ref="X60:X69" si="37">V60*16+W60</f>
        <v>192</v>
      </c>
      <c r="Y60" s="2380">
        <f t="shared" ref="Y60:Y66" si="38">1000*(V60+X60/16)*0.4536</f>
        <v>10886.4</v>
      </c>
      <c r="Z60" s="717"/>
      <c r="AA60" s="648">
        <f t="shared" si="14"/>
        <v>0</v>
      </c>
      <c r="AB60" s="721">
        <f t="shared" si="4"/>
        <v>0</v>
      </c>
      <c r="AC60" s="648">
        <f t="shared" si="15"/>
        <v>0</v>
      </c>
      <c r="AD60" s="721">
        <f t="shared" si="16"/>
        <v>0</v>
      </c>
      <c r="AE60" s="648">
        <f t="shared" si="17"/>
        <v>0</v>
      </c>
      <c r="AF60" s="721">
        <f t="shared" si="18"/>
        <v>0</v>
      </c>
      <c r="AG60" s="4647">
        <f>'Beer Data Sheet'!C86</f>
        <v>319</v>
      </c>
      <c r="AH60" s="731">
        <f>'Beer Data Sheet'!E86</f>
        <v>45</v>
      </c>
      <c r="AI60" s="4322">
        <v>1</v>
      </c>
      <c r="AJ60" s="731">
        <f t="shared" si="6"/>
        <v>0</v>
      </c>
      <c r="AK60" s="648">
        <f t="shared" si="7"/>
        <v>0</v>
      </c>
      <c r="AL60" s="648">
        <f t="shared" si="8"/>
        <v>0</v>
      </c>
      <c r="AM60" s="4648">
        <v>1</v>
      </c>
      <c r="AN60" s="731">
        <f t="shared" si="9"/>
        <v>0</v>
      </c>
      <c r="AO60" s="648">
        <f t="shared" si="20"/>
        <v>0</v>
      </c>
      <c r="AP60" s="648">
        <f t="shared" si="10"/>
        <v>0</v>
      </c>
      <c r="AQ60" s="4640">
        <v>1</v>
      </c>
      <c r="AR60" s="731">
        <f t="shared" si="11"/>
        <v>0</v>
      </c>
      <c r="AS60" s="648">
        <f t="shared" si="22"/>
        <v>0</v>
      </c>
      <c r="AT60" s="737">
        <f t="shared" si="12"/>
        <v>0</v>
      </c>
    </row>
    <row r="61" spans="1:46" ht="15" customHeight="1">
      <c r="A61" s="4645"/>
      <c r="B61" s="4646" t="str">
        <f>'Beer Data Sheet'!B87</f>
        <v>Brewing sugar</v>
      </c>
      <c r="C61" s="677"/>
      <c r="D61" s="675">
        <f t="shared" si="33"/>
        <v>0</v>
      </c>
      <c r="E61" s="676">
        <f t="shared" si="33"/>
        <v>0</v>
      </c>
      <c r="F61" s="682" t="s">
        <v>82</v>
      </c>
      <c r="G61" s="2007" t="str">
        <f>'Beer Data Sheet'!B39</f>
        <v>Other</v>
      </c>
      <c r="H61" s="2008">
        <f>'Beer Data Sheet'!C39</f>
        <v>0</v>
      </c>
      <c r="I61" s="700"/>
      <c r="J61" s="699"/>
      <c r="K61" s="701">
        <f t="shared" si="3"/>
        <v>0</v>
      </c>
      <c r="L61" s="1967">
        <f t="shared" si="3"/>
        <v>0</v>
      </c>
      <c r="M61" s="676">
        <f t="shared" si="3"/>
        <v>0</v>
      </c>
      <c r="N61" s="699">
        <f t="shared" si="23"/>
        <v>0</v>
      </c>
      <c r="O61" s="698"/>
      <c r="P61" s="698"/>
      <c r="Q61" s="698"/>
      <c r="R61" s="698"/>
      <c r="S61" s="698"/>
      <c r="T61" s="698"/>
      <c r="U61" s="655"/>
      <c r="V61" s="2786">
        <v>0.375</v>
      </c>
      <c r="W61" s="2507"/>
      <c r="X61" s="2654">
        <f t="shared" si="37"/>
        <v>6</v>
      </c>
      <c r="Y61" s="2380">
        <f t="shared" si="38"/>
        <v>340.2</v>
      </c>
      <c r="Z61" s="717"/>
      <c r="AA61" s="648">
        <f t="shared" si="14"/>
        <v>0</v>
      </c>
      <c r="AB61" s="721">
        <f t="shared" si="4"/>
        <v>0</v>
      </c>
      <c r="AC61" s="648">
        <f t="shared" si="15"/>
        <v>0</v>
      </c>
      <c r="AD61" s="721">
        <f t="shared" si="16"/>
        <v>0</v>
      </c>
      <c r="AE61" s="648">
        <f t="shared" si="17"/>
        <v>0</v>
      </c>
      <c r="AF61" s="721">
        <f t="shared" si="18"/>
        <v>0</v>
      </c>
      <c r="AG61" s="4639">
        <f>'Beer Data Sheet'!C87*AI61</f>
        <v>342</v>
      </c>
      <c r="AH61" s="731">
        <f>'Beer Data Sheet'!E87</f>
        <v>0</v>
      </c>
      <c r="AI61" s="4322">
        <v>0.95</v>
      </c>
      <c r="AJ61" s="731">
        <f t="shared" si="6"/>
        <v>0</v>
      </c>
      <c r="AK61" s="648">
        <f t="shared" si="7"/>
        <v>0</v>
      </c>
      <c r="AL61" s="648">
        <f t="shared" si="8"/>
        <v>0</v>
      </c>
      <c r="AM61" s="4648">
        <v>0.95</v>
      </c>
      <c r="AN61" s="731">
        <f t="shared" si="9"/>
        <v>0</v>
      </c>
      <c r="AO61" s="648">
        <f t="shared" si="20"/>
        <v>0</v>
      </c>
      <c r="AP61" s="648">
        <f>0.01*AH62*D62</f>
        <v>0</v>
      </c>
      <c r="AQ61" s="4640">
        <v>0.95</v>
      </c>
      <c r="AR61" s="731">
        <f t="shared" si="11"/>
        <v>0</v>
      </c>
      <c r="AS61" s="648">
        <f t="shared" si="22"/>
        <v>0</v>
      </c>
      <c r="AT61" s="737">
        <f t="shared" si="12"/>
        <v>0</v>
      </c>
    </row>
    <row r="62" spans="1:46" ht="15" customHeight="1">
      <c r="A62" s="4649"/>
      <c r="B62" s="4646" t="str">
        <f>'Beer Data Sheet'!B88</f>
        <v>Lactose (non-fermentable sugar, no boil)</v>
      </c>
      <c r="C62" s="677"/>
      <c r="D62" s="675">
        <f t="shared" si="33"/>
        <v>0</v>
      </c>
      <c r="E62" s="676">
        <f t="shared" si="33"/>
        <v>0</v>
      </c>
      <c r="F62" s="683" t="s">
        <v>82</v>
      </c>
      <c r="G62" s="2007" t="str">
        <f>'Beer Data Sheet'!B40</f>
        <v>Other</v>
      </c>
      <c r="H62" s="2008">
        <f>'Beer Data Sheet'!C40</f>
        <v>0</v>
      </c>
      <c r="I62" s="700"/>
      <c r="J62" s="699"/>
      <c r="K62" s="701">
        <f t="shared" si="3"/>
        <v>0</v>
      </c>
      <c r="L62" s="1967">
        <f t="shared" si="3"/>
        <v>0</v>
      </c>
      <c r="M62" s="676">
        <f t="shared" si="3"/>
        <v>0</v>
      </c>
      <c r="N62" s="699">
        <f t="shared" si="23"/>
        <v>0</v>
      </c>
      <c r="O62" s="698"/>
      <c r="P62" s="698"/>
      <c r="Q62" s="698"/>
      <c r="R62" s="698"/>
      <c r="S62" s="698"/>
      <c r="T62" s="698"/>
      <c r="U62" s="655"/>
      <c r="V62" s="2785"/>
      <c r="W62" s="2507">
        <v>18</v>
      </c>
      <c r="X62" s="2654">
        <f t="shared" si="37"/>
        <v>18</v>
      </c>
      <c r="Y62" s="2380">
        <f t="shared" si="38"/>
        <v>510.3</v>
      </c>
      <c r="Z62" s="717"/>
      <c r="AA62" s="648">
        <f t="shared" si="14"/>
        <v>0</v>
      </c>
      <c r="AB62" s="721">
        <f t="shared" si="4"/>
        <v>0</v>
      </c>
      <c r="AC62" s="648">
        <f t="shared" si="15"/>
        <v>0</v>
      </c>
      <c r="AD62" s="721">
        <f t="shared" si="16"/>
        <v>0</v>
      </c>
      <c r="AE62" s="648">
        <f t="shared" si="17"/>
        <v>0</v>
      </c>
      <c r="AF62" s="721">
        <f t="shared" si="18"/>
        <v>0</v>
      </c>
      <c r="AG62" s="4639">
        <f>'Beer Data Sheet'!C88*AI62</f>
        <v>0</v>
      </c>
      <c r="AH62" s="731">
        <f>'Beer Data Sheet'!E88</f>
        <v>30</v>
      </c>
      <c r="AI62" s="4322">
        <v>0</v>
      </c>
      <c r="AJ62" s="731">
        <f t="shared" si="6"/>
        <v>0</v>
      </c>
      <c r="AK62" s="648">
        <f t="shared" si="7"/>
        <v>0</v>
      </c>
      <c r="AL62" s="648">
        <f t="shared" si="8"/>
        <v>0</v>
      </c>
      <c r="AM62" s="4648">
        <v>0</v>
      </c>
      <c r="AN62" s="731">
        <f t="shared" si="9"/>
        <v>0</v>
      </c>
      <c r="AO62" s="648">
        <f t="shared" si="20"/>
        <v>0</v>
      </c>
      <c r="AP62" s="648">
        <f>0.01*AH62*D62</f>
        <v>0</v>
      </c>
      <c r="AQ62" s="4640">
        <v>0</v>
      </c>
      <c r="AR62" s="731">
        <f t="shared" si="11"/>
        <v>0</v>
      </c>
      <c r="AS62" s="648">
        <f t="shared" si="22"/>
        <v>0</v>
      </c>
      <c r="AT62" s="737">
        <f t="shared" si="12"/>
        <v>0</v>
      </c>
    </row>
    <row r="63" spans="1:46" ht="15" customHeight="1">
      <c r="A63" s="653"/>
      <c r="B63" s="684" t="s">
        <v>1064</v>
      </c>
      <c r="C63" s="685">
        <f>C30*C64+($AG$58*C58*AI58+$AG$59*C59*AI59+$AG$60*C60*AI60+$AG$61*C61*AI61)/375</f>
        <v>0</v>
      </c>
      <c r="D63" s="685">
        <f>D30*D64+($AG$58*D58*AM58+$AG$59*D59*AM59+$AG$60*D60*AM60+$AG$61*D61*AM61)/375</f>
        <v>0</v>
      </c>
      <c r="E63" s="685">
        <f>E30*E64+($AQ$58*E58*AG58+$AQ$59*E59*AG59+$AQ$60*E60*AG60+$AG$61*E61*AQ61)/375</f>
        <v>0</v>
      </c>
      <c r="F63" s="686" t="s">
        <v>82</v>
      </c>
      <c r="G63" s="2007">
        <f>'Beer Data Sheet'!B41</f>
        <v>0</v>
      </c>
      <c r="H63" s="2008">
        <f>'Beer Data Sheet'!C41</f>
        <v>0</v>
      </c>
      <c r="I63" s="700"/>
      <c r="J63" s="699"/>
      <c r="K63" s="701">
        <f t="shared" si="3"/>
        <v>0</v>
      </c>
      <c r="L63" s="1967">
        <f t="shared" si="3"/>
        <v>0</v>
      </c>
      <c r="M63" s="676">
        <f t="shared" si="3"/>
        <v>0</v>
      </c>
      <c r="N63" s="699">
        <f t="shared" si="23"/>
        <v>0</v>
      </c>
      <c r="O63" s="698"/>
      <c r="P63" s="698"/>
      <c r="Q63" s="698"/>
      <c r="R63" s="698"/>
      <c r="S63" s="698"/>
      <c r="T63" s="698"/>
      <c r="U63" s="655"/>
      <c r="V63" s="2785">
        <v>2</v>
      </c>
      <c r="W63" s="2507"/>
      <c r="X63" s="2654">
        <f t="shared" si="37"/>
        <v>32</v>
      </c>
      <c r="Y63" s="2380">
        <f t="shared" si="38"/>
        <v>1814.4</v>
      </c>
      <c r="Z63" s="717"/>
      <c r="AA63" s="648">
        <f t="shared" si="14"/>
        <v>0</v>
      </c>
      <c r="AB63" s="721">
        <f t="shared" si="4"/>
        <v>0</v>
      </c>
      <c r="AC63" s="648">
        <f t="shared" si="15"/>
        <v>0</v>
      </c>
      <c r="AD63" s="721">
        <f t="shared" si="16"/>
        <v>0</v>
      </c>
      <c r="AE63" s="648">
        <f t="shared" si="17"/>
        <v>0</v>
      </c>
      <c r="AF63" s="721">
        <f t="shared" si="18"/>
        <v>0</v>
      </c>
      <c r="AG63" s="4650"/>
      <c r="AH63" s="636"/>
      <c r="AI63" s="4650"/>
      <c r="AJ63" s="731"/>
      <c r="AK63" s="648"/>
      <c r="AL63" s="732"/>
      <c r="AM63" s="4650"/>
      <c r="AN63" s="731"/>
      <c r="AO63" s="648"/>
      <c r="AP63" s="732"/>
      <c r="AQ63" s="4651"/>
      <c r="AR63" s="733"/>
      <c r="AS63" s="738"/>
      <c r="AT63" s="738"/>
    </row>
    <row r="64" spans="1:46" ht="15" customHeight="1">
      <c r="A64" s="653"/>
      <c r="B64" s="687" t="str">
        <f>"Priming sugar (sucrose) g/litre, 1 level tsp  = "&amp;'Beer Data Sheet'!P$21&amp;"g"</f>
        <v>Priming sugar (sucrose) g/litre, 1 level tsp  = 3.15g</v>
      </c>
      <c r="C64" s="688"/>
      <c r="D64" s="689">
        <f>C64</f>
        <v>0</v>
      </c>
      <c r="E64" s="690"/>
      <c r="F64" s="691" t="str">
        <f>"g = "&amp;FIXED(E64/'Beer Data Sheet'!$P$21)&amp;" tsp."</f>
        <v>g = 0.00 tsp.</v>
      </c>
      <c r="G64" s="2007">
        <f>'Beer Data Sheet'!B42</f>
        <v>0</v>
      </c>
      <c r="H64" s="2008">
        <f>'Beer Data Sheet'!C42</f>
        <v>0</v>
      </c>
      <c r="I64" s="700"/>
      <c r="J64" s="699"/>
      <c r="K64" s="701">
        <f t="shared" si="3"/>
        <v>0</v>
      </c>
      <c r="L64" s="1967">
        <f t="shared" si="3"/>
        <v>0</v>
      </c>
      <c r="M64" s="676">
        <f t="shared" si="3"/>
        <v>0</v>
      </c>
      <c r="N64" s="699">
        <f t="shared" si="23"/>
        <v>0</v>
      </c>
      <c r="O64" s="698"/>
      <c r="P64" s="698"/>
      <c r="Q64" s="698"/>
      <c r="R64" s="698"/>
      <c r="S64" s="698"/>
      <c r="T64" s="698"/>
      <c r="U64" s="655"/>
      <c r="V64" s="2785">
        <v>4.5</v>
      </c>
      <c r="W64" s="2507"/>
      <c r="X64" s="2654">
        <f t="shared" si="37"/>
        <v>72</v>
      </c>
      <c r="Y64" s="2380">
        <f t="shared" si="38"/>
        <v>4082.4</v>
      </c>
      <c r="Z64" s="717"/>
      <c r="AA64" s="648">
        <f t="shared" si="14"/>
        <v>0</v>
      </c>
      <c r="AB64" s="721">
        <f t="shared" si="4"/>
        <v>0</v>
      </c>
      <c r="AC64" s="648">
        <f t="shared" si="15"/>
        <v>0</v>
      </c>
      <c r="AD64" s="721">
        <f t="shared" si="16"/>
        <v>0</v>
      </c>
      <c r="AE64" s="648">
        <f t="shared" si="17"/>
        <v>0</v>
      </c>
      <c r="AF64" s="721">
        <f t="shared" si="18"/>
        <v>0</v>
      </c>
      <c r="AG64" s="636"/>
      <c r="AH64" s="636"/>
      <c r="AI64" s="732"/>
      <c r="AJ64" s="733"/>
      <c r="AK64" s="734">
        <f>0.001*375*C30*C64</f>
        <v>0</v>
      </c>
      <c r="AL64" s="732"/>
      <c r="AM64" s="732"/>
      <c r="AN64" s="733"/>
      <c r="AO64" s="734">
        <f>0.001*375*D30*D64</f>
        <v>0</v>
      </c>
      <c r="AP64" s="732"/>
      <c r="AQ64" s="732"/>
      <c r="AR64" s="733"/>
      <c r="AS64" s="734">
        <f>0.001*375*E30*E64</f>
        <v>0</v>
      </c>
      <c r="AT64" s="648"/>
    </row>
    <row r="65" spans="1:46" ht="15" customHeight="1">
      <c r="A65" s="653"/>
      <c r="B65" s="739" t="s">
        <v>1065</v>
      </c>
      <c r="C65" s="1831">
        <f>C64*'Beer Data Sheet'!W$4+VLOOKUP(L5,'Beer Data Sheet'!V7:W50,2)</f>
        <v>0.877</v>
      </c>
      <c r="D65" s="1832">
        <f>D64*'Beer Data Sheet'!W$4+VLOOKUP(L5,'Beer Data Sheet'!V7:W50,2)</f>
        <v>0.877</v>
      </c>
      <c r="E65" s="1833">
        <f>E64*'Beer Data Sheet'!W$4+VLOOKUP(L5,'Beer Data Sheet'!V7:W50,2)</f>
        <v>0.877</v>
      </c>
      <c r="F65" s="740" t="s">
        <v>1066</v>
      </c>
      <c r="G65" s="2007">
        <f>'Beer Data Sheet'!B43</f>
        <v>0</v>
      </c>
      <c r="H65" s="2008">
        <f>'Beer Data Sheet'!C43</f>
        <v>0</v>
      </c>
      <c r="I65" s="787"/>
      <c r="J65" s="699"/>
      <c r="K65" s="701">
        <f t="shared" si="3"/>
        <v>0</v>
      </c>
      <c r="L65" s="1967">
        <f t="shared" si="3"/>
        <v>0</v>
      </c>
      <c r="M65" s="788">
        <f t="shared" si="3"/>
        <v>0</v>
      </c>
      <c r="N65" s="699">
        <f t="shared" si="23"/>
        <v>0</v>
      </c>
      <c r="O65" s="698"/>
      <c r="P65" s="698"/>
      <c r="Q65" s="698"/>
      <c r="R65" s="698"/>
      <c r="S65" s="698"/>
      <c r="T65" s="698"/>
      <c r="U65" s="655"/>
      <c r="V65" s="2785"/>
      <c r="W65" s="2507">
        <v>0.1111</v>
      </c>
      <c r="X65" s="2654">
        <f t="shared" si="37"/>
        <v>0.1111</v>
      </c>
      <c r="Y65" s="2380">
        <f t="shared" si="38"/>
        <v>3.1496850000000003</v>
      </c>
      <c r="Z65" s="717"/>
      <c r="AA65" s="648">
        <f t="shared" si="14"/>
        <v>0</v>
      </c>
      <c r="AB65" s="721">
        <f t="shared" si="4"/>
        <v>0</v>
      </c>
      <c r="AC65" s="648">
        <f t="shared" si="15"/>
        <v>0</v>
      </c>
      <c r="AD65" s="721">
        <f t="shared" si="16"/>
        <v>0</v>
      </c>
      <c r="AE65" s="648">
        <f t="shared" si="17"/>
        <v>0</v>
      </c>
      <c r="AF65" s="721">
        <f t="shared" si="18"/>
        <v>0</v>
      </c>
      <c r="AG65" s="636"/>
      <c r="AH65" s="636"/>
      <c r="AI65" s="648"/>
      <c r="AJ65" s="648"/>
      <c r="AK65" s="648"/>
      <c r="AL65" s="732"/>
      <c r="AM65" s="732"/>
      <c r="AN65" s="731"/>
      <c r="AO65" s="734"/>
      <c r="AP65" s="731"/>
      <c r="AQ65" s="731"/>
      <c r="AR65" s="731"/>
      <c r="AS65" s="734"/>
      <c r="AT65" s="648"/>
    </row>
    <row r="66" spans="1:46" ht="15" customHeight="1">
      <c r="A66" s="653"/>
      <c r="B66" s="741" t="s">
        <v>1067</v>
      </c>
      <c r="C66" s="650">
        <v>76</v>
      </c>
      <c r="D66" s="650">
        <f>C66</f>
        <v>76</v>
      </c>
      <c r="E66" s="650">
        <f>D66</f>
        <v>76</v>
      </c>
      <c r="F66" s="742" t="s">
        <v>1068</v>
      </c>
      <c r="G66" s="3714" t="s">
        <v>1069</v>
      </c>
      <c r="H66" s="3632"/>
      <c r="I66" s="2508"/>
      <c r="J66" s="2509" t="str">
        <f>"ml = "&amp;FIXED(I66/5,2)</f>
        <v>ml = 0.00</v>
      </c>
      <c r="K66" s="2510"/>
      <c r="L66" s="2511" t="str">
        <f>"ml = "&amp;FIXED(K66/5,2)</f>
        <v>ml = 0.00</v>
      </c>
      <c r="M66" s="2512"/>
      <c r="N66" s="2511" t="str">
        <f>"ml = "&amp;FIXED(M66/5,2)</f>
        <v>ml = 0.00</v>
      </c>
      <c r="O66" s="698"/>
      <c r="P66" s="698"/>
      <c r="Q66" s="698"/>
      <c r="R66" s="698"/>
      <c r="S66" s="698"/>
      <c r="T66" s="698"/>
      <c r="U66" s="655"/>
      <c r="V66" s="2785"/>
      <c r="W66" s="2507">
        <v>2.222</v>
      </c>
      <c r="X66" s="2654">
        <f t="shared" si="37"/>
        <v>2.222</v>
      </c>
      <c r="Y66" s="2380">
        <f t="shared" si="38"/>
        <v>62.993699999999997</v>
      </c>
      <c r="Z66" s="717"/>
      <c r="AA66" s="808">
        <f t="shared" ref="AA66:AF66" si="39">SUM(AA32:AA65)</f>
        <v>500.5</v>
      </c>
      <c r="AB66" s="808">
        <f t="shared" si="39"/>
        <v>98</v>
      </c>
      <c r="AC66" s="808">
        <f t="shared" si="39"/>
        <v>500.5</v>
      </c>
      <c r="AD66" s="808">
        <f t="shared" si="39"/>
        <v>98</v>
      </c>
      <c r="AE66" s="808">
        <f t="shared" si="39"/>
        <v>500.5</v>
      </c>
      <c r="AF66" s="808">
        <f t="shared" si="39"/>
        <v>98</v>
      </c>
      <c r="AG66" s="648"/>
      <c r="AH66" s="648"/>
      <c r="AI66" s="636"/>
      <c r="AJ66" s="821" t="s">
        <v>1070</v>
      </c>
      <c r="AK66" s="734">
        <f>SUM(AK32:AK57)/(C30)</f>
        <v>29.071763199999999</v>
      </c>
      <c r="AL66" s="648"/>
      <c r="AM66" s="648"/>
      <c r="AN66" s="648" t="s">
        <v>1071</v>
      </c>
      <c r="AO66" s="734">
        <f>SUM(AO32:AO57)/(D30)</f>
        <v>29.071763199999999</v>
      </c>
      <c r="AP66" s="648"/>
      <c r="AQ66" s="648"/>
      <c r="AR66" s="648" t="s">
        <v>1071</v>
      </c>
      <c r="AS66" s="734">
        <f>SUM(AS32:AS57)/(E30)</f>
        <v>29.053523200000001</v>
      </c>
      <c r="AT66" s="812"/>
    </row>
    <row r="67" spans="1:46" ht="15" customHeight="1">
      <c r="A67" s="743"/>
      <c r="B67" s="2513" t="s">
        <v>814</v>
      </c>
      <c r="C67" s="2514" t="str">
        <f>FIXED((100*(1-(AK72/AK70))),1)&amp;"%"</f>
        <v>76.0%</v>
      </c>
      <c r="D67" s="2400" t="str">
        <f>FIXED((100*(1-(AO72/AO70))),1)&amp;"%"</f>
        <v>76.0%</v>
      </c>
      <c r="E67" s="744" t="str">
        <f>FIXED((100*(1-(AS72/AS70))),1)&amp;"%"</f>
        <v>76.0%</v>
      </c>
      <c r="F67" s="3715" t="s">
        <v>1072</v>
      </c>
      <c r="G67" s="3716"/>
      <c r="H67" s="3717"/>
      <c r="I67" s="3718" t="s">
        <v>1073</v>
      </c>
      <c r="J67" s="3718"/>
      <c r="K67" s="3718"/>
      <c r="L67" s="3718"/>
      <c r="M67" s="3718"/>
      <c r="N67" s="3719"/>
      <c r="O67" s="698"/>
      <c r="P67" s="698"/>
      <c r="Q67" s="698"/>
      <c r="R67" s="698"/>
      <c r="S67" s="698"/>
      <c r="T67" s="698"/>
      <c r="U67" s="655"/>
      <c r="V67" s="2785"/>
      <c r="W67" s="2507">
        <v>3.222</v>
      </c>
      <c r="X67" s="2654">
        <f t="shared" si="37"/>
        <v>3.222</v>
      </c>
      <c r="Y67" s="2380">
        <f t="shared" ref="Y67:Y69" si="40">1000*(V67+X67/16)*0.4536</f>
        <v>91.343699999999998</v>
      </c>
      <c r="Z67" s="717"/>
      <c r="AA67" s="648"/>
      <c r="AB67" s="648"/>
      <c r="AC67" s="648"/>
      <c r="AD67" s="648"/>
      <c r="AE67" s="648"/>
      <c r="AF67" s="648"/>
      <c r="AG67" s="648"/>
      <c r="AH67" s="732"/>
      <c r="AI67" s="822"/>
      <c r="AJ67" s="821" t="s">
        <v>1074</v>
      </c>
      <c r="AK67" s="812">
        <f>((SUM(AK58:AK64)/C30))</f>
        <v>0</v>
      </c>
      <c r="AL67" s="822"/>
      <c r="AM67" s="822"/>
      <c r="AN67" s="821" t="s">
        <v>1074</v>
      </c>
      <c r="AO67" s="812">
        <f>((SUM(AO58:AO64)/D30))</f>
        <v>0</v>
      </c>
      <c r="AP67" s="822"/>
      <c r="AQ67" s="822"/>
      <c r="AR67" s="821" t="s">
        <v>1074</v>
      </c>
      <c r="AS67" s="812">
        <f>((SUM(AS58:AS64)/E30))</f>
        <v>0</v>
      </c>
      <c r="AT67" s="812"/>
    </row>
    <row r="68" spans="1:46" ht="15" customHeight="1">
      <c r="A68" s="743"/>
      <c r="B68" s="2515" t="s">
        <v>815</v>
      </c>
      <c r="C68" s="2514" t="str">
        <f>FIXED(100*(1-(((0.1808*AK70)+(0.8192*AK72))/AK70)),1)&amp;"%"</f>
        <v>62.3%</v>
      </c>
      <c r="D68" s="2400" t="str">
        <f>FIXED(100*(1-(((0.1808*AO70)+(0.8192*AO72))/AO70)),1)&amp;"%"</f>
        <v>62.3%</v>
      </c>
      <c r="E68" s="2514" t="str">
        <f>FIXED(100*(1-(((0.1808*AS70)+(0.8192*AS72))/AS70)),1)&amp;"%"</f>
        <v>62.3%</v>
      </c>
      <c r="F68" s="2516" t="s">
        <v>1075</v>
      </c>
      <c r="G68" s="4652" t="s">
        <v>1076</v>
      </c>
      <c r="H68" s="4653"/>
      <c r="I68" s="4653"/>
      <c r="J68" s="4653"/>
      <c r="K68" s="4653"/>
      <c r="L68" s="4653"/>
      <c r="M68" s="4653"/>
      <c r="N68" s="4654"/>
      <c r="O68" s="698"/>
      <c r="P68" s="698"/>
      <c r="Q68" s="698"/>
      <c r="R68" s="698"/>
      <c r="S68" s="698"/>
      <c r="T68" s="698"/>
      <c r="U68" s="655"/>
      <c r="V68" s="2785"/>
      <c r="W68" s="2507">
        <v>4.2220000000000004</v>
      </c>
      <c r="X68" s="2654">
        <f t="shared" si="37"/>
        <v>4.2220000000000004</v>
      </c>
      <c r="Y68" s="2380">
        <f t="shared" si="40"/>
        <v>119.69370000000001</v>
      </c>
      <c r="Z68" s="717"/>
      <c r="AA68" s="721">
        <v>789.4</v>
      </c>
      <c r="AB68" s="809">
        <f>AA66/23</f>
        <v>21.760869565217391</v>
      </c>
      <c r="AC68" s="721">
        <v>7.01</v>
      </c>
      <c r="AD68" s="721"/>
      <c r="AE68" s="810">
        <v>3.85</v>
      </c>
      <c r="AF68" s="721"/>
      <c r="AG68" s="648"/>
      <c r="AH68" s="822"/>
      <c r="AI68" s="636"/>
      <c r="AJ68" s="821" t="s">
        <v>1077</v>
      </c>
      <c r="AK68" s="734">
        <f>((SUM(AK58:AK62))/C30)</f>
        <v>0</v>
      </c>
      <c r="AL68" s="812"/>
      <c r="AM68" s="812"/>
      <c r="AN68" s="812"/>
      <c r="AO68" s="734">
        <f>(SUM(AO58:AO62))/D30</f>
        <v>0</v>
      </c>
      <c r="AP68" s="812"/>
      <c r="AQ68" s="812"/>
      <c r="AR68" s="812"/>
      <c r="AS68" s="734">
        <f>(SUM(AS58:AS62))/E30</f>
        <v>0</v>
      </c>
      <c r="AT68" s="812"/>
    </row>
    <row r="69" spans="1:46" ht="15" customHeight="1">
      <c r="A69" s="743"/>
      <c r="B69" s="745"/>
      <c r="C69" s="745"/>
      <c r="D69" s="745"/>
      <c r="E69" s="745"/>
      <c r="F69" s="745"/>
      <c r="G69" s="745"/>
      <c r="H69" s="745"/>
      <c r="I69" s="745"/>
      <c r="J69" s="745"/>
      <c r="K69" s="745"/>
      <c r="L69" s="745"/>
      <c r="M69" s="745"/>
      <c r="N69" s="745"/>
      <c r="O69" s="745"/>
      <c r="P69" s="789"/>
      <c r="Q69" s="789"/>
      <c r="R69" s="1695"/>
      <c r="S69" s="1695"/>
      <c r="T69" s="1695"/>
      <c r="U69" s="655"/>
      <c r="V69" s="2785"/>
      <c r="W69" s="2507">
        <v>5.2220000000000004</v>
      </c>
      <c r="X69" s="2654">
        <f t="shared" si="37"/>
        <v>5.2220000000000004</v>
      </c>
      <c r="Y69" s="2380">
        <f t="shared" si="40"/>
        <v>148.0437</v>
      </c>
      <c r="Z69" s="717"/>
      <c r="AA69" s="83"/>
      <c r="AB69" s="83"/>
      <c r="AC69" s="811">
        <f>0.01*$AA$70*(C22-C23)/(7.75-(3*(C22-1000)/800))</f>
        <v>0.21149425327046426</v>
      </c>
      <c r="AD69" s="811"/>
      <c r="AE69" s="812" t="s">
        <v>587</v>
      </c>
      <c r="AF69" s="812"/>
      <c r="AG69" s="732"/>
      <c r="AH69" s="636"/>
      <c r="AI69" s="412"/>
      <c r="AJ69" s="412" t="s">
        <v>1078</v>
      </c>
      <c r="AK69" s="823">
        <f>(SUM(AJ32:AJ62)+AK64)/C30</f>
        <v>38.252319999999997</v>
      </c>
      <c r="AL69" s="824" t="s">
        <v>797</v>
      </c>
      <c r="AM69" s="811">
        <f>0.01*$AA$70*(D22-D23)/(7.75-(3*(D22-1000)/800))</f>
        <v>0.21149425327046426</v>
      </c>
      <c r="AN69" s="812" t="s">
        <v>587</v>
      </c>
      <c r="AO69" s="823">
        <f>(SUM(AN32:AN62)+AO64)/D30</f>
        <v>38.252319999999997</v>
      </c>
      <c r="AP69" s="824" t="s">
        <v>797</v>
      </c>
      <c r="AQ69" s="811">
        <f>0.01*$AA$70*(E22-E23)/(7.75-(3*(E22-1000)/800))</f>
        <v>0.21135905826259491</v>
      </c>
      <c r="AR69" s="812" t="s">
        <v>587</v>
      </c>
      <c r="AS69" s="823">
        <f>(SUM(AR32:AR62)+AS64)/E30</f>
        <v>38.228319999999997</v>
      </c>
      <c r="AT69" s="636"/>
    </row>
    <row r="70" spans="1:46" ht="15" customHeight="1">
      <c r="A70" s="743"/>
      <c r="B70" s="3594" t="s">
        <v>1079</v>
      </c>
      <c r="C70" s="3594"/>
      <c r="D70" s="3594"/>
      <c r="E70" s="3594"/>
      <c r="F70" s="3594"/>
      <c r="G70" s="3594"/>
      <c r="H70" s="3594"/>
      <c r="I70" s="3594"/>
      <c r="J70" s="3594"/>
      <c r="K70" s="3594"/>
      <c r="L70" s="3594"/>
      <c r="M70" s="3594"/>
      <c r="N70" s="3594"/>
      <c r="O70" s="3594"/>
      <c r="P70" s="3594"/>
      <c r="Q70" s="1695"/>
      <c r="R70" s="1695"/>
      <c r="S70" s="1695"/>
      <c r="T70" s="1695"/>
      <c r="U70" s="1695"/>
      <c r="V70" s="1695"/>
      <c r="W70" s="1695"/>
      <c r="X70" s="1695"/>
      <c r="Y70" s="1695"/>
      <c r="Z70" s="717"/>
      <c r="AA70" s="648">
        <f>AA68*AC68/1000</f>
        <v>5.5336939999999997</v>
      </c>
      <c r="AB70" s="648"/>
      <c r="AC70" s="811">
        <f>0.00000001*C23*((1000*C22)/$AA$70+(819.2*C23)-1000400)</f>
        <v>0.14072461887202117</v>
      </c>
      <c r="AD70" s="811"/>
      <c r="AE70" s="812" t="s">
        <v>587</v>
      </c>
      <c r="AF70" s="812"/>
      <c r="AG70" s="822"/>
      <c r="AH70" s="636"/>
      <c r="AI70" s="820"/>
      <c r="AJ70" s="820" t="s">
        <v>1080</v>
      </c>
      <c r="AK70" s="823">
        <f>SUM(AJ32:AJ62)/C30</f>
        <v>38.252319999999997</v>
      </c>
      <c r="AL70" s="824" t="s">
        <v>797</v>
      </c>
      <c r="AM70" s="811">
        <f>0.00000001*D23*((1000*D22)/$AA$70+(819.2*D23)-1000400)</f>
        <v>0.14072461887202117</v>
      </c>
      <c r="AN70" s="812" t="s">
        <v>587</v>
      </c>
      <c r="AO70" s="823">
        <f>SUM(AN32:AN62)/D30</f>
        <v>38.252319999999997</v>
      </c>
      <c r="AP70" s="824" t="s">
        <v>797</v>
      </c>
      <c r="AQ70" s="811">
        <f>0.00000001*E23*((1000*E22)/$AA$70+(819.2*E23)-1000400)</f>
        <v>0.14063242824670846</v>
      </c>
      <c r="AR70" s="812" t="s">
        <v>587</v>
      </c>
      <c r="AS70" s="823">
        <f>SUM(AR32:AR62)/E30</f>
        <v>38.228319999999997</v>
      </c>
      <c r="AT70" s="636"/>
    </row>
    <row r="71" spans="1:46" ht="15" customHeight="1">
      <c r="A71" s="743"/>
      <c r="B71" s="3595"/>
      <c r="C71" s="3595"/>
      <c r="D71" s="3595"/>
      <c r="E71" s="3595"/>
      <c r="F71" s="3595"/>
      <c r="G71" s="3595"/>
      <c r="H71" s="3595"/>
      <c r="I71" s="3595"/>
      <c r="J71" s="3595"/>
      <c r="K71" s="3595"/>
      <c r="L71" s="3595"/>
      <c r="M71" s="3595"/>
      <c r="N71" s="3595"/>
      <c r="O71" s="3595"/>
      <c r="P71" s="3595"/>
      <c r="Q71" s="789"/>
      <c r="R71" s="1695"/>
      <c r="S71" s="1695"/>
      <c r="T71" s="1695"/>
      <c r="U71" s="1729" t="s">
        <v>91</v>
      </c>
      <c r="V71" s="2199" t="s">
        <v>737</v>
      </c>
      <c r="W71" s="3720" t="s">
        <v>1081</v>
      </c>
      <c r="X71" s="3721"/>
      <c r="Y71" s="2643" t="s">
        <v>84</v>
      </c>
      <c r="Z71" s="655"/>
      <c r="AA71" s="648"/>
      <c r="AB71" s="648"/>
      <c r="AC71" s="811"/>
      <c r="AD71" s="811"/>
      <c r="AE71" s="812"/>
      <c r="AF71" s="812"/>
      <c r="AG71" s="822"/>
      <c r="AH71" s="636"/>
      <c r="AI71" s="820"/>
      <c r="AJ71" s="820"/>
      <c r="AK71" s="823"/>
      <c r="AL71" s="824"/>
      <c r="AM71" s="811"/>
      <c r="AN71" s="812"/>
      <c r="AO71" s="823"/>
      <c r="AP71" s="824"/>
      <c r="AQ71" s="811"/>
      <c r="AR71" s="812"/>
      <c r="AS71" s="823"/>
      <c r="AT71" s="636"/>
    </row>
    <row r="72" spans="1:46" ht="15" customHeight="1">
      <c r="A72" s="743"/>
      <c r="B72" s="2479" t="s">
        <v>1036</v>
      </c>
      <c r="C72" s="3722" t="s">
        <v>1082</v>
      </c>
      <c r="D72" s="3723"/>
      <c r="E72" s="3723"/>
      <c r="F72" s="3724"/>
      <c r="G72" s="3578" t="s">
        <v>1083</v>
      </c>
      <c r="H72" s="3579"/>
      <c r="I72" s="3579"/>
      <c r="J72" s="3579"/>
      <c r="K72" s="3579"/>
      <c r="L72" s="3579"/>
      <c r="M72" s="3579"/>
      <c r="N72" s="3579"/>
      <c r="O72" s="3579"/>
      <c r="P72" s="3580"/>
      <c r="Q72" s="1695"/>
      <c r="R72" s="1695"/>
      <c r="S72" s="1695"/>
      <c r="T72" s="1695"/>
      <c r="U72" s="1727">
        <v>1</v>
      </c>
      <c r="V72" s="2375">
        <f t="shared" ref="V72:V73" si="41">16*Y72</f>
        <v>3.5273368606701938E-2</v>
      </c>
      <c r="W72" s="3704" t="str">
        <f>INT(V72/16)&amp;"  lb    "&amp;FIXED(V72-16*INT(V72/16),2)&amp;"  oz"</f>
        <v>0  lb    0.04  oz</v>
      </c>
      <c r="X72" s="3705"/>
      <c r="Y72" s="2644">
        <f t="shared" ref="Y72:Y73" si="42">U72/(1000*0.4536)</f>
        <v>2.2045855379188711E-3</v>
      </c>
      <c r="Z72" s="655"/>
      <c r="AA72" s="636"/>
      <c r="AB72" s="636"/>
      <c r="AC72" s="636"/>
      <c r="AD72" s="636"/>
      <c r="AE72" s="636"/>
      <c r="AF72" s="636"/>
      <c r="AG72" s="636"/>
      <c r="AH72" s="636"/>
      <c r="AI72" s="524"/>
      <c r="AJ72" s="820" t="s">
        <v>1084</v>
      </c>
      <c r="AK72" s="734">
        <f>(AK69-(0.375*C64*C30)/C30-AK66-AK68)</f>
        <v>9.180556799999998</v>
      </c>
      <c r="AL72" s="824" t="s">
        <v>824</v>
      </c>
      <c r="AM72" s="825">
        <f>SUM(AM69:AM70)</f>
        <v>0.35221887214248543</v>
      </c>
      <c r="AN72" s="812" t="s">
        <v>587</v>
      </c>
      <c r="AO72" s="734">
        <f>(AO69-(0.375*D64*D30)/D30-AO66-AO68)</f>
        <v>9.180556799999998</v>
      </c>
      <c r="AP72" s="824" t="s">
        <v>824</v>
      </c>
      <c r="AQ72" s="825">
        <f>SUM(AQ69:AQ70)</f>
        <v>0.35199148650930334</v>
      </c>
      <c r="AR72" s="812" t="s">
        <v>587</v>
      </c>
      <c r="AS72" s="734">
        <f>(AS69-(0.375*E64*E30)/E30-AS66-AS68)</f>
        <v>9.1747967999999958</v>
      </c>
      <c r="AT72" s="636"/>
    </row>
    <row r="73" spans="1:46" ht="15" customHeight="1">
      <c r="A73" s="743"/>
      <c r="B73" s="2517" t="s">
        <v>1052</v>
      </c>
      <c r="C73" s="2787">
        <v>18</v>
      </c>
      <c r="D73" s="2788" t="s">
        <v>319</v>
      </c>
      <c r="E73" s="2789" t="s">
        <v>1085</v>
      </c>
      <c r="F73" s="2790">
        <v>9</v>
      </c>
      <c r="G73" s="3581"/>
      <c r="H73" s="3582"/>
      <c r="I73" s="3582"/>
      <c r="J73" s="3582"/>
      <c r="K73" s="3582"/>
      <c r="L73" s="3582"/>
      <c r="M73" s="3582"/>
      <c r="N73" s="3582"/>
      <c r="O73" s="3582"/>
      <c r="P73" s="3583"/>
      <c r="Q73" s="789"/>
      <c r="R73" s="1695"/>
      <c r="S73" s="1695"/>
      <c r="T73" s="1695"/>
      <c r="U73" s="1727">
        <v>2</v>
      </c>
      <c r="V73" s="2375">
        <f t="shared" si="41"/>
        <v>7.0546737213403876E-2</v>
      </c>
      <c r="W73" s="3704" t="str">
        <f t="shared" ref="W73" si="43">INT(V73/16)&amp;"  lb    "&amp;FIXED(V73-16*INT(V73/16),2)&amp;"  oz"</f>
        <v>0  lb    0.07  oz</v>
      </c>
      <c r="X73" s="4655"/>
      <c r="Y73" s="2644">
        <f t="shared" si="42"/>
        <v>4.4091710758377423E-3</v>
      </c>
      <c r="Z73" s="655"/>
      <c r="AA73" s="636"/>
      <c r="AB73" s="636"/>
      <c r="AC73" s="636"/>
      <c r="AD73" s="636"/>
      <c r="AE73" s="636"/>
      <c r="AF73" s="636"/>
      <c r="AG73" s="636"/>
      <c r="AH73" s="636"/>
      <c r="AI73" s="83"/>
      <c r="AJ73" s="412" t="s">
        <v>1086</v>
      </c>
      <c r="AK73" s="823">
        <f>(AK69-AK66-AK67)</f>
        <v>9.180556799999998</v>
      </c>
      <c r="AL73" s="824" t="s">
        <v>824</v>
      </c>
      <c r="AM73" s="824"/>
      <c r="AN73" s="648"/>
      <c r="AO73" s="823">
        <f>(AO69-AO66-AO67)</f>
        <v>9.180556799999998</v>
      </c>
      <c r="AP73" s="824" t="s">
        <v>824</v>
      </c>
      <c r="AQ73" s="648"/>
      <c r="AR73" s="648"/>
      <c r="AS73" s="823">
        <f>(AS69-AS66-AS67)</f>
        <v>9.1747967999999958</v>
      </c>
      <c r="AT73" s="636"/>
    </row>
    <row r="74" spans="1:46" ht="15" customHeight="1">
      <c r="A74" s="743"/>
      <c r="B74" s="4604" t="s">
        <v>649</v>
      </c>
      <c r="C74" s="4656">
        <f>1000+AH122</f>
        <v>1077.1877777777777</v>
      </c>
      <c r="D74" s="4596">
        <v>1040</v>
      </c>
      <c r="E74" s="4657" t="s">
        <v>1087</v>
      </c>
      <c r="F74" s="4658">
        <f>1000+AK122</f>
        <v>1078.8752777777777</v>
      </c>
      <c r="G74" s="3633" t="s">
        <v>1088</v>
      </c>
      <c r="H74" s="3702"/>
      <c r="I74" s="3702"/>
      <c r="J74" s="3702"/>
      <c r="K74" s="3702"/>
      <c r="L74" s="3634"/>
      <c r="M74" s="3712" t="s">
        <v>1038</v>
      </c>
      <c r="N74" s="3712"/>
      <c r="O74" s="3712"/>
      <c r="P74" s="3712"/>
      <c r="Q74" s="1695"/>
      <c r="R74" s="1695"/>
      <c r="S74" s="1695"/>
      <c r="T74" s="1695"/>
      <c r="U74" s="1727">
        <v>3</v>
      </c>
      <c r="V74" s="2375">
        <f t="shared" ref="V74:V81" si="44">16*Y74</f>
        <v>0.10582010582010581</v>
      </c>
      <c r="W74" s="3704" t="str">
        <f t="shared" ref="W74:W81" si="45">INT(V74/16)&amp;"  lb    "&amp;FIXED(V74-16*INT(V74/16),2)&amp;"  oz"</f>
        <v>0  lb    0.11  oz</v>
      </c>
      <c r="X74" s="4655"/>
      <c r="Y74" s="2644">
        <f t="shared" ref="Y74:Y81" si="46">U74/(1000*0.4536)</f>
        <v>6.6137566137566134E-3</v>
      </c>
      <c r="Z74" s="655"/>
      <c r="AA74" s="636"/>
      <c r="AB74" s="636"/>
      <c r="AC74" s="636"/>
      <c r="AD74" s="636"/>
      <c r="AE74" s="636"/>
      <c r="AF74" s="636"/>
      <c r="AG74" s="636"/>
      <c r="AH74" s="636"/>
      <c r="AI74" s="636"/>
      <c r="AJ74" s="636"/>
      <c r="AK74" s="636"/>
      <c r="AL74" s="636"/>
      <c r="AM74" s="636"/>
      <c r="AN74" s="636"/>
      <c r="AO74" s="636"/>
      <c r="AP74" s="636"/>
      <c r="AQ74" s="636"/>
      <c r="AR74" s="636"/>
      <c r="AS74" s="636"/>
      <c r="AT74" s="812"/>
    </row>
    <row r="75" spans="1:46" ht="15" customHeight="1">
      <c r="A75" s="746"/>
      <c r="B75" s="4598" t="s">
        <v>927</v>
      </c>
      <c r="C75" s="4656">
        <f>1000+AH125</f>
        <v>1009.3375666666667</v>
      </c>
      <c r="D75" s="4596">
        <v>1010</v>
      </c>
      <c r="E75" s="4657"/>
      <c r="F75" s="4658">
        <f>1000+AK125</f>
        <v>1011.0250666666667</v>
      </c>
      <c r="G75" s="3637" t="s">
        <v>762</v>
      </c>
      <c r="H75" s="3638"/>
      <c r="I75" s="3603">
        <v>11</v>
      </c>
      <c r="J75" s="3604"/>
      <c r="K75" s="2518" t="str">
        <f>FIXED(I75*F73/C73)</f>
        <v>5.50</v>
      </c>
      <c r="L75" s="2519" t="str">
        <f>"nom "&amp;FIXED(I75*F73/C73)</f>
        <v>nom 5.50</v>
      </c>
      <c r="M75" s="3143" t="s">
        <v>578</v>
      </c>
      <c r="N75" s="3144"/>
      <c r="O75" s="3145"/>
      <c r="P75" s="1727">
        <v>500</v>
      </c>
      <c r="Q75" s="647"/>
      <c r="R75" s="655"/>
      <c r="S75" s="743"/>
      <c r="T75" s="637"/>
      <c r="U75" s="1727">
        <v>50</v>
      </c>
      <c r="V75" s="2375">
        <f t="shared" si="44"/>
        <v>1.7636684303350969</v>
      </c>
      <c r="W75" s="3704" t="str">
        <f t="shared" si="45"/>
        <v>0  lb    1.76  oz</v>
      </c>
      <c r="X75" s="3705"/>
      <c r="Y75" s="2644">
        <f t="shared" si="46"/>
        <v>0.11022927689594356</v>
      </c>
      <c r="Z75" s="655"/>
      <c r="AA75" s="636"/>
      <c r="AB75" s="636"/>
      <c r="AC75" s="636"/>
      <c r="AD75" s="636"/>
      <c r="AE75" s="636"/>
      <c r="AF75" s="636"/>
      <c r="AG75" s="636"/>
      <c r="AH75" s="636"/>
      <c r="AI75" s="636"/>
      <c r="AJ75" s="636"/>
      <c r="AK75" s="636"/>
      <c r="AL75" s="636"/>
      <c r="AM75" s="636"/>
      <c r="AN75" s="636"/>
      <c r="AO75" s="636"/>
      <c r="AP75" s="636"/>
      <c r="AQ75" s="636"/>
      <c r="AR75" s="636"/>
      <c r="AS75" s="636"/>
      <c r="AT75" s="812"/>
    </row>
    <row r="76" spans="1:46" ht="15" customHeight="1">
      <c r="A76" s="746"/>
      <c r="B76" s="661" t="s">
        <v>928</v>
      </c>
      <c r="C76" s="2089">
        <f>(C74-C75)/(7.75-(3*(C74-1000)/800))</f>
        <v>9.0945371326531816</v>
      </c>
      <c r="D76" s="4601">
        <v>4.0999999999999996</v>
      </c>
      <c r="E76" s="4657"/>
      <c r="F76" s="2090">
        <f>(F74-F75)/(7.75-(3*(F74-1000)/800))</f>
        <v>9.1022577775342981</v>
      </c>
      <c r="G76" s="4659" t="s">
        <v>769</v>
      </c>
      <c r="H76" s="3713"/>
      <c r="I76" s="2486">
        <v>120</v>
      </c>
      <c r="J76" s="2520">
        <v>15</v>
      </c>
      <c r="K76" s="2488">
        <f>I76</f>
        <v>120</v>
      </c>
      <c r="L76" s="2521">
        <f>J76</f>
        <v>15</v>
      </c>
      <c r="M76" s="3641" t="s">
        <v>583</v>
      </c>
      <c r="N76" s="3642"/>
      <c r="O76" s="3643"/>
      <c r="P76" s="4660">
        <f>$AA$122*P75</f>
        <v>251.63192781870058</v>
      </c>
      <c r="Q76" s="2821" t="s">
        <v>153</v>
      </c>
      <c r="R76" s="2821"/>
      <c r="S76" s="2821"/>
      <c r="T76" s="2821"/>
      <c r="U76" s="1727">
        <v>60</v>
      </c>
      <c r="V76" s="2375">
        <f t="shared" si="44"/>
        <v>2.1164021164021163</v>
      </c>
      <c r="W76" s="3704" t="str">
        <f t="shared" si="45"/>
        <v>0  lb    2.12  oz</v>
      </c>
      <c r="X76" s="3705"/>
      <c r="Y76" s="2644">
        <f t="shared" si="46"/>
        <v>0.13227513227513227</v>
      </c>
      <c r="Z76" s="655"/>
      <c r="AA76" s="636"/>
      <c r="AB76" s="636"/>
      <c r="AC76" s="636"/>
      <c r="AD76" s="636"/>
      <c r="AE76" s="636"/>
      <c r="AF76" s="636"/>
      <c r="AG76" s="636"/>
      <c r="AH76" s="636"/>
      <c r="AI76" s="636"/>
      <c r="AJ76" s="636"/>
      <c r="AK76" s="636"/>
      <c r="AL76" s="636"/>
      <c r="AM76" s="636"/>
      <c r="AN76" s="636"/>
      <c r="AO76" s="636"/>
      <c r="AP76" s="636"/>
      <c r="AQ76" s="636"/>
      <c r="AR76" s="636"/>
      <c r="AS76" s="636"/>
      <c r="AT76" s="812"/>
    </row>
    <row r="77" spans="1:46" ht="15" customHeight="1">
      <c r="A77" s="746"/>
      <c r="B77" s="4604" t="s">
        <v>1089</v>
      </c>
      <c r="C77" s="4661">
        <f>1000+AH123</f>
        <v>1077.1877777777777</v>
      </c>
      <c r="D77" s="3659" t="s">
        <v>1041</v>
      </c>
      <c r="E77" s="4657"/>
      <c r="F77" s="4661">
        <f>1000+AK123</f>
        <v>1077.1877777777777</v>
      </c>
      <c r="G77" s="3608" t="s">
        <v>914</v>
      </c>
      <c r="H77" s="3609"/>
      <c r="I77" s="4662">
        <f>1000+SUM($AG84:$AG114)/$I75</f>
        <v>1126.3072727272727</v>
      </c>
      <c r="J77" s="3610"/>
      <c r="K77" s="4662">
        <f>1000+SUM($AJ84:$AJ114)/$K75</f>
        <v>1126.3072727272727</v>
      </c>
      <c r="L77" s="3610"/>
      <c r="M77" s="3611" t="s">
        <v>932</v>
      </c>
      <c r="N77" s="3612"/>
      <c r="O77" s="3613"/>
      <c r="P77" s="4663">
        <f>$AA$123*P75</f>
        <v>106.53122237986659</v>
      </c>
      <c r="Q77" s="2821"/>
      <c r="R77" s="2821"/>
      <c r="S77" s="2821"/>
      <c r="T77" s="2821"/>
      <c r="U77" s="1727">
        <v>80</v>
      </c>
      <c r="V77" s="2375">
        <f t="shared" si="44"/>
        <v>2.821869488536155</v>
      </c>
      <c r="W77" s="3704" t="str">
        <f t="shared" si="45"/>
        <v>0  lb    2.82  oz</v>
      </c>
      <c r="X77" s="3705"/>
      <c r="Y77" s="2644">
        <f t="shared" si="46"/>
        <v>0.17636684303350969</v>
      </c>
      <c r="Z77" s="655"/>
      <c r="AA77" s="636"/>
      <c r="AB77" s="636"/>
      <c r="AC77" s="636"/>
      <c r="AD77" s="636"/>
      <c r="AE77" s="636"/>
      <c r="AF77" s="636"/>
      <c r="AG77" s="636"/>
      <c r="AH77" s="636"/>
      <c r="AI77" s="636"/>
      <c r="AJ77" s="636"/>
      <c r="AK77" s="636"/>
      <c r="AL77" s="636"/>
      <c r="AM77" s="636"/>
      <c r="AN77" s="636"/>
      <c r="AO77" s="636"/>
      <c r="AP77" s="636"/>
      <c r="AQ77" s="636"/>
      <c r="AR77" s="636"/>
      <c r="AS77" s="636"/>
      <c r="AT77" s="812"/>
    </row>
    <row r="78" spans="1:46" ht="15" customHeight="1">
      <c r="A78" s="746"/>
      <c r="B78" s="4604" t="s">
        <v>1090</v>
      </c>
      <c r="C78" s="4606">
        <f>1000+AH124</f>
        <v>1009.3375666666667</v>
      </c>
      <c r="D78" s="3660"/>
      <c r="E78" s="4657"/>
      <c r="F78" s="4606">
        <f>1000+AK124</f>
        <v>1011.0250666666667</v>
      </c>
      <c r="G78" s="4664" t="s">
        <v>1091</v>
      </c>
      <c r="H78" s="3663"/>
      <c r="I78" s="4616">
        <f>I79*AA120/(I75*10)</f>
        <v>40.309696783702911</v>
      </c>
      <c r="J78" s="4617">
        <f>J79*AB120/(I75*10)</f>
        <v>4.1665781328503879</v>
      </c>
      <c r="K78" s="4616">
        <f>K79*AA121/(K75*10)</f>
        <v>40.309696783702911</v>
      </c>
      <c r="L78" s="4616">
        <f>L79*AB121/(K75*10)</f>
        <v>4.1665781328503879</v>
      </c>
      <c r="M78" s="3677" t="s">
        <v>588</v>
      </c>
      <c r="N78" s="3678"/>
      <c r="O78" s="3679"/>
      <c r="P78" s="790">
        <f>SUM(P76:P77)</f>
        <v>358.16315019856717</v>
      </c>
      <c r="Q78" s="2821"/>
      <c r="R78" s="2821"/>
      <c r="S78" s="2821"/>
      <c r="T78" s="2821"/>
      <c r="U78" s="1727">
        <v>100</v>
      </c>
      <c r="V78" s="2375">
        <f t="shared" si="44"/>
        <v>3.5273368606701938</v>
      </c>
      <c r="W78" s="3704" t="str">
        <f t="shared" si="45"/>
        <v>0  lb    3.53  oz</v>
      </c>
      <c r="X78" s="3705"/>
      <c r="Y78" s="2644">
        <f t="shared" si="46"/>
        <v>0.22045855379188711</v>
      </c>
      <c r="Z78" s="655"/>
      <c r="AA78" s="636"/>
      <c r="AB78" s="636"/>
      <c r="AC78" s="636"/>
      <c r="AD78" s="636"/>
      <c r="AE78" s="636"/>
      <c r="AF78" s="636"/>
      <c r="AG78" s="636"/>
      <c r="AH78" s="636"/>
      <c r="AI78" s="636"/>
      <c r="AJ78" s="636"/>
      <c r="AK78" s="636"/>
      <c r="AL78" s="636"/>
      <c r="AM78" s="636"/>
      <c r="AN78" s="636"/>
      <c r="AO78" s="636"/>
      <c r="AP78" s="636"/>
      <c r="AQ78" s="636"/>
      <c r="AR78" s="636"/>
      <c r="AS78" s="636"/>
      <c r="AT78" s="636"/>
    </row>
    <row r="79" spans="1:46" ht="15" customHeight="1">
      <c r="A79" s="746"/>
      <c r="B79" s="2001" t="s">
        <v>1092</v>
      </c>
      <c r="C79" s="2091" t="str">
        <f>I81</f>
        <v>27.2 EBU</v>
      </c>
      <c r="D79" s="2094">
        <v>28</v>
      </c>
      <c r="E79" s="4657"/>
      <c r="F79" s="2092" t="str">
        <f>K81</f>
        <v>27.2 EBU</v>
      </c>
      <c r="G79" s="4665" t="s">
        <v>1093</v>
      </c>
      <c r="H79" s="3664"/>
      <c r="I79" s="4666">
        <f>165*POWER(0.000125,0.001*($I77-1000))*(1-EXP(-$E11*$I76))/$E12</f>
        <v>12.67238252702864</v>
      </c>
      <c r="J79" s="4667">
        <f>165*POWER(0.000125,0.001*($I77-1000))*(1-EXP(-$E11*$J76))/$E12</f>
        <v>5.7650766618055682</v>
      </c>
      <c r="K79" s="4666">
        <f>165*POWER(0.000125,0.001*($K77-1000))*(1-EXP(-$E11*$K76))/$E12</f>
        <v>12.67238252702864</v>
      </c>
      <c r="L79" s="4666">
        <f>165*POWER(0.000125,0.001*($K77-1000))*(1-EXP(-$E11*$L76))/$E12</f>
        <v>5.7650766618055682</v>
      </c>
      <c r="M79" s="4612" t="s">
        <v>1045</v>
      </c>
      <c r="N79" s="3649"/>
      <c r="O79" s="3650"/>
      <c r="P79" s="4668">
        <f>P77/3.85</f>
        <v>27.670447371393919</v>
      </c>
      <c r="Q79" s="647"/>
      <c r="R79" s="647"/>
      <c r="S79" s="743"/>
      <c r="T79" s="637"/>
      <c r="U79" s="1727">
        <v>1000</v>
      </c>
      <c r="V79" s="2375">
        <f t="shared" si="44"/>
        <v>35.273368606701936</v>
      </c>
      <c r="W79" s="3704" t="str">
        <f t="shared" si="45"/>
        <v>2  lb    3.27  oz</v>
      </c>
      <c r="X79" s="3705"/>
      <c r="Y79" s="2644">
        <f t="shared" si="46"/>
        <v>2.204585537918871</v>
      </c>
      <c r="Z79" s="655"/>
      <c r="AA79" s="636"/>
      <c r="AB79" s="636"/>
      <c r="AC79" s="636"/>
      <c r="AD79" s="636"/>
      <c r="AE79" s="636"/>
      <c r="AF79" s="636"/>
      <c r="AG79" s="636"/>
      <c r="AH79" s="636"/>
      <c r="AI79" s="636"/>
      <c r="AJ79" s="636"/>
      <c r="AK79" s="636"/>
      <c r="AL79" s="636"/>
      <c r="AM79" s="636"/>
      <c r="AN79" s="636"/>
      <c r="AO79" s="636"/>
      <c r="AP79" s="636"/>
      <c r="AQ79" s="636"/>
      <c r="AR79" s="636"/>
      <c r="AS79" s="636"/>
      <c r="AT79" s="636"/>
    </row>
    <row r="80" spans="1:46" ht="15" customHeight="1">
      <c r="A80" s="746"/>
      <c r="B80" s="4598" t="s">
        <v>271</v>
      </c>
      <c r="C80" s="4622" t="str">
        <f>FIXED(SUM(AI84:AI115)/C73,1)&amp;" EBC"</f>
        <v>92.7 EBC</v>
      </c>
      <c r="D80" s="2095" t="s">
        <v>1049</v>
      </c>
      <c r="E80" s="4657"/>
      <c r="F80" s="4622" t="str">
        <f>FIXED(SUM(AL84:AL115)/F73,1)&amp;" EBC"</f>
        <v>92.7 EBC</v>
      </c>
      <c r="G80" s="4669" t="s">
        <v>1051</v>
      </c>
      <c r="H80" s="3703"/>
      <c r="I80" s="4631">
        <f>I78*$I75/$C73</f>
        <v>24.633703590040668</v>
      </c>
      <c r="J80" s="791">
        <f>((J78*$I75/$C73))</f>
        <v>2.5462421922974592</v>
      </c>
      <c r="K80" s="4631">
        <f>K78*$K75/$F73</f>
        <v>24.633703590040668</v>
      </c>
      <c r="L80" s="791">
        <f>L78*$K75/$F73</f>
        <v>2.5462421922974592</v>
      </c>
      <c r="M80" s="4612" t="s">
        <v>675</v>
      </c>
      <c r="N80" s="3649"/>
      <c r="O80" s="3650"/>
      <c r="P80" s="4670">
        <f>P81*P75/1000</f>
        <v>4.5472685663265908</v>
      </c>
      <c r="Q80" s="647"/>
      <c r="R80" s="647"/>
      <c r="S80" s="743"/>
      <c r="T80" s="637"/>
      <c r="U80" s="1727">
        <v>5000</v>
      </c>
      <c r="V80" s="2375">
        <f t="shared" si="44"/>
        <v>176.3668430335097</v>
      </c>
      <c r="W80" s="3704" t="str">
        <f t="shared" si="45"/>
        <v>11  lb    0.37  oz</v>
      </c>
      <c r="X80" s="3705"/>
      <c r="Y80" s="2644">
        <f t="shared" si="46"/>
        <v>11.022927689594356</v>
      </c>
      <c r="Z80" s="655"/>
      <c r="AA80" s="636"/>
      <c r="AB80" s="636"/>
      <c r="AC80" s="636"/>
      <c r="AD80" s="636"/>
      <c r="AE80" s="636"/>
      <c r="AF80" s="636"/>
      <c r="AG80" s="636"/>
      <c r="AH80" s="636"/>
      <c r="AI80" s="636"/>
      <c r="AJ80" s="636"/>
      <c r="AK80" s="636"/>
      <c r="AL80" s="636"/>
      <c r="AM80" s="636"/>
      <c r="AN80" s="636"/>
      <c r="AO80" s="636"/>
      <c r="AP80" s="636"/>
      <c r="AQ80" s="636"/>
      <c r="AR80" s="636"/>
      <c r="AS80" s="636"/>
      <c r="AT80" s="636"/>
    </row>
    <row r="81" spans="1:46" ht="15" customHeight="1">
      <c r="A81" s="746"/>
      <c r="B81" s="747"/>
      <c r="C81" s="4671" t="str">
        <f>"≈ "&amp;FIXED(0.508*SUM(AI84:AI115)/C73,1)&amp;" SRM"</f>
        <v>≈ 47.1 SRM</v>
      </c>
      <c r="D81" s="1834" t="str">
        <f>"≈ "&amp;FIXED(0.508*SUM(AL84:AL118)/C73,1)&amp;" SRM"</f>
        <v>≈ 23.5 SRM</v>
      </c>
      <c r="E81" s="4672"/>
      <c r="F81" s="4671" t="str">
        <f>"≈ "&amp;FIXED(0.508*SUM(AL84:AL118)/F73,1)&amp;" SRM"</f>
        <v>≈ 47.1 SRM</v>
      </c>
      <c r="G81" s="3706" t="s">
        <v>1094</v>
      </c>
      <c r="H81" s="3707"/>
      <c r="I81" s="3708" t="str">
        <f>FIXED((I80+J80+I120*69/C73),1)&amp;" EBU"</f>
        <v>27.2 EBU</v>
      </c>
      <c r="J81" s="4139"/>
      <c r="K81" s="3708" t="str">
        <f>FIXED((K80+L80)+(K120*69/F73),1)&amp;" EBU"</f>
        <v>27.2 EBU</v>
      </c>
      <c r="L81" s="4673"/>
      <c r="M81" s="3685" t="s">
        <v>202</v>
      </c>
      <c r="N81" s="3686"/>
      <c r="O81" s="3687"/>
      <c r="P81" s="4674">
        <f>C76</f>
        <v>9.0945371326531816</v>
      </c>
      <c r="Q81" s="647"/>
      <c r="R81" s="647"/>
      <c r="S81" s="743"/>
      <c r="T81" s="637"/>
      <c r="U81" s="1727">
        <v>10000</v>
      </c>
      <c r="V81" s="2375">
        <f t="shared" si="44"/>
        <v>352.73368606701939</v>
      </c>
      <c r="W81" s="3704" t="str">
        <f t="shared" si="45"/>
        <v>22  lb    0.73  oz</v>
      </c>
      <c r="X81" s="3705"/>
      <c r="Y81" s="2644">
        <f t="shared" si="46"/>
        <v>22.045855379188712</v>
      </c>
      <c r="Z81" s="655"/>
      <c r="AA81" s="813"/>
      <c r="AB81" s="813"/>
      <c r="AC81" s="813"/>
      <c r="AD81" s="813"/>
      <c r="AE81" s="813"/>
      <c r="AF81" s="813"/>
      <c r="AG81" s="813"/>
      <c r="AH81" s="813"/>
      <c r="AI81" s="813"/>
      <c r="AJ81" s="813"/>
      <c r="AK81" s="813"/>
      <c r="AL81" s="813"/>
      <c r="AM81" s="636"/>
      <c r="AN81" s="636"/>
      <c r="AO81" s="636"/>
      <c r="AP81" s="636"/>
      <c r="AQ81" s="636"/>
      <c r="AR81" s="636"/>
      <c r="AS81" s="636"/>
      <c r="AT81" s="636"/>
    </row>
    <row r="82" spans="1:46" ht="15" customHeight="1">
      <c r="A82" s="748"/>
      <c r="B82" s="3709" t="s">
        <v>1095</v>
      </c>
      <c r="C82" s="3709"/>
      <c r="D82" s="3709"/>
      <c r="E82" s="3709"/>
      <c r="F82" s="3709"/>
      <c r="G82" s="749" t="s">
        <v>701</v>
      </c>
      <c r="H82" s="2522" t="s">
        <v>1096</v>
      </c>
      <c r="I82" s="3710" t="s">
        <v>1097</v>
      </c>
      <c r="J82" s="3711"/>
      <c r="K82" s="4675" t="s">
        <v>1098</v>
      </c>
      <c r="L82" s="4675"/>
      <c r="M82" s="636"/>
      <c r="N82" s="792"/>
      <c r="O82" s="792"/>
      <c r="P82" s="793"/>
      <c r="Q82" s="793"/>
      <c r="R82" s="793"/>
      <c r="S82" s="743"/>
      <c r="T82" s="636"/>
      <c r="U82" s="1968"/>
      <c r="V82" s="637"/>
      <c r="W82" s="653"/>
      <c r="X82" s="653"/>
      <c r="Y82" s="653"/>
      <c r="Z82" s="637"/>
      <c r="AA82" s="648"/>
      <c r="AB82" s="636"/>
      <c r="AC82" s="648"/>
      <c r="AD82" s="648" t="s">
        <v>514</v>
      </c>
      <c r="AE82" s="648" t="s">
        <v>515</v>
      </c>
      <c r="AF82" s="648" t="s">
        <v>950</v>
      </c>
      <c r="AG82" s="731" t="s">
        <v>689</v>
      </c>
      <c r="AH82" s="648" t="s">
        <v>951</v>
      </c>
      <c r="AI82" s="648" t="s">
        <v>950</v>
      </c>
      <c r="AJ82" s="731" t="s">
        <v>689</v>
      </c>
      <c r="AK82" s="648" t="s">
        <v>951</v>
      </c>
      <c r="AL82" s="648" t="s">
        <v>950</v>
      </c>
      <c r="AM82" s="636"/>
      <c r="AN82" s="636"/>
      <c r="AO82" s="636"/>
      <c r="AP82" s="636"/>
      <c r="AQ82" s="636"/>
      <c r="AR82" s="636"/>
      <c r="AS82" s="636"/>
      <c r="AT82" s="636"/>
    </row>
    <row r="83" spans="1:46" ht="15" customHeight="1">
      <c r="A83" s="750"/>
      <c r="B83" s="2523" t="s">
        <v>948</v>
      </c>
      <c r="C83" s="2524" t="s">
        <v>1099</v>
      </c>
      <c r="D83" s="2525" t="s">
        <v>352</v>
      </c>
      <c r="E83" s="2526" t="s">
        <v>1100</v>
      </c>
      <c r="F83" s="751" t="s">
        <v>352</v>
      </c>
      <c r="G83" s="752"/>
      <c r="H83" s="753" t="s">
        <v>721</v>
      </c>
      <c r="I83" s="794" t="s">
        <v>1101</v>
      </c>
      <c r="J83" s="794" t="s">
        <v>1102</v>
      </c>
      <c r="K83" s="4676" t="s">
        <v>1101</v>
      </c>
      <c r="L83" s="4676" t="s">
        <v>1102</v>
      </c>
      <c r="M83" s="792"/>
      <c r="N83" s="3607" t="s">
        <v>1053</v>
      </c>
      <c r="O83" s="3607"/>
      <c r="P83" s="3607"/>
      <c r="Q83" s="803"/>
      <c r="R83" s="793"/>
      <c r="S83" s="792"/>
      <c r="T83" s="792"/>
      <c r="U83" s="792"/>
      <c r="V83" s="792"/>
      <c r="W83" s="792"/>
      <c r="X83" s="792"/>
      <c r="Y83" s="792"/>
      <c r="Z83" s="637"/>
      <c r="AA83" s="721" t="s">
        <v>248</v>
      </c>
      <c r="AB83" s="636" t="s">
        <v>1103</v>
      </c>
      <c r="AC83" s="648"/>
      <c r="AD83" s="648"/>
      <c r="AE83" s="648"/>
      <c r="AF83" s="648"/>
      <c r="AG83" s="648"/>
      <c r="AH83" s="648"/>
      <c r="AI83" s="648"/>
      <c r="AJ83" s="3688" t="s">
        <v>1104</v>
      </c>
      <c r="AK83" s="3688"/>
      <c r="AL83" s="3688"/>
      <c r="AM83" s="636"/>
      <c r="AN83" s="636"/>
      <c r="AO83" s="636"/>
      <c r="AP83" s="636"/>
      <c r="AQ83" s="636"/>
      <c r="AR83" s="636"/>
      <c r="AS83" s="636"/>
      <c r="AT83" s="636"/>
    </row>
    <row r="84" spans="1:46" ht="15" customHeight="1">
      <c r="A84" s="3669" t="s">
        <v>952</v>
      </c>
      <c r="B84" s="2791" t="str">
        <f>'Beer Data Sheet'!B58</f>
        <v>Pale malt</v>
      </c>
      <c r="C84" s="2527">
        <v>3450</v>
      </c>
      <c r="D84" s="2528" t="s">
        <v>82</v>
      </c>
      <c r="E84" s="2035">
        <f>C84*F$73/C$73</f>
        <v>1725</v>
      </c>
      <c r="F84" s="2782" t="s">
        <v>82</v>
      </c>
      <c r="G84" s="2020" t="str">
        <f>'Beer Data Sheet'!B9</f>
        <v>Admiral</v>
      </c>
      <c r="H84" s="2021">
        <f>'Beer Data Sheet'!C9</f>
        <v>11</v>
      </c>
      <c r="I84" s="2529"/>
      <c r="J84" s="795"/>
      <c r="K84" s="2036">
        <f>I84*F$73/C$73</f>
        <v>0</v>
      </c>
      <c r="L84" s="2530">
        <f t="shared" ref="L84:L119" si="47">J84*F$73/C$73</f>
        <v>0</v>
      </c>
      <c r="M84" s="792"/>
      <c r="N84" s="1835"/>
      <c r="O84" s="1835"/>
      <c r="P84" s="1835"/>
      <c r="Q84" s="1835"/>
      <c r="R84" s="1835"/>
      <c r="S84" s="1835"/>
      <c r="T84" s="1835"/>
      <c r="U84" s="1835"/>
      <c r="V84" s="1835"/>
      <c r="W84" s="1835"/>
      <c r="X84" s="1835"/>
      <c r="Y84" s="1835"/>
      <c r="Z84" s="637"/>
      <c r="AA84" s="648">
        <f t="shared" ref="AA84:AA119" si="48">H84*I84</f>
        <v>0</v>
      </c>
      <c r="AB84" s="648">
        <f t="shared" ref="AB84:AB119" si="49">H84*J84</f>
        <v>0</v>
      </c>
      <c r="AC84" s="648"/>
      <c r="AD84" s="731">
        <f>'Beer Data Sheet'!C58*$L$4/100</f>
        <v>228</v>
      </c>
      <c r="AE84" s="509">
        <f>C$119/100</f>
        <v>0.76</v>
      </c>
      <c r="AF84" s="731">
        <f>'Beer Data Sheet'!E58</f>
        <v>4.0999999999999996</v>
      </c>
      <c r="AG84" s="4639">
        <f>0.001*AD84*C84</f>
        <v>786.6</v>
      </c>
      <c r="AH84" s="648">
        <f>AG84*AE84</f>
        <v>597.81600000000003</v>
      </c>
      <c r="AI84" s="826">
        <f>0.01*AF84*C84</f>
        <v>141.44999999999999</v>
      </c>
      <c r="AJ84" s="731">
        <f>0.001*AD84*E84</f>
        <v>393.3</v>
      </c>
      <c r="AK84" s="648">
        <f>AE84*AJ84</f>
        <v>298.90800000000002</v>
      </c>
      <c r="AL84" s="826">
        <f>0.01*AF84*E84</f>
        <v>70.724999999999994</v>
      </c>
      <c r="AM84" s="636"/>
      <c r="AN84" s="636"/>
      <c r="AO84" s="636"/>
      <c r="AP84" s="636"/>
      <c r="AQ84" s="636"/>
      <c r="AR84" s="636"/>
      <c r="AS84" s="636"/>
      <c r="AT84" s="636"/>
    </row>
    <row r="85" spans="1:46" ht="15" customHeight="1">
      <c r="A85" s="4677"/>
      <c r="B85" s="3689" t="str">
        <f>"The pale malt in cell "&amp;"C84 ("&amp;1*(FIXED((C84),1))&amp;"g) is to give  approx. "&amp;1*FIXED(C84*(AD84/AD108),0)&amp;"g  LIQUID malt extract OR "&amp;1*FIXED(C84*(AD84/AD109),0)&amp;"g  DRY malt extract in "&amp;(F73)&amp;" litres."</f>
        <v>The pale malt in cell C84 (3450g) is to give  approx. 2537g  LIQUID malt extract OR 2155g  DRY malt extract in 9 litres.</v>
      </c>
      <c r="C85" s="3690"/>
      <c r="D85" s="3690"/>
      <c r="E85" s="3690"/>
      <c r="F85" s="3691"/>
      <c r="G85" s="2022" t="str">
        <f>'Beer Data Sheet'!B10</f>
        <v>Boadicea</v>
      </c>
      <c r="H85" s="2021">
        <f>'Beer Data Sheet'!C10</f>
        <v>9.5</v>
      </c>
      <c r="I85" s="796"/>
      <c r="J85" s="797"/>
      <c r="K85" s="2037">
        <f t="shared" ref="K85:K120" si="50">I85*F$73/C$73</f>
        <v>0</v>
      </c>
      <c r="L85" s="2038">
        <f t="shared" si="47"/>
        <v>0</v>
      </c>
      <c r="M85" s="792"/>
      <c r="N85" s="1835"/>
      <c r="O85" s="1835"/>
      <c r="P85" s="1835"/>
      <c r="Q85" s="1835"/>
      <c r="R85" s="1835"/>
      <c r="S85" s="1835"/>
      <c r="T85" s="1835"/>
      <c r="U85" s="1835"/>
      <c r="V85" s="1835"/>
      <c r="W85" s="1835"/>
      <c r="X85" s="1835"/>
      <c r="Y85" s="1835"/>
      <c r="Z85" s="637"/>
      <c r="AA85" s="648">
        <f t="shared" si="48"/>
        <v>0</v>
      </c>
      <c r="AB85" s="648">
        <f t="shared" si="49"/>
        <v>0</v>
      </c>
      <c r="AC85" s="648"/>
      <c r="AD85" s="731"/>
      <c r="AE85" s="509"/>
      <c r="AF85" s="648"/>
      <c r="AG85" s="4639"/>
      <c r="AH85" s="648"/>
      <c r="AI85" s="648"/>
      <c r="AJ85" s="4639"/>
      <c r="AK85" s="648"/>
      <c r="AL85" s="826"/>
      <c r="AM85" s="636"/>
      <c r="AN85" s="636"/>
      <c r="AO85" s="636"/>
      <c r="AP85" s="636"/>
      <c r="AQ85" s="636"/>
      <c r="AR85" s="636"/>
      <c r="AS85" s="636"/>
      <c r="AT85" s="636"/>
    </row>
    <row r="86" spans="1:46" ht="15" customHeight="1">
      <c r="A86" s="4677"/>
      <c r="B86" s="2009" t="str">
        <f>'Beer Data Sheet'!B59</f>
        <v>Mild Ale malt</v>
      </c>
      <c r="C86" s="754"/>
      <c r="D86" s="755" t="s">
        <v>82</v>
      </c>
      <c r="E86" s="2035">
        <f t="shared" ref="E86:E99" si="51">C86*F$73/C$73</f>
        <v>0</v>
      </c>
      <c r="F86" s="756" t="s">
        <v>82</v>
      </c>
      <c r="G86" s="2022" t="str">
        <f>'Beer Data Sheet'!B11</f>
        <v>Bramling Cross</v>
      </c>
      <c r="H86" s="2021">
        <f>'Beer Data Sheet'!C11</f>
        <v>5.0999999999999996</v>
      </c>
      <c r="I86" s="796"/>
      <c r="J86" s="797"/>
      <c r="K86" s="2037">
        <f t="shared" si="50"/>
        <v>0</v>
      </c>
      <c r="L86" s="2038">
        <f t="shared" si="47"/>
        <v>0</v>
      </c>
      <c r="M86" s="792"/>
      <c r="N86" s="1835"/>
      <c r="O86" s="1835"/>
      <c r="P86" s="1835"/>
      <c r="Q86" s="1835"/>
      <c r="R86" s="1835"/>
      <c r="S86" s="1835"/>
      <c r="T86" s="1835"/>
      <c r="U86" s="1835"/>
      <c r="V86" s="1835"/>
      <c r="W86" s="1835"/>
      <c r="X86" s="1835"/>
      <c r="Y86" s="1835"/>
      <c r="Z86" s="637"/>
      <c r="AA86" s="648">
        <f t="shared" si="48"/>
        <v>0</v>
      </c>
      <c r="AB86" s="648">
        <f t="shared" si="49"/>
        <v>0</v>
      </c>
      <c r="AC86" s="648"/>
      <c r="AD86" s="731">
        <f>'Beer Data Sheet'!C59*$L$4/100</f>
        <v>224.2</v>
      </c>
      <c r="AE86" s="509">
        <f t="shared" ref="AE86:AE110" si="52">C$119/100</f>
        <v>0.76</v>
      </c>
      <c r="AF86" s="731">
        <f>'Beer Data Sheet'!E59</f>
        <v>4.97</v>
      </c>
      <c r="AG86" s="4639">
        <f t="shared" ref="AG86:AG115" si="53">0.001*AD86*C86</f>
        <v>0</v>
      </c>
      <c r="AH86" s="648">
        <f t="shared" ref="AH86" si="54">AG86*AE86</f>
        <v>0</v>
      </c>
      <c r="AI86" s="826">
        <f t="shared" ref="AI86:AI115" si="55">0.01*AF86*C86</f>
        <v>0</v>
      </c>
      <c r="AJ86" s="731">
        <f>0.001*AD86*E86</f>
        <v>0</v>
      </c>
      <c r="AK86" s="648">
        <f>AE86*AJ86</f>
        <v>0</v>
      </c>
      <c r="AL86" s="826">
        <f>0.01*AF86*E86</f>
        <v>0</v>
      </c>
      <c r="AM86" s="636"/>
      <c r="AN86" s="636"/>
      <c r="AO86" s="636"/>
      <c r="AP86" s="636"/>
      <c r="AQ86" s="636"/>
      <c r="AR86" s="636"/>
      <c r="AS86" s="636"/>
      <c r="AT86" s="636"/>
    </row>
    <row r="87" spans="1:46" ht="15" customHeight="1">
      <c r="A87" s="4677"/>
      <c r="B87" s="2009" t="str">
        <f>'Beer Data Sheet'!B60</f>
        <v>Lager malt (Pilsner)</v>
      </c>
      <c r="C87" s="754"/>
      <c r="D87" s="755" t="s">
        <v>82</v>
      </c>
      <c r="E87" s="2035">
        <f t="shared" si="51"/>
        <v>0</v>
      </c>
      <c r="F87" s="756" t="s">
        <v>82</v>
      </c>
      <c r="G87" s="2022" t="str">
        <f>'Beer Data Sheet'!B12</f>
        <v>Brewers Gold</v>
      </c>
      <c r="H87" s="2021">
        <f>'Beer Data Sheet'!C12</f>
        <v>5.5</v>
      </c>
      <c r="I87" s="796"/>
      <c r="J87" s="797"/>
      <c r="K87" s="2037">
        <f t="shared" si="50"/>
        <v>0</v>
      </c>
      <c r="L87" s="2038">
        <f t="shared" si="47"/>
        <v>0</v>
      </c>
      <c r="M87" s="792"/>
      <c r="N87" s="1835"/>
      <c r="O87" s="1835"/>
      <c r="P87" s="1835"/>
      <c r="Q87" s="1835"/>
      <c r="R87" s="1835"/>
      <c r="S87" s="1835"/>
      <c r="T87" s="1835"/>
      <c r="U87" s="1835"/>
      <c r="V87" s="1835"/>
      <c r="W87" s="1835"/>
      <c r="X87" s="1835"/>
      <c r="Y87" s="1835"/>
      <c r="Z87" s="637"/>
      <c r="AA87" s="648">
        <f t="shared" si="48"/>
        <v>0</v>
      </c>
      <c r="AB87" s="648">
        <f t="shared" si="49"/>
        <v>0</v>
      </c>
      <c r="AC87" s="648"/>
      <c r="AD87" s="731">
        <f>'Beer Data Sheet'!C60*$L$4/100</f>
        <v>228</v>
      </c>
      <c r="AE87" s="509">
        <f t="shared" si="52"/>
        <v>0.76</v>
      </c>
      <c r="AF87" s="731">
        <f>'Beer Data Sheet'!E60</f>
        <v>2.2000000000000002</v>
      </c>
      <c r="AG87" s="4639">
        <f t="shared" si="53"/>
        <v>0</v>
      </c>
      <c r="AH87" s="648">
        <f t="shared" ref="AH87:AH115" si="56">AG87*AE87</f>
        <v>0</v>
      </c>
      <c r="AI87" s="826">
        <f t="shared" si="55"/>
        <v>0</v>
      </c>
      <c r="AJ87" s="731">
        <f t="shared" ref="AJ87:AJ115" si="57">0.001*AD87*E87</f>
        <v>0</v>
      </c>
      <c r="AK87" s="648">
        <f t="shared" ref="AK87:AK115" si="58">AE87*AJ87</f>
        <v>0</v>
      </c>
      <c r="AL87" s="826">
        <f t="shared" ref="AL87:AL115" si="59">0.01*AF87*E87</f>
        <v>0</v>
      </c>
      <c r="AM87" s="636"/>
      <c r="AN87" s="636"/>
      <c r="AO87" s="636"/>
      <c r="AP87" s="636"/>
      <c r="AQ87" s="636"/>
      <c r="AR87" s="636"/>
      <c r="AS87" s="636"/>
      <c r="AT87" s="636"/>
    </row>
    <row r="88" spans="1:46" ht="15" customHeight="1">
      <c r="A88" s="4677"/>
      <c r="B88" s="2009" t="str">
        <f>'Beer Data Sheet'!B61</f>
        <v>Munich malt</v>
      </c>
      <c r="C88" s="754"/>
      <c r="D88" s="755" t="s">
        <v>82</v>
      </c>
      <c r="E88" s="2035">
        <f t="shared" si="51"/>
        <v>0</v>
      </c>
      <c r="F88" s="756" t="s">
        <v>82</v>
      </c>
      <c r="G88" s="2022" t="str">
        <f>'Beer Data Sheet'!B13</f>
        <v>Bullion</v>
      </c>
      <c r="H88" s="2021">
        <f>'Beer Data Sheet'!C13</f>
        <v>10</v>
      </c>
      <c r="I88" s="796"/>
      <c r="J88" s="797"/>
      <c r="K88" s="2037">
        <f t="shared" si="50"/>
        <v>0</v>
      </c>
      <c r="L88" s="2038">
        <f t="shared" si="47"/>
        <v>0</v>
      </c>
      <c r="M88" s="792"/>
      <c r="N88" s="1835"/>
      <c r="O88" s="1835"/>
      <c r="P88" s="1835"/>
      <c r="Q88" s="1835"/>
      <c r="R88" s="1835"/>
      <c r="S88" s="1835"/>
      <c r="T88" s="1835"/>
      <c r="U88" s="1835"/>
      <c r="V88" s="1835"/>
      <c r="W88" s="1835"/>
      <c r="X88" s="1835"/>
      <c r="Y88" s="1835"/>
      <c r="Z88" s="637"/>
      <c r="AA88" s="648">
        <f t="shared" si="48"/>
        <v>0</v>
      </c>
      <c r="AB88" s="648">
        <f t="shared" si="49"/>
        <v>0</v>
      </c>
      <c r="AC88" s="648"/>
      <c r="AD88" s="731">
        <f>'Beer Data Sheet'!C61*$L$4/100</f>
        <v>224.2</v>
      </c>
      <c r="AE88" s="509">
        <f t="shared" si="52"/>
        <v>0.76</v>
      </c>
      <c r="AF88" s="731">
        <f>'Beer Data Sheet'!E61</f>
        <v>12.15</v>
      </c>
      <c r="AG88" s="4639">
        <f t="shared" si="53"/>
        <v>0</v>
      </c>
      <c r="AH88" s="648">
        <f t="shared" si="56"/>
        <v>0</v>
      </c>
      <c r="AI88" s="826">
        <f t="shared" si="55"/>
        <v>0</v>
      </c>
      <c r="AJ88" s="731">
        <f t="shared" si="57"/>
        <v>0</v>
      </c>
      <c r="AK88" s="648">
        <f t="shared" si="58"/>
        <v>0</v>
      </c>
      <c r="AL88" s="826">
        <f t="shared" si="59"/>
        <v>0</v>
      </c>
      <c r="AM88" s="636"/>
      <c r="AN88" s="636"/>
      <c r="AO88" s="636"/>
      <c r="AP88" s="636"/>
      <c r="AQ88" s="636"/>
      <c r="AR88" s="636"/>
      <c r="AS88" s="636"/>
      <c r="AT88" s="636"/>
    </row>
    <row r="89" spans="1:46" ht="15" customHeight="1">
      <c r="A89" s="4677"/>
      <c r="B89" s="2009" t="str">
        <f>'Beer Data Sheet'!B62</f>
        <v>Vienna malt</v>
      </c>
      <c r="C89" s="754"/>
      <c r="D89" s="755" t="s">
        <v>82</v>
      </c>
      <c r="E89" s="2035">
        <f t="shared" si="51"/>
        <v>0</v>
      </c>
      <c r="F89" s="756" t="s">
        <v>82</v>
      </c>
      <c r="G89" s="2022" t="str">
        <f>'Beer Data Sheet'!B14</f>
        <v>Challenger</v>
      </c>
      <c r="H89" s="2021">
        <f>'Beer Data Sheet'!C14</f>
        <v>7.7</v>
      </c>
      <c r="I89" s="796"/>
      <c r="J89" s="797"/>
      <c r="K89" s="2037">
        <f t="shared" si="50"/>
        <v>0</v>
      </c>
      <c r="L89" s="2038">
        <f t="shared" si="47"/>
        <v>0</v>
      </c>
      <c r="M89" s="792"/>
      <c r="N89" s="1835"/>
      <c r="O89" s="1835"/>
      <c r="P89" s="1835"/>
      <c r="Q89" s="1835"/>
      <c r="R89" s="1835"/>
      <c r="S89" s="1835"/>
      <c r="T89" s="1835"/>
      <c r="U89" s="1835"/>
      <c r="V89" s="1835"/>
      <c r="W89" s="1835"/>
      <c r="X89" s="1835"/>
      <c r="Y89" s="1835"/>
      <c r="Z89" s="637"/>
      <c r="AA89" s="648">
        <f t="shared" si="48"/>
        <v>0</v>
      </c>
      <c r="AB89" s="648">
        <f t="shared" si="49"/>
        <v>0</v>
      </c>
      <c r="AC89" s="648"/>
      <c r="AD89" s="731">
        <f>'Beer Data Sheet'!C62*$L$4/100</f>
        <v>224.2</v>
      </c>
      <c r="AE89" s="509">
        <f t="shared" si="52"/>
        <v>0.76</v>
      </c>
      <c r="AF89" s="731">
        <f>'Beer Data Sheet'!E62</f>
        <v>6.57</v>
      </c>
      <c r="AG89" s="4639">
        <f t="shared" si="53"/>
        <v>0</v>
      </c>
      <c r="AH89" s="648">
        <f t="shared" si="56"/>
        <v>0</v>
      </c>
      <c r="AI89" s="826">
        <f t="shared" si="55"/>
        <v>0</v>
      </c>
      <c r="AJ89" s="731">
        <f t="shared" si="57"/>
        <v>0</v>
      </c>
      <c r="AK89" s="648">
        <f t="shared" si="58"/>
        <v>0</v>
      </c>
      <c r="AL89" s="826">
        <f t="shared" si="59"/>
        <v>0</v>
      </c>
      <c r="AM89" s="636"/>
      <c r="AN89" s="636"/>
      <c r="AO89" s="636"/>
      <c r="AP89" s="636"/>
      <c r="AQ89" s="636"/>
      <c r="AR89" s="636"/>
      <c r="AS89" s="636"/>
      <c r="AT89" s="636"/>
    </row>
    <row r="90" spans="1:46" ht="15" customHeight="1">
      <c r="A90" s="4677"/>
      <c r="B90" s="2009" t="str">
        <f>'Beer Data Sheet'!B63</f>
        <v>Amber malt</v>
      </c>
      <c r="C90" s="754"/>
      <c r="D90" s="755" t="s">
        <v>82</v>
      </c>
      <c r="E90" s="2035">
        <f t="shared" si="51"/>
        <v>0</v>
      </c>
      <c r="F90" s="756" t="s">
        <v>82</v>
      </c>
      <c r="G90" s="2022" t="str">
        <f>'Beer Data Sheet'!B15</f>
        <v>Cluster</v>
      </c>
      <c r="H90" s="2021">
        <f>'Beer Data Sheet'!C15</f>
        <v>6.9</v>
      </c>
      <c r="I90" s="796"/>
      <c r="J90" s="797"/>
      <c r="K90" s="2037">
        <f t="shared" si="50"/>
        <v>0</v>
      </c>
      <c r="L90" s="2038">
        <f t="shared" si="47"/>
        <v>0</v>
      </c>
      <c r="M90" s="792"/>
      <c r="N90" s="1835"/>
      <c r="O90" s="1835"/>
      <c r="P90" s="1835"/>
      <c r="Q90" s="1835"/>
      <c r="R90" s="1835"/>
      <c r="S90" s="1835"/>
      <c r="T90" s="1835"/>
      <c r="U90" s="1835"/>
      <c r="V90" s="1835"/>
      <c r="W90" s="1835"/>
      <c r="X90" s="1835"/>
      <c r="Y90" s="1835"/>
      <c r="Z90" s="637"/>
      <c r="AA90" s="648">
        <f t="shared" si="48"/>
        <v>0</v>
      </c>
      <c r="AB90" s="648">
        <f t="shared" si="49"/>
        <v>0</v>
      </c>
      <c r="AC90" s="648"/>
      <c r="AD90" s="731">
        <f>'Beer Data Sheet'!C63*$L$4/100</f>
        <v>205.2</v>
      </c>
      <c r="AE90" s="509">
        <f t="shared" si="52"/>
        <v>0.76</v>
      </c>
      <c r="AF90" s="731">
        <f>'Beer Data Sheet'!E63</f>
        <v>25.9</v>
      </c>
      <c r="AG90" s="4639">
        <f t="shared" si="53"/>
        <v>0</v>
      </c>
      <c r="AH90" s="648">
        <f t="shared" si="56"/>
        <v>0</v>
      </c>
      <c r="AI90" s="826">
        <f t="shared" si="55"/>
        <v>0</v>
      </c>
      <c r="AJ90" s="731">
        <f t="shared" si="57"/>
        <v>0</v>
      </c>
      <c r="AK90" s="648">
        <f t="shared" si="58"/>
        <v>0</v>
      </c>
      <c r="AL90" s="826">
        <f t="shared" si="59"/>
        <v>0</v>
      </c>
      <c r="AM90" s="636"/>
      <c r="AN90" s="636"/>
      <c r="AO90" s="636"/>
      <c r="AP90" s="636"/>
      <c r="AQ90" s="636"/>
      <c r="AR90" s="636"/>
      <c r="AS90" s="636"/>
      <c r="AT90" s="636"/>
    </row>
    <row r="91" spans="1:46" ht="15" customHeight="1">
      <c r="A91" s="4677"/>
      <c r="B91" s="2009" t="str">
        <f>'Beer Data Sheet'!B64</f>
        <v>Flaked barley</v>
      </c>
      <c r="C91" s="754"/>
      <c r="D91" s="755" t="s">
        <v>82</v>
      </c>
      <c r="E91" s="2035">
        <f t="shared" si="51"/>
        <v>0</v>
      </c>
      <c r="F91" s="756" t="s">
        <v>82</v>
      </c>
      <c r="G91" s="2022" t="str">
        <f>'Beer Data Sheet'!B16</f>
        <v>EKG</v>
      </c>
      <c r="H91" s="2021">
        <f>'Beer Data Sheet'!C16</f>
        <v>5.5</v>
      </c>
      <c r="I91" s="796"/>
      <c r="J91" s="797"/>
      <c r="K91" s="2037">
        <f t="shared" si="50"/>
        <v>0</v>
      </c>
      <c r="L91" s="2038">
        <f t="shared" si="47"/>
        <v>0</v>
      </c>
      <c r="M91" s="792"/>
      <c r="N91" s="1835"/>
      <c r="O91" s="1835"/>
      <c r="P91" s="1835"/>
      <c r="Q91" s="1835"/>
      <c r="R91" s="1835"/>
      <c r="S91" s="1835"/>
      <c r="T91" s="1835"/>
      <c r="U91" s="1835"/>
      <c r="V91" s="1835"/>
      <c r="W91" s="1835"/>
      <c r="X91" s="1835"/>
      <c r="Y91" s="1835"/>
      <c r="Z91" s="637"/>
      <c r="AA91" s="648">
        <f t="shared" si="48"/>
        <v>0</v>
      </c>
      <c r="AB91" s="648">
        <f t="shared" si="49"/>
        <v>0</v>
      </c>
      <c r="AC91" s="648"/>
      <c r="AD91" s="731">
        <f>'Beer Data Sheet'!C64*$L$4/100</f>
        <v>197.6</v>
      </c>
      <c r="AE91" s="509">
        <f t="shared" si="52"/>
        <v>0.76</v>
      </c>
      <c r="AF91" s="731">
        <f>'Beer Data Sheet'!E64</f>
        <v>1.7749999999999999</v>
      </c>
      <c r="AG91" s="4639">
        <f t="shared" si="53"/>
        <v>0</v>
      </c>
      <c r="AH91" s="648">
        <f t="shared" si="56"/>
        <v>0</v>
      </c>
      <c r="AI91" s="826">
        <f t="shared" si="55"/>
        <v>0</v>
      </c>
      <c r="AJ91" s="731">
        <f t="shared" si="57"/>
        <v>0</v>
      </c>
      <c r="AK91" s="648">
        <f t="shared" si="58"/>
        <v>0</v>
      </c>
      <c r="AL91" s="826">
        <f t="shared" si="59"/>
        <v>0</v>
      </c>
      <c r="AM91" s="636"/>
      <c r="AN91" s="636"/>
      <c r="AO91" s="636"/>
      <c r="AP91" s="636"/>
      <c r="AQ91" s="636"/>
      <c r="AR91" s="636"/>
      <c r="AS91" s="636"/>
      <c r="AT91" s="636"/>
    </row>
    <row r="92" spans="1:46" ht="15" customHeight="1">
      <c r="A92" s="4677"/>
      <c r="B92" s="2009" t="str">
        <f>'Beer Data Sheet'!B65</f>
        <v>Flaked maize</v>
      </c>
      <c r="C92" s="754"/>
      <c r="D92" s="755" t="s">
        <v>82</v>
      </c>
      <c r="E92" s="2035">
        <f t="shared" si="51"/>
        <v>0</v>
      </c>
      <c r="F92" s="756" t="s">
        <v>82</v>
      </c>
      <c r="G92" s="2022" t="str">
        <f>'Beer Data Sheet'!B17</f>
        <v>First Gold</v>
      </c>
      <c r="H92" s="2021">
        <f>'Beer Data Sheet'!C17</f>
        <v>7.9</v>
      </c>
      <c r="I92" s="796"/>
      <c r="J92" s="797"/>
      <c r="K92" s="2037">
        <f t="shared" si="50"/>
        <v>0</v>
      </c>
      <c r="L92" s="2038">
        <f t="shared" si="47"/>
        <v>0</v>
      </c>
      <c r="M92" s="792"/>
      <c r="N92" s="1835"/>
      <c r="O92" s="1835"/>
      <c r="P92" s="1835"/>
      <c r="Q92" s="1835"/>
      <c r="R92" s="1835"/>
      <c r="S92" s="1835"/>
      <c r="T92" s="1835"/>
      <c r="U92" s="1835"/>
      <c r="V92" s="1835"/>
      <c r="W92" s="1835"/>
      <c r="X92" s="1835"/>
      <c r="Y92" s="1835"/>
      <c r="Z92" s="637"/>
      <c r="AA92" s="648">
        <f t="shared" si="48"/>
        <v>0</v>
      </c>
      <c r="AB92" s="648">
        <f t="shared" si="49"/>
        <v>0</v>
      </c>
      <c r="AC92" s="648"/>
      <c r="AD92" s="731">
        <f>'Beer Data Sheet'!C65*$L$4/100</f>
        <v>235.6</v>
      </c>
      <c r="AE92" s="509">
        <f t="shared" si="52"/>
        <v>0.76</v>
      </c>
      <c r="AF92" s="731">
        <f>'Beer Data Sheet'!E65</f>
        <v>0.71</v>
      </c>
      <c r="AG92" s="4639">
        <f t="shared" si="53"/>
        <v>0</v>
      </c>
      <c r="AH92" s="648">
        <f t="shared" si="56"/>
        <v>0</v>
      </c>
      <c r="AI92" s="826">
        <f t="shared" si="55"/>
        <v>0</v>
      </c>
      <c r="AJ92" s="731">
        <f t="shared" si="57"/>
        <v>0</v>
      </c>
      <c r="AK92" s="648">
        <f t="shared" si="58"/>
        <v>0</v>
      </c>
      <c r="AL92" s="826">
        <f t="shared" si="59"/>
        <v>0</v>
      </c>
      <c r="AM92" s="636"/>
      <c r="AN92" s="636"/>
      <c r="AO92" s="636"/>
      <c r="AP92" s="636"/>
      <c r="AQ92" s="636"/>
      <c r="AR92" s="636"/>
      <c r="AS92" s="636"/>
      <c r="AT92" s="636"/>
    </row>
    <row r="93" spans="1:46" ht="15" customHeight="1">
      <c r="A93" s="4677"/>
      <c r="B93" s="2009" t="str">
        <f>'Beer Data Sheet'!B66</f>
        <v xml:space="preserve">Flaked ̸ Torrified barley </v>
      </c>
      <c r="C93" s="754"/>
      <c r="D93" s="755" t="s">
        <v>82</v>
      </c>
      <c r="E93" s="2035">
        <f t="shared" si="51"/>
        <v>0</v>
      </c>
      <c r="F93" s="756" t="s">
        <v>82</v>
      </c>
      <c r="G93" s="2022" t="str">
        <f>'Beer Data Sheet'!B18</f>
        <v>Fuggles</v>
      </c>
      <c r="H93" s="2021">
        <f>'Beer Data Sheet'!C18</f>
        <v>4.5</v>
      </c>
      <c r="I93" s="700">
        <v>33</v>
      </c>
      <c r="J93" s="699"/>
      <c r="K93" s="2037">
        <f t="shared" si="50"/>
        <v>16.5</v>
      </c>
      <c r="L93" s="2038">
        <f t="shared" si="47"/>
        <v>0</v>
      </c>
      <c r="M93" s="792"/>
      <c r="N93" s="1835"/>
      <c r="O93" s="1835"/>
      <c r="P93" s="1835"/>
      <c r="Q93" s="1835"/>
      <c r="R93" s="1835"/>
      <c r="S93" s="1835"/>
      <c r="T93" s="1835"/>
      <c r="U93" s="1835"/>
      <c r="V93" s="1835"/>
      <c r="W93" s="1835"/>
      <c r="X93" s="1835"/>
      <c r="Y93" s="1835"/>
      <c r="Z93" s="637"/>
      <c r="AA93" s="648">
        <f t="shared" si="48"/>
        <v>148.5</v>
      </c>
      <c r="AB93" s="648">
        <f t="shared" si="49"/>
        <v>0</v>
      </c>
      <c r="AC93" s="648"/>
      <c r="AD93" s="731">
        <f>'Beer Data Sheet'!C66*$L$4/100</f>
        <v>190</v>
      </c>
      <c r="AE93" s="509">
        <f t="shared" si="52"/>
        <v>0.76</v>
      </c>
      <c r="AF93" s="731">
        <f>'Beer Data Sheet'!E66</f>
        <v>2.13</v>
      </c>
      <c r="AG93" s="4639">
        <f t="shared" si="53"/>
        <v>0</v>
      </c>
      <c r="AH93" s="648">
        <f t="shared" si="56"/>
        <v>0</v>
      </c>
      <c r="AI93" s="826">
        <f t="shared" si="55"/>
        <v>0</v>
      </c>
      <c r="AJ93" s="731">
        <f t="shared" si="57"/>
        <v>0</v>
      </c>
      <c r="AK93" s="648">
        <f t="shared" si="58"/>
        <v>0</v>
      </c>
      <c r="AL93" s="826">
        <f t="shared" si="59"/>
        <v>0</v>
      </c>
      <c r="AM93" s="636"/>
      <c r="AN93" s="636"/>
      <c r="AO93" s="636"/>
      <c r="AP93" s="636"/>
      <c r="AQ93" s="636"/>
      <c r="AR93" s="636"/>
      <c r="AS93" s="636"/>
      <c r="AT93" s="636"/>
    </row>
    <row r="94" spans="1:46" ht="15" customHeight="1">
      <c r="A94" s="4677"/>
      <c r="B94" s="2009" t="str">
        <f>'Beer Data Sheet'!B67</f>
        <v>Oats</v>
      </c>
      <c r="C94" s="754"/>
      <c r="D94" s="755" t="s">
        <v>82</v>
      </c>
      <c r="E94" s="2035">
        <f t="shared" si="51"/>
        <v>0</v>
      </c>
      <c r="F94" s="756" t="s">
        <v>82</v>
      </c>
      <c r="G94" s="2022" t="str">
        <f>'Beer Data Sheet'!B19</f>
        <v>Goldings (Worc.)</v>
      </c>
      <c r="H94" s="2021">
        <f>'Beer Data Sheet'!C19</f>
        <v>5.3</v>
      </c>
      <c r="I94" s="700">
        <v>38</v>
      </c>
      <c r="J94" s="699">
        <v>15</v>
      </c>
      <c r="K94" s="2037">
        <f t="shared" si="50"/>
        <v>19</v>
      </c>
      <c r="L94" s="2038">
        <f t="shared" si="47"/>
        <v>7.5</v>
      </c>
      <c r="M94" s="792"/>
      <c r="N94" s="1835"/>
      <c r="O94" s="1835"/>
      <c r="P94" s="1835"/>
      <c r="Q94" s="1835"/>
      <c r="R94" s="1835"/>
      <c r="S94" s="1835"/>
      <c r="T94" s="1835"/>
      <c r="U94" s="1835"/>
      <c r="V94" s="1835"/>
      <c r="W94" s="1835"/>
      <c r="X94" s="1835"/>
      <c r="Y94" s="1835"/>
      <c r="Z94" s="637"/>
      <c r="AA94" s="648">
        <f t="shared" si="48"/>
        <v>201.4</v>
      </c>
      <c r="AB94" s="648">
        <f t="shared" si="49"/>
        <v>79.5</v>
      </c>
      <c r="AC94" s="648"/>
      <c r="AD94" s="731">
        <f>'Beer Data Sheet'!C67*$L$4/100</f>
        <v>190</v>
      </c>
      <c r="AE94" s="509">
        <f t="shared" si="52"/>
        <v>0.76</v>
      </c>
      <c r="AF94" s="731">
        <f>'Beer Data Sheet'!E67</f>
        <v>1.0649999999999999</v>
      </c>
      <c r="AG94" s="4639">
        <f t="shared" si="53"/>
        <v>0</v>
      </c>
      <c r="AH94" s="648">
        <f t="shared" si="56"/>
        <v>0</v>
      </c>
      <c r="AI94" s="826">
        <f t="shared" si="55"/>
        <v>0</v>
      </c>
      <c r="AJ94" s="731">
        <f t="shared" si="57"/>
        <v>0</v>
      </c>
      <c r="AK94" s="648">
        <f t="shared" si="58"/>
        <v>0</v>
      </c>
      <c r="AL94" s="826">
        <f t="shared" si="59"/>
        <v>0</v>
      </c>
      <c r="AM94" s="636"/>
      <c r="AN94" s="636"/>
      <c r="AO94" s="636"/>
      <c r="AP94" s="636"/>
      <c r="AQ94" s="636"/>
      <c r="AR94" s="636"/>
      <c r="AS94" s="636"/>
      <c r="AT94" s="636"/>
    </row>
    <row r="95" spans="1:46" ht="15" customHeight="1">
      <c r="A95" s="4677"/>
      <c r="B95" s="2009" t="str">
        <f>'Beer Data Sheet'!B68</f>
        <v>Torrified wheat</v>
      </c>
      <c r="C95" s="754"/>
      <c r="D95" s="755" t="s">
        <v>82</v>
      </c>
      <c r="E95" s="2035">
        <f t="shared" si="51"/>
        <v>0</v>
      </c>
      <c r="F95" s="756" t="s">
        <v>82</v>
      </c>
      <c r="G95" s="2022" t="str">
        <f>'Beer Data Sheet'!B20</f>
        <v>Hallertauer ("German")</v>
      </c>
      <c r="H95" s="2021">
        <f>'Beer Data Sheet'!C20</f>
        <v>2</v>
      </c>
      <c r="I95" s="796"/>
      <c r="J95" s="797"/>
      <c r="K95" s="2037">
        <f t="shared" si="50"/>
        <v>0</v>
      </c>
      <c r="L95" s="2038">
        <f t="shared" si="47"/>
        <v>0</v>
      </c>
      <c r="M95" s="792"/>
      <c r="N95" s="1835"/>
      <c r="O95" s="1835"/>
      <c r="P95" s="1835"/>
      <c r="Q95" s="1835"/>
      <c r="R95" s="1835"/>
      <c r="S95" s="1835"/>
      <c r="T95" s="1835"/>
      <c r="U95" s="1835"/>
      <c r="V95" s="1835"/>
      <c r="W95" s="1835"/>
      <c r="X95" s="1835"/>
      <c r="Y95" s="1835"/>
      <c r="Z95" s="637"/>
      <c r="AA95" s="648">
        <f t="shared" si="48"/>
        <v>0</v>
      </c>
      <c r="AB95" s="648">
        <f t="shared" si="49"/>
        <v>0</v>
      </c>
      <c r="AC95" s="648"/>
      <c r="AD95" s="731">
        <f>'Beer Data Sheet'!C68*$L$4/100</f>
        <v>218.88</v>
      </c>
      <c r="AE95" s="509">
        <f t="shared" si="52"/>
        <v>0.76</v>
      </c>
      <c r="AF95" s="731">
        <f>'Beer Data Sheet'!E68</f>
        <v>2.84</v>
      </c>
      <c r="AG95" s="4639">
        <f t="shared" si="53"/>
        <v>0</v>
      </c>
      <c r="AH95" s="648">
        <f t="shared" si="56"/>
        <v>0</v>
      </c>
      <c r="AI95" s="826">
        <f t="shared" si="55"/>
        <v>0</v>
      </c>
      <c r="AJ95" s="731">
        <f t="shared" si="57"/>
        <v>0</v>
      </c>
      <c r="AK95" s="648">
        <f t="shared" si="58"/>
        <v>0</v>
      </c>
      <c r="AL95" s="826">
        <f t="shared" si="59"/>
        <v>0</v>
      </c>
      <c r="AM95" s="636"/>
      <c r="AN95" s="636"/>
      <c r="AO95" s="636"/>
      <c r="AP95" s="636"/>
      <c r="AQ95" s="636"/>
      <c r="AR95" s="636"/>
      <c r="AS95" s="636"/>
      <c r="AT95" s="636"/>
    </row>
    <row r="96" spans="1:46" ht="15" customHeight="1">
      <c r="A96" s="4677"/>
      <c r="B96" s="2009" t="str">
        <f>'Beer Data Sheet'!B69</f>
        <v xml:space="preserve">Wheat flakes </v>
      </c>
      <c r="C96" s="754"/>
      <c r="D96" s="755" t="s">
        <v>82</v>
      </c>
      <c r="E96" s="2035">
        <f t="shared" si="51"/>
        <v>0</v>
      </c>
      <c r="F96" s="756" t="s">
        <v>82</v>
      </c>
      <c r="G96" s="2022" t="str">
        <f>'Beer Data Sheet'!B21</f>
        <v>Hallertauer ("Pacific")</v>
      </c>
      <c r="H96" s="2021">
        <f>'Beer Data Sheet'!C21</f>
        <v>6.7</v>
      </c>
      <c r="I96" s="700"/>
      <c r="J96" s="797"/>
      <c r="K96" s="2037">
        <f t="shared" si="50"/>
        <v>0</v>
      </c>
      <c r="L96" s="2038">
        <f t="shared" si="47"/>
        <v>0</v>
      </c>
      <c r="M96" s="792"/>
      <c r="N96" s="1835"/>
      <c r="O96" s="1835"/>
      <c r="P96" s="1835"/>
      <c r="Q96" s="1835"/>
      <c r="R96" s="1835"/>
      <c r="S96" s="1835"/>
      <c r="T96" s="1835"/>
      <c r="U96" s="1835"/>
      <c r="V96" s="1835"/>
      <c r="W96" s="1835"/>
      <c r="X96" s="1835"/>
      <c r="Y96" s="1835"/>
      <c r="Z96" s="637"/>
      <c r="AA96" s="648">
        <f t="shared" si="48"/>
        <v>0</v>
      </c>
      <c r="AB96" s="648">
        <f t="shared" si="49"/>
        <v>0</v>
      </c>
      <c r="AC96" s="648"/>
      <c r="AD96" s="731">
        <f>'Beer Data Sheet'!C69*$L$4/100</f>
        <v>131.47999999999999</v>
      </c>
      <c r="AE96" s="509">
        <f t="shared" si="52"/>
        <v>0.76</v>
      </c>
      <c r="AF96" s="731">
        <f>'Beer Data Sheet'!E69</f>
        <v>0</v>
      </c>
      <c r="AG96" s="4639">
        <f t="shared" si="53"/>
        <v>0</v>
      </c>
      <c r="AH96" s="648">
        <f t="shared" si="56"/>
        <v>0</v>
      </c>
      <c r="AI96" s="826">
        <f t="shared" si="55"/>
        <v>0</v>
      </c>
      <c r="AJ96" s="731">
        <f t="shared" si="57"/>
        <v>0</v>
      </c>
      <c r="AK96" s="648">
        <f t="shared" si="58"/>
        <v>0</v>
      </c>
      <c r="AL96" s="826">
        <f t="shared" si="59"/>
        <v>0</v>
      </c>
      <c r="AM96" s="636"/>
      <c r="AN96" s="636"/>
      <c r="AO96" s="636"/>
      <c r="AP96" s="636"/>
      <c r="AQ96" s="636"/>
      <c r="AR96" s="636"/>
      <c r="AS96" s="636"/>
      <c r="AT96" s="636"/>
    </row>
    <row r="97" spans="1:46" ht="15" customHeight="1">
      <c r="A97" s="4677"/>
      <c r="B97" s="2009" t="str">
        <f>'Beer Data Sheet'!B70</f>
        <v>Wheat flour</v>
      </c>
      <c r="C97" s="754"/>
      <c r="D97" s="755" t="s">
        <v>82</v>
      </c>
      <c r="E97" s="2035">
        <f t="shared" si="51"/>
        <v>0</v>
      </c>
      <c r="F97" s="756" t="s">
        <v>82</v>
      </c>
      <c r="G97" s="2022" t="str">
        <f>'Beer Data Sheet'!B22</f>
        <v>Lublin</v>
      </c>
      <c r="H97" s="2021">
        <f>'Beer Data Sheet'!C22</f>
        <v>3</v>
      </c>
      <c r="I97" s="700"/>
      <c r="J97" s="797"/>
      <c r="K97" s="2037">
        <f t="shared" si="50"/>
        <v>0</v>
      </c>
      <c r="L97" s="2038">
        <f t="shared" si="47"/>
        <v>0</v>
      </c>
      <c r="M97" s="792"/>
      <c r="N97" s="1835"/>
      <c r="O97" s="1835"/>
      <c r="P97" s="1835"/>
      <c r="Q97" s="1835"/>
      <c r="R97" s="1835"/>
      <c r="S97" s="1835"/>
      <c r="T97" s="1835"/>
      <c r="U97" s="1835"/>
      <c r="V97" s="1835"/>
      <c r="W97" s="1835"/>
      <c r="X97" s="1835"/>
      <c r="Y97" s="1835"/>
      <c r="Z97" s="637"/>
      <c r="AA97" s="648">
        <f t="shared" si="48"/>
        <v>0</v>
      </c>
      <c r="AB97" s="648">
        <f t="shared" si="49"/>
        <v>0</v>
      </c>
      <c r="AC97" s="648"/>
      <c r="AD97" s="731">
        <f>'Beer Data Sheet'!C70*$L$4/100</f>
        <v>231.04</v>
      </c>
      <c r="AE97" s="509">
        <f t="shared" si="52"/>
        <v>0.76</v>
      </c>
      <c r="AF97" s="731">
        <f>'Beer Data Sheet'!E70</f>
        <v>0</v>
      </c>
      <c r="AG97" s="4639">
        <f t="shared" si="53"/>
        <v>0</v>
      </c>
      <c r="AH97" s="648">
        <f t="shared" si="56"/>
        <v>0</v>
      </c>
      <c r="AI97" s="826">
        <f t="shared" si="55"/>
        <v>0</v>
      </c>
      <c r="AJ97" s="731">
        <f t="shared" si="57"/>
        <v>0</v>
      </c>
      <c r="AK97" s="648">
        <f t="shared" si="58"/>
        <v>0</v>
      </c>
      <c r="AL97" s="826">
        <f t="shared" si="59"/>
        <v>0</v>
      </c>
      <c r="AM97" s="636"/>
      <c r="AN97" s="636"/>
      <c r="AO97" s="636"/>
      <c r="AP97" s="636"/>
      <c r="AQ97" s="636"/>
      <c r="AR97" s="636"/>
      <c r="AS97" s="636"/>
      <c r="AT97" s="636"/>
    </row>
    <row r="98" spans="1:46" ht="15" customHeight="1">
      <c r="A98" s="4677"/>
      <c r="B98" s="2010" t="str">
        <f>'Beer Data Sheet'!B71</f>
        <v>Wheat malt ̸ Malted wheat</v>
      </c>
      <c r="C98" s="757"/>
      <c r="D98" s="758" t="s">
        <v>82</v>
      </c>
      <c r="E98" s="2035">
        <f t="shared" si="51"/>
        <v>0</v>
      </c>
      <c r="F98" s="759" t="s">
        <v>82</v>
      </c>
      <c r="G98" s="2022" t="str">
        <f>'Beer Data Sheet'!B23</f>
        <v>Magnum</v>
      </c>
      <c r="H98" s="2021">
        <f>'Beer Data Sheet'!C23</f>
        <v>13</v>
      </c>
      <c r="I98" s="700"/>
      <c r="J98" s="797"/>
      <c r="K98" s="2037">
        <f t="shared" si="50"/>
        <v>0</v>
      </c>
      <c r="L98" s="2038">
        <f t="shared" si="47"/>
        <v>0</v>
      </c>
      <c r="M98" s="792"/>
      <c r="N98" s="1835"/>
      <c r="O98" s="1835"/>
      <c r="P98" s="1835"/>
      <c r="Q98" s="1835"/>
      <c r="R98" s="1835"/>
      <c r="S98" s="1835"/>
      <c r="T98" s="1835"/>
      <c r="U98" s="1835"/>
      <c r="V98" s="1835"/>
      <c r="W98" s="1835"/>
      <c r="X98" s="1835"/>
      <c r="Y98" s="1835"/>
      <c r="Z98" s="637"/>
      <c r="AA98" s="648">
        <f t="shared" si="48"/>
        <v>0</v>
      </c>
      <c r="AB98" s="648">
        <f t="shared" si="49"/>
        <v>0</v>
      </c>
      <c r="AC98" s="648"/>
      <c r="AD98" s="731">
        <f>'Beer Data Sheet'!C71*$L$4/100</f>
        <v>231.8</v>
      </c>
      <c r="AE98" s="509">
        <f t="shared" si="52"/>
        <v>0.76</v>
      </c>
      <c r="AF98" s="731">
        <f>'Beer Data Sheet'!E71</f>
        <v>2.13</v>
      </c>
      <c r="AG98" s="4639">
        <f t="shared" si="53"/>
        <v>0</v>
      </c>
      <c r="AH98" s="648">
        <f t="shared" si="56"/>
        <v>0</v>
      </c>
      <c r="AI98" s="826">
        <f t="shared" si="55"/>
        <v>0</v>
      </c>
      <c r="AJ98" s="731">
        <f t="shared" si="57"/>
        <v>0</v>
      </c>
      <c r="AK98" s="648">
        <f t="shared" si="58"/>
        <v>0</v>
      </c>
      <c r="AL98" s="826">
        <f t="shared" si="59"/>
        <v>0</v>
      </c>
      <c r="AM98" s="636"/>
      <c r="AN98" s="636"/>
      <c r="AO98" s="636"/>
      <c r="AP98" s="636"/>
      <c r="AQ98" s="636"/>
      <c r="AR98" s="636"/>
      <c r="AS98" s="636"/>
      <c r="AT98" s="636"/>
    </row>
    <row r="99" spans="1:46" ht="15" customHeight="1">
      <c r="A99" s="3670" t="s">
        <v>1105</v>
      </c>
      <c r="B99" s="2011" t="str">
        <f>'Beer Data Sheet'!B72</f>
        <v>Black</v>
      </c>
      <c r="C99" s="760"/>
      <c r="D99" s="761" t="s">
        <v>82</v>
      </c>
      <c r="E99" s="2035">
        <f t="shared" si="51"/>
        <v>0</v>
      </c>
      <c r="F99" s="762" t="s">
        <v>82</v>
      </c>
      <c r="G99" s="2022" t="str">
        <f>'Beer Data Sheet'!B24</f>
        <v>Marynka</v>
      </c>
      <c r="H99" s="2021">
        <f>'Beer Data Sheet'!C24</f>
        <v>10.5</v>
      </c>
      <c r="I99" s="700"/>
      <c r="J99" s="699"/>
      <c r="K99" s="2037">
        <f t="shared" si="50"/>
        <v>0</v>
      </c>
      <c r="L99" s="2038">
        <f t="shared" si="47"/>
        <v>0</v>
      </c>
      <c r="M99" s="792"/>
      <c r="N99" s="1835"/>
      <c r="O99" s="1835"/>
      <c r="P99" s="1835"/>
      <c r="Q99" s="1835"/>
      <c r="R99" s="1835"/>
      <c r="S99" s="1835"/>
      <c r="T99" s="1835"/>
      <c r="U99" s="1835"/>
      <c r="V99" s="1835"/>
      <c r="W99" s="1835"/>
      <c r="X99" s="1835"/>
      <c r="Y99" s="1835"/>
      <c r="Z99" s="637"/>
      <c r="AA99" s="648">
        <f t="shared" si="48"/>
        <v>0</v>
      </c>
      <c r="AB99" s="648">
        <f t="shared" si="49"/>
        <v>0</v>
      </c>
      <c r="AC99" s="648"/>
      <c r="AD99" s="731">
        <f>'Beer Data Sheet'!C72*$L$4/100</f>
        <v>201.4</v>
      </c>
      <c r="AE99" s="509">
        <f t="shared" si="52"/>
        <v>0.76</v>
      </c>
      <c r="AF99" s="731">
        <f>'Beer Data Sheet'!E72</f>
        <v>908.8</v>
      </c>
      <c r="AG99" s="4639">
        <f t="shared" si="53"/>
        <v>0</v>
      </c>
      <c r="AH99" s="648">
        <f t="shared" si="56"/>
        <v>0</v>
      </c>
      <c r="AI99" s="826">
        <f t="shared" si="55"/>
        <v>0</v>
      </c>
      <c r="AJ99" s="731">
        <f t="shared" si="57"/>
        <v>0</v>
      </c>
      <c r="AK99" s="648">
        <f t="shared" si="58"/>
        <v>0</v>
      </c>
      <c r="AL99" s="826">
        <f t="shared" si="59"/>
        <v>0</v>
      </c>
      <c r="AM99" s="636"/>
      <c r="AN99" s="636"/>
      <c r="AO99" s="636"/>
      <c r="AP99" s="636"/>
      <c r="AQ99" s="636"/>
      <c r="AR99" s="636"/>
      <c r="AS99" s="636"/>
      <c r="AT99" s="636"/>
    </row>
    <row r="100" spans="1:46" ht="15" customHeight="1">
      <c r="A100" s="3670"/>
      <c r="B100" s="2012" t="str">
        <f>'Beer Data Sheet'!B73</f>
        <v>Chocolate</v>
      </c>
      <c r="C100" s="754">
        <v>200</v>
      </c>
      <c r="D100" s="763" t="s">
        <v>82</v>
      </c>
      <c r="E100" s="2035">
        <f>C100*F$73/C$73</f>
        <v>100</v>
      </c>
      <c r="F100" s="679" t="s">
        <v>82</v>
      </c>
      <c r="G100" s="2022" t="str">
        <f>'Beer Data Sheet'!B25</f>
        <v>Mount Hood</v>
      </c>
      <c r="H100" s="2021">
        <f>'Beer Data Sheet'!C25</f>
        <v>5</v>
      </c>
      <c r="I100" s="700"/>
      <c r="J100" s="699"/>
      <c r="K100" s="2037">
        <f t="shared" si="50"/>
        <v>0</v>
      </c>
      <c r="L100" s="2038">
        <f t="shared" si="47"/>
        <v>0</v>
      </c>
      <c r="M100" s="792"/>
      <c r="N100" s="1835"/>
      <c r="O100" s="1835"/>
      <c r="P100" s="1835"/>
      <c r="Q100" s="1835"/>
      <c r="R100" s="1835"/>
      <c r="S100" s="1835"/>
      <c r="T100" s="1835"/>
      <c r="U100" s="1835"/>
      <c r="V100" s="1835"/>
      <c r="W100" s="1835"/>
      <c r="X100" s="1835"/>
      <c r="Y100" s="1835"/>
      <c r="Z100" s="637"/>
      <c r="AA100" s="648">
        <f t="shared" si="48"/>
        <v>0</v>
      </c>
      <c r="AB100" s="648">
        <f t="shared" si="49"/>
        <v>0</v>
      </c>
      <c r="AC100" s="648"/>
      <c r="AD100" s="731">
        <f>'Beer Data Sheet'!C73*$L$4/100</f>
        <v>201.4</v>
      </c>
      <c r="AE100" s="509">
        <f t="shared" si="52"/>
        <v>0.76</v>
      </c>
      <c r="AF100" s="731">
        <f>'Beer Data Sheet'!E73</f>
        <v>763.2</v>
      </c>
      <c r="AG100" s="4639">
        <f t="shared" si="53"/>
        <v>40.28</v>
      </c>
      <c r="AH100" s="648">
        <f t="shared" si="56"/>
        <v>30.6128</v>
      </c>
      <c r="AI100" s="826">
        <f t="shared" si="55"/>
        <v>1526.4</v>
      </c>
      <c r="AJ100" s="731">
        <f t="shared" si="57"/>
        <v>20.14</v>
      </c>
      <c r="AK100" s="648">
        <f t="shared" si="58"/>
        <v>15.3064</v>
      </c>
      <c r="AL100" s="826">
        <f t="shared" si="59"/>
        <v>763.2</v>
      </c>
      <c r="AM100" s="636"/>
      <c r="AN100" s="636"/>
      <c r="AO100" s="636"/>
      <c r="AP100" s="636"/>
      <c r="AQ100" s="636"/>
      <c r="AR100" s="636"/>
      <c r="AS100" s="636"/>
      <c r="AT100" s="636"/>
    </row>
    <row r="101" spans="1:46" ht="15" customHeight="1">
      <c r="A101" s="3670"/>
      <c r="B101" s="2012" t="str">
        <f>'Beer Data Sheet'!B74</f>
        <v>Crystal (light)</v>
      </c>
      <c r="C101" s="754"/>
      <c r="D101" s="763" t="s">
        <v>82</v>
      </c>
      <c r="E101" s="2035">
        <f t="shared" ref="E101:E115" si="60">C101*F$73/C$73</f>
        <v>0</v>
      </c>
      <c r="F101" s="679" t="s">
        <v>82</v>
      </c>
      <c r="G101" s="2022" t="str">
        <f>'Beer Data Sheet'!B26</f>
        <v>Northdown</v>
      </c>
      <c r="H101" s="2021">
        <f>'Beer Data Sheet'!C26</f>
        <v>8</v>
      </c>
      <c r="I101" s="700"/>
      <c r="J101" s="699"/>
      <c r="K101" s="2037">
        <f t="shared" si="50"/>
        <v>0</v>
      </c>
      <c r="L101" s="2038">
        <f t="shared" si="47"/>
        <v>0</v>
      </c>
      <c r="M101" s="792"/>
      <c r="N101" s="1835"/>
      <c r="O101" s="1835"/>
      <c r="P101" s="1835"/>
      <c r="Q101" s="1835"/>
      <c r="R101" s="1835"/>
      <c r="S101" s="1835"/>
      <c r="T101" s="1835"/>
      <c r="U101" s="1835"/>
      <c r="V101" s="1835"/>
      <c r="W101" s="1835"/>
      <c r="X101" s="1835"/>
      <c r="Y101" s="1835"/>
      <c r="Z101" s="637"/>
      <c r="AA101" s="648">
        <f t="shared" si="48"/>
        <v>0</v>
      </c>
      <c r="AB101" s="648">
        <f t="shared" si="49"/>
        <v>0</v>
      </c>
      <c r="AC101" s="648"/>
      <c r="AD101" s="731">
        <f>'Beer Data Sheet'!C74*$L$4/100</f>
        <v>201.4</v>
      </c>
      <c r="AE101" s="509">
        <f t="shared" si="52"/>
        <v>0.76</v>
      </c>
      <c r="AF101" s="731">
        <f>'Beer Data Sheet'!E74</f>
        <v>77.7</v>
      </c>
      <c r="AG101" s="4639">
        <f t="shared" si="53"/>
        <v>0</v>
      </c>
      <c r="AH101" s="648">
        <f t="shared" si="56"/>
        <v>0</v>
      </c>
      <c r="AI101" s="826">
        <f t="shared" si="55"/>
        <v>0</v>
      </c>
      <c r="AJ101" s="731">
        <f t="shared" si="57"/>
        <v>0</v>
      </c>
      <c r="AK101" s="648">
        <f t="shared" si="58"/>
        <v>0</v>
      </c>
      <c r="AL101" s="826">
        <f t="shared" si="59"/>
        <v>0</v>
      </c>
      <c r="AM101" s="636"/>
      <c r="AN101" s="636"/>
      <c r="AO101" s="636"/>
      <c r="AP101" s="636"/>
      <c r="AQ101" s="636"/>
      <c r="AR101" s="636"/>
      <c r="AS101" s="636"/>
      <c r="AT101" s="636"/>
    </row>
    <row r="102" spans="1:46" ht="15" customHeight="1">
      <c r="A102" s="3670"/>
      <c r="B102" s="2012" t="str">
        <f>'Beer Data Sheet'!B75</f>
        <v>Crystal (medium)</v>
      </c>
      <c r="C102" s="754"/>
      <c r="D102" s="763" t="s">
        <v>82</v>
      </c>
      <c r="E102" s="2035">
        <f t="shared" si="60"/>
        <v>0</v>
      </c>
      <c r="F102" s="679" t="s">
        <v>82</v>
      </c>
      <c r="G102" s="2022" t="str">
        <f>'Beer Data Sheet'!B27</f>
        <v>Northern Brewer</v>
      </c>
      <c r="H102" s="2021">
        <f>'Beer Data Sheet'!C27</f>
        <v>7.5</v>
      </c>
      <c r="I102" s="700"/>
      <c r="J102" s="699"/>
      <c r="K102" s="2037">
        <f t="shared" si="50"/>
        <v>0</v>
      </c>
      <c r="L102" s="2038">
        <f t="shared" si="47"/>
        <v>0</v>
      </c>
      <c r="M102" s="792"/>
      <c r="N102" s="1835"/>
      <c r="O102" s="1835"/>
      <c r="P102" s="1835"/>
      <c r="Q102" s="1835"/>
      <c r="R102" s="1835"/>
      <c r="S102" s="1835"/>
      <c r="T102" s="1835"/>
      <c r="U102" s="1835"/>
      <c r="V102" s="1835"/>
      <c r="W102" s="1835"/>
      <c r="X102" s="1835"/>
      <c r="Y102" s="1835"/>
      <c r="Z102" s="637"/>
      <c r="AA102" s="648">
        <f t="shared" si="48"/>
        <v>0</v>
      </c>
      <c r="AB102" s="648">
        <f t="shared" si="49"/>
        <v>0</v>
      </c>
      <c r="AC102" s="648"/>
      <c r="AD102" s="731">
        <f>'Beer Data Sheet'!C75*$L$4/100</f>
        <v>201.4</v>
      </c>
      <c r="AE102" s="509">
        <f t="shared" si="52"/>
        <v>0.76</v>
      </c>
      <c r="AF102" s="731">
        <f>'Beer Data Sheet'!E75</f>
        <v>103.6</v>
      </c>
      <c r="AG102" s="4639">
        <f t="shared" si="53"/>
        <v>0</v>
      </c>
      <c r="AH102" s="648">
        <f t="shared" si="56"/>
        <v>0</v>
      </c>
      <c r="AI102" s="826">
        <f t="shared" si="55"/>
        <v>0</v>
      </c>
      <c r="AJ102" s="731">
        <f t="shared" si="57"/>
        <v>0</v>
      </c>
      <c r="AK102" s="648">
        <f t="shared" si="58"/>
        <v>0</v>
      </c>
      <c r="AL102" s="826">
        <f t="shared" si="59"/>
        <v>0</v>
      </c>
      <c r="AM102" s="636"/>
      <c r="AN102" s="636"/>
      <c r="AO102" s="636"/>
      <c r="AP102" s="636"/>
      <c r="AQ102" s="636"/>
      <c r="AR102" s="636"/>
      <c r="AS102" s="636"/>
      <c r="AT102" s="636"/>
    </row>
    <row r="103" spans="1:46" ht="15" customHeight="1">
      <c r="A103" s="3670"/>
      <c r="B103" s="2012" t="str">
        <f>'Beer Data Sheet'!B76</f>
        <v>Crystal (dark)</v>
      </c>
      <c r="C103" s="754"/>
      <c r="D103" s="763" t="s">
        <v>82</v>
      </c>
      <c r="E103" s="2035">
        <f t="shared" si="60"/>
        <v>0</v>
      </c>
      <c r="F103" s="679" t="s">
        <v>82</v>
      </c>
      <c r="G103" s="2022" t="str">
        <f>'Beer Data Sheet'!B28</f>
        <v>Perle</v>
      </c>
      <c r="H103" s="2021">
        <f>'Beer Data Sheet'!C28</f>
        <v>8</v>
      </c>
      <c r="I103" s="700"/>
      <c r="J103" s="699"/>
      <c r="K103" s="2037">
        <f t="shared" si="50"/>
        <v>0</v>
      </c>
      <c r="L103" s="2038">
        <f t="shared" si="47"/>
        <v>0</v>
      </c>
      <c r="M103" s="792"/>
      <c r="N103" s="1835"/>
      <c r="O103" s="1835"/>
      <c r="P103" s="1835"/>
      <c r="Q103" s="1835"/>
      <c r="R103" s="1835"/>
      <c r="S103" s="1835"/>
      <c r="T103" s="1835"/>
      <c r="U103" s="1835"/>
      <c r="V103" s="1835"/>
      <c r="W103" s="1835"/>
      <c r="X103" s="1835"/>
      <c r="Y103" s="1835"/>
      <c r="Z103" s="637"/>
      <c r="AA103" s="648">
        <f t="shared" si="48"/>
        <v>0</v>
      </c>
      <c r="AB103" s="648">
        <f t="shared" si="49"/>
        <v>0</v>
      </c>
      <c r="AC103" s="648"/>
      <c r="AD103" s="731">
        <f>'Beer Data Sheet'!C76*$L$4/100</f>
        <v>201.4</v>
      </c>
      <c r="AE103" s="509">
        <f t="shared" si="52"/>
        <v>0.76</v>
      </c>
      <c r="AF103" s="731">
        <f>'Beer Data Sheet'!E76</f>
        <v>148</v>
      </c>
      <c r="AG103" s="4639">
        <f t="shared" si="53"/>
        <v>0</v>
      </c>
      <c r="AH103" s="648">
        <f t="shared" si="56"/>
        <v>0</v>
      </c>
      <c r="AI103" s="826">
        <f t="shared" si="55"/>
        <v>0</v>
      </c>
      <c r="AJ103" s="731">
        <f t="shared" si="57"/>
        <v>0</v>
      </c>
      <c r="AK103" s="648">
        <f t="shared" si="58"/>
        <v>0</v>
      </c>
      <c r="AL103" s="826">
        <f t="shared" si="59"/>
        <v>0</v>
      </c>
      <c r="AM103" s="636"/>
      <c r="AN103" s="636"/>
      <c r="AO103" s="636"/>
      <c r="AP103" s="636"/>
      <c r="AQ103" s="636"/>
      <c r="AR103" s="636"/>
      <c r="AS103" s="636"/>
      <c r="AT103" s="636"/>
    </row>
    <row r="104" spans="1:46" ht="15" customHeight="1">
      <c r="A104" s="3670"/>
      <c r="B104" s="2012" t="str">
        <f>'Beer Data Sheet'!B77</f>
        <v>Caramalt</v>
      </c>
      <c r="C104" s="754"/>
      <c r="D104" s="763" t="s">
        <v>82</v>
      </c>
      <c r="E104" s="2035">
        <f t="shared" si="60"/>
        <v>0</v>
      </c>
      <c r="F104" s="679" t="s">
        <v>82</v>
      </c>
      <c r="G104" s="2022" t="str">
        <f>'Beer Data Sheet'!B29</f>
        <v>Pioneer</v>
      </c>
      <c r="H104" s="2021">
        <f>'Beer Data Sheet'!C29</f>
        <v>8</v>
      </c>
      <c r="I104" s="700"/>
      <c r="J104" s="699"/>
      <c r="K104" s="2037">
        <f t="shared" si="50"/>
        <v>0</v>
      </c>
      <c r="L104" s="2038">
        <f t="shared" si="47"/>
        <v>0</v>
      </c>
      <c r="M104" s="792"/>
      <c r="N104" s="1835"/>
      <c r="O104" s="1835"/>
      <c r="P104" s="1835"/>
      <c r="Q104" s="1835"/>
      <c r="R104" s="1835"/>
      <c r="S104" s="1835"/>
      <c r="T104" s="1835"/>
      <c r="U104" s="1835"/>
      <c r="V104" s="1835"/>
      <c r="W104" s="1835"/>
      <c r="X104" s="1835"/>
      <c r="Y104" s="1835"/>
      <c r="Z104" s="637"/>
      <c r="AA104" s="648">
        <f t="shared" si="48"/>
        <v>0</v>
      </c>
      <c r="AB104" s="648">
        <f t="shared" si="49"/>
        <v>0</v>
      </c>
      <c r="AC104" s="648"/>
      <c r="AD104" s="731">
        <f>'Beer Data Sheet'!C77*$L$4/100</f>
        <v>201.4</v>
      </c>
      <c r="AE104" s="509">
        <f t="shared" si="52"/>
        <v>0.76</v>
      </c>
      <c r="AF104" s="731">
        <f>'Beer Data Sheet'!E77</f>
        <v>17.75</v>
      </c>
      <c r="AG104" s="4639">
        <f t="shared" si="53"/>
        <v>0</v>
      </c>
      <c r="AH104" s="648">
        <f t="shared" si="56"/>
        <v>0</v>
      </c>
      <c r="AI104" s="826">
        <f t="shared" si="55"/>
        <v>0</v>
      </c>
      <c r="AJ104" s="731">
        <f t="shared" si="57"/>
        <v>0</v>
      </c>
      <c r="AK104" s="648">
        <f t="shared" si="58"/>
        <v>0</v>
      </c>
      <c r="AL104" s="826">
        <f t="shared" si="59"/>
        <v>0</v>
      </c>
      <c r="AM104" s="636"/>
      <c r="AN104" s="636"/>
      <c r="AO104" s="636"/>
      <c r="AP104" s="636"/>
      <c r="AQ104" s="636"/>
      <c r="AR104" s="636"/>
      <c r="AS104" s="636"/>
      <c r="AT104" s="636"/>
    </row>
    <row r="105" spans="1:46" ht="15" customHeight="1">
      <c r="A105" s="3670"/>
      <c r="B105" s="2012" t="str">
        <f>'Beer Data Sheet'!B78</f>
        <v>Caramalt Light)</v>
      </c>
      <c r="C105" s="754"/>
      <c r="D105" s="763" t="s">
        <v>82</v>
      </c>
      <c r="E105" s="2035">
        <f t="shared" si="60"/>
        <v>0</v>
      </c>
      <c r="F105" s="679" t="s">
        <v>82</v>
      </c>
      <c r="G105" s="2022" t="str">
        <f>'Beer Data Sheet'!B30</f>
        <v>Progress</v>
      </c>
      <c r="H105" s="2021">
        <f>'Beer Data Sheet'!C30</f>
        <v>9</v>
      </c>
      <c r="I105" s="700"/>
      <c r="J105" s="699"/>
      <c r="K105" s="2037">
        <f t="shared" si="50"/>
        <v>0</v>
      </c>
      <c r="L105" s="2038">
        <f t="shared" si="47"/>
        <v>0</v>
      </c>
      <c r="M105" s="792"/>
      <c r="N105" s="1835"/>
      <c r="O105" s="1835"/>
      <c r="P105" s="1835"/>
      <c r="Q105" s="1835"/>
      <c r="R105" s="1835"/>
      <c r="S105" s="1835"/>
      <c r="T105" s="1835"/>
      <c r="U105" s="1835"/>
      <c r="V105" s="1835"/>
      <c r="W105" s="1835"/>
      <c r="X105" s="1835"/>
      <c r="Y105" s="1835"/>
      <c r="Z105" s="637"/>
      <c r="AA105" s="648">
        <f t="shared" si="48"/>
        <v>0</v>
      </c>
      <c r="AB105" s="648">
        <f t="shared" si="49"/>
        <v>0</v>
      </c>
      <c r="AC105" s="648"/>
      <c r="AD105" s="731">
        <f>'Beer Data Sheet'!C78*$L$4/100</f>
        <v>201.4</v>
      </c>
      <c r="AE105" s="509">
        <f t="shared" si="52"/>
        <v>0.76</v>
      </c>
      <c r="AF105" s="731">
        <f>'Beer Data Sheet'!E78</f>
        <v>8.52</v>
      </c>
      <c r="AG105" s="4639">
        <f t="shared" si="53"/>
        <v>0</v>
      </c>
      <c r="AH105" s="648">
        <f t="shared" si="56"/>
        <v>0</v>
      </c>
      <c r="AI105" s="826">
        <f t="shared" si="55"/>
        <v>0</v>
      </c>
      <c r="AJ105" s="731">
        <f t="shared" si="57"/>
        <v>0</v>
      </c>
      <c r="AK105" s="648">
        <f t="shared" si="58"/>
        <v>0</v>
      </c>
      <c r="AL105" s="826">
        <f t="shared" si="59"/>
        <v>0</v>
      </c>
      <c r="AM105" s="636"/>
      <c r="AN105" s="636"/>
      <c r="AO105" s="636"/>
      <c r="AP105" s="636"/>
      <c r="AQ105" s="636"/>
      <c r="AR105" s="636"/>
      <c r="AS105" s="636"/>
      <c r="AT105" s="636"/>
    </row>
    <row r="106" spans="1:46" ht="15" customHeight="1">
      <c r="A106" s="3670"/>
      <c r="B106" s="2012" t="str">
        <f>'Beer Data Sheet'!B79</f>
        <v>Carapils</v>
      </c>
      <c r="C106" s="754"/>
      <c r="D106" s="763" t="s">
        <v>82</v>
      </c>
      <c r="E106" s="2035">
        <f t="shared" si="60"/>
        <v>0</v>
      </c>
      <c r="F106" s="679" t="s">
        <v>82</v>
      </c>
      <c r="G106" s="2022" t="str">
        <f>'Beer Data Sheet'!B31</f>
        <v>Styrian Goldings</v>
      </c>
      <c r="H106" s="2021">
        <f>'Beer Data Sheet'!C31</f>
        <v>5.5</v>
      </c>
      <c r="I106" s="700"/>
      <c r="J106" s="699"/>
      <c r="K106" s="2037">
        <f t="shared" si="50"/>
        <v>0</v>
      </c>
      <c r="L106" s="2038">
        <f t="shared" si="47"/>
        <v>0</v>
      </c>
      <c r="M106" s="792"/>
      <c r="N106" s="1835"/>
      <c r="O106" s="1835"/>
      <c r="P106" s="1835"/>
      <c r="Q106" s="1835"/>
      <c r="R106" s="1835"/>
      <c r="S106" s="1835"/>
      <c r="T106" s="1835"/>
      <c r="U106" s="1835"/>
      <c r="V106" s="1835"/>
      <c r="W106" s="1835"/>
      <c r="X106" s="1835"/>
      <c r="Y106" s="1835"/>
      <c r="Z106" s="637"/>
      <c r="AA106" s="648">
        <f t="shared" si="48"/>
        <v>0</v>
      </c>
      <c r="AB106" s="648">
        <f t="shared" si="49"/>
        <v>0</v>
      </c>
      <c r="AC106" s="648"/>
      <c r="AD106" s="731">
        <f>'Beer Data Sheet'!C79*$L$4/100</f>
        <v>201.4</v>
      </c>
      <c r="AE106" s="509">
        <f t="shared" si="52"/>
        <v>0.76</v>
      </c>
      <c r="AF106" s="731">
        <f>'Beer Data Sheet'!E79</f>
        <v>7.1</v>
      </c>
      <c r="AG106" s="4639">
        <f t="shared" si="53"/>
        <v>0</v>
      </c>
      <c r="AH106" s="648">
        <f t="shared" si="56"/>
        <v>0</v>
      </c>
      <c r="AI106" s="826">
        <f t="shared" si="55"/>
        <v>0</v>
      </c>
      <c r="AJ106" s="731">
        <f t="shared" si="57"/>
        <v>0</v>
      </c>
      <c r="AK106" s="648">
        <f t="shared" si="58"/>
        <v>0</v>
      </c>
      <c r="AL106" s="826">
        <f t="shared" si="59"/>
        <v>0</v>
      </c>
      <c r="AM106" s="636"/>
      <c r="AN106" s="636"/>
      <c r="AO106" s="636"/>
      <c r="AP106" s="636"/>
      <c r="AQ106" s="636"/>
      <c r="AR106" s="636"/>
      <c r="AS106" s="636"/>
      <c r="AT106" s="636"/>
    </row>
    <row r="107" spans="1:46" ht="15" customHeight="1">
      <c r="A107" s="3670"/>
      <c r="B107" s="2013" t="str">
        <f>'Beer Data Sheet'!B80</f>
        <v>Roast barley</v>
      </c>
      <c r="C107" s="754"/>
      <c r="D107" s="763" t="s">
        <v>82</v>
      </c>
      <c r="E107" s="2035">
        <f t="shared" si="60"/>
        <v>0</v>
      </c>
      <c r="F107" s="679" t="s">
        <v>82</v>
      </c>
      <c r="G107" s="2022" t="str">
        <f>'Beer Data Sheet'!B32</f>
        <v>Target</v>
      </c>
      <c r="H107" s="2021">
        <f>'Beer Data Sheet'!C32</f>
        <v>11.2</v>
      </c>
      <c r="I107" s="700"/>
      <c r="J107" s="699"/>
      <c r="K107" s="2037">
        <f t="shared" si="50"/>
        <v>0</v>
      </c>
      <c r="L107" s="2038">
        <f t="shared" si="47"/>
        <v>0</v>
      </c>
      <c r="M107" s="792"/>
      <c r="N107" s="1835"/>
      <c r="O107" s="1835"/>
      <c r="P107" s="1835"/>
      <c r="Q107" s="1835"/>
      <c r="R107" s="1835"/>
      <c r="S107" s="1835"/>
      <c r="T107" s="1835"/>
      <c r="U107" s="1835"/>
      <c r="V107" s="1835"/>
      <c r="W107" s="1835"/>
      <c r="X107" s="1835"/>
      <c r="Y107" s="1835"/>
      <c r="Z107" s="637"/>
      <c r="AA107" s="648">
        <f t="shared" si="48"/>
        <v>0</v>
      </c>
      <c r="AB107" s="648">
        <f t="shared" si="49"/>
        <v>0</v>
      </c>
      <c r="AC107" s="648"/>
      <c r="AD107" s="731">
        <f>'Beer Data Sheet'!C80*$L$4/100</f>
        <v>201.4</v>
      </c>
      <c r="AE107" s="509">
        <f t="shared" si="52"/>
        <v>0.76</v>
      </c>
      <c r="AF107" s="731">
        <f>'Beer Data Sheet'!E80</f>
        <v>902.8</v>
      </c>
      <c r="AG107" s="4639">
        <f t="shared" si="53"/>
        <v>0</v>
      </c>
      <c r="AH107" s="648">
        <f t="shared" si="56"/>
        <v>0</v>
      </c>
      <c r="AI107" s="826">
        <f t="shared" si="55"/>
        <v>0</v>
      </c>
      <c r="AJ107" s="731">
        <f t="shared" si="57"/>
        <v>0</v>
      </c>
      <c r="AK107" s="648">
        <f t="shared" si="58"/>
        <v>0</v>
      </c>
      <c r="AL107" s="826">
        <f t="shared" si="59"/>
        <v>0</v>
      </c>
      <c r="AM107" s="636"/>
      <c r="AN107" s="636"/>
      <c r="AO107" s="636"/>
      <c r="AP107" s="636"/>
      <c r="AQ107" s="636"/>
      <c r="AR107" s="636"/>
      <c r="AS107" s="636"/>
      <c r="AT107" s="636"/>
    </row>
    <row r="108" spans="1:46" ht="15" customHeight="1">
      <c r="A108" s="3671" t="s">
        <v>958</v>
      </c>
      <c r="B108" s="2014" t="str">
        <f>'Beer Data Sheet'!B81</f>
        <v>Extract (LIQUID - light)</v>
      </c>
      <c r="C108" s="754"/>
      <c r="D108" s="1836" t="s">
        <v>82</v>
      </c>
      <c r="E108" s="2035">
        <f t="shared" si="60"/>
        <v>0</v>
      </c>
      <c r="F108" s="679" t="s">
        <v>82</v>
      </c>
      <c r="G108" s="2022" t="str">
        <f>'Beer Data Sheet'!B33</f>
        <v>Tettnanger</v>
      </c>
      <c r="H108" s="2021">
        <f>'Beer Data Sheet'!C33</f>
        <v>5</v>
      </c>
      <c r="I108" s="700"/>
      <c r="J108" s="699"/>
      <c r="K108" s="2037">
        <f t="shared" si="50"/>
        <v>0</v>
      </c>
      <c r="L108" s="2038">
        <f t="shared" si="47"/>
        <v>0</v>
      </c>
      <c r="M108" s="792"/>
      <c r="N108" s="1835"/>
      <c r="O108" s="1835"/>
      <c r="P108" s="1835"/>
      <c r="Q108" s="1835"/>
      <c r="R108" s="1835"/>
      <c r="S108" s="1835"/>
      <c r="T108" s="1835"/>
      <c r="U108" s="1835"/>
      <c r="V108" s="1835"/>
      <c r="W108" s="1835"/>
      <c r="X108" s="1835"/>
      <c r="Y108" s="1835"/>
      <c r="Z108" s="637"/>
      <c r="AA108" s="648">
        <f t="shared" si="48"/>
        <v>0</v>
      </c>
      <c r="AB108" s="648">
        <f t="shared" si="49"/>
        <v>0</v>
      </c>
      <c r="AC108" s="648"/>
      <c r="AD108" s="2531">
        <f>'Beer Data Sheet'!C81</f>
        <v>310</v>
      </c>
      <c r="AE108" s="509">
        <f t="shared" si="52"/>
        <v>0.76</v>
      </c>
      <c r="AF108" s="731">
        <f>'Beer Data Sheet'!E81</f>
        <v>10</v>
      </c>
      <c r="AG108" s="4639">
        <f t="shared" si="53"/>
        <v>0</v>
      </c>
      <c r="AH108" s="648">
        <f t="shared" si="56"/>
        <v>0</v>
      </c>
      <c r="AI108" s="826">
        <f t="shared" si="55"/>
        <v>0</v>
      </c>
      <c r="AJ108" s="731">
        <f t="shared" si="57"/>
        <v>0</v>
      </c>
      <c r="AK108" s="648">
        <f t="shared" si="58"/>
        <v>0</v>
      </c>
      <c r="AL108" s="826">
        <f t="shared" si="59"/>
        <v>0</v>
      </c>
      <c r="AM108" s="636"/>
      <c r="AN108" s="636"/>
      <c r="AO108" s="636"/>
      <c r="AP108" s="636"/>
      <c r="AQ108" s="636"/>
      <c r="AR108" s="636"/>
      <c r="AS108" s="636"/>
      <c r="AT108" s="636"/>
    </row>
    <row r="109" spans="1:46" ht="15" customHeight="1">
      <c r="A109" s="3671"/>
      <c r="B109" s="2015" t="str">
        <f>'Beer Data Sheet'!B82</f>
        <v>Extract (DRY - light)</v>
      </c>
      <c r="C109" s="754"/>
      <c r="D109" s="1836" t="s">
        <v>82</v>
      </c>
      <c r="E109" s="2035">
        <f t="shared" si="60"/>
        <v>0</v>
      </c>
      <c r="F109" s="679" t="s">
        <v>82</v>
      </c>
      <c r="G109" s="2022" t="str">
        <f>'Beer Data Sheet'!B34</f>
        <v>WGV</v>
      </c>
      <c r="H109" s="2021">
        <f>'Beer Data Sheet'!C34</f>
        <v>6.3</v>
      </c>
      <c r="I109" s="700"/>
      <c r="J109" s="699"/>
      <c r="K109" s="2037">
        <f t="shared" si="50"/>
        <v>0</v>
      </c>
      <c r="L109" s="2038">
        <f t="shared" si="47"/>
        <v>0</v>
      </c>
      <c r="M109" s="792"/>
      <c r="N109" s="1835"/>
      <c r="O109" s="1835"/>
      <c r="P109" s="1835"/>
      <c r="Q109" s="1835"/>
      <c r="R109" s="1835"/>
      <c r="S109" s="1835"/>
      <c r="T109" s="1835"/>
      <c r="U109" s="1835"/>
      <c r="V109" s="1835"/>
      <c r="W109" s="1835"/>
      <c r="X109" s="1835"/>
      <c r="Y109" s="1835"/>
      <c r="Z109" s="637"/>
      <c r="AA109" s="648">
        <f t="shared" si="48"/>
        <v>0</v>
      </c>
      <c r="AB109" s="648">
        <f t="shared" si="49"/>
        <v>0</v>
      </c>
      <c r="AC109" s="648"/>
      <c r="AD109" s="2531">
        <f>'Beer Data Sheet'!C82</f>
        <v>365</v>
      </c>
      <c r="AE109" s="509">
        <f t="shared" si="52"/>
        <v>0.76</v>
      </c>
      <c r="AF109" s="731">
        <f>'Beer Data Sheet'!E82</f>
        <v>11</v>
      </c>
      <c r="AG109" s="4639">
        <f t="shared" si="53"/>
        <v>0</v>
      </c>
      <c r="AH109" s="648">
        <f t="shared" si="56"/>
        <v>0</v>
      </c>
      <c r="AI109" s="826">
        <f t="shared" si="55"/>
        <v>0</v>
      </c>
      <c r="AJ109" s="731">
        <f t="shared" si="57"/>
        <v>0</v>
      </c>
      <c r="AK109" s="648">
        <f t="shared" si="58"/>
        <v>0</v>
      </c>
      <c r="AL109" s="826">
        <f t="shared" si="59"/>
        <v>0</v>
      </c>
      <c r="AM109" s="636"/>
      <c r="AN109" s="636"/>
      <c r="AO109" s="636"/>
      <c r="AP109" s="636"/>
      <c r="AQ109" s="636"/>
      <c r="AR109" s="636"/>
      <c r="AS109" s="636"/>
      <c r="AT109" s="636"/>
    </row>
    <row r="110" spans="1:46" ht="15" customHeight="1">
      <c r="A110" s="3671"/>
      <c r="B110" s="2016" t="str">
        <f>'Beer Data Sheet'!B83</f>
        <v>Extract (DRY - wheat)</v>
      </c>
      <c r="C110" s="754"/>
      <c r="D110" s="1837" t="s">
        <v>82</v>
      </c>
      <c r="E110" s="2035">
        <f t="shared" si="60"/>
        <v>0</v>
      </c>
      <c r="F110" s="764" t="s">
        <v>82</v>
      </c>
      <c r="G110" s="2022" t="str">
        <f>'Beer Data Sheet'!B35</f>
        <v>Yeoman</v>
      </c>
      <c r="H110" s="2021">
        <f>'Beer Data Sheet'!C35</f>
        <v>7.2</v>
      </c>
      <c r="I110" s="700"/>
      <c r="J110" s="797"/>
      <c r="K110" s="2037">
        <f t="shared" si="50"/>
        <v>0</v>
      </c>
      <c r="L110" s="2038">
        <f t="shared" si="47"/>
        <v>0</v>
      </c>
      <c r="M110" s="792"/>
      <c r="N110" s="1835"/>
      <c r="O110" s="1835"/>
      <c r="P110" s="1835"/>
      <c r="Q110" s="1835"/>
      <c r="R110" s="1835"/>
      <c r="S110" s="1835"/>
      <c r="T110" s="1835"/>
      <c r="U110" s="1835"/>
      <c r="V110" s="1835"/>
      <c r="W110" s="1835"/>
      <c r="X110" s="1835"/>
      <c r="Y110" s="1835"/>
      <c r="Z110" s="637"/>
      <c r="AA110" s="648">
        <f t="shared" si="48"/>
        <v>0</v>
      </c>
      <c r="AB110" s="648">
        <f t="shared" si="49"/>
        <v>0</v>
      </c>
      <c r="AC110" s="648"/>
      <c r="AD110" s="2531">
        <f>'Beer Data Sheet'!C83</f>
        <v>365</v>
      </c>
      <c r="AE110" s="509">
        <f t="shared" si="52"/>
        <v>0.76</v>
      </c>
      <c r="AF110" s="731">
        <f>'Beer Data Sheet'!E83</f>
        <v>6</v>
      </c>
      <c r="AG110" s="4639">
        <f t="shared" si="53"/>
        <v>0</v>
      </c>
      <c r="AH110" s="648">
        <f t="shared" si="56"/>
        <v>0</v>
      </c>
      <c r="AI110" s="826">
        <f t="shared" si="55"/>
        <v>0</v>
      </c>
      <c r="AJ110" s="731">
        <f t="shared" si="57"/>
        <v>0</v>
      </c>
      <c r="AK110" s="648">
        <f t="shared" si="58"/>
        <v>0</v>
      </c>
      <c r="AL110" s="826">
        <f t="shared" si="59"/>
        <v>0</v>
      </c>
      <c r="AM110" s="636"/>
      <c r="AN110" s="636"/>
      <c r="AO110" s="636"/>
      <c r="AP110" s="636"/>
      <c r="AQ110" s="636"/>
      <c r="AR110" s="636"/>
      <c r="AS110" s="636"/>
      <c r="AT110" s="636"/>
    </row>
    <row r="111" spans="1:46" ht="15" customHeight="1">
      <c r="A111" s="4678" t="s">
        <v>749</v>
      </c>
      <c r="B111" s="2017" t="str">
        <f>'Beer Data Sheet'!B84</f>
        <v>Cane ̸ beet sugar (sucrose)</v>
      </c>
      <c r="C111" s="754">
        <v>1500</v>
      </c>
      <c r="D111" s="1838" t="s">
        <v>82</v>
      </c>
      <c r="E111" s="2035">
        <f>C111*F$73/C$73</f>
        <v>750</v>
      </c>
      <c r="F111" s="765" t="s">
        <v>82</v>
      </c>
      <c r="G111" s="2022" t="str">
        <f>'Beer Data Sheet'!B36</f>
        <v>Other</v>
      </c>
      <c r="H111" s="2021">
        <f>'Beer Data Sheet'!C36</f>
        <v>0</v>
      </c>
      <c r="I111" s="798"/>
      <c r="J111" s="797"/>
      <c r="K111" s="2037">
        <f t="shared" si="50"/>
        <v>0</v>
      </c>
      <c r="L111" s="2038">
        <f t="shared" si="47"/>
        <v>0</v>
      </c>
      <c r="M111" s="792"/>
      <c r="N111" s="1835"/>
      <c r="O111" s="1835"/>
      <c r="P111" s="1835"/>
      <c r="Q111" s="1835"/>
      <c r="R111" s="1835"/>
      <c r="S111" s="1835"/>
      <c r="T111" s="1835"/>
      <c r="U111" s="1835"/>
      <c r="V111" s="1835"/>
      <c r="W111" s="1835"/>
      <c r="X111" s="1835"/>
      <c r="Y111" s="1835"/>
      <c r="Z111" s="637"/>
      <c r="AA111" s="648">
        <f t="shared" si="48"/>
        <v>0</v>
      </c>
      <c r="AB111" s="648">
        <f t="shared" si="49"/>
        <v>0</v>
      </c>
      <c r="AC111" s="648"/>
      <c r="AD111" s="731">
        <f>'Beer Data Sheet'!C84*AE111</f>
        <v>375</v>
      </c>
      <c r="AE111" s="509">
        <v>1</v>
      </c>
      <c r="AF111" s="731">
        <f>'Beer Data Sheet'!E84</f>
        <v>0</v>
      </c>
      <c r="AG111" s="4639">
        <f t="shared" si="53"/>
        <v>562.5</v>
      </c>
      <c r="AH111" s="648">
        <f t="shared" si="56"/>
        <v>562.5</v>
      </c>
      <c r="AI111" s="826">
        <f t="shared" si="55"/>
        <v>0</v>
      </c>
      <c r="AJ111" s="731">
        <f t="shared" si="57"/>
        <v>281.25</v>
      </c>
      <c r="AK111" s="648">
        <f t="shared" si="58"/>
        <v>281.25</v>
      </c>
      <c r="AL111" s="826">
        <f t="shared" si="59"/>
        <v>0</v>
      </c>
      <c r="AM111" s="636"/>
      <c r="AN111" s="636"/>
      <c r="AO111" s="636"/>
      <c r="AP111" s="636"/>
      <c r="AQ111" s="636"/>
      <c r="AR111" s="636"/>
      <c r="AS111" s="636"/>
      <c r="AT111" s="636"/>
    </row>
    <row r="112" spans="1:46" ht="15" customHeight="1">
      <c r="A112" s="4678"/>
      <c r="B112" s="2018" t="str">
        <f>'Beer Data Sheet'!B85</f>
        <v>Brown sugar (light)</v>
      </c>
      <c r="C112" s="754"/>
      <c r="D112" s="1839" t="s">
        <v>82</v>
      </c>
      <c r="E112" s="2035">
        <f t="shared" si="60"/>
        <v>0</v>
      </c>
      <c r="F112" s="681" t="s">
        <v>82</v>
      </c>
      <c r="G112" s="2022" t="str">
        <f>'Beer Data Sheet'!B37</f>
        <v>Other</v>
      </c>
      <c r="H112" s="2021">
        <f>'Beer Data Sheet'!C37</f>
        <v>0</v>
      </c>
      <c r="I112" s="798"/>
      <c r="J112" s="797"/>
      <c r="K112" s="2037">
        <f t="shared" si="50"/>
        <v>0</v>
      </c>
      <c r="L112" s="2038">
        <f t="shared" si="47"/>
        <v>0</v>
      </c>
      <c r="M112" s="792"/>
      <c r="N112" s="1835"/>
      <c r="O112" s="1835"/>
      <c r="P112" s="1835"/>
      <c r="Q112" s="1835"/>
      <c r="R112" s="1835"/>
      <c r="S112" s="1835"/>
      <c r="T112" s="1835"/>
      <c r="U112" s="1835"/>
      <c r="V112" s="1835"/>
      <c r="W112" s="1835"/>
      <c r="X112" s="1835"/>
      <c r="Y112" s="1835"/>
      <c r="Z112" s="637"/>
      <c r="AA112" s="648">
        <f t="shared" si="48"/>
        <v>0</v>
      </c>
      <c r="AB112" s="648">
        <f t="shared" si="49"/>
        <v>0</v>
      </c>
      <c r="AC112" s="648"/>
      <c r="AD112" s="731">
        <f>'Beer Data Sheet'!C85*AE112</f>
        <v>370</v>
      </c>
      <c r="AE112" s="509">
        <v>1</v>
      </c>
      <c r="AF112" s="731">
        <f>'Beer Data Sheet'!E85</f>
        <v>16</v>
      </c>
      <c r="AG112" s="4639">
        <f t="shared" si="53"/>
        <v>0</v>
      </c>
      <c r="AH112" s="648">
        <f t="shared" si="56"/>
        <v>0</v>
      </c>
      <c r="AI112" s="826">
        <f t="shared" si="55"/>
        <v>0</v>
      </c>
      <c r="AJ112" s="731">
        <f t="shared" si="57"/>
        <v>0</v>
      </c>
      <c r="AK112" s="648">
        <f t="shared" si="58"/>
        <v>0</v>
      </c>
      <c r="AL112" s="826">
        <f t="shared" si="59"/>
        <v>0</v>
      </c>
      <c r="AM112" s="636"/>
      <c r="AN112" s="636"/>
      <c r="AO112" s="636"/>
      <c r="AP112" s="636"/>
      <c r="AQ112" s="636"/>
      <c r="AR112" s="636"/>
      <c r="AS112" s="636"/>
      <c r="AT112" s="636"/>
    </row>
    <row r="113" spans="1:46" ht="15" customHeight="1">
      <c r="A113" s="4678"/>
      <c r="B113" s="2018" t="str">
        <f>'Beer Data Sheet'!B86</f>
        <v>Brown sugar (medium)</v>
      </c>
      <c r="C113" s="754"/>
      <c r="D113" s="1839" t="s">
        <v>82</v>
      </c>
      <c r="E113" s="2035">
        <f t="shared" si="60"/>
        <v>0</v>
      </c>
      <c r="F113" s="681" t="s">
        <v>82</v>
      </c>
      <c r="G113" s="2022" t="str">
        <f>'Beer Data Sheet'!B38</f>
        <v>Other</v>
      </c>
      <c r="H113" s="2021">
        <f>'Beer Data Sheet'!C38</f>
        <v>0</v>
      </c>
      <c r="I113" s="798"/>
      <c r="J113" s="797"/>
      <c r="K113" s="2037">
        <f t="shared" si="50"/>
        <v>0</v>
      </c>
      <c r="L113" s="2038">
        <f t="shared" si="47"/>
        <v>0</v>
      </c>
      <c r="M113" s="792"/>
      <c r="N113" s="1835"/>
      <c r="O113" s="1835"/>
      <c r="P113" s="1835"/>
      <c r="Q113" s="1835"/>
      <c r="R113" s="1835"/>
      <c r="S113" s="1835"/>
      <c r="T113" s="1835"/>
      <c r="U113" s="1835"/>
      <c r="V113" s="1835"/>
      <c r="W113" s="1835"/>
      <c r="X113" s="1835"/>
      <c r="Y113" s="1835"/>
      <c r="Z113" s="637"/>
      <c r="AA113" s="648">
        <f t="shared" si="48"/>
        <v>0</v>
      </c>
      <c r="AB113" s="648">
        <f t="shared" si="49"/>
        <v>0</v>
      </c>
      <c r="AC113" s="648"/>
      <c r="AD113" s="731">
        <f>'Beer Data Sheet'!C86*AE113</f>
        <v>319</v>
      </c>
      <c r="AE113" s="509">
        <v>1</v>
      </c>
      <c r="AF113" s="731">
        <f>'Beer Data Sheet'!E86</f>
        <v>45</v>
      </c>
      <c r="AG113" s="4639">
        <f t="shared" si="53"/>
        <v>0</v>
      </c>
      <c r="AH113" s="648">
        <f t="shared" si="56"/>
        <v>0</v>
      </c>
      <c r="AI113" s="826">
        <f t="shared" si="55"/>
        <v>0</v>
      </c>
      <c r="AJ113" s="731">
        <f t="shared" si="57"/>
        <v>0</v>
      </c>
      <c r="AK113" s="648">
        <f t="shared" si="58"/>
        <v>0</v>
      </c>
      <c r="AL113" s="826">
        <f t="shared" si="59"/>
        <v>0</v>
      </c>
      <c r="AM113" s="636"/>
      <c r="AN113" s="636"/>
      <c r="AO113" s="636"/>
      <c r="AP113" s="636"/>
      <c r="AQ113" s="636"/>
      <c r="AR113" s="636"/>
      <c r="AS113" s="636"/>
      <c r="AT113" s="636"/>
    </row>
    <row r="114" spans="1:46" ht="15" customHeight="1">
      <c r="A114" s="4678"/>
      <c r="B114" s="2018" t="str">
        <f>'Beer Data Sheet'!B87</f>
        <v>Brewing sugar</v>
      </c>
      <c r="C114" s="754"/>
      <c r="D114" s="1839" t="s">
        <v>82</v>
      </c>
      <c r="E114" s="2035">
        <f t="shared" si="60"/>
        <v>0</v>
      </c>
      <c r="F114" s="681" t="s">
        <v>82</v>
      </c>
      <c r="G114" s="2022" t="str">
        <f>'Beer Data Sheet'!B39</f>
        <v>Other</v>
      </c>
      <c r="H114" s="2021">
        <f>'Beer Data Sheet'!C39</f>
        <v>0</v>
      </c>
      <c r="I114" s="798"/>
      <c r="J114" s="797"/>
      <c r="K114" s="2037">
        <f t="shared" si="50"/>
        <v>0</v>
      </c>
      <c r="L114" s="2038">
        <f t="shared" si="47"/>
        <v>0</v>
      </c>
      <c r="M114" s="792"/>
      <c r="N114" s="1835"/>
      <c r="O114" s="1835"/>
      <c r="P114" s="1835"/>
      <c r="Q114" s="1835"/>
      <c r="R114" s="1835"/>
      <c r="S114" s="1835"/>
      <c r="T114" s="1835"/>
      <c r="U114" s="1835"/>
      <c r="V114" s="1835"/>
      <c r="W114" s="1835"/>
      <c r="X114" s="1835"/>
      <c r="Y114" s="1835"/>
      <c r="Z114" s="637"/>
      <c r="AA114" s="648">
        <f t="shared" si="48"/>
        <v>0</v>
      </c>
      <c r="AB114" s="648">
        <f t="shared" si="49"/>
        <v>0</v>
      </c>
      <c r="AC114" s="648"/>
      <c r="AD114" s="731">
        <f>'Beer Data Sheet'!C87*AE114</f>
        <v>342</v>
      </c>
      <c r="AE114" s="509">
        <v>0.95</v>
      </c>
      <c r="AF114" s="731">
        <f>'Beer Data Sheet'!E87</f>
        <v>0</v>
      </c>
      <c r="AG114" s="4639">
        <f t="shared" si="53"/>
        <v>0</v>
      </c>
      <c r="AH114" s="648">
        <f t="shared" si="56"/>
        <v>0</v>
      </c>
      <c r="AI114" s="826">
        <f t="shared" si="55"/>
        <v>0</v>
      </c>
      <c r="AJ114" s="731">
        <f t="shared" si="57"/>
        <v>0</v>
      </c>
      <c r="AK114" s="648">
        <f t="shared" si="58"/>
        <v>0</v>
      </c>
      <c r="AL114" s="826">
        <f t="shared" si="59"/>
        <v>0</v>
      </c>
      <c r="AM114" s="636"/>
      <c r="AN114" s="636"/>
      <c r="AO114" s="636"/>
      <c r="AP114" s="636"/>
      <c r="AQ114" s="636"/>
      <c r="AR114" s="636"/>
      <c r="AS114" s="636"/>
      <c r="AT114" s="636"/>
    </row>
    <row r="115" spans="1:46" ht="15" customHeight="1">
      <c r="A115" s="4679"/>
      <c r="B115" s="2019" t="str">
        <f>'Beer Data Sheet'!B88</f>
        <v>Lactose (non-fermentable sugar, no boil)</v>
      </c>
      <c r="C115" s="766"/>
      <c r="D115" s="1840" t="s">
        <v>82</v>
      </c>
      <c r="E115" s="2035">
        <f t="shared" si="60"/>
        <v>0</v>
      </c>
      <c r="F115" s="767" t="s">
        <v>82</v>
      </c>
      <c r="G115" s="2022" t="str">
        <f>'Beer Data Sheet'!B40</f>
        <v>Other</v>
      </c>
      <c r="H115" s="2021">
        <f>'Beer Data Sheet'!C40</f>
        <v>0</v>
      </c>
      <c r="I115" s="798"/>
      <c r="J115" s="797"/>
      <c r="K115" s="2037">
        <f t="shared" si="50"/>
        <v>0</v>
      </c>
      <c r="L115" s="2038">
        <f t="shared" si="47"/>
        <v>0</v>
      </c>
      <c r="M115" s="792"/>
      <c r="N115" s="1835"/>
      <c r="O115" s="1835"/>
      <c r="P115" s="1835"/>
      <c r="Q115" s="1835"/>
      <c r="R115" s="1835"/>
      <c r="S115" s="1835"/>
      <c r="T115" s="1835"/>
      <c r="U115" s="1835"/>
      <c r="V115" s="1835"/>
      <c r="W115" s="1835"/>
      <c r="X115" s="1835"/>
      <c r="Y115" s="1835"/>
      <c r="Z115" s="637"/>
      <c r="AA115" s="648">
        <f t="shared" si="48"/>
        <v>0</v>
      </c>
      <c r="AB115" s="648">
        <f t="shared" si="49"/>
        <v>0</v>
      </c>
      <c r="AC115" s="648"/>
      <c r="AD115" s="731">
        <f>'Beer Data Sheet'!C88*AE115</f>
        <v>0</v>
      </c>
      <c r="AE115" s="648">
        <f>'Beer Data Sheet'!V62</f>
        <v>0</v>
      </c>
      <c r="AF115" s="731">
        <f>'Beer Data Sheet'!E88</f>
        <v>30</v>
      </c>
      <c r="AG115" s="4639">
        <f t="shared" si="53"/>
        <v>0</v>
      </c>
      <c r="AH115" s="648">
        <f t="shared" si="56"/>
        <v>0</v>
      </c>
      <c r="AI115" s="826">
        <f t="shared" si="55"/>
        <v>0</v>
      </c>
      <c r="AJ115" s="731">
        <f t="shared" si="57"/>
        <v>0</v>
      </c>
      <c r="AK115" s="648">
        <f t="shared" si="58"/>
        <v>0</v>
      </c>
      <c r="AL115" s="826">
        <f t="shared" si="59"/>
        <v>0</v>
      </c>
      <c r="AM115" s="636"/>
      <c r="AN115" s="636"/>
      <c r="AO115" s="636"/>
      <c r="AP115" s="636"/>
      <c r="AQ115" s="636"/>
      <c r="AR115" s="636"/>
      <c r="AS115" s="636"/>
      <c r="AT115" s="636"/>
    </row>
    <row r="116" spans="1:46" ht="15" customHeight="1">
      <c r="A116" s="768"/>
      <c r="B116" s="4544" t="s">
        <v>1064</v>
      </c>
      <c r="C116" s="4680">
        <f>C73*C117+($AD$112*C112*AE112+$AD$111*C111*AE111+$AD$113*C113*AE113+$AD$114*C114*AE114)/375</f>
        <v>1581</v>
      </c>
      <c r="D116" s="4681" t="s">
        <v>82</v>
      </c>
      <c r="E116" s="2532">
        <f>C116*F$73/C$73</f>
        <v>790.5</v>
      </c>
      <c r="F116" s="769" t="s">
        <v>82</v>
      </c>
      <c r="G116" s="2023">
        <f>'Beer Data Sheet'!B41</f>
        <v>0</v>
      </c>
      <c r="H116" s="2021">
        <f>'Beer Data Sheet'!C41</f>
        <v>0</v>
      </c>
      <c r="I116" s="798"/>
      <c r="J116" s="797"/>
      <c r="K116" s="2037">
        <f t="shared" si="50"/>
        <v>0</v>
      </c>
      <c r="L116" s="2038">
        <f t="shared" si="47"/>
        <v>0</v>
      </c>
      <c r="M116" s="792"/>
      <c r="N116" s="1835"/>
      <c r="O116" s="1835"/>
      <c r="P116" s="1835"/>
      <c r="Q116" s="1835"/>
      <c r="R116" s="1835"/>
      <c r="S116" s="1835"/>
      <c r="T116" s="1835"/>
      <c r="U116" s="1835"/>
      <c r="V116" s="1835"/>
      <c r="W116" s="1835"/>
      <c r="X116" s="1835"/>
      <c r="Y116" s="1835"/>
      <c r="Z116" s="637"/>
      <c r="AA116" s="648">
        <f t="shared" si="48"/>
        <v>0</v>
      </c>
      <c r="AB116" s="648">
        <f t="shared" si="49"/>
        <v>0</v>
      </c>
      <c r="AC116" s="648"/>
      <c r="AD116" s="648"/>
      <c r="AE116" s="648"/>
      <c r="AF116" s="648"/>
      <c r="AG116" s="648"/>
      <c r="AH116" s="648"/>
      <c r="AI116" s="648"/>
      <c r="AJ116" s="648"/>
      <c r="AK116" s="648"/>
      <c r="AL116" s="826"/>
      <c r="AM116" s="636"/>
      <c r="AN116" s="636"/>
      <c r="AO116" s="636"/>
      <c r="AP116" s="636"/>
      <c r="AQ116" s="636"/>
      <c r="AR116" s="636"/>
      <c r="AS116" s="636"/>
      <c r="AT116" s="636"/>
    </row>
    <row r="117" spans="1:46" ht="15" customHeight="1">
      <c r="A117" s="768"/>
      <c r="B117" s="4682" t="str">
        <f>"Priming sugar (sucrose) g/litre, 1 level tsp  = "&amp;'Beer Data Sheet'!P$13&amp;"g)"</f>
        <v>Priming sugar (sucrose) g/litre, 1 level tsp  = g)</v>
      </c>
      <c r="C117" s="771">
        <v>4.5</v>
      </c>
      <c r="D117" s="772" t="str">
        <f>"g = "&amp;FIXED(C117/'Beer Data Sheet'!$P$21)&amp;" tsp."</f>
        <v>g = 1.43 tsp.</v>
      </c>
      <c r="E117" s="1846">
        <f>C117</f>
        <v>4.5</v>
      </c>
      <c r="F117" s="773" t="str">
        <f>"g = "&amp;FIXED(E117/'Beer Data Sheet'!$P$21)&amp;" tsp."</f>
        <v>g = 1.43 tsp.</v>
      </c>
      <c r="G117" s="2023">
        <f>'Beer Data Sheet'!B42</f>
        <v>0</v>
      </c>
      <c r="H117" s="2021">
        <f>'Beer Data Sheet'!C42</f>
        <v>0</v>
      </c>
      <c r="I117" s="798"/>
      <c r="J117" s="797"/>
      <c r="K117" s="2037">
        <f t="shared" si="50"/>
        <v>0</v>
      </c>
      <c r="L117" s="2038">
        <f t="shared" si="47"/>
        <v>0</v>
      </c>
      <c r="M117" s="792"/>
      <c r="N117" s="1835"/>
      <c r="O117" s="1835"/>
      <c r="P117" s="1835"/>
      <c r="Q117" s="1835"/>
      <c r="R117" s="1835"/>
      <c r="S117" s="1835"/>
      <c r="T117" s="1835"/>
      <c r="U117" s="1835"/>
      <c r="V117" s="1835"/>
      <c r="W117" s="1835"/>
      <c r="X117" s="1835"/>
      <c r="Y117" s="1835"/>
      <c r="Z117" s="637"/>
      <c r="AA117" s="648">
        <f t="shared" si="48"/>
        <v>0</v>
      </c>
      <c r="AB117" s="648">
        <f t="shared" si="49"/>
        <v>0</v>
      </c>
      <c r="AC117" s="648"/>
      <c r="AD117" s="732"/>
      <c r="AE117" s="732"/>
      <c r="AF117" s="732"/>
      <c r="AG117" s="731"/>
      <c r="AH117" s="734">
        <f>0.001*375*C117*C73</f>
        <v>30.375</v>
      </c>
      <c r="AI117" s="636"/>
      <c r="AJ117" s="731"/>
      <c r="AK117" s="734">
        <f>0.001*375*E117*F73</f>
        <v>15.1875</v>
      </c>
      <c r="AL117" s="826"/>
      <c r="AM117" s="636"/>
      <c r="AN117" s="636"/>
      <c r="AO117" s="636"/>
      <c r="AP117" s="636"/>
      <c r="AQ117" s="636"/>
      <c r="AR117" s="636"/>
      <c r="AS117" s="636"/>
      <c r="AT117" s="636"/>
    </row>
    <row r="118" spans="1:46" ht="15" customHeight="1">
      <c r="A118" s="774"/>
      <c r="B118" s="739" t="s">
        <v>1065</v>
      </c>
      <c r="C118" s="775">
        <f>C117*'Beer Data Sheet'!W$4+VLOOKUP(L5,'Beer Data Sheet'!V7:W50,2)</f>
        <v>2.0559473684210525</v>
      </c>
      <c r="D118" s="776" t="s">
        <v>1066</v>
      </c>
      <c r="E118" s="777">
        <f>E117*'Beer Data Sheet'!W$4+VLOOKUP(L5,'Beer Data Sheet'!V7:W50,2)</f>
        <v>2.0559473684210525</v>
      </c>
      <c r="F118" s="778" t="s">
        <v>1066</v>
      </c>
      <c r="G118" s="2023">
        <f>'Beer Data Sheet'!B43</f>
        <v>0</v>
      </c>
      <c r="H118" s="2021">
        <f>'Beer Data Sheet'!C43</f>
        <v>0</v>
      </c>
      <c r="I118" s="798"/>
      <c r="J118" s="797"/>
      <c r="K118" s="2037">
        <f t="shared" si="50"/>
        <v>0</v>
      </c>
      <c r="L118" s="2038">
        <f t="shared" si="47"/>
        <v>0</v>
      </c>
      <c r="M118" s="792"/>
      <c r="N118" s="1835"/>
      <c r="O118" s="1835"/>
      <c r="P118" s="1835"/>
      <c r="Q118" s="1835"/>
      <c r="R118" s="1835"/>
      <c r="S118" s="1835"/>
      <c r="T118" s="1835"/>
      <c r="U118" s="1835"/>
      <c r="V118" s="1835"/>
      <c r="W118" s="1835"/>
      <c r="X118" s="1835"/>
      <c r="Y118" s="1835"/>
      <c r="Z118" s="637"/>
      <c r="AA118" s="648">
        <f t="shared" si="48"/>
        <v>0</v>
      </c>
      <c r="AB118" s="648">
        <f t="shared" si="49"/>
        <v>0</v>
      </c>
      <c r="AC118" s="648"/>
      <c r="AD118" s="648"/>
      <c r="AE118" s="648"/>
      <c r="AF118" s="648"/>
      <c r="AG118" s="648"/>
      <c r="AH118" s="734"/>
      <c r="AI118" s="648"/>
      <c r="AJ118" s="734"/>
      <c r="AK118" s="734"/>
      <c r="AL118" s="826"/>
      <c r="AM118" s="636"/>
      <c r="AN118" s="636"/>
      <c r="AO118" s="636"/>
      <c r="AP118" s="636"/>
      <c r="AQ118" s="636"/>
      <c r="AR118" s="636"/>
      <c r="AS118" s="636"/>
      <c r="AT118" s="636"/>
    </row>
    <row r="119" spans="1:46" ht="15" customHeight="1">
      <c r="A119" s="746"/>
      <c r="B119" s="779" t="s">
        <v>1067</v>
      </c>
      <c r="C119" s="650">
        <v>76</v>
      </c>
      <c r="D119" s="3692" t="s">
        <v>804</v>
      </c>
      <c r="E119" s="3693"/>
      <c r="F119" s="780" t="s">
        <v>1106</v>
      </c>
      <c r="G119" s="2023">
        <f>'Beer Data Sheet'!B44</f>
        <v>0</v>
      </c>
      <c r="H119" s="2021">
        <f>'Beer Data Sheet'!C44</f>
        <v>0</v>
      </c>
      <c r="I119" s="798"/>
      <c r="J119" s="799"/>
      <c r="K119" s="2039">
        <f t="shared" si="50"/>
        <v>0</v>
      </c>
      <c r="L119" s="2038">
        <f t="shared" si="47"/>
        <v>0</v>
      </c>
      <c r="M119" s="792"/>
      <c r="N119" s="1835"/>
      <c r="O119" s="1835"/>
      <c r="P119" s="1835"/>
      <c r="Q119" s="1835"/>
      <c r="R119" s="1835"/>
      <c r="S119" s="1835"/>
      <c r="T119" s="1835"/>
      <c r="U119" s="1835"/>
      <c r="V119" s="1835"/>
      <c r="W119" s="1835"/>
      <c r="X119" s="1835"/>
      <c r="Y119" s="1835"/>
      <c r="Z119" s="637"/>
      <c r="AA119" s="648">
        <f t="shared" si="48"/>
        <v>0</v>
      </c>
      <c r="AB119" s="648">
        <f t="shared" si="49"/>
        <v>0</v>
      </c>
      <c r="AC119" s="648"/>
      <c r="AD119" s="648"/>
      <c r="AE119" s="648"/>
      <c r="AF119" s="648"/>
      <c r="AG119" s="821" t="s">
        <v>1070</v>
      </c>
      <c r="AH119" s="734">
        <f>SUM(AH84:AH110)/(C73)</f>
        <v>34.912711111111115</v>
      </c>
      <c r="AI119" s="648"/>
      <c r="AJ119" s="734"/>
      <c r="AK119" s="734">
        <f>SUM(AK84:AK110)/(F73)</f>
        <v>34.912711111111115</v>
      </c>
      <c r="AL119" s="826"/>
      <c r="AM119" s="636"/>
      <c r="AN119" s="636"/>
      <c r="AO119" s="636"/>
      <c r="AP119" s="636"/>
      <c r="AQ119" s="636"/>
      <c r="AR119" s="636"/>
      <c r="AS119" s="636"/>
      <c r="AT119" s="636"/>
    </row>
    <row r="120" spans="1:46" ht="15" customHeight="1">
      <c r="A120" s="1944"/>
      <c r="B120" s="2774" t="s">
        <v>814</v>
      </c>
      <c r="C120" s="2400" t="str">
        <f>FIXED((100*(1-(AH124/AH123))),1)&amp;"%"</f>
        <v>87.9%</v>
      </c>
      <c r="D120" s="3694" t="s">
        <v>815</v>
      </c>
      <c r="E120" s="3695"/>
      <c r="F120" s="2766" t="str">
        <f>FIXED(100*(1-(((0.1808*AK123)+(0.8192*AK124))/AK123)),1)&amp;"%"</f>
        <v>70.2%</v>
      </c>
      <c r="G120" s="3631" t="s">
        <v>1107</v>
      </c>
      <c r="H120" s="3632"/>
      <c r="I120" s="2533"/>
      <c r="J120" s="2534" t="str">
        <f>"ml = "&amp;FIXED(I120/5,2)&amp;" tsp"</f>
        <v>ml = 0.00 tsp</v>
      </c>
      <c r="K120" s="2535">
        <f t="shared" si="50"/>
        <v>0</v>
      </c>
      <c r="L120" s="2536" t="str">
        <f>"ml = "&amp;FIXED(K120/5,2)&amp;" tsp"</f>
        <v>ml = 0.00 tsp</v>
      </c>
      <c r="M120" s="792"/>
      <c r="N120" s="1835"/>
      <c r="O120" s="1835"/>
      <c r="P120" s="1835"/>
      <c r="Q120" s="1835"/>
      <c r="R120" s="1835"/>
      <c r="S120" s="1835"/>
      <c r="T120" s="1835"/>
      <c r="U120" s="1835"/>
      <c r="V120" s="1835"/>
      <c r="W120" s="1835"/>
      <c r="X120" s="1835"/>
      <c r="Y120" s="1835"/>
      <c r="Z120" s="637"/>
      <c r="AA120" s="814">
        <f>SUM(AA84:AA118)</f>
        <v>349.9</v>
      </c>
      <c r="AB120" s="815">
        <f>SUM(AB84:AB118)</f>
        <v>79.5</v>
      </c>
      <c r="AC120" s="648"/>
      <c r="AD120" s="83" t="s">
        <v>570</v>
      </c>
      <c r="AE120" s="648"/>
      <c r="AF120" s="636"/>
      <c r="AG120" s="821" t="s">
        <v>1074</v>
      </c>
      <c r="AH120" s="827">
        <f>((SUM(AH111:AH117)/C73))</f>
        <v>32.9375</v>
      </c>
      <c r="AI120" s="828"/>
      <c r="AJ120" s="827"/>
      <c r="AK120" s="827">
        <f>((SUM(AK111:AK117)/F73))</f>
        <v>32.9375</v>
      </c>
      <c r="AL120" s="829"/>
      <c r="AM120" s="636"/>
      <c r="AN120" s="636"/>
      <c r="AO120" s="636"/>
      <c r="AP120" s="636"/>
      <c r="AQ120" s="636"/>
      <c r="AR120" s="636"/>
      <c r="AS120" s="636"/>
      <c r="AT120" s="636"/>
    </row>
    <row r="121" spans="1:46" ht="15" customHeight="1">
      <c r="A121" s="1944"/>
      <c r="B121" s="781"/>
      <c r="C121" s="781"/>
      <c r="D121" s="781"/>
      <c r="E121" s="781"/>
      <c r="F121" s="781"/>
      <c r="G121" s="781"/>
      <c r="H121" s="781"/>
      <c r="I121" s="781"/>
      <c r="J121" s="781"/>
      <c r="K121" s="800"/>
      <c r="L121" s="801"/>
      <c r="M121" s="792"/>
      <c r="N121" s="802"/>
      <c r="O121" s="802"/>
      <c r="P121" s="802"/>
      <c r="Q121" s="802"/>
      <c r="R121" s="802"/>
      <c r="S121" s="802"/>
      <c r="T121" s="802"/>
      <c r="U121" s="802"/>
      <c r="V121" s="802"/>
      <c r="W121" s="802"/>
      <c r="X121" s="802"/>
      <c r="Y121" s="802"/>
      <c r="Z121" s="637"/>
      <c r="AA121" s="816">
        <f>F73/C73*AA120</f>
        <v>174.95</v>
      </c>
      <c r="AB121" s="817">
        <f>F73/C73*AB120</f>
        <v>39.75</v>
      </c>
      <c r="AC121" s="648"/>
      <c r="AD121" s="648"/>
      <c r="AE121" s="648"/>
      <c r="AF121" s="636"/>
      <c r="AG121" s="821" t="s">
        <v>1108</v>
      </c>
      <c r="AH121" s="734">
        <f>((SUM(AH111:AH115))/C73)</f>
        <v>31.25</v>
      </c>
      <c r="AI121" s="636"/>
      <c r="AJ121" s="522"/>
      <c r="AK121" s="734">
        <f>((SUM(AK111:AK115))/F73)</f>
        <v>31.25</v>
      </c>
      <c r="AL121" s="829"/>
      <c r="AM121" s="636"/>
      <c r="AN121" s="636"/>
      <c r="AO121" s="636"/>
      <c r="AP121" s="636"/>
      <c r="AQ121" s="636"/>
      <c r="AR121" s="636"/>
      <c r="AS121" s="636"/>
      <c r="AT121" s="636"/>
    </row>
    <row r="122" spans="1:46" ht="15" customHeight="1">
      <c r="A122" s="1944"/>
      <c r="B122" s="782"/>
      <c r="C122" s="782"/>
      <c r="D122" s="782"/>
      <c r="E122" s="781"/>
      <c r="F122" s="781"/>
      <c r="G122" s="781"/>
      <c r="H122" s="781"/>
      <c r="I122" s="781"/>
      <c r="J122" s="781"/>
      <c r="K122" s="781"/>
      <c r="L122" s="801"/>
      <c r="M122" s="792"/>
      <c r="N122" s="802"/>
      <c r="O122" s="802"/>
      <c r="P122" s="802"/>
      <c r="Q122" s="802"/>
      <c r="R122" s="802"/>
      <c r="S122" s="802"/>
      <c r="T122" s="802"/>
      <c r="U122" s="802"/>
      <c r="V122" s="802"/>
      <c r="W122" s="802"/>
      <c r="X122" s="802"/>
      <c r="Y122" s="802"/>
      <c r="Z122" s="637"/>
      <c r="AA122" s="811">
        <f>0.01*$AA$70*(C74-C75)/(7.75-(3*(C74-1000)/800))</f>
        <v>0.50326385563740117</v>
      </c>
      <c r="AB122" s="811"/>
      <c r="AC122" s="812" t="s">
        <v>587</v>
      </c>
      <c r="AD122" s="636"/>
      <c r="AE122" s="636"/>
      <c r="AF122" s="636"/>
      <c r="AG122" s="412" t="s">
        <v>1078</v>
      </c>
      <c r="AH122" s="823">
        <f>SUM(AG84:AG115)/C73</f>
        <v>77.187777777777782</v>
      </c>
      <c r="AI122" s="824" t="s">
        <v>797</v>
      </c>
      <c r="AJ122" s="734"/>
      <c r="AK122" s="830">
        <f>(E117*0.375*F73+SUM(AJ84:AJ115))/F73</f>
        <v>78.875277777777782</v>
      </c>
      <c r="AL122" s="831" t="s">
        <v>797</v>
      </c>
      <c r="AM122" s="636"/>
      <c r="AN122" s="636"/>
      <c r="AO122" s="636"/>
      <c r="AP122" s="636"/>
      <c r="AQ122" s="636"/>
      <c r="AR122" s="636"/>
      <c r="AS122" s="636"/>
      <c r="AT122" s="636"/>
    </row>
    <row r="123" spans="1:46" ht="15" customHeight="1">
      <c r="A123" s="645"/>
      <c r="B123" s="3658" t="s">
        <v>1109</v>
      </c>
      <c r="C123" s="3696" t="s">
        <v>1110</v>
      </c>
      <c r="D123" s="3697"/>
      <c r="E123" s="3697"/>
      <c r="F123" s="3698"/>
      <c r="G123" s="3596" t="s">
        <v>47</v>
      </c>
      <c r="H123" s="3597"/>
      <c r="I123" s="3699" t="s">
        <v>1111</v>
      </c>
      <c r="J123" s="3700"/>
      <c r="K123" s="3700"/>
      <c r="L123" s="3700"/>
      <c r="M123" s="3700"/>
      <c r="N123" s="3700"/>
      <c r="O123" s="3700"/>
      <c r="P123" s="3700"/>
      <c r="Q123" s="3700"/>
      <c r="R123" s="3701"/>
      <c r="S123" s="3633" t="s">
        <v>1038</v>
      </c>
      <c r="T123" s="3702"/>
      <c r="U123" s="3702"/>
      <c r="V123" s="3702"/>
      <c r="W123" s="3634"/>
      <c r="X123" s="804"/>
      <c r="Y123" s="804"/>
      <c r="Z123" s="818"/>
      <c r="AA123" s="811">
        <f>0.00000001*C75*((1000*C74)/$AA$70+(819.2*C75)-1000400)</f>
        <v>0.21306244475973318</v>
      </c>
      <c r="AB123" s="811"/>
      <c r="AC123" s="812" t="s">
        <v>587</v>
      </c>
      <c r="AD123" s="819"/>
      <c r="AE123" s="636"/>
      <c r="AF123" s="820"/>
      <c r="AG123" s="820" t="s">
        <v>1080</v>
      </c>
      <c r="AH123" s="823">
        <f>SUM(AG84:AG115)/C73</f>
        <v>77.187777777777782</v>
      </c>
      <c r="AI123" s="824" t="s">
        <v>797</v>
      </c>
      <c r="AJ123" s="823"/>
      <c r="AK123" s="832">
        <f>SUM(AJ84:AJ115)/F73</f>
        <v>77.187777777777782</v>
      </c>
      <c r="AL123" s="833" t="s">
        <v>797</v>
      </c>
      <c r="AM123" s="636"/>
      <c r="AN123" s="636"/>
      <c r="AO123" s="636"/>
      <c r="AP123" s="636"/>
      <c r="AQ123" s="636"/>
      <c r="AR123" s="636"/>
      <c r="AS123" s="636"/>
      <c r="AT123" s="636"/>
    </row>
    <row r="124" spans="1:46" ht="15" customHeight="1">
      <c r="A124" s="645"/>
      <c r="B124" s="4683"/>
      <c r="C124" s="3599" t="s">
        <v>1112</v>
      </c>
      <c r="D124" s="3600"/>
      <c r="E124" s="3601" t="s">
        <v>1113</v>
      </c>
      <c r="F124" s="3602"/>
      <c r="G124" s="4684"/>
      <c r="H124" s="3598"/>
      <c r="I124" s="3603">
        <v>11</v>
      </c>
      <c r="J124" s="3604"/>
      <c r="K124" s="2537" t="str">
        <f>FIXED(I124*D133/C133)</f>
        <v>6.60</v>
      </c>
      <c r="L124" s="2538" t="str">
        <f>"nom "&amp;FIXED(I124*D133/C133)</f>
        <v>nom 6.60</v>
      </c>
      <c r="M124" s="3605">
        <v>11</v>
      </c>
      <c r="N124" s="3606"/>
      <c r="O124" s="2518" t="str">
        <f>FIXED(M124*F133/E133)</f>
        <v>6.60</v>
      </c>
      <c r="P124" s="2539" t="str">
        <f>"nom "&amp;FIXED(M124*F133/E133)</f>
        <v>nom 6.60</v>
      </c>
      <c r="Q124" s="3637" t="s">
        <v>762</v>
      </c>
      <c r="R124" s="3638"/>
      <c r="S124" s="3143" t="s">
        <v>578</v>
      </c>
      <c r="T124" s="3144"/>
      <c r="U124" s="3145"/>
      <c r="V124" s="4685">
        <v>500</v>
      </c>
      <c r="W124" s="805">
        <v>500</v>
      </c>
      <c r="X124" s="804"/>
      <c r="Y124" s="804"/>
      <c r="Z124" s="818"/>
      <c r="AA124" s="636"/>
      <c r="AB124" s="636"/>
      <c r="AC124" s="636"/>
      <c r="AD124" s="648"/>
      <c r="AE124" s="648"/>
      <c r="AF124" s="820"/>
      <c r="AG124" s="820" t="s">
        <v>1084</v>
      </c>
      <c r="AH124" s="734">
        <f>(AH122-(0.375*C117*C73)/C73-AH119-AH121)</f>
        <v>9.3375666666666675</v>
      </c>
      <c r="AI124" s="824" t="s">
        <v>824</v>
      </c>
      <c r="AJ124" s="823"/>
      <c r="AK124" s="834">
        <f>(AK122-(0.375*E117*F73)/F73-AK119-AK121)</f>
        <v>11.025066666666667</v>
      </c>
      <c r="AL124" s="833" t="s">
        <v>824</v>
      </c>
      <c r="AM124" s="636"/>
      <c r="AN124" s="636"/>
      <c r="AO124" s="636"/>
      <c r="AP124" s="636"/>
      <c r="AQ124" s="636"/>
      <c r="AR124" s="636"/>
      <c r="AS124" s="636"/>
      <c r="AT124" s="636"/>
    </row>
    <row r="125" spans="1:46" ht="15" customHeight="1">
      <c r="A125" s="645"/>
      <c r="B125" s="1942" t="s">
        <v>649</v>
      </c>
      <c r="C125" s="784">
        <f>1000+AI158</f>
        <v>1042.1528800000001</v>
      </c>
      <c r="D125" s="4686">
        <v>1041.5</v>
      </c>
      <c r="E125" s="1848">
        <f>1000+AM158</f>
        <v>1038.31204</v>
      </c>
      <c r="F125" s="2096">
        <v>1038</v>
      </c>
      <c r="G125" s="4684"/>
      <c r="H125" s="3598"/>
      <c r="I125" s="2540">
        <v>120</v>
      </c>
      <c r="J125" s="2487">
        <v>15</v>
      </c>
      <c r="K125" s="2487">
        <f>I125</f>
        <v>120</v>
      </c>
      <c r="L125" s="2541">
        <f>J125</f>
        <v>15</v>
      </c>
      <c r="M125" s="2488">
        <v>120</v>
      </c>
      <c r="N125" s="2488">
        <v>15</v>
      </c>
      <c r="O125" s="2489">
        <f>M125</f>
        <v>120</v>
      </c>
      <c r="P125" s="2542">
        <f>N125</f>
        <v>15</v>
      </c>
      <c r="Q125" s="3639" t="s">
        <v>769</v>
      </c>
      <c r="R125" s="3640"/>
      <c r="S125" s="3641" t="s">
        <v>583</v>
      </c>
      <c r="T125" s="3642"/>
      <c r="U125" s="3643"/>
      <c r="V125" s="4660">
        <f>$AA$162*V124</f>
        <v>116.75459521061221</v>
      </c>
      <c r="W125" s="806">
        <f>$AD$162*W124</f>
        <v>105.91533870016016</v>
      </c>
      <c r="X125" s="804"/>
      <c r="Y125" s="804"/>
      <c r="Z125" s="818"/>
      <c r="AA125" s="636"/>
      <c r="AB125" s="636"/>
      <c r="AC125" s="636"/>
      <c r="AD125" s="648"/>
      <c r="AE125" s="648"/>
      <c r="AF125" s="524"/>
      <c r="AG125" s="412" t="s">
        <v>1086</v>
      </c>
      <c r="AH125" s="823">
        <f>(AH122-AH119-AH120)</f>
        <v>9.3375666666666675</v>
      </c>
      <c r="AI125" s="824" t="s">
        <v>824</v>
      </c>
      <c r="AJ125" s="734"/>
      <c r="AK125" s="830">
        <f>(AK122-AK119-AK120)</f>
        <v>11.025066666666667</v>
      </c>
      <c r="AL125" s="831" t="s">
        <v>824</v>
      </c>
      <c r="AM125" s="636"/>
      <c r="AN125" s="636"/>
      <c r="AO125" s="636"/>
      <c r="AP125" s="636"/>
      <c r="AQ125" s="636"/>
      <c r="AR125" s="636"/>
      <c r="AS125" s="636"/>
      <c r="AT125" s="636"/>
    </row>
    <row r="126" spans="1:46" ht="15" customHeight="1">
      <c r="A126" s="645"/>
      <c r="B126" s="4598" t="s">
        <v>927</v>
      </c>
      <c r="C126" s="4687">
        <f>1000+AI161</f>
        <v>1010.1166912</v>
      </c>
      <c r="D126" s="4686">
        <v>1010</v>
      </c>
      <c r="E126" s="4688">
        <f>1000+AM161</f>
        <v>1009.1948896</v>
      </c>
      <c r="F126" s="2097">
        <v>1009</v>
      </c>
      <c r="G126" s="4684"/>
      <c r="H126" s="3598"/>
      <c r="I126" s="3644">
        <f>1000+SUM($AH135:$AH150)/$I124</f>
        <v>1095.8019999999999</v>
      </c>
      <c r="J126" s="3645"/>
      <c r="K126" s="3646">
        <f>1000+(D133/C133)*SUM($AH135:$AH150)/$K124</f>
        <v>1095.8020000000001</v>
      </c>
      <c r="L126" s="3647"/>
      <c r="M126" s="3644">
        <f>1000+SUM($AL135:$AL150)/$M124</f>
        <v>1087.0728181818181</v>
      </c>
      <c r="N126" s="3648"/>
      <c r="O126" s="3646">
        <f>1000+(F133/E133)*SUM($AL135:$AL150)/$O124</f>
        <v>1087.0728181818181</v>
      </c>
      <c r="P126" s="3647"/>
      <c r="Q126" s="3608" t="s">
        <v>1114</v>
      </c>
      <c r="R126" s="3609"/>
      <c r="S126" s="3611" t="s">
        <v>932</v>
      </c>
      <c r="T126" s="3612"/>
      <c r="U126" s="3613"/>
      <c r="V126" s="4660">
        <f>$AA$163*V124</f>
        <v>77.860804492748017</v>
      </c>
      <c r="W126" s="806">
        <f>$AD$163*W124</f>
        <v>70.477012202806478</v>
      </c>
      <c r="X126" s="804"/>
      <c r="Y126" s="804"/>
      <c r="Z126" s="818"/>
      <c r="AA126" s="648"/>
      <c r="AB126" s="648"/>
      <c r="AC126" s="811"/>
      <c r="AD126" s="811"/>
      <c r="AE126" s="812"/>
      <c r="AF126" s="812"/>
      <c r="AG126" s="648"/>
      <c r="AH126" s="648"/>
      <c r="AI126" s="648"/>
      <c r="AJ126" s="83"/>
      <c r="AK126" s="636"/>
      <c r="AL126" s="636"/>
      <c r="AM126" s="636"/>
      <c r="AN126" s="636"/>
      <c r="AO126" s="636"/>
      <c r="AP126" s="636"/>
      <c r="AQ126" s="636"/>
      <c r="AR126" s="636"/>
      <c r="AS126" s="636"/>
      <c r="AT126" s="636"/>
    </row>
    <row r="127" spans="1:46" ht="15" customHeight="1">
      <c r="A127" s="645"/>
      <c r="B127" s="785" t="s">
        <v>928</v>
      </c>
      <c r="C127" s="786">
        <f>(C125-C126)/(7.75-(3*(C125-1000)/800))</f>
        <v>4.2197705623264392</v>
      </c>
      <c r="D127" s="4686">
        <v>4.2</v>
      </c>
      <c r="E127" s="4688">
        <f>(E125-E126)/(7.75-(3*(E125-1000)/800))</f>
        <v>3.8280157413893923</v>
      </c>
      <c r="F127" s="2097">
        <v>3.9</v>
      </c>
      <c r="G127" s="4684"/>
      <c r="H127" s="3598"/>
      <c r="I127" s="4616">
        <f>I128*AA160/(I124*10)</f>
        <v>68.193491548028064</v>
      </c>
      <c r="J127" s="4617">
        <f>J128*AB160/(I124*10)</f>
        <v>4.6535137229173476</v>
      </c>
      <c r="K127" s="4616">
        <f>K128*AA161/(K124*10)</f>
        <v>68.193491548027922</v>
      </c>
      <c r="L127" s="4616">
        <f>(D133/C133)*L128*AB160/(K124*10)</f>
        <v>4.6535137229173378</v>
      </c>
      <c r="M127" s="4616">
        <f>M128*AC160/(M124*10)</f>
        <v>55.597727309080497</v>
      </c>
      <c r="N127" s="4616">
        <f>N128*AD160/(M124*10)</f>
        <v>5.9280947566126292</v>
      </c>
      <c r="O127" s="4616">
        <f>O128*AC161/(O124*10)</f>
        <v>55.59772730908049</v>
      </c>
      <c r="P127" s="4616">
        <f>(F133/E133)*P128*AD160/(O124*10)</f>
        <v>5.9280947566126292</v>
      </c>
      <c r="Q127" s="4664" t="s">
        <v>1091</v>
      </c>
      <c r="R127" s="3663"/>
      <c r="S127" s="3677" t="s">
        <v>588</v>
      </c>
      <c r="T127" s="3678"/>
      <c r="U127" s="3679"/>
      <c r="V127" s="1843">
        <f>SUM(V125:V126)</f>
        <v>194.61539970336023</v>
      </c>
      <c r="W127" s="1844">
        <f>SUM(W125:W126)</f>
        <v>176.39235090296665</v>
      </c>
      <c r="X127" s="804"/>
      <c r="Y127" s="804"/>
      <c r="Z127" s="818"/>
      <c r="AA127" s="636"/>
      <c r="AB127" s="636"/>
      <c r="AC127" s="636"/>
      <c r="AD127" s="636"/>
      <c r="AE127" s="636"/>
      <c r="AF127" s="636"/>
      <c r="AG127" s="636"/>
      <c r="AH127" s="636"/>
      <c r="AI127" s="636"/>
      <c r="AJ127" s="636"/>
      <c r="AK127" s="636"/>
      <c r="AL127" s="636"/>
      <c r="AM127" s="636"/>
      <c r="AN127" s="636"/>
      <c r="AO127" s="636"/>
      <c r="AP127" s="636"/>
      <c r="AQ127" s="636"/>
      <c r="AR127" s="636"/>
      <c r="AS127" s="636"/>
      <c r="AT127" s="636"/>
    </row>
    <row r="128" spans="1:46" ht="15" customHeight="1">
      <c r="A128" s="645"/>
      <c r="B128" s="4604" t="s">
        <v>1040</v>
      </c>
      <c r="C128" s="4689">
        <f>1000+AI159</f>
        <v>1042.1528800000001</v>
      </c>
      <c r="D128" s="3571" t="s">
        <v>1041</v>
      </c>
      <c r="E128" s="1849">
        <f>1000+AM159</f>
        <v>1038.31204</v>
      </c>
      <c r="F128" s="3573" t="s">
        <v>1041</v>
      </c>
      <c r="G128" s="4684"/>
      <c r="H128" s="3598"/>
      <c r="I128" s="4666">
        <f>165*POWER(0.000125,0.001*($I126-1000))*(1-EXP(-$E11*$I125))/$E12</f>
        <v>16.669520156184639</v>
      </c>
      <c r="J128" s="4667">
        <f>165*POWER(0.000125,0.001*($I126-1000))*(1-EXP(-$E11*$J125))/$E12</f>
        <v>7.5835038447541958</v>
      </c>
      <c r="K128" s="4666">
        <f>165*POWER(0.000125,0.001*($K126-1000))*(1-EXP(-$E11*$K125))/$E12</f>
        <v>16.669520156184603</v>
      </c>
      <c r="L128" s="4666">
        <f>165*POWER(0.000125,0.001*($K126-1000))*(1-EXP(-$E11*$L125))/$E12</f>
        <v>7.5835038447541798</v>
      </c>
      <c r="M128" s="4666">
        <f>165*POWER(0.000125,0.001*($M126-1000))*(1-EXP(-$E11*$M125))/$E12</f>
        <v>18.029923360845679</v>
      </c>
      <c r="N128" s="4666">
        <f>165*POWER(0.000125,0.001*($M126-1000))*(1-EXP(-$E11*$N125))/$E12</f>
        <v>8.2023952607218771</v>
      </c>
      <c r="O128" s="4666">
        <f>165*POWER(0.000125,0.001*($O126-1000))*(1-EXP(-$E11*$O125))/$E12</f>
        <v>18.029923360845679</v>
      </c>
      <c r="P128" s="4666">
        <f>165*POWER(0.000125,0.001*($O126-1000))*(1-EXP(-$E11*$P125))/$E12</f>
        <v>8.2023952607218771</v>
      </c>
      <c r="Q128" s="4690" t="s">
        <v>1115</v>
      </c>
      <c r="R128" s="3680"/>
      <c r="S128" s="4612" t="s">
        <v>1045</v>
      </c>
      <c r="T128" s="3649"/>
      <c r="U128" s="3650"/>
      <c r="V128" s="4691">
        <f>V126/3.85</f>
        <v>20.223585582531953</v>
      </c>
      <c r="W128" s="807">
        <f>W126/3.85</f>
        <v>18.305717455274408</v>
      </c>
      <c r="X128" s="804"/>
      <c r="Y128" s="804"/>
      <c r="Z128" s="818"/>
      <c r="AA128" s="636"/>
      <c r="AB128" s="636"/>
      <c r="AC128" s="636"/>
      <c r="AD128" s="636"/>
      <c r="AE128" s="636"/>
      <c r="AF128" s="636"/>
      <c r="AG128" s="636"/>
      <c r="AH128" s="636"/>
      <c r="AI128" s="636"/>
      <c r="AJ128" s="636"/>
      <c r="AK128" s="636"/>
      <c r="AL128" s="636"/>
      <c r="AM128" s="636"/>
      <c r="AN128" s="636"/>
      <c r="AO128" s="636"/>
      <c r="AP128" s="636"/>
      <c r="AQ128" s="636"/>
      <c r="AR128" s="636"/>
      <c r="AS128" s="636"/>
      <c r="AT128" s="636"/>
    </row>
    <row r="129" spans="1:46" ht="15" customHeight="1">
      <c r="A129" s="645"/>
      <c r="B129" s="4604" t="s">
        <v>1116</v>
      </c>
      <c r="C129" s="4689">
        <f>1000+AI160</f>
        <v>1010.1166912</v>
      </c>
      <c r="D129" s="3572"/>
      <c r="E129" s="1850">
        <f>1000+AM160</f>
        <v>1009.1948896</v>
      </c>
      <c r="F129" s="3574"/>
      <c r="G129" s="835"/>
      <c r="H129" s="836"/>
      <c r="I129" s="4631">
        <f>I127*$I124/$C133</f>
        <v>30.005136281132351</v>
      </c>
      <c r="J129" s="791">
        <f>(J127*$I124/$C133)</f>
        <v>2.0475460380836328</v>
      </c>
      <c r="K129" s="4631">
        <f>K127*$K124/$D133</f>
        <v>30.005136281132284</v>
      </c>
      <c r="L129" s="4631">
        <f>L127*$K124/$D133</f>
        <v>2.0475460380836283</v>
      </c>
      <c r="M129" s="4631">
        <f>M127*$M124/$E133</f>
        <v>24.463000015995416</v>
      </c>
      <c r="N129" s="4631">
        <f>N127*$M124/$E133</f>
        <v>2.6083616929095568</v>
      </c>
      <c r="O129" s="4631">
        <f>O127*$O124/$F133</f>
        <v>24.463000015995416</v>
      </c>
      <c r="P129" s="4631">
        <f>P127*$O124/$F133</f>
        <v>2.6083616929095563</v>
      </c>
      <c r="Q129" s="3681" t="s">
        <v>1051</v>
      </c>
      <c r="R129" s="3682"/>
      <c r="S129" s="4612" t="s">
        <v>675</v>
      </c>
      <c r="T129" s="3649"/>
      <c r="U129" s="3650"/>
      <c r="V129" s="4670">
        <f>V130*V124/1000</f>
        <v>2.1098852811632196</v>
      </c>
      <c r="W129" s="868">
        <f>W130*W124/1000</f>
        <v>1.9140078706946961</v>
      </c>
      <c r="X129" s="804"/>
      <c r="Y129" s="804"/>
      <c r="Z129" s="818"/>
      <c r="AA129" s="721" t="s">
        <v>516</v>
      </c>
      <c r="AB129" s="722" t="s">
        <v>1117</v>
      </c>
      <c r="AC129" s="721" t="s">
        <v>517</v>
      </c>
      <c r="AD129" s="722" t="s">
        <v>1118</v>
      </c>
      <c r="AE129" s="648"/>
      <c r="AF129" s="648"/>
      <c r="AG129" s="648"/>
      <c r="AH129" s="648"/>
      <c r="AI129" s="648"/>
      <c r="AJ129" s="636"/>
      <c r="AK129" s="636"/>
      <c r="AL129" s="636"/>
      <c r="AM129" s="636"/>
      <c r="AN129" s="636"/>
      <c r="AO129" s="636"/>
      <c r="AP129" s="636"/>
      <c r="AQ129" s="636"/>
      <c r="AR129" s="636"/>
      <c r="AS129" s="636"/>
      <c r="AT129" s="636"/>
    </row>
    <row r="130" spans="1:46" ht="15" customHeight="1">
      <c r="A130" s="645"/>
      <c r="B130" s="4692" t="s">
        <v>1119</v>
      </c>
      <c r="C130" s="837" t="str">
        <f>I130</f>
        <v>32.1 EBU</v>
      </c>
      <c r="D130" s="2093">
        <v>35</v>
      </c>
      <c r="E130" s="1851" t="str">
        <f>M130</f>
        <v>27.1 EBU</v>
      </c>
      <c r="F130" s="2098">
        <v>27</v>
      </c>
      <c r="G130" s="3633" t="s">
        <v>1088</v>
      </c>
      <c r="H130" s="3634"/>
      <c r="I130" s="3635" t="str">
        <f>FIXED((I129+J129)+(I162*69/C133),1)&amp;" EBU"</f>
        <v>32.1 EBU</v>
      </c>
      <c r="J130" s="3636"/>
      <c r="K130" s="3635" t="str">
        <f>FIXED((K129+L129)+(K162*69/D133),1)&amp;" EBU"</f>
        <v>32.1 EBU</v>
      </c>
      <c r="L130" s="3636"/>
      <c r="M130" s="3635" t="str">
        <f>FIXED((M129+N129)+(M162*69/E133),1)&amp;" EBU"</f>
        <v>27.1 EBU</v>
      </c>
      <c r="N130" s="3636"/>
      <c r="O130" s="3635" t="str">
        <f>FIXED((O129+P129)+(O162*69/F133),1)&amp;" EBU"</f>
        <v>27.1 EBU</v>
      </c>
      <c r="P130" s="3636"/>
      <c r="Q130" s="3683" t="s">
        <v>1094</v>
      </c>
      <c r="R130" s="3684"/>
      <c r="S130" s="3685" t="s">
        <v>202</v>
      </c>
      <c r="T130" s="3686"/>
      <c r="U130" s="3687"/>
      <c r="V130" s="4674">
        <f>C127</f>
        <v>4.2197705623264392</v>
      </c>
      <c r="W130" s="869">
        <f>E127</f>
        <v>3.8280157413893923</v>
      </c>
      <c r="X130" s="804"/>
      <c r="Y130" s="804"/>
      <c r="Z130" s="818"/>
      <c r="AA130" s="721" t="s">
        <v>248</v>
      </c>
      <c r="AB130" s="721" t="s">
        <v>248</v>
      </c>
      <c r="AC130" s="721" t="s">
        <v>248</v>
      </c>
      <c r="AD130" s="721" t="s">
        <v>248</v>
      </c>
      <c r="AE130" s="648"/>
      <c r="AF130" s="648"/>
      <c r="AG130" s="648"/>
      <c r="AH130" s="648"/>
      <c r="AI130" s="648"/>
      <c r="AJ130" s="636"/>
      <c r="AK130" s="636"/>
      <c r="AL130" s="636"/>
      <c r="AM130" s="636"/>
      <c r="AN130" s="636"/>
      <c r="AO130" s="636"/>
      <c r="AP130" s="636"/>
      <c r="AQ130" s="636"/>
      <c r="AR130" s="636"/>
      <c r="AS130" s="636"/>
      <c r="AT130" s="636"/>
    </row>
    <row r="131" spans="1:46" ht="15" customHeight="1">
      <c r="A131" s="645"/>
      <c r="B131" s="4693" t="s">
        <v>271</v>
      </c>
      <c r="C131" s="838" t="str">
        <f>FIXED(SUM(AJ135:AJ151)/C133,1)&amp;" EBC"</f>
        <v>96.1 EBC</v>
      </c>
      <c r="D131" s="4601" t="s">
        <v>1049</v>
      </c>
      <c r="E131" s="4694" t="str">
        <f>FIXED(SUM(AN135:AN151)/E133,1)&amp;" EBC"</f>
        <v>20.7 EBC</v>
      </c>
      <c r="F131" s="2098" t="str">
        <f>D131</f>
        <v>N/A</v>
      </c>
      <c r="G131" s="2543" t="s">
        <v>701</v>
      </c>
      <c r="H131" s="2544" t="s">
        <v>1096</v>
      </c>
      <c r="I131" s="3626" t="s">
        <v>1120</v>
      </c>
      <c r="J131" s="3627"/>
      <c r="K131" s="3628" t="s">
        <v>1121</v>
      </c>
      <c r="L131" s="3629"/>
      <c r="M131" s="3626" t="s">
        <v>1122</v>
      </c>
      <c r="N131" s="3627"/>
      <c r="O131" s="3628" t="s">
        <v>1123</v>
      </c>
      <c r="P131" s="3629"/>
      <c r="Q131" s="804"/>
      <c r="R131" s="870"/>
      <c r="S131" s="636"/>
      <c r="T131" s="871"/>
      <c r="U131" s="871"/>
      <c r="V131" s="804"/>
      <c r="W131" s="804"/>
      <c r="X131" s="804"/>
      <c r="Y131" s="804"/>
      <c r="Z131" s="818"/>
      <c r="AA131" s="648">
        <f t="shared" ref="AA131:AA159" si="61">H133*I133</f>
        <v>0</v>
      </c>
      <c r="AB131" s="648">
        <f t="shared" ref="AB131:AB159" si="62">H133*J133</f>
        <v>0</v>
      </c>
      <c r="AC131" s="648">
        <f t="shared" ref="AC131:AC159" si="63">H133*M133</f>
        <v>0</v>
      </c>
      <c r="AD131" s="648">
        <f t="shared" ref="AD131:AD159" si="64">H133*N133</f>
        <v>0</v>
      </c>
      <c r="AE131" s="636"/>
      <c r="AF131" s="636"/>
      <c r="AG131" s="636"/>
      <c r="AH131" s="648"/>
      <c r="AI131" s="636"/>
      <c r="AJ131" s="636"/>
      <c r="AK131" s="636"/>
      <c r="AL131" s="636"/>
      <c r="AM131" s="636"/>
      <c r="AN131" s="636"/>
      <c r="AO131" s="636"/>
      <c r="AP131" s="636"/>
      <c r="AQ131" s="636"/>
      <c r="AR131" s="636"/>
      <c r="AS131" s="636"/>
      <c r="AT131" s="636"/>
    </row>
    <row r="132" spans="1:46" ht="15" customHeight="1">
      <c r="A132" s="645"/>
      <c r="B132" s="4695"/>
      <c r="C132" s="839" t="str">
        <f>"≈ "&amp;FIXED(0.508*SUM(AJ135:AJ150)/C133,1)&amp;" SRM"</f>
        <v>≈ 48.8 SRM</v>
      </c>
      <c r="D132" s="4696" t="e">
        <f>"≈ "&amp;FIXED((0.508*D131),1)&amp;" SRM"</f>
        <v>#VALUE!</v>
      </c>
      <c r="E132" s="4697" t="str">
        <f>"≈ "&amp;FIXED(0.508*SUM(AN135:AN150)/E133,1)&amp;" SRM"</f>
        <v>≈ 10.5 SRM</v>
      </c>
      <c r="F132" s="1841" t="e">
        <f>"≈ "&amp;FIXED((0.508*F131),1)&amp;" SRM"</f>
        <v>#VALUE!</v>
      </c>
      <c r="G132" s="4698" t="s">
        <v>751</v>
      </c>
      <c r="H132" s="840" t="s">
        <v>721</v>
      </c>
      <c r="I132" s="794" t="s">
        <v>1101</v>
      </c>
      <c r="J132" s="794" t="s">
        <v>1102</v>
      </c>
      <c r="K132" s="4699" t="s">
        <v>1101</v>
      </c>
      <c r="L132" s="4699" t="s">
        <v>1102</v>
      </c>
      <c r="M132" s="794" t="s">
        <v>1101</v>
      </c>
      <c r="N132" s="859" t="s">
        <v>1102</v>
      </c>
      <c r="O132" s="4699" t="s">
        <v>1101</v>
      </c>
      <c r="P132" s="4699" t="s">
        <v>1102</v>
      </c>
      <c r="Q132" s="804"/>
      <c r="R132" s="3630" t="s">
        <v>1053</v>
      </c>
      <c r="S132" s="3630"/>
      <c r="T132" s="872"/>
      <c r="U132" s="873"/>
      <c r="V132" s="804"/>
      <c r="W132" s="804"/>
      <c r="X132" s="804"/>
      <c r="Y132" s="804"/>
      <c r="Z132" s="818"/>
      <c r="AA132" s="648">
        <f t="shared" si="61"/>
        <v>0</v>
      </c>
      <c r="AB132" s="648">
        <f t="shared" si="62"/>
        <v>0</v>
      </c>
      <c r="AC132" s="648">
        <f t="shared" si="63"/>
        <v>0</v>
      </c>
      <c r="AD132" s="648">
        <f t="shared" si="64"/>
        <v>0</v>
      </c>
      <c r="AE132" s="636"/>
      <c r="AF132" s="636"/>
      <c r="AG132" s="636"/>
      <c r="AH132" s="721"/>
      <c r="AI132" s="636"/>
      <c r="AJ132" s="636"/>
      <c r="AK132" s="636"/>
      <c r="AL132" s="636"/>
      <c r="AM132" s="636"/>
      <c r="AN132" s="636"/>
      <c r="AO132" s="636"/>
      <c r="AP132" s="636"/>
      <c r="AQ132" s="636"/>
      <c r="AR132" s="636"/>
      <c r="AS132" s="636"/>
      <c r="AT132" s="636"/>
    </row>
    <row r="133" spans="1:46" ht="15" customHeight="1">
      <c r="A133" s="645"/>
      <c r="B133" s="2792" t="s">
        <v>1052</v>
      </c>
      <c r="C133" s="2545">
        <v>25</v>
      </c>
      <c r="D133" s="2546">
        <v>15</v>
      </c>
      <c r="E133" s="2547">
        <v>25</v>
      </c>
      <c r="F133" s="2548">
        <v>15</v>
      </c>
      <c r="G133" s="2120" t="str">
        <f>'Beer Data Sheet'!B9</f>
        <v>Admiral</v>
      </c>
      <c r="H133" s="2024">
        <f>'Beer Data Sheet'!C9</f>
        <v>11</v>
      </c>
      <c r="I133" s="2529"/>
      <c r="J133" s="860"/>
      <c r="K133" s="861">
        <f t="shared" ref="K133:K162" si="65">I133*D$133/C$133</f>
        <v>0</v>
      </c>
      <c r="L133" s="861">
        <f t="shared" ref="L133:L161" si="66">J133*D$133/C$133</f>
        <v>0</v>
      </c>
      <c r="M133" s="2549"/>
      <c r="N133" s="862"/>
      <c r="O133" s="863">
        <f t="shared" ref="O133:O162" si="67">M133*F$133/E$133</f>
        <v>0</v>
      </c>
      <c r="P133" s="864">
        <f t="shared" ref="P133:P161" si="68">N133*F$133/E$133</f>
        <v>0</v>
      </c>
      <c r="Q133" s="804"/>
      <c r="R133" s="804"/>
      <c r="S133" s="804"/>
      <c r="T133" s="804"/>
      <c r="U133" s="804"/>
      <c r="V133" s="804"/>
      <c r="W133" s="804"/>
      <c r="X133" s="804"/>
      <c r="Y133" s="804"/>
      <c r="Z133" s="818"/>
      <c r="AA133" s="648">
        <f t="shared" si="61"/>
        <v>0</v>
      </c>
      <c r="AB133" s="648">
        <f t="shared" si="62"/>
        <v>0</v>
      </c>
      <c r="AC133" s="648">
        <f t="shared" si="63"/>
        <v>0</v>
      </c>
      <c r="AD133" s="648">
        <f t="shared" si="64"/>
        <v>0</v>
      </c>
      <c r="AE133" s="636"/>
      <c r="AF133" s="636"/>
      <c r="AG133" s="4635" t="s">
        <v>516</v>
      </c>
      <c r="AH133" s="636"/>
      <c r="AI133" s="636"/>
      <c r="AJ133" s="636"/>
      <c r="AK133" s="4700" t="s">
        <v>517</v>
      </c>
      <c r="AL133" s="721"/>
      <c r="AM133" s="721"/>
      <c r="AN133" s="636"/>
      <c r="AO133" s="636"/>
      <c r="AP133" s="636"/>
      <c r="AQ133" s="636"/>
      <c r="AR133" s="636"/>
      <c r="AS133" s="636"/>
      <c r="AT133" s="636"/>
    </row>
    <row r="134" spans="1:46" ht="15" customHeight="1">
      <c r="A134" s="645"/>
      <c r="B134" s="2550" t="s">
        <v>948</v>
      </c>
      <c r="C134" s="2551" t="s">
        <v>1056</v>
      </c>
      <c r="D134" s="2552" t="s">
        <v>1121</v>
      </c>
      <c r="E134" s="2793" t="s">
        <v>1057</v>
      </c>
      <c r="F134" s="2553" t="s">
        <v>1123</v>
      </c>
      <c r="G134" s="2120" t="str">
        <f>'Beer Data Sheet'!B10</f>
        <v>Boadicea</v>
      </c>
      <c r="H134" s="2024">
        <f>'Beer Data Sheet'!C10</f>
        <v>9.5</v>
      </c>
      <c r="I134" s="796"/>
      <c r="J134" s="865"/>
      <c r="K134" s="861">
        <f t="shared" si="65"/>
        <v>0</v>
      </c>
      <c r="L134" s="861">
        <f t="shared" si="66"/>
        <v>0</v>
      </c>
      <c r="M134" s="866"/>
      <c r="N134" s="867"/>
      <c r="O134" s="863">
        <f t="shared" si="67"/>
        <v>0</v>
      </c>
      <c r="P134" s="864">
        <f t="shared" si="68"/>
        <v>0</v>
      </c>
      <c r="Q134" s="804"/>
      <c r="R134" s="804"/>
      <c r="S134" s="804"/>
      <c r="T134" s="804"/>
      <c r="U134" s="804"/>
      <c r="V134" s="804"/>
      <c r="W134" s="804"/>
      <c r="X134" s="804"/>
      <c r="Y134" s="804"/>
      <c r="Z134" s="818"/>
      <c r="AA134" s="648">
        <f t="shared" si="61"/>
        <v>0</v>
      </c>
      <c r="AB134" s="648">
        <f t="shared" si="62"/>
        <v>0</v>
      </c>
      <c r="AC134" s="648">
        <f t="shared" si="63"/>
        <v>0</v>
      </c>
      <c r="AD134" s="648">
        <f t="shared" si="64"/>
        <v>0</v>
      </c>
      <c r="AE134" s="721" t="s">
        <v>514</v>
      </c>
      <c r="AF134" s="721" t="s">
        <v>950</v>
      </c>
      <c r="AG134" s="4635" t="s">
        <v>515</v>
      </c>
      <c r="AH134" s="730" t="s">
        <v>689</v>
      </c>
      <c r="AI134" s="721" t="s">
        <v>951</v>
      </c>
      <c r="AJ134" s="721" t="s">
        <v>950</v>
      </c>
      <c r="AK134" s="4639"/>
      <c r="AL134" s="730" t="s">
        <v>689</v>
      </c>
      <c r="AM134" s="721" t="s">
        <v>951</v>
      </c>
      <c r="AN134" s="721" t="s">
        <v>950</v>
      </c>
      <c r="AO134" s="636"/>
      <c r="AP134" s="636"/>
      <c r="AQ134" s="636"/>
      <c r="AR134" s="636"/>
      <c r="AS134" s="636"/>
      <c r="AT134" s="636"/>
    </row>
    <row r="135" spans="1:46" ht="15" customHeight="1">
      <c r="A135" s="3672" t="s">
        <v>1105</v>
      </c>
      <c r="B135" s="2554" t="str">
        <f>'Beer Data Sheet'!B72</f>
        <v>Black</v>
      </c>
      <c r="C135" s="841"/>
      <c r="D135" s="2033">
        <f t="shared" ref="D135:D152" si="69">C135*D$133/C$133</f>
        <v>0</v>
      </c>
      <c r="E135" s="842"/>
      <c r="F135" s="843">
        <f t="shared" ref="F135:F152" si="70">E135*F$133/E$133</f>
        <v>0</v>
      </c>
      <c r="G135" s="2120" t="str">
        <f>'Beer Data Sheet'!B11</f>
        <v>Bramling Cross</v>
      </c>
      <c r="H135" s="2024">
        <f>'Beer Data Sheet'!C11</f>
        <v>5.0999999999999996</v>
      </c>
      <c r="I135" s="796"/>
      <c r="J135" s="865"/>
      <c r="K135" s="861">
        <f t="shared" si="65"/>
        <v>0</v>
      </c>
      <c r="L135" s="861">
        <f t="shared" si="66"/>
        <v>0</v>
      </c>
      <c r="M135" s="866"/>
      <c r="N135" s="867"/>
      <c r="O135" s="863">
        <f t="shared" si="67"/>
        <v>0</v>
      </c>
      <c r="P135" s="864">
        <f t="shared" si="68"/>
        <v>0</v>
      </c>
      <c r="Q135" s="804"/>
      <c r="R135" s="804"/>
      <c r="S135" s="804"/>
      <c r="T135" s="804"/>
      <c r="U135" s="804"/>
      <c r="V135" s="804"/>
      <c r="W135" s="804"/>
      <c r="X135" s="804"/>
      <c r="Y135" s="804"/>
      <c r="Z135" s="818"/>
      <c r="AA135" s="648">
        <f t="shared" si="61"/>
        <v>0</v>
      </c>
      <c r="AB135" s="648">
        <f t="shared" si="62"/>
        <v>0</v>
      </c>
      <c r="AC135" s="648">
        <f t="shared" si="63"/>
        <v>0</v>
      </c>
      <c r="AD135" s="648">
        <f t="shared" si="64"/>
        <v>0</v>
      </c>
      <c r="AE135" s="875">
        <f>'Beer Data Sheet'!C72*$L$4/100</f>
        <v>201.4</v>
      </c>
      <c r="AF135" s="731">
        <f>'Beer Data Sheet'!E72</f>
        <v>908.8</v>
      </c>
      <c r="AG135" s="4322">
        <f>C$155/100</f>
        <v>0.76</v>
      </c>
      <c r="AH135" s="731">
        <f t="shared" ref="AH135:AH151" si="71">0.001*AE135*C135</f>
        <v>0</v>
      </c>
      <c r="AI135" s="734">
        <f>AH135*AG135</f>
        <v>0</v>
      </c>
      <c r="AJ135" s="737">
        <f t="shared" ref="AJ135:AJ151" si="72">0.01*AF135*C135</f>
        <v>0</v>
      </c>
      <c r="AK135" s="4648">
        <f t="shared" ref="AK135:AK146" si="73">E$155/100</f>
        <v>0.76</v>
      </c>
      <c r="AL135" s="731">
        <f t="shared" ref="AL135:AL151" si="74">0.001*AE135*E135</f>
        <v>0</v>
      </c>
      <c r="AM135" s="734">
        <f t="shared" ref="AM135:AM151" si="75">AK135*AL135</f>
        <v>0</v>
      </c>
      <c r="AN135" s="734">
        <f t="shared" ref="AN135:AN151" si="76">0.01*E135*AF135</f>
        <v>0</v>
      </c>
      <c r="AO135" s="636"/>
      <c r="AP135" s="636"/>
      <c r="AQ135" s="636"/>
      <c r="AR135" s="636"/>
      <c r="AS135" s="636"/>
      <c r="AT135" s="636"/>
    </row>
    <row r="136" spans="1:46" ht="15" customHeight="1">
      <c r="A136" s="4701"/>
      <c r="B136" s="2012" t="str">
        <f>'Beer Data Sheet'!B73</f>
        <v>Chocolate</v>
      </c>
      <c r="C136" s="841"/>
      <c r="D136" s="2033">
        <f t="shared" si="69"/>
        <v>0</v>
      </c>
      <c r="E136" s="842"/>
      <c r="F136" s="843">
        <f t="shared" si="70"/>
        <v>0</v>
      </c>
      <c r="G136" s="2120" t="str">
        <f>'Beer Data Sheet'!B12</f>
        <v>Brewers Gold</v>
      </c>
      <c r="H136" s="2024">
        <f>'Beer Data Sheet'!C12</f>
        <v>5.5</v>
      </c>
      <c r="I136" s="796"/>
      <c r="J136" s="865"/>
      <c r="K136" s="861">
        <f t="shared" si="65"/>
        <v>0</v>
      </c>
      <c r="L136" s="861">
        <f t="shared" si="66"/>
        <v>0</v>
      </c>
      <c r="M136" s="866"/>
      <c r="N136" s="867"/>
      <c r="O136" s="863">
        <f t="shared" si="67"/>
        <v>0</v>
      </c>
      <c r="P136" s="864">
        <f t="shared" si="68"/>
        <v>0</v>
      </c>
      <c r="Q136" s="804"/>
      <c r="R136" s="804"/>
      <c r="S136" s="804"/>
      <c r="T136" s="804"/>
      <c r="U136" s="804"/>
      <c r="V136" s="804"/>
      <c r="W136" s="804"/>
      <c r="X136" s="804"/>
      <c r="Y136" s="804"/>
      <c r="Z136" s="818"/>
      <c r="AA136" s="648">
        <f t="shared" si="61"/>
        <v>0</v>
      </c>
      <c r="AB136" s="648">
        <f t="shared" si="62"/>
        <v>0</v>
      </c>
      <c r="AC136" s="648">
        <f t="shared" si="63"/>
        <v>0</v>
      </c>
      <c r="AD136" s="648">
        <f t="shared" si="64"/>
        <v>0</v>
      </c>
      <c r="AE136" s="875">
        <f>'Beer Data Sheet'!C73*$L$4/100</f>
        <v>201.4</v>
      </c>
      <c r="AF136" s="731">
        <f>'Beer Data Sheet'!E73</f>
        <v>763.2</v>
      </c>
      <c r="AG136" s="4322">
        <f t="shared" ref="AG136:AG146" si="77">C$155/100</f>
        <v>0.76</v>
      </c>
      <c r="AH136" s="731">
        <f t="shared" si="71"/>
        <v>0</v>
      </c>
      <c r="AI136" s="734">
        <f t="shared" ref="AI136:AI151" si="78">AH136*AG136</f>
        <v>0</v>
      </c>
      <c r="AJ136" s="737">
        <f t="shared" si="72"/>
        <v>0</v>
      </c>
      <c r="AK136" s="4648">
        <f t="shared" si="73"/>
        <v>0.76</v>
      </c>
      <c r="AL136" s="731">
        <f t="shared" si="74"/>
        <v>0</v>
      </c>
      <c r="AM136" s="734">
        <f t="shared" si="75"/>
        <v>0</v>
      </c>
      <c r="AN136" s="734">
        <f t="shared" si="76"/>
        <v>0</v>
      </c>
      <c r="AO136" s="636"/>
      <c r="AP136" s="636"/>
      <c r="AQ136" s="636"/>
      <c r="AR136" s="636"/>
      <c r="AS136" s="636"/>
      <c r="AT136" s="636"/>
    </row>
    <row r="137" spans="1:46" ht="15" customHeight="1">
      <c r="A137" s="4701"/>
      <c r="B137" s="2012" t="str">
        <f>'Beer Data Sheet'!B74</f>
        <v>Crystal (light)</v>
      </c>
      <c r="C137" s="841"/>
      <c r="D137" s="2033">
        <f t="shared" si="69"/>
        <v>0</v>
      </c>
      <c r="E137" s="842"/>
      <c r="F137" s="843">
        <f t="shared" si="70"/>
        <v>0</v>
      </c>
      <c r="G137" s="2120" t="str">
        <f>'Beer Data Sheet'!B13</f>
        <v>Bullion</v>
      </c>
      <c r="H137" s="2024">
        <f>'Beer Data Sheet'!C13</f>
        <v>10</v>
      </c>
      <c r="I137" s="796"/>
      <c r="J137" s="865"/>
      <c r="K137" s="861">
        <f t="shared" si="65"/>
        <v>0</v>
      </c>
      <c r="L137" s="861">
        <f t="shared" si="66"/>
        <v>0</v>
      </c>
      <c r="M137" s="866"/>
      <c r="N137" s="867"/>
      <c r="O137" s="863">
        <f t="shared" si="67"/>
        <v>0</v>
      </c>
      <c r="P137" s="864">
        <f t="shared" si="68"/>
        <v>0</v>
      </c>
      <c r="Q137" s="804"/>
      <c r="R137" s="804"/>
      <c r="S137" s="804"/>
      <c r="T137" s="804"/>
      <c r="U137" s="804"/>
      <c r="V137" s="804"/>
      <c r="W137" s="804"/>
      <c r="X137" s="804"/>
      <c r="Y137" s="804"/>
      <c r="Z137" s="818"/>
      <c r="AA137" s="648">
        <f t="shared" si="61"/>
        <v>0</v>
      </c>
      <c r="AB137" s="648">
        <f t="shared" si="62"/>
        <v>0</v>
      </c>
      <c r="AC137" s="648">
        <f t="shared" si="63"/>
        <v>0</v>
      </c>
      <c r="AD137" s="648">
        <f t="shared" si="64"/>
        <v>0</v>
      </c>
      <c r="AE137" s="875">
        <f>'Beer Data Sheet'!C74*$L$4/100</f>
        <v>201.4</v>
      </c>
      <c r="AF137" s="731">
        <f>'Beer Data Sheet'!E74</f>
        <v>77.7</v>
      </c>
      <c r="AG137" s="4322">
        <f t="shared" si="77"/>
        <v>0.76</v>
      </c>
      <c r="AH137" s="731">
        <f t="shared" si="71"/>
        <v>0</v>
      </c>
      <c r="AI137" s="734">
        <f t="shared" si="78"/>
        <v>0</v>
      </c>
      <c r="AJ137" s="737">
        <f t="shared" si="72"/>
        <v>0</v>
      </c>
      <c r="AK137" s="4648">
        <f t="shared" si="73"/>
        <v>0.76</v>
      </c>
      <c r="AL137" s="731">
        <f t="shared" si="74"/>
        <v>0</v>
      </c>
      <c r="AM137" s="734">
        <f t="shared" si="75"/>
        <v>0</v>
      </c>
      <c r="AN137" s="734">
        <f t="shared" si="76"/>
        <v>0</v>
      </c>
      <c r="AO137" s="636"/>
      <c r="AP137" s="636"/>
      <c r="AQ137" s="636"/>
      <c r="AR137" s="636"/>
      <c r="AS137" s="636"/>
      <c r="AT137" s="636"/>
    </row>
    <row r="138" spans="1:46" ht="15" customHeight="1">
      <c r="A138" s="4701"/>
      <c r="B138" s="2012" t="str">
        <f>'Beer Data Sheet'!B75</f>
        <v>Crystal (medium)</v>
      </c>
      <c r="C138" s="1655"/>
      <c r="D138" s="2033">
        <f t="shared" si="69"/>
        <v>0</v>
      </c>
      <c r="E138" s="842">
        <v>215</v>
      </c>
      <c r="F138" s="843">
        <f t="shared" si="70"/>
        <v>129</v>
      </c>
      <c r="G138" s="2120" t="str">
        <f>'Beer Data Sheet'!B14</f>
        <v>Challenger</v>
      </c>
      <c r="H138" s="2024">
        <f>'Beer Data Sheet'!C14</f>
        <v>7.7</v>
      </c>
      <c r="I138" s="796"/>
      <c r="J138" s="865"/>
      <c r="K138" s="861">
        <f t="shared" si="65"/>
        <v>0</v>
      </c>
      <c r="L138" s="861">
        <f t="shared" si="66"/>
        <v>0</v>
      </c>
      <c r="M138" s="866"/>
      <c r="N138" s="867"/>
      <c r="O138" s="863">
        <f t="shared" si="67"/>
        <v>0</v>
      </c>
      <c r="P138" s="864">
        <f t="shared" si="68"/>
        <v>0</v>
      </c>
      <c r="Q138" s="804"/>
      <c r="R138" s="804"/>
      <c r="S138" s="804"/>
      <c r="T138" s="804"/>
      <c r="U138" s="804"/>
      <c r="V138" s="804"/>
      <c r="W138" s="804"/>
      <c r="X138" s="804"/>
      <c r="Y138" s="804"/>
      <c r="Z138" s="818"/>
      <c r="AA138" s="648">
        <f t="shared" si="61"/>
        <v>0</v>
      </c>
      <c r="AB138" s="648">
        <f t="shared" si="62"/>
        <v>0</v>
      </c>
      <c r="AC138" s="648">
        <f t="shared" si="63"/>
        <v>0</v>
      </c>
      <c r="AD138" s="648">
        <f t="shared" si="64"/>
        <v>0</v>
      </c>
      <c r="AE138" s="875">
        <f>'Beer Data Sheet'!C75*$L$4/100</f>
        <v>201.4</v>
      </c>
      <c r="AF138" s="731">
        <f>'Beer Data Sheet'!E75</f>
        <v>103.6</v>
      </c>
      <c r="AG138" s="4322">
        <f t="shared" si="77"/>
        <v>0.76</v>
      </c>
      <c r="AH138" s="731">
        <f t="shared" si="71"/>
        <v>0</v>
      </c>
      <c r="AI138" s="734">
        <f t="shared" si="78"/>
        <v>0</v>
      </c>
      <c r="AJ138" s="737">
        <f t="shared" si="72"/>
        <v>0</v>
      </c>
      <c r="AK138" s="4648">
        <f t="shared" si="73"/>
        <v>0.76</v>
      </c>
      <c r="AL138" s="731">
        <f t="shared" si="74"/>
        <v>43.301000000000002</v>
      </c>
      <c r="AM138" s="734">
        <f t="shared" si="75"/>
        <v>32.908760000000001</v>
      </c>
      <c r="AN138" s="734">
        <f t="shared" si="76"/>
        <v>222.73999999999998</v>
      </c>
      <c r="AO138" s="636"/>
      <c r="AP138" s="636"/>
      <c r="AQ138" s="636"/>
      <c r="AR138" s="636"/>
      <c r="AS138" s="636"/>
      <c r="AT138" s="636"/>
    </row>
    <row r="139" spans="1:46" ht="15" customHeight="1">
      <c r="A139" s="4701"/>
      <c r="B139" s="2012" t="str">
        <f>'Beer Data Sheet'!B76</f>
        <v>Crystal (dark)</v>
      </c>
      <c r="C139" s="841"/>
      <c r="D139" s="2033">
        <f t="shared" si="69"/>
        <v>0</v>
      </c>
      <c r="E139" s="842"/>
      <c r="F139" s="843">
        <f t="shared" si="70"/>
        <v>0</v>
      </c>
      <c r="G139" s="2120" t="str">
        <f>'Beer Data Sheet'!B15</f>
        <v>Cluster</v>
      </c>
      <c r="H139" s="2024">
        <f>'Beer Data Sheet'!C15</f>
        <v>6.9</v>
      </c>
      <c r="I139" s="796"/>
      <c r="J139" s="865"/>
      <c r="K139" s="861">
        <f t="shared" si="65"/>
        <v>0</v>
      </c>
      <c r="L139" s="861">
        <f t="shared" si="66"/>
        <v>0</v>
      </c>
      <c r="M139" s="866"/>
      <c r="N139" s="867"/>
      <c r="O139" s="863">
        <f t="shared" si="67"/>
        <v>0</v>
      </c>
      <c r="P139" s="864">
        <f t="shared" si="68"/>
        <v>0</v>
      </c>
      <c r="Q139" s="804"/>
      <c r="R139" s="804"/>
      <c r="S139" s="804"/>
      <c r="T139" s="804"/>
      <c r="U139" s="804"/>
      <c r="V139" s="804"/>
      <c r="W139" s="804"/>
      <c r="X139" s="804"/>
      <c r="Y139" s="804"/>
      <c r="Z139" s="818"/>
      <c r="AA139" s="648">
        <f t="shared" si="61"/>
        <v>0</v>
      </c>
      <c r="AB139" s="648">
        <f t="shared" si="62"/>
        <v>0</v>
      </c>
      <c r="AC139" s="648">
        <f t="shared" si="63"/>
        <v>0</v>
      </c>
      <c r="AD139" s="648">
        <f t="shared" si="64"/>
        <v>0</v>
      </c>
      <c r="AE139" s="875">
        <f>'Beer Data Sheet'!C76*$L$4/100</f>
        <v>201.4</v>
      </c>
      <c r="AF139" s="731">
        <f>'Beer Data Sheet'!E76</f>
        <v>148</v>
      </c>
      <c r="AG139" s="4322">
        <f t="shared" si="77"/>
        <v>0.76</v>
      </c>
      <c r="AH139" s="731">
        <f t="shared" si="71"/>
        <v>0</v>
      </c>
      <c r="AI139" s="734">
        <f t="shared" si="78"/>
        <v>0</v>
      </c>
      <c r="AJ139" s="737">
        <f t="shared" si="72"/>
        <v>0</v>
      </c>
      <c r="AK139" s="4648">
        <f t="shared" si="73"/>
        <v>0.76</v>
      </c>
      <c r="AL139" s="731">
        <f t="shared" si="74"/>
        <v>0</v>
      </c>
      <c r="AM139" s="734">
        <f t="shared" si="75"/>
        <v>0</v>
      </c>
      <c r="AN139" s="734">
        <f t="shared" si="76"/>
        <v>0</v>
      </c>
      <c r="AO139" s="636"/>
      <c r="AP139" s="636"/>
      <c r="AQ139" s="636"/>
      <c r="AR139" s="636"/>
      <c r="AS139" s="636"/>
      <c r="AT139" s="636"/>
    </row>
    <row r="140" spans="1:46" ht="15" customHeight="1">
      <c r="A140" s="4701"/>
      <c r="B140" s="2012" t="str">
        <f>'Beer Data Sheet'!B77</f>
        <v>Caramalt</v>
      </c>
      <c r="C140" s="841"/>
      <c r="D140" s="2033">
        <f t="shared" si="69"/>
        <v>0</v>
      </c>
      <c r="E140" s="842"/>
      <c r="F140" s="843">
        <f t="shared" si="70"/>
        <v>0</v>
      </c>
      <c r="G140" s="2120" t="str">
        <f>'Beer Data Sheet'!B16</f>
        <v>EKG</v>
      </c>
      <c r="H140" s="2024">
        <f>'Beer Data Sheet'!C16</f>
        <v>5.5</v>
      </c>
      <c r="I140" s="796"/>
      <c r="J140" s="865"/>
      <c r="K140" s="861">
        <f t="shared" si="65"/>
        <v>0</v>
      </c>
      <c r="L140" s="861">
        <f t="shared" si="66"/>
        <v>0</v>
      </c>
      <c r="M140" s="866"/>
      <c r="N140" s="867"/>
      <c r="O140" s="863">
        <f t="shared" si="67"/>
        <v>0</v>
      </c>
      <c r="P140" s="864">
        <f t="shared" si="68"/>
        <v>0</v>
      </c>
      <c r="Q140" s="804"/>
      <c r="R140" s="804"/>
      <c r="S140" s="804"/>
      <c r="T140" s="804"/>
      <c r="U140" s="804"/>
      <c r="V140" s="804"/>
      <c r="W140" s="804"/>
      <c r="X140" s="804"/>
      <c r="Y140" s="804"/>
      <c r="Z140" s="818"/>
      <c r="AA140" s="648">
        <f t="shared" si="61"/>
        <v>450</v>
      </c>
      <c r="AB140" s="648">
        <f t="shared" si="62"/>
        <v>67.5</v>
      </c>
      <c r="AC140" s="648">
        <f t="shared" si="63"/>
        <v>0</v>
      </c>
      <c r="AD140" s="648">
        <f t="shared" si="64"/>
        <v>0</v>
      </c>
      <c r="AE140" s="875">
        <f>'Beer Data Sheet'!C77*$L$4/100</f>
        <v>201.4</v>
      </c>
      <c r="AF140" s="731">
        <f>'Beer Data Sheet'!E77</f>
        <v>17.75</v>
      </c>
      <c r="AG140" s="4322">
        <f t="shared" si="77"/>
        <v>0.76</v>
      </c>
      <c r="AH140" s="731">
        <f t="shared" si="71"/>
        <v>0</v>
      </c>
      <c r="AI140" s="734">
        <f t="shared" si="78"/>
        <v>0</v>
      </c>
      <c r="AJ140" s="737">
        <f t="shared" si="72"/>
        <v>0</v>
      </c>
      <c r="AK140" s="4648">
        <f t="shared" si="73"/>
        <v>0.76</v>
      </c>
      <c r="AL140" s="731">
        <f t="shared" si="74"/>
        <v>0</v>
      </c>
      <c r="AM140" s="734">
        <f t="shared" si="75"/>
        <v>0</v>
      </c>
      <c r="AN140" s="734">
        <f t="shared" si="76"/>
        <v>0</v>
      </c>
      <c r="AO140" s="636"/>
      <c r="AP140" s="636"/>
      <c r="AQ140" s="636"/>
      <c r="AR140" s="636"/>
      <c r="AS140" s="636"/>
      <c r="AT140" s="636"/>
    </row>
    <row r="141" spans="1:46" ht="15" customHeight="1">
      <c r="A141" s="4701"/>
      <c r="B141" s="2012" t="str">
        <f>'Beer Data Sheet'!B78</f>
        <v>Caramalt Light)</v>
      </c>
      <c r="C141" s="841"/>
      <c r="D141" s="2033">
        <f t="shared" si="69"/>
        <v>0</v>
      </c>
      <c r="E141" s="842"/>
      <c r="F141" s="843">
        <f t="shared" ref="F141:F146" si="79">E141*F$133/E$133</f>
        <v>0</v>
      </c>
      <c r="G141" s="2120" t="str">
        <f>'Beer Data Sheet'!B17</f>
        <v>First Gold</v>
      </c>
      <c r="H141" s="2024">
        <f>'Beer Data Sheet'!C17</f>
        <v>7.9</v>
      </c>
      <c r="I141" s="796"/>
      <c r="J141" s="865"/>
      <c r="K141" s="861">
        <f t="shared" si="65"/>
        <v>0</v>
      </c>
      <c r="L141" s="861">
        <f t="shared" si="66"/>
        <v>0</v>
      </c>
      <c r="M141" s="866"/>
      <c r="N141" s="867"/>
      <c r="O141" s="863">
        <f t="shared" si="67"/>
        <v>0</v>
      </c>
      <c r="P141" s="864">
        <f t="shared" si="68"/>
        <v>0</v>
      </c>
      <c r="Q141" s="804"/>
      <c r="R141" s="804"/>
      <c r="S141" s="804"/>
      <c r="T141" s="804"/>
      <c r="U141" s="804"/>
      <c r="V141" s="804"/>
      <c r="W141" s="804"/>
      <c r="X141" s="804"/>
      <c r="Y141" s="804"/>
      <c r="Z141" s="818"/>
      <c r="AA141" s="648">
        <f t="shared" si="61"/>
        <v>0</v>
      </c>
      <c r="AB141" s="648">
        <f t="shared" si="62"/>
        <v>0</v>
      </c>
      <c r="AC141" s="648">
        <f t="shared" si="63"/>
        <v>339.2</v>
      </c>
      <c r="AD141" s="648">
        <f t="shared" si="64"/>
        <v>79.5</v>
      </c>
      <c r="AE141" s="875">
        <f>'Beer Data Sheet'!C78*$L$4/100</f>
        <v>201.4</v>
      </c>
      <c r="AF141" s="731">
        <f>'Beer Data Sheet'!E78</f>
        <v>8.52</v>
      </c>
      <c r="AG141" s="4322">
        <f t="shared" si="77"/>
        <v>0.76</v>
      </c>
      <c r="AH141" s="731">
        <f t="shared" si="71"/>
        <v>0</v>
      </c>
      <c r="AI141" s="734">
        <f t="shared" si="78"/>
        <v>0</v>
      </c>
      <c r="AJ141" s="737">
        <f t="shared" si="72"/>
        <v>0</v>
      </c>
      <c r="AK141" s="4648">
        <f t="shared" si="73"/>
        <v>0.76</v>
      </c>
      <c r="AL141" s="731">
        <f t="shared" si="74"/>
        <v>0</v>
      </c>
      <c r="AM141" s="734">
        <f t="shared" si="75"/>
        <v>0</v>
      </c>
      <c r="AN141" s="734">
        <f t="shared" si="76"/>
        <v>0</v>
      </c>
      <c r="AO141" s="636"/>
      <c r="AP141" s="636"/>
      <c r="AQ141" s="636"/>
      <c r="AR141" s="636"/>
      <c r="AS141" s="636"/>
      <c r="AT141" s="636"/>
    </row>
    <row r="142" spans="1:46" ht="15" customHeight="1">
      <c r="A142" s="4701"/>
      <c r="B142" s="2012" t="str">
        <f>'Beer Data Sheet'!B79</f>
        <v>Carapils</v>
      </c>
      <c r="C142" s="841"/>
      <c r="D142" s="2033">
        <f t="shared" si="69"/>
        <v>0</v>
      </c>
      <c r="E142" s="842"/>
      <c r="F142" s="843">
        <f t="shared" si="79"/>
        <v>0</v>
      </c>
      <c r="G142" s="2120" t="str">
        <f>'Beer Data Sheet'!B18</f>
        <v>Fuggles</v>
      </c>
      <c r="H142" s="2024">
        <f>'Beer Data Sheet'!C18</f>
        <v>4.5</v>
      </c>
      <c r="I142" s="796">
        <v>100</v>
      </c>
      <c r="J142" s="865">
        <v>15</v>
      </c>
      <c r="K142" s="861">
        <f t="shared" si="65"/>
        <v>60</v>
      </c>
      <c r="L142" s="861">
        <f t="shared" si="66"/>
        <v>9</v>
      </c>
      <c r="M142" s="866"/>
      <c r="N142" s="867"/>
      <c r="O142" s="863">
        <f t="shared" si="67"/>
        <v>0</v>
      </c>
      <c r="P142" s="864">
        <f t="shared" si="68"/>
        <v>0</v>
      </c>
      <c r="Q142" s="804"/>
      <c r="R142" s="804"/>
      <c r="S142" s="804"/>
      <c r="T142" s="804"/>
      <c r="U142" s="804"/>
      <c r="V142" s="804"/>
      <c r="W142" s="804"/>
      <c r="X142" s="804"/>
      <c r="Y142" s="804"/>
      <c r="Z142" s="818"/>
      <c r="AA142" s="648">
        <f t="shared" si="61"/>
        <v>0</v>
      </c>
      <c r="AB142" s="648">
        <f t="shared" si="62"/>
        <v>0</v>
      </c>
      <c r="AC142" s="648">
        <f t="shared" si="63"/>
        <v>0</v>
      </c>
      <c r="AD142" s="648">
        <f t="shared" si="64"/>
        <v>0</v>
      </c>
      <c r="AE142" s="875">
        <f>'Beer Data Sheet'!C79*$L$4/100</f>
        <v>201.4</v>
      </c>
      <c r="AF142" s="731">
        <f>'Beer Data Sheet'!E79</f>
        <v>7.1</v>
      </c>
      <c r="AG142" s="4322">
        <f t="shared" si="77"/>
        <v>0.76</v>
      </c>
      <c r="AH142" s="731">
        <f t="shared" si="71"/>
        <v>0</v>
      </c>
      <c r="AI142" s="734">
        <f t="shared" si="78"/>
        <v>0</v>
      </c>
      <c r="AJ142" s="737">
        <f t="shared" si="72"/>
        <v>0</v>
      </c>
      <c r="AK142" s="4648">
        <f t="shared" si="73"/>
        <v>0.76</v>
      </c>
      <c r="AL142" s="731">
        <f t="shared" si="74"/>
        <v>0</v>
      </c>
      <c r="AM142" s="734">
        <f t="shared" si="75"/>
        <v>0</v>
      </c>
      <c r="AN142" s="734">
        <f t="shared" si="76"/>
        <v>0</v>
      </c>
      <c r="AO142" s="636"/>
      <c r="AP142" s="636"/>
      <c r="AQ142" s="636"/>
      <c r="AR142" s="636"/>
      <c r="AS142" s="636"/>
      <c r="AT142" s="636"/>
    </row>
    <row r="143" spans="1:46" ht="15" customHeight="1">
      <c r="A143" s="3673"/>
      <c r="B143" s="2012" t="str">
        <f>'Beer Data Sheet'!B80</f>
        <v>Roast barley</v>
      </c>
      <c r="C143" s="841">
        <v>230</v>
      </c>
      <c r="D143" s="2033">
        <f t="shared" si="69"/>
        <v>138</v>
      </c>
      <c r="E143" s="842"/>
      <c r="F143" s="843">
        <f t="shared" ref="F143" si="80">E143*F$133/E$133</f>
        <v>0</v>
      </c>
      <c r="G143" s="2120" t="str">
        <f>'Beer Data Sheet'!B19</f>
        <v>Goldings (Worc.)</v>
      </c>
      <c r="H143" s="2024">
        <f>'Beer Data Sheet'!C19</f>
        <v>5.3</v>
      </c>
      <c r="I143" s="796"/>
      <c r="J143" s="865"/>
      <c r="K143" s="861">
        <f t="shared" si="65"/>
        <v>0</v>
      </c>
      <c r="L143" s="861">
        <f t="shared" si="66"/>
        <v>0</v>
      </c>
      <c r="M143" s="866">
        <v>64</v>
      </c>
      <c r="N143" s="867">
        <v>15</v>
      </c>
      <c r="O143" s="863">
        <f t="shared" si="67"/>
        <v>38.4</v>
      </c>
      <c r="P143" s="864">
        <f t="shared" si="68"/>
        <v>9</v>
      </c>
      <c r="Q143" s="804"/>
      <c r="R143" s="804"/>
      <c r="S143" s="804"/>
      <c r="T143" s="804"/>
      <c r="U143" s="804"/>
      <c r="V143" s="804"/>
      <c r="W143" s="804"/>
      <c r="X143" s="804"/>
      <c r="Y143" s="804"/>
      <c r="Z143" s="818"/>
      <c r="AA143" s="648">
        <f t="shared" si="61"/>
        <v>0</v>
      </c>
      <c r="AB143" s="648">
        <f t="shared" si="62"/>
        <v>0</v>
      </c>
      <c r="AC143" s="648">
        <f t="shared" si="63"/>
        <v>0</v>
      </c>
      <c r="AD143" s="648">
        <f t="shared" si="64"/>
        <v>0</v>
      </c>
      <c r="AE143" s="875">
        <f>'Beer Data Sheet'!C80*$L$4/100</f>
        <v>201.4</v>
      </c>
      <c r="AF143" s="731">
        <f>'Beer Data Sheet'!E80</f>
        <v>902.8</v>
      </c>
      <c r="AG143" s="4322">
        <f t="shared" si="77"/>
        <v>0.76</v>
      </c>
      <c r="AH143" s="731">
        <f t="shared" si="71"/>
        <v>46.322000000000003</v>
      </c>
      <c r="AI143" s="734">
        <f t="shared" si="78"/>
        <v>35.204720000000002</v>
      </c>
      <c r="AJ143" s="737">
        <f t="shared" si="72"/>
        <v>2076.44</v>
      </c>
      <c r="AK143" s="4648">
        <f t="shared" si="73"/>
        <v>0.76</v>
      </c>
      <c r="AL143" s="731">
        <f t="shared" si="74"/>
        <v>0</v>
      </c>
      <c r="AM143" s="734">
        <f t="shared" si="75"/>
        <v>0</v>
      </c>
      <c r="AN143" s="734">
        <f t="shared" si="76"/>
        <v>0</v>
      </c>
      <c r="AO143" s="636"/>
      <c r="AP143" s="636"/>
      <c r="AQ143" s="636"/>
      <c r="AR143" s="636"/>
      <c r="AS143" s="636"/>
      <c r="AT143" s="636"/>
    </row>
    <row r="144" spans="1:46" ht="15" customHeight="1">
      <c r="A144" s="3652" t="s">
        <v>958</v>
      </c>
      <c r="B144" s="2015" t="str">
        <f>'Beer Data Sheet'!B81</f>
        <v>Extract (LIQUID - light)</v>
      </c>
      <c r="C144" s="841">
        <v>3250</v>
      </c>
      <c r="D144" s="2033">
        <f t="shared" si="69"/>
        <v>1950</v>
      </c>
      <c r="E144" s="842">
        <v>2950</v>
      </c>
      <c r="F144" s="843">
        <f t="shared" si="79"/>
        <v>1770</v>
      </c>
      <c r="G144" s="2120" t="str">
        <f>'Beer Data Sheet'!B20</f>
        <v>Hallertauer ("German")</v>
      </c>
      <c r="H144" s="2024">
        <f>'Beer Data Sheet'!C20</f>
        <v>2</v>
      </c>
      <c r="I144" s="796"/>
      <c r="J144" s="865"/>
      <c r="K144" s="861">
        <f t="shared" si="65"/>
        <v>0</v>
      </c>
      <c r="L144" s="861">
        <f t="shared" si="66"/>
        <v>0</v>
      </c>
      <c r="M144" s="866"/>
      <c r="N144" s="867"/>
      <c r="O144" s="863">
        <f t="shared" si="67"/>
        <v>0</v>
      </c>
      <c r="P144" s="864">
        <f t="shared" si="68"/>
        <v>0</v>
      </c>
      <c r="Q144" s="804"/>
      <c r="R144" s="804"/>
      <c r="S144" s="804"/>
      <c r="T144" s="804"/>
      <c r="U144" s="804"/>
      <c r="V144" s="804"/>
      <c r="W144" s="804"/>
      <c r="X144" s="804"/>
      <c r="Y144" s="804"/>
      <c r="Z144" s="818"/>
      <c r="AA144" s="648">
        <f t="shared" si="61"/>
        <v>0</v>
      </c>
      <c r="AB144" s="648">
        <f t="shared" si="62"/>
        <v>0</v>
      </c>
      <c r="AC144" s="648">
        <f t="shared" si="63"/>
        <v>0</v>
      </c>
      <c r="AD144" s="648">
        <f t="shared" si="64"/>
        <v>0</v>
      </c>
      <c r="AE144" s="876">
        <f>'Beer Data Sheet'!C81</f>
        <v>310</v>
      </c>
      <c r="AF144" s="731">
        <f>'Beer Data Sheet'!E81</f>
        <v>10</v>
      </c>
      <c r="AG144" s="4322">
        <f t="shared" si="77"/>
        <v>0.76</v>
      </c>
      <c r="AH144" s="731">
        <f t="shared" si="71"/>
        <v>1007.5</v>
      </c>
      <c r="AI144" s="734">
        <f t="shared" si="78"/>
        <v>765.7</v>
      </c>
      <c r="AJ144" s="737">
        <f t="shared" si="72"/>
        <v>325</v>
      </c>
      <c r="AK144" s="4648">
        <f t="shared" si="73"/>
        <v>0.76</v>
      </c>
      <c r="AL144" s="731">
        <f t="shared" si="74"/>
        <v>914.5</v>
      </c>
      <c r="AM144" s="734">
        <f t="shared" si="75"/>
        <v>695.02</v>
      </c>
      <c r="AN144" s="734">
        <f t="shared" si="76"/>
        <v>295</v>
      </c>
      <c r="AO144" s="636"/>
      <c r="AP144" s="636"/>
      <c r="AQ144" s="636"/>
      <c r="AR144" s="636"/>
      <c r="AS144" s="636"/>
      <c r="AT144" s="636"/>
    </row>
    <row r="145" spans="1:46" ht="15" customHeight="1">
      <c r="A145" s="3652"/>
      <c r="B145" s="2015" t="str">
        <f>'Beer Data Sheet'!B82</f>
        <v>Extract (DRY - light)</v>
      </c>
      <c r="C145" s="841"/>
      <c r="D145" s="2033">
        <f t="shared" si="69"/>
        <v>0</v>
      </c>
      <c r="E145" s="842"/>
      <c r="F145" s="843">
        <f t="shared" si="79"/>
        <v>0</v>
      </c>
      <c r="G145" s="2120" t="str">
        <f>'Beer Data Sheet'!B21</f>
        <v>Hallertauer ("Pacific")</v>
      </c>
      <c r="H145" s="2024">
        <f>'Beer Data Sheet'!C21</f>
        <v>6.7</v>
      </c>
      <c r="I145" s="796"/>
      <c r="J145" s="865"/>
      <c r="K145" s="861">
        <f t="shared" si="65"/>
        <v>0</v>
      </c>
      <c r="L145" s="861">
        <f t="shared" si="66"/>
        <v>0</v>
      </c>
      <c r="M145" s="866"/>
      <c r="N145" s="867"/>
      <c r="O145" s="863">
        <f t="shared" si="67"/>
        <v>0</v>
      </c>
      <c r="P145" s="864">
        <f t="shared" si="68"/>
        <v>0</v>
      </c>
      <c r="Q145" s="804"/>
      <c r="R145" s="804"/>
      <c r="S145" s="804"/>
      <c r="T145" s="804"/>
      <c r="U145" s="804"/>
      <c r="V145" s="804"/>
      <c r="W145" s="804"/>
      <c r="X145" s="804"/>
      <c r="Y145" s="804"/>
      <c r="Z145" s="818"/>
      <c r="AA145" s="648">
        <f t="shared" si="61"/>
        <v>0</v>
      </c>
      <c r="AB145" s="648">
        <f t="shared" si="62"/>
        <v>0</v>
      </c>
      <c r="AC145" s="648">
        <f t="shared" si="63"/>
        <v>0</v>
      </c>
      <c r="AD145" s="648">
        <f t="shared" si="64"/>
        <v>0</v>
      </c>
      <c r="AE145" s="876">
        <f>'Beer Data Sheet'!C82</f>
        <v>365</v>
      </c>
      <c r="AF145" s="731">
        <f>'Beer Data Sheet'!E82</f>
        <v>11</v>
      </c>
      <c r="AG145" s="4322">
        <f t="shared" si="77"/>
        <v>0.76</v>
      </c>
      <c r="AH145" s="731">
        <f t="shared" si="71"/>
        <v>0</v>
      </c>
      <c r="AI145" s="734">
        <f t="shared" si="78"/>
        <v>0</v>
      </c>
      <c r="AJ145" s="737">
        <f t="shared" si="72"/>
        <v>0</v>
      </c>
      <c r="AK145" s="4648">
        <f t="shared" si="73"/>
        <v>0.76</v>
      </c>
      <c r="AL145" s="731">
        <f t="shared" si="74"/>
        <v>0</v>
      </c>
      <c r="AM145" s="734">
        <f t="shared" si="75"/>
        <v>0</v>
      </c>
      <c r="AN145" s="734">
        <f t="shared" si="76"/>
        <v>0</v>
      </c>
      <c r="AO145" s="636"/>
      <c r="AP145" s="636"/>
      <c r="AQ145" s="636"/>
      <c r="AR145" s="636"/>
      <c r="AS145" s="636"/>
      <c r="AT145" s="636"/>
    </row>
    <row r="146" spans="1:46" ht="15" customHeight="1">
      <c r="A146" s="3653"/>
      <c r="B146" s="2015" t="str">
        <f>'Beer Data Sheet'!B83</f>
        <v>Extract (DRY - wheat)</v>
      </c>
      <c r="C146" s="841"/>
      <c r="D146" s="2033">
        <f t="shared" si="69"/>
        <v>0</v>
      </c>
      <c r="E146" s="842"/>
      <c r="F146" s="843">
        <f t="shared" si="79"/>
        <v>0</v>
      </c>
      <c r="G146" s="2120" t="str">
        <f>'Beer Data Sheet'!B22</f>
        <v>Lublin</v>
      </c>
      <c r="H146" s="2024">
        <f>'Beer Data Sheet'!C22</f>
        <v>3</v>
      </c>
      <c r="I146" s="700"/>
      <c r="J146" s="699"/>
      <c r="K146" s="861">
        <f t="shared" si="65"/>
        <v>0</v>
      </c>
      <c r="L146" s="861">
        <f t="shared" si="66"/>
        <v>0</v>
      </c>
      <c r="M146" s="866"/>
      <c r="N146" s="867"/>
      <c r="O146" s="863">
        <f t="shared" si="67"/>
        <v>0</v>
      </c>
      <c r="P146" s="864">
        <f t="shared" si="68"/>
        <v>0</v>
      </c>
      <c r="Q146" s="804"/>
      <c r="R146" s="804"/>
      <c r="S146" s="804"/>
      <c r="T146" s="804"/>
      <c r="U146" s="804"/>
      <c r="V146" s="804"/>
      <c r="W146" s="804"/>
      <c r="X146" s="804"/>
      <c r="Y146" s="804"/>
      <c r="Z146" s="818"/>
      <c r="AA146" s="648">
        <f t="shared" si="61"/>
        <v>0</v>
      </c>
      <c r="AB146" s="648">
        <f t="shared" si="62"/>
        <v>0</v>
      </c>
      <c r="AC146" s="648">
        <f t="shared" si="63"/>
        <v>0</v>
      </c>
      <c r="AD146" s="648">
        <f t="shared" si="64"/>
        <v>0</v>
      </c>
      <c r="AE146" s="876">
        <f>'Beer Data Sheet'!C83</f>
        <v>365</v>
      </c>
      <c r="AF146" s="731">
        <f>'Beer Data Sheet'!E83</f>
        <v>6</v>
      </c>
      <c r="AG146" s="4322">
        <f t="shared" si="77"/>
        <v>0.76</v>
      </c>
      <c r="AH146" s="731">
        <f t="shared" si="71"/>
        <v>0</v>
      </c>
      <c r="AI146" s="734">
        <f t="shared" si="78"/>
        <v>0</v>
      </c>
      <c r="AJ146" s="737">
        <f t="shared" si="72"/>
        <v>0</v>
      </c>
      <c r="AK146" s="4648">
        <f t="shared" si="73"/>
        <v>0.76</v>
      </c>
      <c r="AL146" s="731">
        <f t="shared" si="74"/>
        <v>0</v>
      </c>
      <c r="AM146" s="734">
        <f t="shared" si="75"/>
        <v>0</v>
      </c>
      <c r="AN146" s="734">
        <f t="shared" si="76"/>
        <v>0</v>
      </c>
      <c r="AO146" s="636"/>
      <c r="AP146" s="636"/>
      <c r="AQ146" s="636"/>
      <c r="AR146" s="636"/>
      <c r="AS146" s="636"/>
      <c r="AT146" s="636"/>
    </row>
    <row r="147" spans="1:46" ht="15" customHeight="1">
      <c r="A147" s="3654" t="s">
        <v>749</v>
      </c>
      <c r="B147" s="2018" t="str">
        <f>'Beer Data Sheet'!B84</f>
        <v>Cane ̸ beet sugar (sucrose)</v>
      </c>
      <c r="C147" s="841"/>
      <c r="D147" s="2033">
        <f t="shared" si="69"/>
        <v>0</v>
      </c>
      <c r="E147" s="842"/>
      <c r="F147" s="844">
        <f t="shared" si="70"/>
        <v>0</v>
      </c>
      <c r="G147" s="2120" t="str">
        <f>'Beer Data Sheet'!B23</f>
        <v>Magnum</v>
      </c>
      <c r="H147" s="2024">
        <f>'Beer Data Sheet'!C23</f>
        <v>13</v>
      </c>
      <c r="I147" s="700"/>
      <c r="J147" s="699"/>
      <c r="K147" s="861">
        <f t="shared" si="65"/>
        <v>0</v>
      </c>
      <c r="L147" s="861">
        <f t="shared" si="66"/>
        <v>0</v>
      </c>
      <c r="M147" s="866"/>
      <c r="N147" s="867"/>
      <c r="O147" s="863">
        <f t="shared" si="67"/>
        <v>0</v>
      </c>
      <c r="P147" s="864">
        <f t="shared" si="68"/>
        <v>0</v>
      </c>
      <c r="Q147" s="804"/>
      <c r="R147" s="804"/>
      <c r="S147" s="804"/>
      <c r="T147" s="804"/>
      <c r="U147" s="804"/>
      <c r="V147" s="804"/>
      <c r="W147" s="804"/>
      <c r="X147" s="804"/>
      <c r="Y147" s="804"/>
      <c r="Z147" s="818"/>
      <c r="AA147" s="648">
        <f t="shared" si="61"/>
        <v>0</v>
      </c>
      <c r="AB147" s="648">
        <f t="shared" si="62"/>
        <v>0</v>
      </c>
      <c r="AC147" s="648">
        <f t="shared" si="63"/>
        <v>0</v>
      </c>
      <c r="AD147" s="648">
        <f t="shared" si="64"/>
        <v>0</v>
      </c>
      <c r="AE147" s="875">
        <f>'Beer Data Sheet'!C84*AG147</f>
        <v>375</v>
      </c>
      <c r="AF147" s="731">
        <f>'Beer Data Sheet'!E84</f>
        <v>0</v>
      </c>
      <c r="AG147" s="4322">
        <v>1</v>
      </c>
      <c r="AH147" s="731">
        <f t="shared" si="71"/>
        <v>0</v>
      </c>
      <c r="AI147" s="734">
        <f t="shared" si="78"/>
        <v>0</v>
      </c>
      <c r="AJ147" s="737">
        <f t="shared" si="72"/>
        <v>0</v>
      </c>
      <c r="AK147" s="4648">
        <f>'Beer Data Sheet'!D84</f>
        <v>1</v>
      </c>
      <c r="AL147" s="731">
        <f t="shared" si="74"/>
        <v>0</v>
      </c>
      <c r="AM147" s="734">
        <f t="shared" si="75"/>
        <v>0</v>
      </c>
      <c r="AN147" s="734">
        <f t="shared" si="76"/>
        <v>0</v>
      </c>
      <c r="AO147" s="636"/>
      <c r="AP147" s="636"/>
      <c r="AQ147" s="636"/>
      <c r="AR147" s="636"/>
      <c r="AS147" s="636"/>
      <c r="AT147" s="636"/>
    </row>
    <row r="148" spans="1:46" ht="15" customHeight="1">
      <c r="A148" s="3655"/>
      <c r="B148" s="2018" t="str">
        <f>'Beer Data Sheet'!B85</f>
        <v>Brown sugar (light)</v>
      </c>
      <c r="C148" s="841"/>
      <c r="D148" s="2033">
        <f t="shared" si="69"/>
        <v>0</v>
      </c>
      <c r="E148" s="842"/>
      <c r="F148" s="844">
        <f t="shared" si="70"/>
        <v>0</v>
      </c>
      <c r="G148" s="2120" t="str">
        <f>'Beer Data Sheet'!B24</f>
        <v>Marynka</v>
      </c>
      <c r="H148" s="2024">
        <f>'Beer Data Sheet'!C24</f>
        <v>10.5</v>
      </c>
      <c r="I148" s="700"/>
      <c r="J148" s="699"/>
      <c r="K148" s="861">
        <f t="shared" si="65"/>
        <v>0</v>
      </c>
      <c r="L148" s="861">
        <f t="shared" si="66"/>
        <v>0</v>
      </c>
      <c r="M148" s="866"/>
      <c r="N148" s="867"/>
      <c r="O148" s="863">
        <f t="shared" si="67"/>
        <v>0</v>
      </c>
      <c r="P148" s="864">
        <f t="shared" si="68"/>
        <v>0</v>
      </c>
      <c r="Q148" s="804"/>
      <c r="R148" s="804"/>
      <c r="S148" s="804"/>
      <c r="T148" s="804"/>
      <c r="U148" s="804"/>
      <c r="V148" s="804"/>
      <c r="W148" s="804"/>
      <c r="X148" s="804"/>
      <c r="Y148" s="804"/>
      <c r="Z148" s="818"/>
      <c r="AA148" s="648">
        <f t="shared" si="61"/>
        <v>0</v>
      </c>
      <c r="AB148" s="648">
        <f t="shared" si="62"/>
        <v>0</v>
      </c>
      <c r="AC148" s="648">
        <f t="shared" si="63"/>
        <v>0</v>
      </c>
      <c r="AD148" s="648">
        <f t="shared" si="64"/>
        <v>0</v>
      </c>
      <c r="AE148" s="875">
        <f>'Beer Data Sheet'!C85*AG148</f>
        <v>370</v>
      </c>
      <c r="AF148" s="731">
        <f>'Beer Data Sheet'!E85</f>
        <v>16</v>
      </c>
      <c r="AG148" s="4322">
        <v>1</v>
      </c>
      <c r="AH148" s="731">
        <f t="shared" si="71"/>
        <v>0</v>
      </c>
      <c r="AI148" s="734">
        <f t="shared" si="78"/>
        <v>0</v>
      </c>
      <c r="AJ148" s="737">
        <f t="shared" si="72"/>
        <v>0</v>
      </c>
      <c r="AK148" s="4648">
        <f>'Beer Data Sheet'!D85</f>
        <v>1</v>
      </c>
      <c r="AL148" s="731">
        <f t="shared" si="74"/>
        <v>0</v>
      </c>
      <c r="AM148" s="734">
        <f t="shared" si="75"/>
        <v>0</v>
      </c>
      <c r="AN148" s="734">
        <f t="shared" si="76"/>
        <v>0</v>
      </c>
      <c r="AO148" s="636"/>
      <c r="AP148" s="636"/>
      <c r="AQ148" s="636"/>
      <c r="AR148" s="636"/>
      <c r="AS148" s="636"/>
      <c r="AT148" s="636"/>
    </row>
    <row r="149" spans="1:46" ht="15" customHeight="1">
      <c r="A149" s="3655"/>
      <c r="B149" s="2018" t="str">
        <f>'Beer Data Sheet'!B86</f>
        <v>Brown sugar (medium)</v>
      </c>
      <c r="C149" s="841"/>
      <c r="D149" s="2034">
        <f t="shared" si="69"/>
        <v>0</v>
      </c>
      <c r="E149" s="842"/>
      <c r="F149" s="844">
        <f t="shared" si="70"/>
        <v>0</v>
      </c>
      <c r="G149" s="2120" t="str">
        <f>'Beer Data Sheet'!B25</f>
        <v>Mount Hood</v>
      </c>
      <c r="H149" s="2024">
        <f>'Beer Data Sheet'!C25</f>
        <v>5</v>
      </c>
      <c r="I149" s="700"/>
      <c r="J149" s="699"/>
      <c r="K149" s="861">
        <f t="shared" si="65"/>
        <v>0</v>
      </c>
      <c r="L149" s="861">
        <f t="shared" si="66"/>
        <v>0</v>
      </c>
      <c r="M149" s="866"/>
      <c r="N149" s="867"/>
      <c r="O149" s="863">
        <f t="shared" si="67"/>
        <v>0</v>
      </c>
      <c r="P149" s="864">
        <f t="shared" si="68"/>
        <v>0</v>
      </c>
      <c r="Q149" s="804"/>
      <c r="R149" s="804"/>
      <c r="S149" s="804"/>
      <c r="T149" s="804"/>
      <c r="U149" s="804"/>
      <c r="V149" s="804"/>
      <c r="W149" s="804"/>
      <c r="X149" s="804"/>
      <c r="Y149" s="804"/>
      <c r="Z149" s="818"/>
      <c r="AA149" s="648">
        <f t="shared" si="61"/>
        <v>0</v>
      </c>
      <c r="AB149" s="648">
        <f t="shared" si="62"/>
        <v>0</v>
      </c>
      <c r="AC149" s="648">
        <f t="shared" si="63"/>
        <v>0</v>
      </c>
      <c r="AD149" s="648">
        <f t="shared" si="64"/>
        <v>0</v>
      </c>
      <c r="AE149" s="875">
        <f>'Beer Data Sheet'!C86*AG149</f>
        <v>319</v>
      </c>
      <c r="AF149" s="731">
        <f>'Beer Data Sheet'!E86</f>
        <v>45</v>
      </c>
      <c r="AG149" s="4322">
        <v>1</v>
      </c>
      <c r="AH149" s="731">
        <f t="shared" si="71"/>
        <v>0</v>
      </c>
      <c r="AI149" s="734">
        <f t="shared" si="78"/>
        <v>0</v>
      </c>
      <c r="AJ149" s="737">
        <f t="shared" si="72"/>
        <v>0</v>
      </c>
      <c r="AK149" s="4648">
        <f>'Beer Data Sheet'!D86</f>
        <v>1</v>
      </c>
      <c r="AL149" s="731">
        <f t="shared" si="74"/>
        <v>0</v>
      </c>
      <c r="AM149" s="734">
        <f t="shared" si="75"/>
        <v>0</v>
      </c>
      <c r="AN149" s="734">
        <f t="shared" si="76"/>
        <v>0</v>
      </c>
      <c r="AO149" s="636"/>
      <c r="AP149" s="636"/>
      <c r="AQ149" s="636"/>
      <c r="AR149" s="636"/>
      <c r="AS149" s="636"/>
      <c r="AT149" s="636"/>
    </row>
    <row r="150" spans="1:46" ht="15" customHeight="1">
      <c r="A150" s="3656"/>
      <c r="B150" s="2018" t="str">
        <f>'Beer Data Sheet'!B87</f>
        <v>Brewing sugar</v>
      </c>
      <c r="C150" s="841"/>
      <c r="D150" s="2034">
        <f t="shared" si="69"/>
        <v>0</v>
      </c>
      <c r="E150" s="842"/>
      <c r="F150" s="844">
        <f t="shared" si="70"/>
        <v>0</v>
      </c>
      <c r="G150" s="2120" t="str">
        <f>'Beer Data Sheet'!B26</f>
        <v>Northdown</v>
      </c>
      <c r="H150" s="2024">
        <f>'Beer Data Sheet'!C26</f>
        <v>8</v>
      </c>
      <c r="I150" s="700"/>
      <c r="J150" s="699"/>
      <c r="K150" s="861">
        <f t="shared" si="65"/>
        <v>0</v>
      </c>
      <c r="L150" s="861">
        <f t="shared" si="66"/>
        <v>0</v>
      </c>
      <c r="M150" s="866"/>
      <c r="N150" s="867"/>
      <c r="O150" s="863">
        <f t="shared" si="67"/>
        <v>0</v>
      </c>
      <c r="P150" s="864">
        <f t="shared" si="68"/>
        <v>0</v>
      </c>
      <c r="Q150" s="804"/>
      <c r="R150" s="804"/>
      <c r="S150" s="804"/>
      <c r="T150" s="804"/>
      <c r="U150" s="804"/>
      <c r="V150" s="804"/>
      <c r="W150" s="804"/>
      <c r="X150" s="804"/>
      <c r="Y150" s="804"/>
      <c r="Z150" s="818"/>
      <c r="AA150" s="648">
        <f t="shared" si="61"/>
        <v>0</v>
      </c>
      <c r="AB150" s="648">
        <f t="shared" si="62"/>
        <v>0</v>
      </c>
      <c r="AC150" s="648">
        <f t="shared" si="63"/>
        <v>0</v>
      </c>
      <c r="AD150" s="648">
        <f t="shared" si="64"/>
        <v>0</v>
      </c>
      <c r="AE150" s="875">
        <f>'Beer Data Sheet'!C87*AG150</f>
        <v>342</v>
      </c>
      <c r="AF150" s="731">
        <f>'Beer Data Sheet'!E87</f>
        <v>0</v>
      </c>
      <c r="AG150" s="4322">
        <v>0.95</v>
      </c>
      <c r="AH150" s="731">
        <f t="shared" si="71"/>
        <v>0</v>
      </c>
      <c r="AI150" s="734">
        <f t="shared" si="78"/>
        <v>0</v>
      </c>
      <c r="AJ150" s="737">
        <f t="shared" si="72"/>
        <v>0</v>
      </c>
      <c r="AK150" s="4648">
        <f>'Beer Data Sheet'!D87</f>
        <v>0.95</v>
      </c>
      <c r="AL150" s="731">
        <f t="shared" si="74"/>
        <v>0</v>
      </c>
      <c r="AM150" s="734">
        <f t="shared" si="75"/>
        <v>0</v>
      </c>
      <c r="AN150" s="734">
        <f t="shared" si="76"/>
        <v>0</v>
      </c>
      <c r="AO150" s="636"/>
      <c r="AP150" s="636"/>
      <c r="AQ150" s="636"/>
      <c r="AR150" s="636"/>
      <c r="AS150" s="636"/>
      <c r="AT150" s="636"/>
    </row>
    <row r="151" spans="1:46" ht="15" customHeight="1">
      <c r="A151" s="3657"/>
      <c r="B151" s="2018" t="str">
        <f>'Beer Data Sheet'!B88</f>
        <v>Lactose (non-fermentable sugar, no boil)</v>
      </c>
      <c r="C151" s="841"/>
      <c r="D151" s="2034">
        <f t="shared" si="69"/>
        <v>0</v>
      </c>
      <c r="E151" s="842"/>
      <c r="F151" s="844">
        <f t="shared" si="70"/>
        <v>0</v>
      </c>
      <c r="G151" s="2120" t="str">
        <f>'Beer Data Sheet'!B27</f>
        <v>Northern Brewer</v>
      </c>
      <c r="H151" s="2024">
        <f>'Beer Data Sheet'!C27</f>
        <v>7.5</v>
      </c>
      <c r="I151" s="700"/>
      <c r="J151" s="699"/>
      <c r="K151" s="861">
        <f t="shared" si="65"/>
        <v>0</v>
      </c>
      <c r="L151" s="861">
        <f t="shared" si="66"/>
        <v>0</v>
      </c>
      <c r="M151" s="866"/>
      <c r="N151" s="867"/>
      <c r="O151" s="863">
        <f t="shared" si="67"/>
        <v>0</v>
      </c>
      <c r="P151" s="864">
        <f t="shared" si="68"/>
        <v>0</v>
      </c>
      <c r="Q151" s="804"/>
      <c r="R151" s="804"/>
      <c r="S151" s="804"/>
      <c r="T151" s="804"/>
      <c r="U151" s="804"/>
      <c r="V151" s="804"/>
      <c r="W151" s="804"/>
      <c r="X151" s="804"/>
      <c r="Y151" s="804"/>
      <c r="Z151" s="818"/>
      <c r="AA151" s="648">
        <f t="shared" si="61"/>
        <v>0</v>
      </c>
      <c r="AB151" s="648">
        <f t="shared" si="62"/>
        <v>0</v>
      </c>
      <c r="AC151" s="648">
        <f t="shared" si="63"/>
        <v>0</v>
      </c>
      <c r="AD151" s="648">
        <f t="shared" si="64"/>
        <v>0</v>
      </c>
      <c r="AE151" s="875">
        <f>'Beer Data Sheet'!C88*AG151</f>
        <v>0</v>
      </c>
      <c r="AF151" s="731">
        <f>'Beer Data Sheet'!E88</f>
        <v>30</v>
      </c>
      <c r="AG151" s="4322">
        <f>'Beer Data Sheet'!V62</f>
        <v>0</v>
      </c>
      <c r="AH151" s="731">
        <f t="shared" si="71"/>
        <v>0</v>
      </c>
      <c r="AI151" s="734">
        <f t="shared" si="78"/>
        <v>0</v>
      </c>
      <c r="AJ151" s="737">
        <f t="shared" si="72"/>
        <v>0</v>
      </c>
      <c r="AK151" s="4648">
        <f>'Beer Data Sheet'!D88</f>
        <v>0</v>
      </c>
      <c r="AL151" s="731">
        <f t="shared" si="74"/>
        <v>0</v>
      </c>
      <c r="AM151" s="734">
        <f t="shared" si="75"/>
        <v>0</v>
      </c>
      <c r="AN151" s="734">
        <f t="shared" si="76"/>
        <v>0</v>
      </c>
      <c r="AO151" s="636"/>
      <c r="AP151" s="636"/>
      <c r="AQ151" s="636"/>
      <c r="AR151" s="636"/>
      <c r="AS151" s="636"/>
      <c r="AT151" s="636"/>
    </row>
    <row r="152" spans="1:46" ht="15" customHeight="1">
      <c r="A152" s="845"/>
      <c r="B152" s="2121" t="s">
        <v>1064</v>
      </c>
      <c r="C152" s="846">
        <f>C133*C153+($AE$147*C147*AG147+$AE$148*C148*AG148+$AE$149*C149*AG149+$AE$150*C150*AG150)/375</f>
        <v>0</v>
      </c>
      <c r="D152" s="847">
        <f t="shared" si="69"/>
        <v>0</v>
      </c>
      <c r="E152" s="848">
        <f>E133*E153+($AE$147*E147*AK147+$AE$148*E148*AK148+$AE$149*E149*AK149+$AE$150*E150*AK150)/375</f>
        <v>0</v>
      </c>
      <c r="F152" s="849">
        <f t="shared" si="70"/>
        <v>0</v>
      </c>
      <c r="G152" s="2120" t="str">
        <f>'Beer Data Sheet'!B28</f>
        <v>Perle</v>
      </c>
      <c r="H152" s="2024">
        <f>'Beer Data Sheet'!C28</f>
        <v>8</v>
      </c>
      <c r="I152" s="700"/>
      <c r="J152" s="699"/>
      <c r="K152" s="861">
        <f t="shared" si="65"/>
        <v>0</v>
      </c>
      <c r="L152" s="861">
        <f t="shared" si="66"/>
        <v>0</v>
      </c>
      <c r="M152" s="866"/>
      <c r="N152" s="867"/>
      <c r="O152" s="863">
        <f t="shared" si="67"/>
        <v>0</v>
      </c>
      <c r="P152" s="864">
        <f t="shared" si="68"/>
        <v>0</v>
      </c>
      <c r="Q152" s="804"/>
      <c r="R152" s="804"/>
      <c r="S152" s="804"/>
      <c r="T152" s="804"/>
      <c r="U152" s="804"/>
      <c r="V152" s="804"/>
      <c r="W152" s="804"/>
      <c r="X152" s="804"/>
      <c r="Y152" s="804"/>
      <c r="Z152" s="818"/>
      <c r="AA152" s="648">
        <f t="shared" si="61"/>
        <v>0</v>
      </c>
      <c r="AB152" s="648">
        <f t="shared" si="62"/>
        <v>0</v>
      </c>
      <c r="AC152" s="648">
        <f t="shared" si="63"/>
        <v>0</v>
      </c>
      <c r="AD152" s="648">
        <f t="shared" si="64"/>
        <v>0</v>
      </c>
      <c r="AE152" s="636"/>
      <c r="AF152" s="636"/>
      <c r="AG152" s="636"/>
      <c r="AH152" s="636"/>
      <c r="AI152" s="636"/>
      <c r="AJ152" s="636"/>
      <c r="AK152" s="636"/>
      <c r="AL152" s="636"/>
      <c r="AM152" s="636"/>
      <c r="AN152" s="636"/>
      <c r="AO152" s="636"/>
      <c r="AP152" s="636"/>
      <c r="AQ152" s="636"/>
      <c r="AR152" s="636"/>
      <c r="AS152" s="636"/>
      <c r="AT152" s="636"/>
    </row>
    <row r="153" spans="1:46" ht="15" customHeight="1">
      <c r="A153" s="845"/>
      <c r="B153" s="770" t="str">
        <f>"Priming sugar (sucrose) g/litre, 1 level tsp  = "&amp;'Beer Data Sheet'!P$21&amp;"g)"</f>
        <v>Priming sugar (sucrose) g/litre, 1 level tsp  = 3.15g)</v>
      </c>
      <c r="C153" s="1847"/>
      <c r="D153" s="850" t="str">
        <f>"g = "&amp;FIXED(C153/'Beer Data Sheet'!$P$21)&amp;" tsp."</f>
        <v>g = 0.00 tsp.</v>
      </c>
      <c r="E153" s="851"/>
      <c r="F153" s="852" t="str">
        <f>"g = "&amp;FIXED(E153/'Beer Data Sheet'!$P$21)&amp;" tsp. "</f>
        <v xml:space="preserve">g = 0.00 tsp. </v>
      </c>
      <c r="G153" s="2120" t="str">
        <f>'Beer Data Sheet'!B29</f>
        <v>Pioneer</v>
      </c>
      <c r="H153" s="2024">
        <f>'Beer Data Sheet'!C29</f>
        <v>8</v>
      </c>
      <c r="I153" s="700"/>
      <c r="J153" s="699"/>
      <c r="K153" s="861">
        <f t="shared" si="65"/>
        <v>0</v>
      </c>
      <c r="L153" s="861">
        <f t="shared" si="66"/>
        <v>0</v>
      </c>
      <c r="M153" s="866"/>
      <c r="N153" s="867"/>
      <c r="O153" s="863">
        <f t="shared" si="67"/>
        <v>0</v>
      </c>
      <c r="P153" s="864">
        <f t="shared" si="68"/>
        <v>0</v>
      </c>
      <c r="Q153" s="804"/>
      <c r="R153" s="804"/>
      <c r="S153" s="804"/>
      <c r="T153" s="804"/>
      <c r="U153" s="804"/>
      <c r="V153" s="804"/>
      <c r="W153" s="804"/>
      <c r="X153" s="804"/>
      <c r="Y153" s="804"/>
      <c r="Z153" s="818"/>
      <c r="AA153" s="648">
        <f t="shared" si="61"/>
        <v>0</v>
      </c>
      <c r="AB153" s="648">
        <f t="shared" si="62"/>
        <v>0</v>
      </c>
      <c r="AC153" s="648">
        <f t="shared" si="63"/>
        <v>0</v>
      </c>
      <c r="AD153" s="648">
        <f t="shared" si="64"/>
        <v>0</v>
      </c>
      <c r="AE153" s="648"/>
      <c r="AF153" s="636"/>
      <c r="AG153" s="732"/>
      <c r="AH153" s="731"/>
      <c r="AI153" s="734">
        <f>0.001*375*C153*C133</f>
        <v>0</v>
      </c>
      <c r="AJ153" s="636"/>
      <c r="AK153" s="732"/>
      <c r="AL153" s="731"/>
      <c r="AM153" s="734">
        <f>0.001*375*E153*E133</f>
        <v>0</v>
      </c>
      <c r="AN153" s="636"/>
      <c r="AO153" s="636"/>
      <c r="AP153" s="636"/>
      <c r="AQ153" s="636"/>
      <c r="AR153" s="636"/>
      <c r="AS153" s="636"/>
      <c r="AT153" s="636"/>
    </row>
    <row r="154" spans="1:46" ht="15" customHeight="1">
      <c r="A154" s="845"/>
      <c r="B154" s="739" t="s">
        <v>1065</v>
      </c>
      <c r="C154" s="1842" t="str">
        <f>FIXED(C153*'Beer Data Sheet'!W$4+VLOOKUP(L5,'Beer Data Sheet'!V7:W50,2))</f>
        <v>0.88</v>
      </c>
      <c r="D154" s="853" t="s">
        <v>1066</v>
      </c>
      <c r="E154" s="854" t="str">
        <f>FIXED(E153*'Beer Data Sheet'!W$4+VLOOKUP(L5,'Beer Data Sheet'!V7:W50,2))</f>
        <v>0.88</v>
      </c>
      <c r="F154" s="853" t="s">
        <v>1066</v>
      </c>
      <c r="G154" s="2120" t="str">
        <f>'Beer Data Sheet'!B30</f>
        <v>Progress</v>
      </c>
      <c r="H154" s="2024">
        <f>'Beer Data Sheet'!C30</f>
        <v>9</v>
      </c>
      <c r="I154" s="700"/>
      <c r="J154" s="699"/>
      <c r="K154" s="861">
        <f t="shared" si="65"/>
        <v>0</v>
      </c>
      <c r="L154" s="861">
        <f t="shared" si="66"/>
        <v>0</v>
      </c>
      <c r="M154" s="866"/>
      <c r="N154" s="867"/>
      <c r="O154" s="863">
        <f t="shared" si="67"/>
        <v>0</v>
      </c>
      <c r="P154" s="864">
        <f t="shared" si="68"/>
        <v>0</v>
      </c>
      <c r="Q154" s="804"/>
      <c r="R154" s="804"/>
      <c r="S154" s="804"/>
      <c r="T154" s="804"/>
      <c r="U154" s="804"/>
      <c r="V154" s="804"/>
      <c r="W154" s="804"/>
      <c r="X154" s="804"/>
      <c r="Y154" s="804"/>
      <c r="Z154" s="818"/>
      <c r="AA154" s="648">
        <f t="shared" si="61"/>
        <v>0</v>
      </c>
      <c r="AB154" s="648">
        <f t="shared" si="62"/>
        <v>0</v>
      </c>
      <c r="AC154" s="648">
        <f t="shared" si="63"/>
        <v>0</v>
      </c>
      <c r="AD154" s="648">
        <f t="shared" si="64"/>
        <v>0</v>
      </c>
      <c r="AE154" s="636"/>
      <c r="AF154" s="636"/>
      <c r="AG154" s="648"/>
      <c r="AH154" s="821" t="s">
        <v>1070</v>
      </c>
      <c r="AI154" s="734">
        <f>SUM(AI135:AI146)/(C133)</f>
        <v>32.036188799999998</v>
      </c>
      <c r="AJ154" s="636"/>
      <c r="AK154" s="636"/>
      <c r="AL154" s="821" t="s">
        <v>1070</v>
      </c>
      <c r="AM154" s="734">
        <f>SUM(AM135:AM146)/(E133)</f>
        <v>29.1171504</v>
      </c>
      <c r="AN154" s="636"/>
      <c r="AO154" s="636"/>
      <c r="AP154" s="636"/>
      <c r="AQ154" s="636"/>
      <c r="AR154" s="636"/>
      <c r="AS154" s="636"/>
      <c r="AT154" s="636"/>
    </row>
    <row r="155" spans="1:46" ht="15" customHeight="1">
      <c r="A155" s="845"/>
      <c r="B155" s="779" t="s">
        <v>1067</v>
      </c>
      <c r="C155" s="650">
        <v>76</v>
      </c>
      <c r="D155" s="650">
        <v>76</v>
      </c>
      <c r="E155" s="650">
        <v>76</v>
      </c>
      <c r="F155" s="650">
        <v>76</v>
      </c>
      <c r="G155" s="2120" t="str">
        <f>'Beer Data Sheet'!B31</f>
        <v>Styrian Goldings</v>
      </c>
      <c r="H155" s="2024">
        <f>'Beer Data Sheet'!C31</f>
        <v>5.5</v>
      </c>
      <c r="I155" s="700"/>
      <c r="J155" s="699"/>
      <c r="K155" s="861">
        <f t="shared" si="65"/>
        <v>0</v>
      </c>
      <c r="L155" s="861">
        <f t="shared" si="66"/>
        <v>0</v>
      </c>
      <c r="M155" s="866"/>
      <c r="N155" s="867"/>
      <c r="O155" s="863">
        <f t="shared" si="67"/>
        <v>0</v>
      </c>
      <c r="P155" s="864">
        <f t="shared" si="68"/>
        <v>0</v>
      </c>
      <c r="Q155" s="804"/>
      <c r="R155" s="804"/>
      <c r="S155" s="804"/>
      <c r="T155" s="804"/>
      <c r="U155" s="804"/>
      <c r="V155" s="804"/>
      <c r="W155" s="804"/>
      <c r="X155" s="804"/>
      <c r="Y155" s="804"/>
      <c r="Z155" s="818"/>
      <c r="AA155" s="648">
        <f t="shared" si="61"/>
        <v>0</v>
      </c>
      <c r="AB155" s="648">
        <f t="shared" si="62"/>
        <v>0</v>
      </c>
      <c r="AC155" s="648">
        <f t="shared" si="63"/>
        <v>0</v>
      </c>
      <c r="AD155" s="648">
        <f t="shared" si="64"/>
        <v>0</v>
      </c>
      <c r="AE155" s="636"/>
      <c r="AF155" s="636"/>
      <c r="AG155" s="636"/>
      <c r="AH155" s="821" t="s">
        <v>1074</v>
      </c>
      <c r="AI155" s="522">
        <f>((SUM(AI147:AI153)/C133))</f>
        <v>0</v>
      </c>
      <c r="AJ155" s="636"/>
      <c r="AK155" s="636"/>
      <c r="AL155" s="821" t="s">
        <v>1074</v>
      </c>
      <c r="AM155" s="522">
        <f>((SUM(AM147:AM153)/E133))</f>
        <v>0</v>
      </c>
      <c r="AN155" s="636"/>
      <c r="AO155" s="636"/>
      <c r="AP155" s="636"/>
      <c r="AQ155" s="636"/>
      <c r="AR155" s="636"/>
      <c r="AS155" s="636"/>
      <c r="AT155" s="636"/>
    </row>
    <row r="156" spans="1:46" ht="15" customHeight="1">
      <c r="A156" s="845"/>
      <c r="B156" s="2122"/>
      <c r="C156" s="2555" t="s">
        <v>804</v>
      </c>
      <c r="D156" s="2556" t="s">
        <v>1124</v>
      </c>
      <c r="E156" s="855" t="str">
        <f>C156</f>
        <v>Ale</v>
      </c>
      <c r="F156" s="3575" t="s">
        <v>1125</v>
      </c>
      <c r="G156" s="2120" t="str">
        <f>'Beer Data Sheet'!B32</f>
        <v>Target</v>
      </c>
      <c r="H156" s="2024">
        <f>'Beer Data Sheet'!C32</f>
        <v>11.2</v>
      </c>
      <c r="I156" s="700"/>
      <c r="J156" s="699"/>
      <c r="K156" s="861">
        <f t="shared" si="65"/>
        <v>0</v>
      </c>
      <c r="L156" s="861">
        <f t="shared" si="66"/>
        <v>0</v>
      </c>
      <c r="M156" s="866"/>
      <c r="N156" s="867"/>
      <c r="O156" s="863">
        <f t="shared" si="67"/>
        <v>0</v>
      </c>
      <c r="P156" s="864">
        <f t="shared" si="68"/>
        <v>0</v>
      </c>
      <c r="Q156" s="804"/>
      <c r="R156" s="804"/>
      <c r="S156" s="804"/>
      <c r="T156" s="804"/>
      <c r="U156" s="804"/>
      <c r="V156" s="804"/>
      <c r="W156" s="804"/>
      <c r="X156" s="804"/>
      <c r="Y156" s="804"/>
      <c r="Z156" s="818"/>
      <c r="AA156" s="648">
        <f t="shared" si="61"/>
        <v>0</v>
      </c>
      <c r="AB156" s="648">
        <f t="shared" si="62"/>
        <v>0</v>
      </c>
      <c r="AC156" s="648">
        <f t="shared" si="63"/>
        <v>0</v>
      </c>
      <c r="AD156" s="648">
        <f t="shared" si="64"/>
        <v>0</v>
      </c>
      <c r="AE156" s="648"/>
      <c r="AF156" s="648"/>
      <c r="AG156" s="636"/>
      <c r="AH156" s="821" t="s">
        <v>1126</v>
      </c>
      <c r="AI156" s="734">
        <f>((SUM(AI147:AI150))/C133)</f>
        <v>0</v>
      </c>
      <c r="AJ156" s="636"/>
      <c r="AK156" s="636"/>
      <c r="AL156" s="821" t="s">
        <v>1126</v>
      </c>
      <c r="AM156" s="734">
        <f>((SUM(AM147:AM150))/E133)</f>
        <v>0</v>
      </c>
      <c r="AN156" s="636"/>
      <c r="AO156" s="636"/>
      <c r="AP156" s="636"/>
      <c r="AQ156" s="636"/>
      <c r="AR156" s="636"/>
      <c r="AS156" s="636"/>
      <c r="AT156" s="636"/>
    </row>
    <row r="157" spans="1:46" ht="15" customHeight="1">
      <c r="A157" s="856"/>
      <c r="B157" s="2513" t="s">
        <v>814</v>
      </c>
      <c r="C157" s="2557" t="str">
        <f>FIXED((100*(1-(AI160/AI159))),1)&amp;"%"</f>
        <v>76.0%</v>
      </c>
      <c r="D157" s="3661" t="s">
        <v>1127</v>
      </c>
      <c r="E157" s="2794" t="str">
        <f>FIXED((100*(1-(AM160/AM159))),1)&amp;"%"</f>
        <v>76.0%</v>
      </c>
      <c r="F157" s="3576"/>
      <c r="G157" s="2120" t="str">
        <f>'Beer Data Sheet'!B33</f>
        <v>Tettnanger</v>
      </c>
      <c r="H157" s="2024">
        <f>'Beer Data Sheet'!C33</f>
        <v>5</v>
      </c>
      <c r="I157" s="700"/>
      <c r="J157" s="699"/>
      <c r="K157" s="861">
        <f t="shared" si="65"/>
        <v>0</v>
      </c>
      <c r="L157" s="861">
        <f t="shared" si="66"/>
        <v>0</v>
      </c>
      <c r="M157" s="866"/>
      <c r="N157" s="867"/>
      <c r="O157" s="863">
        <f t="shared" si="67"/>
        <v>0</v>
      </c>
      <c r="P157" s="864">
        <f t="shared" si="68"/>
        <v>0</v>
      </c>
      <c r="Q157" s="804"/>
      <c r="R157" s="804"/>
      <c r="S157" s="804"/>
      <c r="T157" s="804"/>
      <c r="U157" s="804"/>
      <c r="V157" s="804"/>
      <c r="W157" s="804"/>
      <c r="X157" s="804"/>
      <c r="Y157" s="804"/>
      <c r="Z157" s="818"/>
      <c r="AA157" s="648">
        <f t="shared" si="61"/>
        <v>0</v>
      </c>
      <c r="AB157" s="648">
        <f t="shared" si="62"/>
        <v>0</v>
      </c>
      <c r="AC157" s="648">
        <f t="shared" si="63"/>
        <v>0</v>
      </c>
      <c r="AD157" s="648">
        <f t="shared" si="64"/>
        <v>0</v>
      </c>
      <c r="AE157" s="636"/>
      <c r="AF157" s="636"/>
      <c r="AG157" s="636"/>
      <c r="AH157" s="83" t="s">
        <v>570</v>
      </c>
      <c r="AI157" s="522"/>
      <c r="AJ157" s="83"/>
      <c r="AK157" s="83"/>
      <c r="AL157" s="83" t="s">
        <v>570</v>
      </c>
      <c r="AM157" s="522"/>
      <c r="AN157" s="83"/>
      <c r="AO157" s="636"/>
      <c r="AP157" s="636"/>
      <c r="AQ157" s="636"/>
      <c r="AR157" s="636"/>
      <c r="AS157" s="636"/>
      <c r="AT157" s="636"/>
    </row>
    <row r="158" spans="1:46" ht="15" customHeight="1">
      <c r="A158" s="746"/>
      <c r="B158" s="2515" t="s">
        <v>815</v>
      </c>
      <c r="C158" s="2557" t="str">
        <f>FIXED(100*(1-(((0.1808*AI159)+(0.8192*AI160))/AI159)),1)&amp;"%"</f>
        <v>62.3%</v>
      </c>
      <c r="D158" s="3662"/>
      <c r="E158" s="2794" t="str">
        <f>FIXED(100*(1-(((0.1808*AM159)+(0.8192*AM160))/AM159)),1)&amp;"%"</f>
        <v>62.3%</v>
      </c>
      <c r="F158" s="3577"/>
      <c r="G158" s="2120" t="str">
        <f>'Beer Data Sheet'!B34</f>
        <v>WGV</v>
      </c>
      <c r="H158" s="2024">
        <f>'Beer Data Sheet'!C34</f>
        <v>6.3</v>
      </c>
      <c r="I158" s="700"/>
      <c r="J158" s="699"/>
      <c r="K158" s="861">
        <f t="shared" si="65"/>
        <v>0</v>
      </c>
      <c r="L158" s="861">
        <f t="shared" si="66"/>
        <v>0</v>
      </c>
      <c r="M158" s="866"/>
      <c r="N158" s="867"/>
      <c r="O158" s="863">
        <f t="shared" si="67"/>
        <v>0</v>
      </c>
      <c r="P158" s="864">
        <f t="shared" si="68"/>
        <v>0</v>
      </c>
      <c r="Q158" s="804"/>
      <c r="R158" s="804"/>
      <c r="S158" s="804"/>
      <c r="T158" s="804"/>
      <c r="U158" s="804"/>
      <c r="V158" s="804"/>
      <c r="W158" s="804"/>
      <c r="X158" s="804"/>
      <c r="Y158" s="804"/>
      <c r="Z158" s="818"/>
      <c r="AA158" s="648">
        <f t="shared" si="61"/>
        <v>0</v>
      </c>
      <c r="AB158" s="648">
        <f t="shared" si="62"/>
        <v>0</v>
      </c>
      <c r="AC158" s="648">
        <f t="shared" si="63"/>
        <v>0</v>
      </c>
      <c r="AD158" s="648">
        <f t="shared" si="64"/>
        <v>0</v>
      </c>
      <c r="AE158" s="636"/>
      <c r="AF158" s="636"/>
      <c r="AG158" s="648"/>
      <c r="AH158" s="412" t="s">
        <v>1078</v>
      </c>
      <c r="AI158" s="823">
        <f>(C153*0.375*C133+SUM(AH135:AH151))/C133</f>
        <v>42.152880000000003</v>
      </c>
      <c r="AJ158" s="824" t="s">
        <v>797</v>
      </c>
      <c r="AK158" s="824"/>
      <c r="AL158" s="412" t="s">
        <v>1078</v>
      </c>
      <c r="AM158" s="823">
        <f>(E153*0.375*E133+SUM(AL135:AL151))/E133</f>
        <v>38.312040000000003</v>
      </c>
      <c r="AN158" s="824" t="s">
        <v>797</v>
      </c>
      <c r="AO158" s="636"/>
      <c r="AP158" s="636"/>
      <c r="AQ158" s="636"/>
      <c r="AR158" s="636"/>
      <c r="AS158" s="636"/>
      <c r="AT158" s="636"/>
    </row>
    <row r="159" spans="1:46" ht="15" customHeight="1">
      <c r="A159" s="746"/>
      <c r="B159" s="3618" t="s">
        <v>1128</v>
      </c>
      <c r="C159" s="3619"/>
      <c r="D159" s="3619"/>
      <c r="E159" s="3619"/>
      <c r="F159" s="3620"/>
      <c r="G159" s="2120" t="str">
        <f>'Beer Data Sheet'!B35</f>
        <v>Yeoman</v>
      </c>
      <c r="H159" s="2024">
        <f>'Beer Data Sheet'!C35</f>
        <v>7.2</v>
      </c>
      <c r="I159" s="796"/>
      <c r="J159" s="865"/>
      <c r="K159" s="861">
        <f t="shared" si="65"/>
        <v>0</v>
      </c>
      <c r="L159" s="861">
        <f t="shared" si="66"/>
        <v>0</v>
      </c>
      <c r="M159" s="866"/>
      <c r="N159" s="867"/>
      <c r="O159" s="863">
        <f t="shared" si="67"/>
        <v>0</v>
      </c>
      <c r="P159" s="864">
        <f t="shared" si="68"/>
        <v>0</v>
      </c>
      <c r="Q159" s="804"/>
      <c r="R159" s="804"/>
      <c r="S159" s="804"/>
      <c r="T159" s="804"/>
      <c r="U159" s="804"/>
      <c r="V159" s="804"/>
      <c r="W159" s="804"/>
      <c r="X159" s="804"/>
      <c r="Y159" s="804"/>
      <c r="Z159" s="877"/>
      <c r="AA159" s="648">
        <f t="shared" si="61"/>
        <v>0</v>
      </c>
      <c r="AB159" s="648">
        <f t="shared" si="62"/>
        <v>0</v>
      </c>
      <c r="AC159" s="648">
        <f t="shared" si="63"/>
        <v>0</v>
      </c>
      <c r="AD159" s="648">
        <f t="shared" si="64"/>
        <v>0</v>
      </c>
      <c r="AE159" s="636"/>
      <c r="AF159" s="636"/>
      <c r="AG159" s="648"/>
      <c r="AH159" s="820" t="s">
        <v>1080</v>
      </c>
      <c r="AI159" s="823">
        <f>SUM(AH135:AH151)/C133</f>
        <v>42.152880000000003</v>
      </c>
      <c r="AJ159" s="824" t="s">
        <v>797</v>
      </c>
      <c r="AK159" s="824"/>
      <c r="AL159" s="820" t="s">
        <v>1080</v>
      </c>
      <c r="AM159" s="823">
        <f>SUM(AL135:AL151)/E133</f>
        <v>38.312040000000003</v>
      </c>
      <c r="AN159" s="824" t="s">
        <v>797</v>
      </c>
      <c r="AO159" s="636"/>
      <c r="AP159" s="636"/>
      <c r="AQ159" s="636"/>
      <c r="AR159" s="636"/>
      <c r="AS159" s="636"/>
      <c r="AT159" s="636"/>
    </row>
    <row r="160" spans="1:46" ht="15" customHeight="1">
      <c r="A160" s="746"/>
      <c r="B160" s="4702"/>
      <c r="C160" s="3621"/>
      <c r="D160" s="3621"/>
      <c r="E160" s="3621"/>
      <c r="F160" s="3622"/>
      <c r="G160" s="2120" t="str">
        <f>'Beer Data Sheet'!B36</f>
        <v>Other</v>
      </c>
      <c r="H160" s="2024">
        <f>'Beer Data Sheet'!C36</f>
        <v>0</v>
      </c>
      <c r="I160" s="796"/>
      <c r="J160" s="865"/>
      <c r="K160" s="861">
        <f t="shared" si="65"/>
        <v>0</v>
      </c>
      <c r="L160" s="861">
        <f t="shared" si="66"/>
        <v>0</v>
      </c>
      <c r="M160" s="866"/>
      <c r="N160" s="867"/>
      <c r="O160" s="863">
        <f t="shared" si="67"/>
        <v>0</v>
      </c>
      <c r="P160" s="864">
        <f t="shared" si="68"/>
        <v>0</v>
      </c>
      <c r="Q160" s="804"/>
      <c r="R160" s="804"/>
      <c r="S160" s="804"/>
      <c r="T160" s="804"/>
      <c r="U160" s="804"/>
      <c r="V160" s="804"/>
      <c r="W160" s="804"/>
      <c r="X160" s="804"/>
      <c r="Z160" s="877"/>
      <c r="AA160" s="648">
        <f>SUM(AA131:AA159)</f>
        <v>450</v>
      </c>
      <c r="AB160" s="648">
        <f>SUM(AB131:AB159)</f>
        <v>67.5</v>
      </c>
      <c r="AC160" s="648">
        <f>SUM(AC131:AC159)</f>
        <v>339.2</v>
      </c>
      <c r="AD160" s="648">
        <f>SUM(AD131:AD159)</f>
        <v>79.5</v>
      </c>
      <c r="AE160" s="636"/>
      <c r="AF160" s="636"/>
      <c r="AG160" s="648"/>
      <c r="AH160" s="820" t="s">
        <v>1084</v>
      </c>
      <c r="AI160" s="734">
        <f>(AI158-(0.375*C153)-AI154-AI156)</f>
        <v>10.116691200000005</v>
      </c>
      <c r="AJ160" s="824" t="s">
        <v>824</v>
      </c>
      <c r="AK160" s="824"/>
      <c r="AL160" s="820" t="s">
        <v>1084</v>
      </c>
      <c r="AM160" s="734">
        <f>(AM158-(0.375*E153)-AM154-AM156)</f>
        <v>9.1948896000000033</v>
      </c>
      <c r="AN160" s="824" t="s">
        <v>824</v>
      </c>
      <c r="AO160" s="636"/>
      <c r="AP160" s="636"/>
      <c r="AQ160" s="636"/>
      <c r="AR160" s="636"/>
      <c r="AS160" s="636"/>
      <c r="AT160" s="636"/>
    </row>
    <row r="161" spans="1:46" ht="15" customHeight="1">
      <c r="A161" s="746"/>
      <c r="B161" s="4702"/>
      <c r="C161" s="3621"/>
      <c r="D161" s="3621"/>
      <c r="E161" s="3621"/>
      <c r="F161" s="3622"/>
      <c r="G161" s="2120" t="str">
        <f>'Beer Data Sheet'!B37</f>
        <v>Other</v>
      </c>
      <c r="H161" s="2024">
        <f>'Beer Data Sheet'!C37</f>
        <v>0</v>
      </c>
      <c r="I161" s="796"/>
      <c r="J161" s="865"/>
      <c r="K161" s="861">
        <f t="shared" si="65"/>
        <v>0</v>
      </c>
      <c r="L161" s="861">
        <f t="shared" si="66"/>
        <v>0</v>
      </c>
      <c r="M161" s="866"/>
      <c r="N161" s="867"/>
      <c r="O161" s="863">
        <f t="shared" si="67"/>
        <v>0</v>
      </c>
      <c r="P161" s="864">
        <f t="shared" si="68"/>
        <v>0</v>
      </c>
      <c r="Q161" s="804"/>
      <c r="R161" s="804"/>
      <c r="S161" s="804"/>
      <c r="T161" s="3675" t="s">
        <v>1003</v>
      </c>
      <c r="U161" s="3675"/>
      <c r="V161" s="3675"/>
      <c r="W161" s="3676" t="s">
        <v>842</v>
      </c>
      <c r="X161" s="3676"/>
      <c r="Y161" s="3676"/>
      <c r="Z161" s="877"/>
      <c r="AA161" s="648">
        <f>D133/C133*AA160</f>
        <v>270</v>
      </c>
      <c r="AB161" s="648">
        <f>D133/C133*AB160</f>
        <v>40.5</v>
      </c>
      <c r="AC161" s="648">
        <f>F133/E133*AC160</f>
        <v>203.51999999999998</v>
      </c>
      <c r="AD161" s="648">
        <f>F133/E133*AD160</f>
        <v>47.699999999999996</v>
      </c>
      <c r="AE161" s="636"/>
      <c r="AF161" s="636"/>
      <c r="AG161" s="648"/>
      <c r="AH161" s="412" t="s">
        <v>1086</v>
      </c>
      <c r="AI161" s="823">
        <f>(AI158-AI154-AI155)</f>
        <v>10.116691200000005</v>
      </c>
      <c r="AJ161" s="824" t="s">
        <v>824</v>
      </c>
      <c r="AK161" s="824"/>
      <c r="AL161" s="412" t="s">
        <v>1086</v>
      </c>
      <c r="AM161" s="823">
        <f>(AM158-AM154-AM155)</f>
        <v>9.1948896000000033</v>
      </c>
      <c r="AN161" s="824" t="s">
        <v>824</v>
      </c>
      <c r="AO161" s="636"/>
      <c r="AP161" s="636"/>
      <c r="AQ161" s="636"/>
      <c r="AR161" s="636"/>
      <c r="AS161" s="636"/>
      <c r="AT161" s="636"/>
    </row>
    <row r="162" spans="1:46" ht="15" customHeight="1">
      <c r="A162" s="746"/>
      <c r="B162" s="3623"/>
      <c r="C162" s="3624"/>
      <c r="D162" s="3624"/>
      <c r="E162" s="3624"/>
      <c r="F162" s="3625"/>
      <c r="G162" s="3631" t="s">
        <v>1069</v>
      </c>
      <c r="H162" s="3632"/>
      <c r="I162" s="2533"/>
      <c r="J162" s="2534" t="str">
        <f>"ml = "&amp;FIXED(I162/5,2)&amp;" tsp"</f>
        <v>ml = 0.00 tsp</v>
      </c>
      <c r="K162" s="2558">
        <f t="shared" si="65"/>
        <v>0</v>
      </c>
      <c r="L162" s="2534" t="str">
        <f>"ml = "&amp;FIXED(K162/5,2)&amp;" tsp"</f>
        <v>ml = 0.00 tsp</v>
      </c>
      <c r="M162" s="2795"/>
      <c r="N162" s="2559" t="str">
        <f>"ml = "&amp;FIXED(M162/5,2)&amp;" tsp"</f>
        <v>ml = 0.00 tsp</v>
      </c>
      <c r="O162" s="2560">
        <f t="shared" si="67"/>
        <v>0</v>
      </c>
      <c r="P162" s="2559" t="str">
        <f>"ml = "&amp;FIXED(O162/5,2)&amp;" tsp"</f>
        <v>ml = 0.00 tsp</v>
      </c>
      <c r="Q162" s="804"/>
      <c r="R162" s="804"/>
      <c r="S162" s="804"/>
      <c r="T162" s="3651" t="s">
        <v>1004</v>
      </c>
      <c r="U162" s="3651"/>
      <c r="V162" s="3651"/>
      <c r="W162" s="3676" t="s">
        <v>840</v>
      </c>
      <c r="X162" s="3676"/>
      <c r="Y162" s="3676"/>
      <c r="Z162" s="877"/>
      <c r="AA162" s="811">
        <f>0.01*$AA$70*(C125-C126)/(7.75-(3*(C125-1000)/800))</f>
        <v>0.23350919042122442</v>
      </c>
      <c r="AB162" s="811"/>
      <c r="AC162" s="812" t="s">
        <v>587</v>
      </c>
      <c r="AD162" s="811">
        <f>0.01*$AA$70*(E125-E126)/(7.75-(3*(E125-1000)/800))</f>
        <v>0.21183067740032033</v>
      </c>
      <c r="AE162" s="636"/>
      <c r="AF162" s="811"/>
      <c r="AG162" s="648"/>
      <c r="AH162" s="636"/>
      <c r="AI162" s="636"/>
      <c r="AJ162" s="636"/>
      <c r="AK162" s="636"/>
      <c r="AL162" s="636"/>
      <c r="AM162" s="636"/>
      <c r="AN162" s="636"/>
      <c r="AO162" s="636"/>
      <c r="AP162" s="636"/>
      <c r="AQ162" s="636"/>
      <c r="AR162" s="636"/>
      <c r="AS162" s="636"/>
      <c r="AT162" s="636"/>
    </row>
    <row r="163" spans="1:46" ht="15" customHeight="1">
      <c r="A163" s="746"/>
      <c r="B163" s="857"/>
      <c r="C163" s="857"/>
      <c r="D163" s="857"/>
      <c r="E163" s="857"/>
      <c r="F163" s="857"/>
      <c r="G163" s="857"/>
      <c r="H163" s="857"/>
      <c r="I163" s="857"/>
      <c r="J163" s="857"/>
      <c r="K163" s="857"/>
      <c r="L163" s="857"/>
      <c r="M163" s="857"/>
      <c r="N163" s="857"/>
      <c r="O163" s="857"/>
      <c r="P163" s="857"/>
      <c r="Q163" s="804"/>
      <c r="R163" s="783"/>
      <c r="S163" s="874"/>
      <c r="T163" s="3651"/>
      <c r="U163" s="3651"/>
      <c r="V163" s="3651"/>
      <c r="W163" s="3674" t="s">
        <v>843</v>
      </c>
      <c r="X163" s="3674"/>
      <c r="Y163" s="3674"/>
      <c r="Z163" s="877"/>
      <c r="AA163" s="811">
        <f>0.00000001*C126*((1000*C125)/$AA$70+(819.2*C126)-1000400)</f>
        <v>0.15572160898549603</v>
      </c>
      <c r="AB163" s="811"/>
      <c r="AC163" s="812" t="s">
        <v>587</v>
      </c>
      <c r="AD163" s="811">
        <f>0.00000001*E126*((1000*E125)/$AA$70+(819.2*E126)-1000400)</f>
        <v>0.14095402440561294</v>
      </c>
      <c r="AE163" s="636"/>
      <c r="AF163" s="811"/>
      <c r="AG163" s="648"/>
      <c r="AH163" s="636"/>
      <c r="AI163" s="636"/>
      <c r="AJ163" s="636"/>
      <c r="AK163" s="636"/>
      <c r="AL163" s="636"/>
      <c r="AM163" s="636"/>
      <c r="AN163" s="636"/>
      <c r="AO163" s="636"/>
      <c r="AP163" s="636"/>
      <c r="AQ163" s="636"/>
      <c r="AR163" s="636"/>
      <c r="AS163" s="636"/>
      <c r="AT163" s="636"/>
    </row>
    <row r="164" spans="1:46" ht="15" customHeight="1">
      <c r="G164" s="858"/>
      <c r="H164" s="783"/>
      <c r="I164" s="783"/>
      <c r="J164" s="783"/>
      <c r="K164" s="783"/>
      <c r="L164" s="783"/>
      <c r="M164" s="783"/>
      <c r="N164" s="783"/>
      <c r="O164" s="783"/>
      <c r="P164" s="783"/>
      <c r="Q164" s="783"/>
      <c r="R164" s="870"/>
      <c r="S164" s="870"/>
      <c r="T164" s="870"/>
      <c r="U164" s="870"/>
      <c r="V164" s="870"/>
      <c r="W164" s="870"/>
      <c r="X164" s="870"/>
      <c r="Y164" s="870"/>
      <c r="Z164" s="870"/>
      <c r="AA164" s="636"/>
      <c r="AB164" s="636"/>
      <c r="AC164" s="636"/>
      <c r="AD164" s="636"/>
      <c r="AE164" s="636"/>
      <c r="AF164" s="811"/>
      <c r="AG164" s="636"/>
      <c r="AH164" s="636"/>
      <c r="AI164" s="636"/>
      <c r="AJ164" s="636"/>
      <c r="AK164" s="636"/>
      <c r="AL164" s="636"/>
      <c r="AM164" s="636"/>
      <c r="AN164" s="636"/>
      <c r="AO164" s="636"/>
      <c r="AP164" s="636"/>
      <c r="AQ164" s="636"/>
      <c r="AR164" s="636"/>
      <c r="AS164" s="636"/>
      <c r="AT164" s="636"/>
    </row>
    <row r="165" spans="1:46">
      <c r="A165" s="870"/>
      <c r="B165" s="870"/>
      <c r="C165" s="870"/>
      <c r="D165" s="870"/>
      <c r="E165" s="870"/>
      <c r="F165" s="870"/>
      <c r="G165" s="870"/>
      <c r="H165" s="870"/>
      <c r="I165" s="870"/>
      <c r="J165" s="870"/>
      <c r="K165" s="870"/>
      <c r="L165" s="870"/>
      <c r="M165" s="870"/>
      <c r="N165" s="870"/>
      <c r="O165" s="870"/>
      <c r="P165" s="870"/>
      <c r="Q165" s="870"/>
      <c r="R165" s="870"/>
      <c r="S165" s="870"/>
      <c r="T165" s="870"/>
      <c r="U165" s="870"/>
      <c r="V165" s="870"/>
      <c r="W165" s="870"/>
      <c r="X165" s="870"/>
      <c r="Y165" s="870"/>
      <c r="Z165" s="870"/>
      <c r="AA165" s="636"/>
      <c r="AB165" s="636"/>
      <c r="AC165" s="636"/>
      <c r="AD165" s="636"/>
      <c r="AE165" s="636"/>
      <c r="AF165" s="636"/>
      <c r="AG165" s="636"/>
      <c r="AH165" s="636"/>
      <c r="AI165" s="636"/>
      <c r="AJ165" s="636"/>
      <c r="AK165" s="636"/>
      <c r="AL165" s="636"/>
      <c r="AM165" s="636"/>
      <c r="AN165" s="636"/>
      <c r="AO165" s="636"/>
      <c r="AP165" s="636"/>
      <c r="AQ165" s="636"/>
      <c r="AR165" s="636"/>
      <c r="AS165" s="636"/>
      <c r="AT165" s="636"/>
    </row>
  </sheetData>
  <sheetProtection password="FA80" sheet="1" objects="1" scenarios="1"/>
  <mergeCells count="191">
    <mergeCell ref="Y1:Z1"/>
    <mergeCell ref="A3:B3"/>
    <mergeCell ref="I3:L3"/>
    <mergeCell ref="S3:T3"/>
    <mergeCell ref="B4:E4"/>
    <mergeCell ref="J4:K4"/>
    <mergeCell ref="M4:R4"/>
    <mergeCell ref="T4:V4"/>
    <mergeCell ref="X4:Y4"/>
    <mergeCell ref="H1:N1"/>
    <mergeCell ref="J5:K5"/>
    <mergeCell ref="T6:U6"/>
    <mergeCell ref="V6:W6"/>
    <mergeCell ref="F7:G7"/>
    <mergeCell ref="M7:N7"/>
    <mergeCell ref="T7:U7"/>
    <mergeCell ref="V7:W7"/>
    <mergeCell ref="I8:J8"/>
    <mergeCell ref="B9:C9"/>
    <mergeCell ref="F9:K9"/>
    <mergeCell ref="M9:Q9"/>
    <mergeCell ref="S9:U9"/>
    <mergeCell ref="S10:U10"/>
    <mergeCell ref="W10:X10"/>
    <mergeCell ref="G11:I11"/>
    <mergeCell ref="W11:X11"/>
    <mergeCell ref="I12:L12"/>
    <mergeCell ref="W12:X12"/>
    <mergeCell ref="I13:J13"/>
    <mergeCell ref="K13:L13"/>
    <mergeCell ref="B14:C14"/>
    <mergeCell ref="I14:J14"/>
    <mergeCell ref="K14:L14"/>
    <mergeCell ref="N14:O14"/>
    <mergeCell ref="I15:L15"/>
    <mergeCell ref="N15:O15"/>
    <mergeCell ref="I16:J16"/>
    <mergeCell ref="K16:L16"/>
    <mergeCell ref="N16:O16"/>
    <mergeCell ref="I17:L17"/>
    <mergeCell ref="N17:O17"/>
    <mergeCell ref="S18:Y18"/>
    <mergeCell ref="I18:L18"/>
    <mergeCell ref="N18:O18"/>
    <mergeCell ref="N19:O19"/>
    <mergeCell ref="C21:F21"/>
    <mergeCell ref="O21:T21"/>
    <mergeCell ref="V21:X21"/>
    <mergeCell ref="O22:Q22"/>
    <mergeCell ref="O23:Q23"/>
    <mergeCell ref="G24:H24"/>
    <mergeCell ref="I24:J24"/>
    <mergeCell ref="K24:L24"/>
    <mergeCell ref="M24:N24"/>
    <mergeCell ref="O24:Q24"/>
    <mergeCell ref="AA27:AT27"/>
    <mergeCell ref="G28:H28"/>
    <mergeCell ref="O28:Q28"/>
    <mergeCell ref="G29:H29"/>
    <mergeCell ref="AA29:AB29"/>
    <mergeCell ref="G30:H30"/>
    <mergeCell ref="I30:J30"/>
    <mergeCell ref="K30:L30"/>
    <mergeCell ref="M30:N30"/>
    <mergeCell ref="P30:Q30"/>
    <mergeCell ref="G27:H27"/>
    <mergeCell ref="O27:Q27"/>
    <mergeCell ref="V58:X58"/>
    <mergeCell ref="G66:H66"/>
    <mergeCell ref="F67:H67"/>
    <mergeCell ref="I67:N67"/>
    <mergeCell ref="G68:N68"/>
    <mergeCell ref="W71:X71"/>
    <mergeCell ref="C72:F72"/>
    <mergeCell ref="W72:X72"/>
    <mergeCell ref="W73:X73"/>
    <mergeCell ref="W79:X79"/>
    <mergeCell ref="G74:L74"/>
    <mergeCell ref="M74:P74"/>
    <mergeCell ref="W74:X74"/>
    <mergeCell ref="G75:H75"/>
    <mergeCell ref="I75:J75"/>
    <mergeCell ref="M75:O75"/>
    <mergeCell ref="W75:X75"/>
    <mergeCell ref="G76:H76"/>
    <mergeCell ref="M76:O76"/>
    <mergeCell ref="W76:X76"/>
    <mergeCell ref="Q76:T78"/>
    <mergeCell ref="W77:X77"/>
    <mergeCell ref="M78:O78"/>
    <mergeCell ref="W78:X78"/>
    <mergeCell ref="AJ83:AL83"/>
    <mergeCell ref="B85:F85"/>
    <mergeCell ref="D119:E119"/>
    <mergeCell ref="D120:E120"/>
    <mergeCell ref="G120:H120"/>
    <mergeCell ref="C123:F123"/>
    <mergeCell ref="I123:R123"/>
    <mergeCell ref="S123:W123"/>
    <mergeCell ref="G80:H80"/>
    <mergeCell ref="M80:O80"/>
    <mergeCell ref="W80:X80"/>
    <mergeCell ref="G81:H81"/>
    <mergeCell ref="I81:J81"/>
    <mergeCell ref="K81:L81"/>
    <mergeCell ref="M81:O81"/>
    <mergeCell ref="W81:X81"/>
    <mergeCell ref="B82:F82"/>
    <mergeCell ref="I82:J82"/>
    <mergeCell ref="K82:L82"/>
    <mergeCell ref="T163:V163"/>
    <mergeCell ref="W163:Y163"/>
    <mergeCell ref="T161:V161"/>
    <mergeCell ref="W161:Y161"/>
    <mergeCell ref="Q127:R127"/>
    <mergeCell ref="S127:U127"/>
    <mergeCell ref="Q128:R128"/>
    <mergeCell ref="S128:U128"/>
    <mergeCell ref="Q129:R129"/>
    <mergeCell ref="S129:U129"/>
    <mergeCell ref="Q130:R130"/>
    <mergeCell ref="S130:U130"/>
    <mergeCell ref="W162:Y162"/>
    <mergeCell ref="M26:N26"/>
    <mergeCell ref="O26:Q26"/>
    <mergeCell ref="T162:V162"/>
    <mergeCell ref="A144:A146"/>
    <mergeCell ref="A147:A151"/>
    <mergeCell ref="B123:B124"/>
    <mergeCell ref="D77:D78"/>
    <mergeCell ref="D128:D129"/>
    <mergeCell ref="D157:D158"/>
    <mergeCell ref="E74:E81"/>
    <mergeCell ref="I131:J131"/>
    <mergeCell ref="K131:L131"/>
    <mergeCell ref="G78:H78"/>
    <mergeCell ref="G79:H79"/>
    <mergeCell ref="A32:A45"/>
    <mergeCell ref="A46:A54"/>
    <mergeCell ref="A55:A57"/>
    <mergeCell ref="A58:A62"/>
    <mergeCell ref="A84:A98"/>
    <mergeCell ref="A99:A107"/>
    <mergeCell ref="A108:A110"/>
    <mergeCell ref="A111:A115"/>
    <mergeCell ref="A135:A143"/>
    <mergeCell ref="M79:O79"/>
    <mergeCell ref="Q124:R124"/>
    <mergeCell ref="S124:U124"/>
    <mergeCell ref="Q125:R125"/>
    <mergeCell ref="S125:U125"/>
    <mergeCell ref="I126:J126"/>
    <mergeCell ref="K126:L126"/>
    <mergeCell ref="M126:N126"/>
    <mergeCell ref="O126:P126"/>
    <mergeCell ref="Q126:R126"/>
    <mergeCell ref="S126:U126"/>
    <mergeCell ref="B159:F162"/>
    <mergeCell ref="M131:N131"/>
    <mergeCell ref="O131:P131"/>
    <mergeCell ref="R132:S132"/>
    <mergeCell ref="G162:H162"/>
    <mergeCell ref="G130:H130"/>
    <mergeCell ref="I130:J130"/>
    <mergeCell ref="K130:L130"/>
    <mergeCell ref="M130:N130"/>
    <mergeCell ref="O130:P130"/>
    <mergeCell ref="B17:E18"/>
    <mergeCell ref="F25:F26"/>
    <mergeCell ref="F128:F129"/>
    <mergeCell ref="F156:F158"/>
    <mergeCell ref="G72:P73"/>
    <mergeCell ref="B5:D6"/>
    <mergeCell ref="N12:O13"/>
    <mergeCell ref="G21:N23"/>
    <mergeCell ref="B70:P71"/>
    <mergeCell ref="G123:H128"/>
    <mergeCell ref="C124:D124"/>
    <mergeCell ref="E124:F124"/>
    <mergeCell ref="I124:J124"/>
    <mergeCell ref="M124:N124"/>
    <mergeCell ref="N83:P83"/>
    <mergeCell ref="G77:H77"/>
    <mergeCell ref="I77:J77"/>
    <mergeCell ref="K77:L77"/>
    <mergeCell ref="M77:O77"/>
    <mergeCell ref="G25:H25"/>
    <mergeCell ref="O25:Q25"/>
    <mergeCell ref="G26:H26"/>
    <mergeCell ref="I26:J26"/>
    <mergeCell ref="K26:L26"/>
  </mergeCells>
  <conditionalFormatting sqref="H12">
    <cfRule type="cellIs" dxfId="693" priority="529" operator="notEqual">
      <formula>76</formula>
    </cfRule>
    <cfRule type="cellIs" dxfId="692" priority="530" operator="notEqual">
      <formula>75</formula>
    </cfRule>
    <cfRule type="cellIs" dxfId="691" priority="531" operator="notEqual">
      <formula>75</formula>
    </cfRule>
    <cfRule type="cellIs" dxfId="690" priority="532" operator="notEqual">
      <formula>75</formula>
    </cfRule>
    <cfRule type="cellIs" dxfId="689" priority="533" operator="notEqual">
      <formula>75</formula>
    </cfRule>
    <cfRule type="cellIs" dxfId="688" priority="534" operator="notEqual">
      <formula>75</formula>
    </cfRule>
    <cfRule type="cellIs" dxfId="687" priority="535" operator="notEqual">
      <formula>75</formula>
    </cfRule>
    <cfRule type="cellIs" dxfId="686" priority="536" operator="notEqual">
      <formula>75</formula>
    </cfRule>
    <cfRule type="cellIs" dxfId="685" priority="537" operator="notEqual">
      <formula>75</formula>
    </cfRule>
    <cfRule type="cellIs" dxfId="684" priority="538" operator="notEqual">
      <formula>75</formula>
    </cfRule>
    <cfRule type="cellIs" dxfId="683" priority="539" operator="notEqual">
      <formula>75</formula>
    </cfRule>
    <cfRule type="cellIs" dxfId="682" priority="540" operator="notEqual">
      <formula>75</formula>
    </cfRule>
    <cfRule type="cellIs" dxfId="681" priority="541" operator="notEqual">
      <formula>75</formula>
    </cfRule>
    <cfRule type="cellIs" dxfId="680" priority="542" operator="notEqual">
      <formula>75</formula>
    </cfRule>
    <cfRule type="cellIs" dxfId="679" priority="543" operator="notEqual">
      <formula>75</formula>
    </cfRule>
    <cfRule type="cellIs" dxfId="678" priority="544" operator="notEqual">
      <formula>75</formula>
    </cfRule>
    <cfRule type="cellIs" dxfId="677" priority="545" operator="notEqual">
      <formula>75</formula>
    </cfRule>
    <cfRule type="cellIs" dxfId="676" priority="546" operator="notEqual">
      <formula>75</formula>
    </cfRule>
    <cfRule type="cellIs" dxfId="675" priority="547" operator="notEqual">
      <formula>75</formula>
    </cfRule>
    <cfRule type="cellIs" dxfId="674" priority="548" operator="notEqual">
      <formula>75</formula>
    </cfRule>
    <cfRule type="cellIs" dxfId="673" priority="549" operator="notEqual">
      <formula>75</formula>
    </cfRule>
    <cfRule type="cellIs" dxfId="672" priority="550" operator="notEqual">
      <formula>75</formula>
    </cfRule>
    <cfRule type="cellIs" dxfId="671" priority="551" operator="notEqual">
      <formula>75</formula>
    </cfRule>
    <cfRule type="cellIs" dxfId="670" priority="552" operator="notEqual">
      <formula>75</formula>
    </cfRule>
    <cfRule type="cellIs" dxfId="669" priority="553" operator="notEqual">
      <formula>75</formula>
    </cfRule>
    <cfRule type="cellIs" dxfId="668" priority="554" operator="notEqual">
      <formula>75</formula>
    </cfRule>
    <cfRule type="cellIs" dxfId="667" priority="555" operator="notEqual">
      <formula>75</formula>
    </cfRule>
    <cfRule type="cellIs" dxfId="666" priority="556" operator="notEqual">
      <formula>75</formula>
    </cfRule>
    <cfRule type="cellIs" dxfId="665" priority="557" operator="notEqual">
      <formula>75</formula>
    </cfRule>
    <cfRule type="cellIs" dxfId="664" priority="558" operator="notEqual">
      <formula>75</formula>
    </cfRule>
    <cfRule type="cellIs" dxfId="663" priority="559" operator="notEqual">
      <formula>75</formula>
    </cfRule>
    <cfRule type="cellIs" dxfId="662" priority="560" operator="notEqual">
      <formula>75</formula>
    </cfRule>
    <cfRule type="cellIs" dxfId="661" priority="561" operator="notEqual">
      <formula>75</formula>
    </cfRule>
    <cfRule type="cellIs" dxfId="660" priority="562" operator="notEqual">
      <formula>75</formula>
    </cfRule>
    <cfRule type="cellIs" dxfId="659" priority="563" operator="notEqual">
      <formula>75</formula>
    </cfRule>
    <cfRule type="cellIs" dxfId="658" priority="564" operator="notEqual">
      <formula>75</formula>
    </cfRule>
    <cfRule type="cellIs" dxfId="657" priority="565" operator="notEqual">
      <formula>75</formula>
    </cfRule>
    <cfRule type="cellIs" dxfId="656" priority="566" operator="notEqual">
      <formula>75</formula>
    </cfRule>
    <cfRule type="cellIs" dxfId="655" priority="567" operator="notEqual">
      <formula>75</formula>
    </cfRule>
    <cfRule type="cellIs" dxfId="654" priority="568" operator="notEqual">
      <formula>75</formula>
    </cfRule>
    <cfRule type="cellIs" dxfId="653" priority="569" operator="notEqual">
      <formula>75</formula>
    </cfRule>
    <cfRule type="cellIs" dxfId="652" priority="570" operator="notEqual">
      <formula>75</formula>
    </cfRule>
    <cfRule type="cellIs" dxfId="651" priority="571" operator="notEqual">
      <formula>75</formula>
    </cfRule>
    <cfRule type="cellIs" dxfId="650" priority="572" operator="notEqual">
      <formula>75</formula>
    </cfRule>
    <cfRule type="cellIs" dxfId="649" priority="573" operator="notEqual">
      <formula>75</formula>
    </cfRule>
    <cfRule type="cellIs" dxfId="648" priority="574" operator="notEqual">
      <formula>75</formula>
    </cfRule>
    <cfRule type="cellIs" dxfId="647" priority="575" operator="notEqual">
      <formula>75</formula>
    </cfRule>
    <cfRule type="cellIs" dxfId="646" priority="576" operator="notEqual">
      <formula>75</formula>
    </cfRule>
    <cfRule type="cellIs" dxfId="645" priority="577" operator="notEqual">
      <formula>75</formula>
    </cfRule>
    <cfRule type="cellIs" dxfId="644" priority="578" operator="notEqual">
      <formula>75</formula>
    </cfRule>
    <cfRule type="cellIs" dxfId="643" priority="579" operator="notEqual">
      <formula>75</formula>
    </cfRule>
    <cfRule type="cellIs" dxfId="642" priority="580" operator="notEqual">
      <formula>75</formula>
    </cfRule>
    <cfRule type="cellIs" dxfId="641" priority="581" operator="notEqual">
      <formula>75</formula>
    </cfRule>
    <cfRule type="cellIs" dxfId="640" priority="582" operator="notEqual">
      <formula>75</formula>
    </cfRule>
    <cfRule type="cellIs" dxfId="639" priority="583" operator="notEqual">
      <formula>75</formula>
    </cfRule>
    <cfRule type="cellIs" dxfId="638" priority="584" operator="notEqual">
      <formula>75</formula>
    </cfRule>
    <cfRule type="cellIs" dxfId="637" priority="585" operator="notEqual">
      <formula>76</formula>
    </cfRule>
    <cfRule type="cellIs" dxfId="636" priority="586" operator="notEqual">
      <formula>76</formula>
    </cfRule>
    <cfRule type="cellIs" dxfId="635" priority="587" operator="notEqual">
      <formula>76</formula>
    </cfRule>
    <cfRule type="cellIs" dxfId="634" priority="588" operator="notEqual">
      <formula>75</formula>
    </cfRule>
    <cfRule type="cellIs" dxfId="633" priority="589" operator="notEqual">
      <formula>75</formula>
    </cfRule>
    <cfRule type="cellIs" dxfId="632" priority="590" operator="notEqual">
      <formula>75</formula>
    </cfRule>
    <cfRule type="cellIs" dxfId="631" priority="591" operator="notEqual">
      <formula>75</formula>
    </cfRule>
    <cfRule type="cellIs" dxfId="630" priority="592" operator="notEqual">
      <formula>75</formula>
    </cfRule>
    <cfRule type="cellIs" dxfId="629" priority="593" operator="notEqual">
      <formula>75</formula>
    </cfRule>
    <cfRule type="cellIs" dxfId="628" priority="594" operator="notEqual">
      <formula>75</formula>
    </cfRule>
    <cfRule type="cellIs" dxfId="627" priority="595" operator="notEqual">
      <formula>75</formula>
    </cfRule>
    <cfRule type="cellIs" dxfId="626" priority="596" operator="notEqual">
      <formula>75</formula>
    </cfRule>
    <cfRule type="cellIs" dxfId="625" priority="597" operator="notEqual">
      <formula>75</formula>
    </cfRule>
    <cfRule type="cellIs" dxfId="624" priority="598" operator="notEqual">
      <formula>75</formula>
    </cfRule>
    <cfRule type="cellIs" dxfId="623" priority="599" operator="notEqual">
      <formula>75</formula>
    </cfRule>
    <cfRule type="cellIs" dxfId="622" priority="600" operator="notEqual">
      <formula>75</formula>
    </cfRule>
    <cfRule type="cellIs" dxfId="621" priority="601" operator="notEqual">
      <formula>75</formula>
    </cfRule>
    <cfRule type="cellIs" dxfId="620" priority="602" operator="notEqual">
      <formula>75</formula>
    </cfRule>
    <cfRule type="cellIs" dxfId="619" priority="603" operator="notEqual">
      <formula>75</formula>
    </cfRule>
    <cfRule type="cellIs" dxfId="618" priority="604" operator="notEqual">
      <formula>75</formula>
    </cfRule>
    <cfRule type="cellIs" dxfId="617" priority="605" operator="notEqual">
      <formula>75</formula>
    </cfRule>
    <cfRule type="cellIs" dxfId="616" priority="606" operator="notEqual">
      <formula>75</formula>
    </cfRule>
    <cfRule type="cellIs" dxfId="615" priority="607" operator="notEqual">
      <formula>75</formula>
    </cfRule>
    <cfRule type="cellIs" dxfId="614" priority="608" operator="notEqual">
      <formula>75</formula>
    </cfRule>
    <cfRule type="cellIs" dxfId="613" priority="609" operator="notEqual">
      <formula>75</formula>
    </cfRule>
    <cfRule type="cellIs" dxfId="612" priority="610" operator="notEqual">
      <formula>75</formula>
    </cfRule>
    <cfRule type="cellIs" dxfId="611" priority="611" operator="notEqual">
      <formula>75</formula>
    </cfRule>
    <cfRule type="cellIs" dxfId="610" priority="612" operator="notEqual">
      <formula>75</formula>
    </cfRule>
    <cfRule type="cellIs" dxfId="609" priority="613" operator="notEqual">
      <formula>75</formula>
    </cfRule>
    <cfRule type="cellIs" dxfId="608" priority="614" operator="notEqual">
      <formula>75</formula>
    </cfRule>
    <cfRule type="cellIs" dxfId="607" priority="615" operator="notEqual">
      <formula>75</formula>
    </cfRule>
    <cfRule type="cellIs" dxfId="606" priority="616" operator="notEqual">
      <formula>75</formula>
    </cfRule>
    <cfRule type="cellIs" dxfId="605" priority="617" operator="notEqual">
      <formula>75</formula>
    </cfRule>
    <cfRule type="cellIs" dxfId="604" priority="618" operator="notEqual">
      <formula>75</formula>
    </cfRule>
    <cfRule type="cellIs" dxfId="603" priority="619" operator="notEqual">
      <formula>75</formula>
    </cfRule>
    <cfRule type="cellIs" dxfId="602" priority="620" operator="notEqual">
      <formula>75</formula>
    </cfRule>
    <cfRule type="cellIs" dxfId="601" priority="621" operator="notEqual">
      <formula>75</formula>
    </cfRule>
    <cfRule type="cellIs" dxfId="600" priority="622" operator="notEqual">
      <formula>75</formula>
    </cfRule>
    <cfRule type="cellIs" dxfId="599" priority="623" operator="notEqual">
      <formula>75</formula>
    </cfRule>
    <cfRule type="cellIs" dxfId="598" priority="624" operator="notEqual">
      <formula>75</formula>
    </cfRule>
    <cfRule type="cellIs" dxfId="597" priority="625" operator="notEqual">
      <formula>75</formula>
    </cfRule>
    <cfRule type="cellIs" dxfId="596" priority="626" operator="notEqual">
      <formula>75</formula>
    </cfRule>
    <cfRule type="cellIs" dxfId="595" priority="627" operator="notEqual">
      <formula>75</formula>
    </cfRule>
    <cfRule type="cellIs" dxfId="594" priority="628" operator="notEqual">
      <formula>75</formula>
    </cfRule>
    <cfRule type="cellIs" dxfId="593" priority="629" operator="notEqual">
      <formula>75</formula>
    </cfRule>
    <cfRule type="cellIs" dxfId="592" priority="630" operator="notEqual">
      <formula>75</formula>
    </cfRule>
    <cfRule type="cellIs" dxfId="591" priority="631" operator="notEqual">
      <formula>75</formula>
    </cfRule>
    <cfRule type="cellIs" dxfId="590" priority="632" operator="notEqual">
      <formula>75</formula>
    </cfRule>
    <cfRule type="cellIs" dxfId="589" priority="633" operator="notEqual">
      <formula>76</formula>
    </cfRule>
    <cfRule type="cellIs" dxfId="588" priority="634" operator="notEqual">
      <formula>75</formula>
    </cfRule>
    <cfRule type="cellIs" dxfId="587" priority="635" operator="notEqual">
      <formula>75</formula>
    </cfRule>
    <cfRule type="cellIs" dxfId="586" priority="636" operator="notEqual">
      <formula>75</formula>
    </cfRule>
    <cfRule type="cellIs" dxfId="585" priority="637" operator="notEqual">
      <formula>75</formula>
    </cfRule>
    <cfRule type="cellIs" dxfId="584" priority="638" operator="notEqual">
      <formula>75</formula>
    </cfRule>
    <cfRule type="cellIs" dxfId="583" priority="639" operator="notEqual">
      <formula>75</formula>
    </cfRule>
    <cfRule type="cellIs" dxfId="582" priority="640" operator="notEqual">
      <formula>75</formula>
    </cfRule>
    <cfRule type="cellIs" dxfId="581" priority="641" operator="notEqual">
      <formula>75</formula>
    </cfRule>
    <cfRule type="cellIs" dxfId="580" priority="642" operator="notEqual">
      <formula>75</formula>
    </cfRule>
    <cfRule type="cellIs" dxfId="579" priority="643" operator="notEqual">
      <formula>75</formula>
    </cfRule>
    <cfRule type="cellIs" dxfId="578" priority="644" operator="notEqual">
      <formula>75</formula>
    </cfRule>
    <cfRule type="cellIs" dxfId="577" priority="645" operator="notEqual">
      <formula>75</formula>
    </cfRule>
    <cfRule type="cellIs" dxfId="576" priority="646" operator="notEqual">
      <formula>75</formula>
    </cfRule>
    <cfRule type="cellIs" dxfId="575" priority="647" operator="notEqual">
      <formula>75</formula>
    </cfRule>
    <cfRule type="cellIs" dxfId="574" priority="648" operator="notEqual">
      <formula>75</formula>
    </cfRule>
    <cfRule type="cellIs" dxfId="573" priority="649" operator="notEqual">
      <formula>75</formula>
    </cfRule>
    <cfRule type="cellIs" dxfId="572" priority="650" operator="notEqual">
      <formula>75</formula>
    </cfRule>
    <cfRule type="cellIs" dxfId="571" priority="651" operator="notEqual">
      <formula>75</formula>
    </cfRule>
    <cfRule type="cellIs" dxfId="570" priority="652" operator="notEqual">
      <formula>75</formula>
    </cfRule>
    <cfRule type="cellIs" dxfId="569" priority="653" operator="notEqual">
      <formula>75</formula>
    </cfRule>
    <cfRule type="cellIs" dxfId="568" priority="654" operator="notEqual">
      <formula>75</formula>
    </cfRule>
    <cfRule type="cellIs" dxfId="567" priority="655" operator="notEqual">
      <formula>75</formula>
    </cfRule>
    <cfRule type="cellIs" dxfId="566" priority="656" operator="notEqual">
      <formula>75</formula>
    </cfRule>
    <cfRule type="cellIs" dxfId="565" priority="657" operator="notEqual">
      <formula>75</formula>
    </cfRule>
    <cfRule type="cellIs" dxfId="564" priority="658" operator="notEqual">
      <formula>75</formula>
    </cfRule>
    <cfRule type="cellIs" dxfId="563" priority="659" operator="notEqual">
      <formula>75</formula>
    </cfRule>
    <cfRule type="cellIs" dxfId="562" priority="660" operator="notEqual">
      <formula>75</formula>
    </cfRule>
    <cfRule type="cellIs" dxfId="561" priority="661" operator="notEqual">
      <formula>75</formula>
    </cfRule>
    <cfRule type="cellIs" dxfId="560" priority="662" operator="notEqual">
      <formula>75</formula>
    </cfRule>
    <cfRule type="cellIs" dxfId="559" priority="663" operator="notEqual">
      <formula>75</formula>
    </cfRule>
    <cfRule type="cellIs" dxfId="558" priority="664" operator="notEqual">
      <formula>75</formula>
    </cfRule>
    <cfRule type="cellIs" dxfId="557" priority="665" operator="notEqual">
      <formula>75</formula>
    </cfRule>
    <cfRule type="cellIs" dxfId="556" priority="666" operator="notEqual">
      <formula>75</formula>
    </cfRule>
    <cfRule type="cellIs" dxfId="555" priority="667" operator="notEqual">
      <formula>75</formula>
    </cfRule>
    <cfRule type="cellIs" dxfId="554" priority="668" operator="notEqual">
      <formula>75</formula>
    </cfRule>
    <cfRule type="cellIs" dxfId="553" priority="669" operator="notEqual">
      <formula>75</formula>
    </cfRule>
    <cfRule type="cellIs" dxfId="552" priority="670" operator="notEqual">
      <formula>75</formula>
    </cfRule>
    <cfRule type="cellIs" dxfId="551" priority="671" operator="notEqual">
      <formula>75</formula>
    </cfRule>
    <cfRule type="cellIs" dxfId="550" priority="672" operator="notEqual">
      <formula>75</formula>
    </cfRule>
    <cfRule type="cellIs" dxfId="549" priority="673" operator="notEqual">
      <formula>75</formula>
    </cfRule>
    <cfRule type="cellIs" dxfId="548" priority="674" operator="notEqual">
      <formula>75</formula>
    </cfRule>
    <cfRule type="cellIs" dxfId="547" priority="675" operator="notEqual">
      <formula>75</formula>
    </cfRule>
    <cfRule type="cellIs" dxfId="546" priority="676" operator="notEqual">
      <formula>75</formula>
    </cfRule>
    <cfRule type="cellIs" dxfId="545" priority="677" operator="notEqual">
      <formula>75</formula>
    </cfRule>
    <cfRule type="cellIs" dxfId="544" priority="678" operator="notEqual">
      <formula>75</formula>
    </cfRule>
    <cfRule type="cellIs" dxfId="543" priority="679" operator="notEqual">
      <formula>75</formula>
    </cfRule>
    <cfRule type="cellIs" dxfId="542" priority="680" operator="notEqual">
      <formula>75</formula>
    </cfRule>
    <cfRule type="cellIs" dxfId="541" priority="681" operator="notEqual">
      <formula>75</formula>
    </cfRule>
    <cfRule type="cellIs" dxfId="540" priority="682" operator="notEqual">
      <formula>75</formula>
    </cfRule>
    <cfRule type="cellIs" dxfId="539" priority="683" operator="notEqual">
      <formula>75</formula>
    </cfRule>
    <cfRule type="cellIs" dxfId="538" priority="684" operator="notEqual">
      <formula>75</formula>
    </cfRule>
    <cfRule type="cellIs" dxfId="537" priority="685" operator="notEqual">
      <formula>75</formula>
    </cfRule>
    <cfRule type="cellIs" dxfId="536" priority="686" operator="notEqual">
      <formula>75</formula>
    </cfRule>
    <cfRule type="cellIs" dxfId="535" priority="687" operator="notEqual">
      <formula>75</formula>
    </cfRule>
    <cfRule type="cellIs" dxfId="534" priority="688" operator="notEqual">
      <formula>75</formula>
    </cfRule>
    <cfRule type="cellIs" dxfId="533" priority="689" operator="notEqual">
      <formula>76</formula>
    </cfRule>
  </conditionalFormatting>
  <conditionalFormatting sqref="C66">
    <cfRule type="cellIs" dxfId="532" priority="690" operator="notEqual">
      <formula>75</formula>
    </cfRule>
    <cfRule type="cellIs" dxfId="531" priority="691" operator="notEqual">
      <formula>75</formula>
    </cfRule>
    <cfRule type="cellIs" dxfId="530" priority="692" operator="notEqual">
      <formula>75</formula>
    </cfRule>
    <cfRule type="cellIs" dxfId="529" priority="693" operator="notEqual">
      <formula>75</formula>
    </cfRule>
    <cfRule type="cellIs" dxfId="528" priority="694" operator="notEqual">
      <formula>75</formula>
    </cfRule>
    <cfRule type="cellIs" dxfId="527" priority="695" operator="notEqual">
      <formula>75</formula>
    </cfRule>
    <cfRule type="cellIs" dxfId="526" priority="696" operator="notEqual">
      <formula>75</formula>
    </cfRule>
    <cfRule type="cellIs" dxfId="525" priority="697" operator="notEqual">
      <formula>75</formula>
    </cfRule>
    <cfRule type="cellIs" dxfId="524" priority="698" operator="notEqual">
      <formula>75</formula>
    </cfRule>
    <cfRule type="cellIs" dxfId="523" priority="699" operator="notEqual">
      <formula>75</formula>
    </cfRule>
    <cfRule type="cellIs" dxfId="522" priority="700" operator="notEqual">
      <formula>75</formula>
    </cfRule>
    <cfRule type="cellIs" dxfId="521" priority="711" operator="notEqual">
      <formula>75</formula>
    </cfRule>
    <cfRule type="cellIs" dxfId="520" priority="712" operator="notEqual">
      <formula>75</formula>
    </cfRule>
    <cfRule type="cellIs" dxfId="519" priority="713" operator="notEqual">
      <formula>75</formula>
    </cfRule>
    <cfRule type="cellIs" dxfId="518" priority="714" operator="notEqual">
      <formula>75</formula>
    </cfRule>
    <cfRule type="cellIs" dxfId="517" priority="715" operator="notEqual">
      <formula>75</formula>
    </cfRule>
    <cfRule type="cellIs" dxfId="516" priority="716" operator="notEqual">
      <formula>75</formula>
    </cfRule>
    <cfRule type="cellIs" dxfId="515" priority="717" operator="notEqual">
      <formula>75</formula>
    </cfRule>
    <cfRule type="cellIs" dxfId="514" priority="718" operator="notEqual">
      <formula>75</formula>
    </cfRule>
    <cfRule type="cellIs" dxfId="513" priority="719" operator="notEqual">
      <formula>75</formula>
    </cfRule>
    <cfRule type="cellIs" dxfId="512" priority="720" operator="notEqual">
      <formula>75</formula>
    </cfRule>
    <cfRule type="cellIs" dxfId="511" priority="721" operator="notEqual">
      <formula>75</formula>
    </cfRule>
    <cfRule type="cellIs" dxfId="510" priority="722" operator="notEqual">
      <formula>75</formula>
    </cfRule>
    <cfRule type="cellIs" dxfId="509" priority="723" operator="notEqual">
      <formula>75</formula>
    </cfRule>
    <cfRule type="cellIs" dxfId="508" priority="724" operator="notEqual">
      <formula>75</formula>
    </cfRule>
    <cfRule type="cellIs" dxfId="507" priority="725" operator="notEqual">
      <formula>75</formula>
    </cfRule>
    <cfRule type="cellIs" dxfId="506" priority="726" operator="notEqual">
      <formula>75</formula>
    </cfRule>
    <cfRule type="cellIs" dxfId="505" priority="727" operator="notEqual">
      <formula>75</formula>
    </cfRule>
    <cfRule type="cellIs" dxfId="504" priority="728" operator="notEqual">
      <formula>75</formula>
    </cfRule>
    <cfRule type="cellIs" dxfId="503" priority="729" operator="notEqual">
      <formula>75</formula>
    </cfRule>
    <cfRule type="cellIs" dxfId="502" priority="730" operator="notEqual">
      <formula>75</formula>
    </cfRule>
    <cfRule type="cellIs" dxfId="501" priority="731" operator="notEqual">
      <formula>75</formula>
    </cfRule>
    <cfRule type="cellIs" dxfId="500" priority="732" operator="notEqual">
      <formula>75</formula>
    </cfRule>
    <cfRule type="cellIs" dxfId="499" priority="733" operator="notEqual">
      <formula>75</formula>
    </cfRule>
    <cfRule type="cellIs" dxfId="498" priority="734" operator="notEqual">
      <formula>75</formula>
    </cfRule>
    <cfRule type="cellIs" dxfId="497" priority="735" operator="notEqual">
      <formula>75</formula>
    </cfRule>
    <cfRule type="cellIs" dxfId="496" priority="736" operator="notEqual">
      <formula>75</formula>
    </cfRule>
    <cfRule type="cellIs" dxfId="495" priority="737" operator="notEqual">
      <formula>75</formula>
    </cfRule>
    <cfRule type="cellIs" dxfId="494" priority="738" operator="notEqual">
      <formula>75</formula>
    </cfRule>
    <cfRule type="cellIs" dxfId="493" priority="739" operator="notEqual">
      <formula>75</formula>
    </cfRule>
    <cfRule type="cellIs" dxfId="492" priority="740" operator="notEqual">
      <formula>75</formula>
    </cfRule>
    <cfRule type="cellIs" dxfId="491" priority="741" operator="notEqual">
      <formula>75</formula>
    </cfRule>
    <cfRule type="cellIs" dxfId="490" priority="742" operator="notEqual">
      <formula>75</formula>
    </cfRule>
    <cfRule type="cellIs" dxfId="489" priority="743" operator="notEqual">
      <formula>75</formula>
    </cfRule>
    <cfRule type="cellIs" dxfId="488" priority="744" operator="notEqual">
      <formula>75</formula>
    </cfRule>
    <cfRule type="cellIs" dxfId="487" priority="747" operator="notEqual">
      <formula>76</formula>
    </cfRule>
    <cfRule type="cellIs" dxfId="486" priority="748" operator="notEqual">
      <formula>75</formula>
    </cfRule>
    <cfRule type="cellIs" dxfId="485" priority="759" operator="notEqual">
      <formula>75</formula>
    </cfRule>
    <cfRule type="cellIs" dxfId="484" priority="760" operator="notEqual">
      <formula>75</formula>
    </cfRule>
    <cfRule type="cellIs" dxfId="483" priority="761" operator="notEqual">
      <formula>75</formula>
    </cfRule>
    <cfRule type="cellIs" dxfId="482" priority="762" operator="notEqual">
      <formula>75</formula>
    </cfRule>
    <cfRule type="cellIs" dxfId="481" priority="763" operator="notEqual">
      <formula>75</formula>
    </cfRule>
    <cfRule type="cellIs" dxfId="480" priority="764" operator="notEqual">
      <formula>75</formula>
    </cfRule>
    <cfRule type="cellIs" dxfId="479" priority="765" operator="notEqual">
      <formula>75</formula>
    </cfRule>
    <cfRule type="cellIs" dxfId="478" priority="766" operator="notEqual">
      <formula>75</formula>
    </cfRule>
    <cfRule type="cellIs" dxfId="477" priority="767" operator="notEqual">
      <formula>75</formula>
    </cfRule>
    <cfRule type="cellIs" dxfId="476" priority="768" operator="notEqual">
      <formula>75</formula>
    </cfRule>
    <cfRule type="cellIs" dxfId="475" priority="769" operator="notEqual">
      <formula>75</formula>
    </cfRule>
    <cfRule type="cellIs" dxfId="474" priority="770" operator="notEqual">
      <formula>75</formula>
    </cfRule>
    <cfRule type="cellIs" dxfId="473" priority="771" operator="notEqual">
      <formula>75</formula>
    </cfRule>
    <cfRule type="cellIs" dxfId="472" priority="772" operator="notEqual">
      <formula>75</formula>
    </cfRule>
    <cfRule type="cellIs" dxfId="471" priority="773" operator="notEqual">
      <formula>75</formula>
    </cfRule>
    <cfRule type="cellIs" dxfId="470" priority="774" operator="notEqual">
      <formula>75</formula>
    </cfRule>
    <cfRule type="cellIs" dxfId="469" priority="775" operator="notEqual">
      <formula>75</formula>
    </cfRule>
    <cfRule type="cellIs" dxfId="468" priority="776" operator="notEqual">
      <formula>75</formula>
    </cfRule>
    <cfRule type="cellIs" dxfId="467" priority="777" operator="notEqual">
      <formula>75</formula>
    </cfRule>
    <cfRule type="cellIs" dxfId="466" priority="778" operator="notEqual">
      <formula>75</formula>
    </cfRule>
    <cfRule type="cellIs" dxfId="465" priority="779" operator="notEqual">
      <formula>75</formula>
    </cfRule>
    <cfRule type="cellIs" dxfId="464" priority="780" operator="notEqual">
      <formula>75</formula>
    </cfRule>
    <cfRule type="cellIs" dxfId="463" priority="781" operator="notEqual">
      <formula>75</formula>
    </cfRule>
    <cfRule type="cellIs" dxfId="462" priority="782" operator="notEqual">
      <formula>75</formula>
    </cfRule>
    <cfRule type="cellIs" dxfId="461" priority="783" operator="notEqual">
      <formula>75</formula>
    </cfRule>
    <cfRule type="cellIs" dxfId="460" priority="784" operator="notEqual">
      <formula>75</formula>
    </cfRule>
    <cfRule type="cellIs" dxfId="459" priority="785" operator="notEqual">
      <formula>75</formula>
    </cfRule>
    <cfRule type="cellIs" dxfId="458" priority="786" operator="notEqual">
      <formula>75</formula>
    </cfRule>
    <cfRule type="cellIs" dxfId="457" priority="787" operator="notEqual">
      <formula>75</formula>
    </cfRule>
    <cfRule type="cellIs" dxfId="456" priority="788" operator="notEqual">
      <formula>75</formula>
    </cfRule>
    <cfRule type="cellIs" dxfId="455" priority="789" operator="notEqual">
      <formula>75</formula>
    </cfRule>
    <cfRule type="cellIs" dxfId="454" priority="790" operator="notEqual">
      <formula>75</formula>
    </cfRule>
    <cfRule type="cellIs" dxfId="453" priority="791" operator="notEqual">
      <formula>75</formula>
    </cfRule>
    <cfRule type="cellIs" dxfId="452" priority="792" operator="notEqual">
      <formula>75</formula>
    </cfRule>
    <cfRule type="cellIs" dxfId="451" priority="794" operator="notEqual">
      <formula>76</formula>
    </cfRule>
    <cfRule type="cellIs" dxfId="450" priority="795" operator="notEqual">
      <formula>75</formula>
    </cfRule>
    <cfRule type="cellIs" dxfId="449" priority="806" operator="notEqual">
      <formula>75</formula>
    </cfRule>
    <cfRule type="cellIs" dxfId="448" priority="807" operator="notEqual">
      <formula>75</formula>
    </cfRule>
    <cfRule type="cellIs" dxfId="447" priority="808" operator="notEqual">
      <formula>75</formula>
    </cfRule>
    <cfRule type="cellIs" dxfId="446" priority="809" operator="notEqual">
      <formula>75</formula>
    </cfRule>
    <cfRule type="cellIs" dxfId="445" priority="810" operator="notEqual">
      <formula>75</formula>
    </cfRule>
    <cfRule type="cellIs" dxfId="444" priority="811" operator="notEqual">
      <formula>75</formula>
    </cfRule>
    <cfRule type="cellIs" dxfId="443" priority="812" operator="notEqual">
      <formula>75</formula>
    </cfRule>
    <cfRule type="cellIs" dxfId="442" priority="813" operator="notEqual">
      <formula>75</formula>
    </cfRule>
    <cfRule type="cellIs" dxfId="441" priority="814" operator="notEqual">
      <formula>75</formula>
    </cfRule>
    <cfRule type="cellIs" dxfId="440" priority="815" operator="notEqual">
      <formula>75</formula>
    </cfRule>
    <cfRule type="cellIs" dxfId="439" priority="816" operator="notEqual">
      <formula>75</formula>
    </cfRule>
    <cfRule type="cellIs" dxfId="438" priority="817" operator="notEqual">
      <formula>75</formula>
    </cfRule>
    <cfRule type="cellIs" dxfId="437" priority="818" operator="notEqual">
      <formula>75</formula>
    </cfRule>
    <cfRule type="cellIs" dxfId="436" priority="819" operator="notEqual">
      <formula>75</formula>
    </cfRule>
    <cfRule type="cellIs" dxfId="435" priority="820" operator="notEqual">
      <formula>75</formula>
    </cfRule>
    <cfRule type="cellIs" dxfId="434" priority="821" operator="notEqual">
      <formula>75</formula>
    </cfRule>
    <cfRule type="cellIs" dxfId="433" priority="822" operator="notEqual">
      <formula>75</formula>
    </cfRule>
    <cfRule type="cellIs" dxfId="432" priority="823" operator="notEqual">
      <formula>75</formula>
    </cfRule>
    <cfRule type="cellIs" dxfId="431" priority="824" operator="notEqual">
      <formula>75</formula>
    </cfRule>
    <cfRule type="cellIs" dxfId="430" priority="825" operator="notEqual">
      <formula>75</formula>
    </cfRule>
    <cfRule type="cellIs" dxfId="429" priority="826" operator="notEqual">
      <formula>75</formula>
    </cfRule>
    <cfRule type="cellIs" dxfId="428" priority="827" operator="notEqual">
      <formula>75</formula>
    </cfRule>
    <cfRule type="cellIs" dxfId="427" priority="828" operator="notEqual">
      <formula>75</formula>
    </cfRule>
    <cfRule type="cellIs" dxfId="426" priority="829" operator="notEqual">
      <formula>75</formula>
    </cfRule>
    <cfRule type="cellIs" dxfId="425" priority="830" operator="notEqual">
      <formula>75</formula>
    </cfRule>
    <cfRule type="cellIs" dxfId="424" priority="831" operator="notEqual">
      <formula>75</formula>
    </cfRule>
    <cfRule type="cellIs" dxfId="423" priority="832" operator="notEqual">
      <formula>75</formula>
    </cfRule>
    <cfRule type="cellIs" dxfId="422" priority="833" operator="notEqual">
      <formula>75</formula>
    </cfRule>
    <cfRule type="cellIs" dxfId="421" priority="834" operator="notEqual">
      <formula>75</formula>
    </cfRule>
    <cfRule type="cellIs" dxfId="420" priority="835" operator="notEqual">
      <formula>75</formula>
    </cfRule>
    <cfRule type="cellIs" dxfId="419" priority="836" operator="notEqual">
      <formula>75</formula>
    </cfRule>
    <cfRule type="cellIs" dxfId="418" priority="837" operator="notEqual">
      <formula>75</formula>
    </cfRule>
    <cfRule type="cellIs" dxfId="417" priority="838" operator="notEqual">
      <formula>75</formula>
    </cfRule>
    <cfRule type="cellIs" dxfId="416" priority="839" operator="notEqual">
      <formula>75</formula>
    </cfRule>
    <cfRule type="cellIs" dxfId="415" priority="840" operator="notEqual">
      <formula>75</formula>
    </cfRule>
    <cfRule type="cellIs" dxfId="414" priority="841" operator="notEqual">
      <formula>75</formula>
    </cfRule>
    <cfRule type="cellIs" dxfId="413" priority="842" operator="notEqual">
      <formula>75</formula>
    </cfRule>
    <cfRule type="cellIs" dxfId="412" priority="843" operator="notEqual">
      <formula>75</formula>
    </cfRule>
    <cfRule type="cellIs" dxfId="411" priority="844" operator="notEqual">
      <formula>75</formula>
    </cfRule>
    <cfRule type="cellIs" dxfId="410" priority="845" operator="notEqual">
      <formula>75</formula>
    </cfRule>
    <cfRule type="cellIs" dxfId="409" priority="846" operator="notEqual">
      <formula>75</formula>
    </cfRule>
    <cfRule type="cellIs" dxfId="408" priority="847" operator="notEqual">
      <formula>75</formula>
    </cfRule>
    <cfRule type="cellIs" dxfId="407" priority="848" operator="notEqual">
      <formula>75</formula>
    </cfRule>
    <cfRule type="cellIs" dxfId="406" priority="849" operator="notEqual">
      <formula>75</formula>
    </cfRule>
  </conditionalFormatting>
  <conditionalFormatting sqref="C66:E66">
    <cfRule type="cellIs" dxfId="405" priority="701" operator="notEqual">
      <formula>75</formula>
    </cfRule>
    <cfRule type="cellIs" dxfId="404" priority="702" operator="notEqual">
      <formula>75</formula>
    </cfRule>
    <cfRule type="cellIs" dxfId="403" priority="703" operator="notEqual">
      <formula>75</formula>
    </cfRule>
    <cfRule type="cellIs" dxfId="402" priority="704" operator="notEqual">
      <formula>75</formula>
    </cfRule>
    <cfRule type="cellIs" dxfId="401" priority="705" operator="notEqual">
      <formula>75</formula>
    </cfRule>
    <cfRule type="cellIs" dxfId="400" priority="706" operator="notEqual">
      <formula>75</formula>
    </cfRule>
    <cfRule type="cellIs" dxfId="399" priority="707" operator="notEqual">
      <formula>75</formula>
    </cfRule>
    <cfRule type="cellIs" dxfId="398" priority="708" operator="notEqual">
      <formula>75</formula>
    </cfRule>
    <cfRule type="cellIs" dxfId="397" priority="709" operator="notEqual">
      <formula>75</formula>
    </cfRule>
    <cfRule type="cellIs" dxfId="396" priority="710" operator="notEqual">
      <formula>75</formula>
    </cfRule>
    <cfRule type="cellIs" dxfId="395" priority="745" operator="notEqual">
      <formula>76</formula>
    </cfRule>
    <cfRule type="cellIs" dxfId="394" priority="746" operator="notEqual">
      <formula>76</formula>
    </cfRule>
    <cfRule type="cellIs" dxfId="393" priority="749" operator="notEqual">
      <formula>75</formula>
    </cfRule>
    <cfRule type="cellIs" dxfId="392" priority="750" operator="notEqual">
      <formula>75</formula>
    </cfRule>
    <cfRule type="cellIs" dxfId="391" priority="751" operator="notEqual">
      <formula>75</formula>
    </cfRule>
    <cfRule type="cellIs" dxfId="390" priority="752" operator="notEqual">
      <formula>75</formula>
    </cfRule>
    <cfRule type="cellIs" dxfId="389" priority="753" operator="notEqual">
      <formula>75</formula>
    </cfRule>
    <cfRule type="cellIs" dxfId="388" priority="754" operator="notEqual">
      <formula>75</formula>
    </cfRule>
    <cfRule type="cellIs" dxfId="387" priority="755" operator="notEqual">
      <formula>75</formula>
    </cfRule>
    <cfRule type="cellIs" dxfId="386" priority="756" operator="notEqual">
      <formula>75</formula>
    </cfRule>
    <cfRule type="cellIs" dxfId="385" priority="757" operator="notEqual">
      <formula>75</formula>
    </cfRule>
    <cfRule type="cellIs" dxfId="384" priority="758" operator="notEqual">
      <formula>75</formula>
    </cfRule>
    <cfRule type="cellIs" dxfId="383" priority="793" operator="notEqual">
      <formula>76</formula>
    </cfRule>
    <cfRule type="cellIs" dxfId="382" priority="796" operator="notEqual">
      <formula>75</formula>
    </cfRule>
    <cfRule type="cellIs" dxfId="381" priority="797" operator="notEqual">
      <formula>75</formula>
    </cfRule>
    <cfRule type="cellIs" dxfId="380" priority="798" operator="notEqual">
      <formula>75</formula>
    </cfRule>
    <cfRule type="cellIs" dxfId="379" priority="799" operator="notEqual">
      <formula>75</formula>
    </cfRule>
    <cfRule type="cellIs" dxfId="378" priority="800" operator="notEqual">
      <formula>75</formula>
    </cfRule>
    <cfRule type="cellIs" dxfId="377" priority="801" operator="notEqual">
      <formula>75</formula>
    </cfRule>
    <cfRule type="cellIs" dxfId="376" priority="802" operator="notEqual">
      <formula>75</formula>
    </cfRule>
    <cfRule type="cellIs" dxfId="375" priority="803" operator="notEqual">
      <formula>75</formula>
    </cfRule>
    <cfRule type="cellIs" dxfId="374" priority="804" operator="notEqual">
      <formula>75</formula>
    </cfRule>
    <cfRule type="cellIs" dxfId="373" priority="805" operator="notEqual">
      <formula>75</formula>
    </cfRule>
  </conditionalFormatting>
  <conditionalFormatting sqref="D66:E66">
    <cfRule type="cellIs" dxfId="372" priority="365" operator="notEqual">
      <formula>75</formula>
    </cfRule>
    <cfRule type="cellIs" dxfId="371" priority="366" operator="notEqual">
      <formula>75</formula>
    </cfRule>
    <cfRule type="cellIs" dxfId="370" priority="367" operator="notEqual">
      <formula>75</formula>
    </cfRule>
    <cfRule type="cellIs" dxfId="369" priority="368" operator="notEqual">
      <formula>75</formula>
    </cfRule>
    <cfRule type="cellIs" dxfId="368" priority="369" operator="notEqual">
      <formula>75</formula>
    </cfRule>
    <cfRule type="cellIs" dxfId="367" priority="370" operator="notEqual">
      <formula>75</formula>
    </cfRule>
    <cfRule type="cellIs" dxfId="366" priority="371" operator="notEqual">
      <formula>75</formula>
    </cfRule>
    <cfRule type="cellIs" dxfId="365" priority="372" operator="notEqual">
      <formula>75</formula>
    </cfRule>
    <cfRule type="cellIs" dxfId="364" priority="373" operator="notEqual">
      <formula>75</formula>
    </cfRule>
    <cfRule type="cellIs" dxfId="363" priority="374" operator="notEqual">
      <formula>75</formula>
    </cfRule>
    <cfRule type="cellIs" dxfId="362" priority="375" operator="notEqual">
      <formula>75</formula>
    </cfRule>
    <cfRule type="cellIs" dxfId="361" priority="376" operator="notEqual">
      <formula>75</formula>
    </cfRule>
    <cfRule type="cellIs" dxfId="360" priority="377" operator="notEqual">
      <formula>75</formula>
    </cfRule>
    <cfRule type="cellIs" dxfId="359" priority="378" operator="notEqual">
      <formula>75</formula>
    </cfRule>
    <cfRule type="cellIs" dxfId="358" priority="379" operator="notEqual">
      <formula>75</formula>
    </cfRule>
    <cfRule type="cellIs" dxfId="357" priority="380" operator="notEqual">
      <formula>75</formula>
    </cfRule>
    <cfRule type="cellIs" dxfId="356" priority="381" operator="notEqual">
      <formula>75</formula>
    </cfRule>
    <cfRule type="cellIs" dxfId="355" priority="382" operator="notEqual">
      <formula>75</formula>
    </cfRule>
    <cfRule type="cellIs" dxfId="354" priority="383" operator="notEqual">
      <formula>75</formula>
    </cfRule>
    <cfRule type="cellIs" dxfId="353" priority="384" operator="notEqual">
      <formula>75</formula>
    </cfRule>
    <cfRule type="cellIs" dxfId="352" priority="385" operator="notEqual">
      <formula>75</formula>
    </cfRule>
    <cfRule type="cellIs" dxfId="351" priority="386" operator="notEqual">
      <formula>75</formula>
    </cfRule>
    <cfRule type="cellIs" dxfId="350" priority="387" operator="notEqual">
      <formula>75</formula>
    </cfRule>
    <cfRule type="cellIs" dxfId="349" priority="388" operator="notEqual">
      <formula>75</formula>
    </cfRule>
    <cfRule type="cellIs" dxfId="348" priority="389" operator="notEqual">
      <formula>75</formula>
    </cfRule>
    <cfRule type="cellIs" dxfId="347" priority="390" operator="notEqual">
      <formula>75</formula>
    </cfRule>
    <cfRule type="cellIs" dxfId="346" priority="391" operator="notEqual">
      <formula>75</formula>
    </cfRule>
    <cfRule type="cellIs" dxfId="345" priority="392" operator="notEqual">
      <formula>75</formula>
    </cfRule>
    <cfRule type="cellIs" dxfId="344" priority="393" operator="notEqual">
      <formula>75</formula>
    </cfRule>
    <cfRule type="cellIs" dxfId="343" priority="394" operator="notEqual">
      <formula>75</formula>
    </cfRule>
    <cfRule type="cellIs" dxfId="342" priority="395" operator="notEqual">
      <formula>75</formula>
    </cfRule>
    <cfRule type="cellIs" dxfId="341" priority="396" operator="notEqual">
      <formula>75</formula>
    </cfRule>
    <cfRule type="cellIs" dxfId="340" priority="397" operator="notEqual">
      <formula>75</formula>
    </cfRule>
    <cfRule type="cellIs" dxfId="339" priority="398" operator="notEqual">
      <formula>75</formula>
    </cfRule>
    <cfRule type="cellIs" dxfId="338" priority="399" operator="notEqual">
      <formula>75</formula>
    </cfRule>
    <cfRule type="cellIs" dxfId="337" priority="400" operator="notEqual">
      <formula>75</formula>
    </cfRule>
    <cfRule type="cellIs" dxfId="336" priority="401" operator="notEqual">
      <formula>75</formula>
    </cfRule>
    <cfRule type="cellIs" dxfId="335" priority="402" operator="notEqual">
      <formula>75</formula>
    </cfRule>
    <cfRule type="cellIs" dxfId="334" priority="403" operator="notEqual">
      <formula>75</formula>
    </cfRule>
    <cfRule type="cellIs" dxfId="333" priority="404" operator="notEqual">
      <formula>75</formula>
    </cfRule>
    <cfRule type="cellIs" dxfId="332" priority="405" operator="notEqual">
      <formula>75</formula>
    </cfRule>
    <cfRule type="cellIs" dxfId="331" priority="406" operator="notEqual">
      <formula>75</formula>
    </cfRule>
    <cfRule type="cellIs" dxfId="330" priority="407" operator="notEqual">
      <formula>75</formula>
    </cfRule>
    <cfRule type="cellIs" dxfId="329" priority="408" operator="notEqual">
      <formula>75</formula>
    </cfRule>
    <cfRule type="cellIs" dxfId="328" priority="409" operator="notEqual">
      <formula>75</formula>
    </cfRule>
    <cfRule type="cellIs" dxfId="327" priority="410" operator="notEqual">
      <formula>75</formula>
    </cfRule>
    <cfRule type="cellIs" dxfId="326" priority="411" operator="notEqual">
      <formula>75</formula>
    </cfRule>
    <cfRule type="cellIs" dxfId="325" priority="412" operator="notEqual">
      <formula>75</formula>
    </cfRule>
    <cfRule type="cellIs" dxfId="324" priority="413" operator="notEqual">
      <formula>75</formula>
    </cfRule>
    <cfRule type="cellIs" dxfId="323" priority="414" operator="notEqual">
      <formula>75</formula>
    </cfRule>
    <cfRule type="cellIs" dxfId="322" priority="415" operator="notEqual">
      <formula>75</formula>
    </cfRule>
    <cfRule type="cellIs" dxfId="321" priority="416" operator="notEqual">
      <formula>75</formula>
    </cfRule>
    <cfRule type="cellIs" dxfId="320" priority="417" operator="notEqual">
      <formula>75</formula>
    </cfRule>
    <cfRule type="cellIs" dxfId="319" priority="418" operator="notEqual">
      <formula>75</formula>
    </cfRule>
    <cfRule type="cellIs" dxfId="318" priority="419" operator="notEqual">
      <formula>75</formula>
    </cfRule>
    <cfRule type="cellIs" dxfId="317" priority="420" operator="notEqual">
      <formula>76</formula>
    </cfRule>
    <cfRule type="cellIs" dxfId="316" priority="421" operator="notEqual">
      <formula>76</formula>
    </cfRule>
    <cfRule type="cellIs" dxfId="315" priority="422" operator="notEqual">
      <formula>76</formula>
    </cfRule>
    <cfRule type="cellIs" dxfId="314" priority="423" operator="notEqual">
      <formula>75</formula>
    </cfRule>
    <cfRule type="cellIs" dxfId="313" priority="424" operator="notEqual">
      <formula>75</formula>
    </cfRule>
    <cfRule type="cellIs" dxfId="312" priority="425" operator="notEqual">
      <formula>75</formula>
    </cfRule>
    <cfRule type="cellIs" dxfId="311" priority="426" operator="notEqual">
      <formula>75</formula>
    </cfRule>
    <cfRule type="cellIs" dxfId="310" priority="427" operator="notEqual">
      <formula>75</formula>
    </cfRule>
    <cfRule type="cellIs" dxfId="309" priority="428" operator="notEqual">
      <formula>75</formula>
    </cfRule>
    <cfRule type="cellIs" dxfId="308" priority="429" operator="notEqual">
      <formula>75</formula>
    </cfRule>
    <cfRule type="cellIs" dxfId="307" priority="430" operator="notEqual">
      <formula>75</formula>
    </cfRule>
    <cfRule type="cellIs" dxfId="306" priority="431" operator="notEqual">
      <formula>75</formula>
    </cfRule>
    <cfRule type="cellIs" dxfId="305" priority="432" operator="notEqual">
      <formula>75</formula>
    </cfRule>
    <cfRule type="cellIs" dxfId="304" priority="433" operator="notEqual">
      <formula>75</formula>
    </cfRule>
    <cfRule type="cellIs" dxfId="303" priority="434" operator="notEqual">
      <formula>75</formula>
    </cfRule>
    <cfRule type="cellIs" dxfId="302" priority="435" operator="notEqual">
      <formula>75</formula>
    </cfRule>
    <cfRule type="cellIs" dxfId="301" priority="436" operator="notEqual">
      <formula>75</formula>
    </cfRule>
    <cfRule type="cellIs" dxfId="300" priority="437" operator="notEqual">
      <formula>75</formula>
    </cfRule>
    <cfRule type="cellIs" dxfId="299" priority="438" operator="notEqual">
      <formula>75</formula>
    </cfRule>
    <cfRule type="cellIs" dxfId="298" priority="439" operator="notEqual">
      <formula>75</formula>
    </cfRule>
    <cfRule type="cellIs" dxfId="297" priority="440" operator="notEqual">
      <formula>75</formula>
    </cfRule>
    <cfRule type="cellIs" dxfId="296" priority="441" operator="notEqual">
      <formula>75</formula>
    </cfRule>
    <cfRule type="cellIs" dxfId="295" priority="442" operator="notEqual">
      <formula>75</formula>
    </cfRule>
    <cfRule type="cellIs" dxfId="294" priority="443" operator="notEqual">
      <formula>75</formula>
    </cfRule>
    <cfRule type="cellIs" dxfId="293" priority="444" operator="notEqual">
      <formula>75</formula>
    </cfRule>
    <cfRule type="cellIs" dxfId="292" priority="445" operator="notEqual">
      <formula>75</formula>
    </cfRule>
    <cfRule type="cellIs" dxfId="291" priority="446" operator="notEqual">
      <formula>75</formula>
    </cfRule>
    <cfRule type="cellIs" dxfId="290" priority="447" operator="notEqual">
      <formula>75</formula>
    </cfRule>
    <cfRule type="cellIs" dxfId="289" priority="448" operator="notEqual">
      <formula>75</formula>
    </cfRule>
    <cfRule type="cellIs" dxfId="288" priority="449" operator="notEqual">
      <formula>75</formula>
    </cfRule>
    <cfRule type="cellIs" dxfId="287" priority="450" operator="notEqual">
      <formula>75</formula>
    </cfRule>
    <cfRule type="cellIs" dxfId="286" priority="451" operator="notEqual">
      <formula>75</formula>
    </cfRule>
    <cfRule type="cellIs" dxfId="285" priority="452" operator="notEqual">
      <formula>75</formula>
    </cfRule>
    <cfRule type="cellIs" dxfId="284" priority="453" operator="notEqual">
      <formula>75</formula>
    </cfRule>
    <cfRule type="cellIs" dxfId="283" priority="454" operator="notEqual">
      <formula>75</formula>
    </cfRule>
    <cfRule type="cellIs" dxfId="282" priority="455" operator="notEqual">
      <formula>75</formula>
    </cfRule>
    <cfRule type="cellIs" dxfId="281" priority="456" operator="notEqual">
      <formula>75</formula>
    </cfRule>
    <cfRule type="cellIs" dxfId="280" priority="457" operator="notEqual">
      <formula>75</formula>
    </cfRule>
    <cfRule type="cellIs" dxfId="279" priority="458" operator="notEqual">
      <formula>75</formula>
    </cfRule>
    <cfRule type="cellIs" dxfId="278" priority="459" operator="notEqual">
      <formula>75</formula>
    </cfRule>
    <cfRule type="cellIs" dxfId="277" priority="460" operator="notEqual">
      <formula>75</formula>
    </cfRule>
    <cfRule type="cellIs" dxfId="276" priority="461" operator="notEqual">
      <formula>75</formula>
    </cfRule>
    <cfRule type="cellIs" dxfId="275" priority="462" operator="notEqual">
      <formula>75</formula>
    </cfRule>
    <cfRule type="cellIs" dxfId="274" priority="463" operator="notEqual">
      <formula>75</formula>
    </cfRule>
    <cfRule type="cellIs" dxfId="273" priority="464" operator="notEqual">
      <formula>75</formula>
    </cfRule>
    <cfRule type="cellIs" dxfId="272" priority="465" operator="notEqual">
      <formula>75</formula>
    </cfRule>
    <cfRule type="cellIs" dxfId="271" priority="466" operator="notEqual">
      <formula>75</formula>
    </cfRule>
    <cfRule type="cellIs" dxfId="270" priority="467" operator="notEqual">
      <formula>75</formula>
    </cfRule>
    <cfRule type="cellIs" dxfId="269" priority="468" operator="notEqual">
      <formula>76</formula>
    </cfRule>
    <cfRule type="cellIs" dxfId="268" priority="469" operator="notEqual">
      <formula>76</formula>
    </cfRule>
    <cfRule type="cellIs" dxfId="267" priority="470" operator="notEqual">
      <formula>75</formula>
    </cfRule>
    <cfRule type="cellIs" dxfId="266" priority="471" operator="notEqual">
      <formula>75</formula>
    </cfRule>
    <cfRule type="cellIs" dxfId="265" priority="472" operator="notEqual">
      <formula>75</formula>
    </cfRule>
    <cfRule type="cellIs" dxfId="264" priority="473" operator="notEqual">
      <formula>75</formula>
    </cfRule>
    <cfRule type="cellIs" dxfId="263" priority="474" operator="notEqual">
      <formula>75</formula>
    </cfRule>
    <cfRule type="cellIs" dxfId="262" priority="475" operator="notEqual">
      <formula>75</formula>
    </cfRule>
    <cfRule type="cellIs" dxfId="261" priority="476" operator="notEqual">
      <formula>75</formula>
    </cfRule>
    <cfRule type="cellIs" dxfId="260" priority="477" operator="notEqual">
      <formula>75</formula>
    </cfRule>
    <cfRule type="cellIs" dxfId="259" priority="478" operator="notEqual">
      <formula>75</formula>
    </cfRule>
    <cfRule type="cellIs" dxfId="258" priority="479" operator="notEqual">
      <formula>75</formula>
    </cfRule>
    <cfRule type="cellIs" dxfId="257" priority="480" operator="notEqual">
      <formula>75</formula>
    </cfRule>
    <cfRule type="cellIs" dxfId="256" priority="481" operator="notEqual">
      <formula>75</formula>
    </cfRule>
    <cfRule type="cellIs" dxfId="255" priority="482" operator="notEqual">
      <formula>75</formula>
    </cfRule>
    <cfRule type="cellIs" dxfId="254" priority="483" operator="notEqual">
      <formula>75</formula>
    </cfRule>
    <cfRule type="cellIs" dxfId="253" priority="484" operator="notEqual">
      <formula>75</formula>
    </cfRule>
    <cfRule type="cellIs" dxfId="252" priority="485" operator="notEqual">
      <formula>75</formula>
    </cfRule>
    <cfRule type="cellIs" dxfId="251" priority="486" operator="notEqual">
      <formula>75</formula>
    </cfRule>
    <cfRule type="cellIs" dxfId="250" priority="487" operator="notEqual">
      <formula>75</formula>
    </cfRule>
    <cfRule type="cellIs" dxfId="249" priority="488" operator="notEqual">
      <formula>75</formula>
    </cfRule>
    <cfRule type="cellIs" dxfId="248" priority="489" operator="notEqual">
      <formula>75</formula>
    </cfRule>
    <cfRule type="cellIs" dxfId="247" priority="490" operator="notEqual">
      <formula>75</formula>
    </cfRule>
    <cfRule type="cellIs" dxfId="246" priority="491" operator="notEqual">
      <formula>75</formula>
    </cfRule>
    <cfRule type="cellIs" dxfId="245" priority="492" operator="notEqual">
      <formula>75</formula>
    </cfRule>
    <cfRule type="cellIs" dxfId="244" priority="493" operator="notEqual">
      <formula>75</formula>
    </cfRule>
    <cfRule type="cellIs" dxfId="243" priority="494" operator="notEqual">
      <formula>75</formula>
    </cfRule>
    <cfRule type="cellIs" dxfId="242" priority="495" operator="notEqual">
      <formula>75</formula>
    </cfRule>
    <cfRule type="cellIs" dxfId="241" priority="496" operator="notEqual">
      <formula>75</formula>
    </cfRule>
    <cfRule type="cellIs" dxfId="240" priority="497" operator="notEqual">
      <formula>75</formula>
    </cfRule>
    <cfRule type="cellIs" dxfId="239" priority="498" operator="notEqual">
      <formula>75</formula>
    </cfRule>
    <cfRule type="cellIs" dxfId="238" priority="499" operator="notEqual">
      <formula>75</formula>
    </cfRule>
    <cfRule type="cellIs" dxfId="237" priority="500" operator="notEqual">
      <formula>75</formula>
    </cfRule>
    <cfRule type="cellIs" dxfId="236" priority="501" operator="notEqual">
      <formula>75</formula>
    </cfRule>
    <cfRule type="cellIs" dxfId="235" priority="502" operator="notEqual">
      <formula>75</formula>
    </cfRule>
    <cfRule type="cellIs" dxfId="234" priority="503" operator="notEqual">
      <formula>75</formula>
    </cfRule>
    <cfRule type="cellIs" dxfId="233" priority="504" operator="notEqual">
      <formula>75</formula>
    </cfRule>
    <cfRule type="cellIs" dxfId="232" priority="505" operator="notEqual">
      <formula>75</formula>
    </cfRule>
    <cfRule type="cellIs" dxfId="231" priority="506" operator="notEqual">
      <formula>75</formula>
    </cfRule>
    <cfRule type="cellIs" dxfId="230" priority="507" operator="notEqual">
      <formula>75</formula>
    </cfRule>
    <cfRule type="cellIs" dxfId="229" priority="508" operator="notEqual">
      <formula>75</formula>
    </cfRule>
    <cfRule type="cellIs" dxfId="228" priority="509" operator="notEqual">
      <formula>75</formula>
    </cfRule>
    <cfRule type="cellIs" dxfId="227" priority="510" operator="notEqual">
      <formula>75</formula>
    </cfRule>
    <cfRule type="cellIs" dxfId="226" priority="511" operator="notEqual">
      <formula>75</formula>
    </cfRule>
    <cfRule type="cellIs" dxfId="225" priority="512" operator="notEqual">
      <formula>75</formula>
    </cfRule>
    <cfRule type="cellIs" dxfId="224" priority="513" operator="notEqual">
      <formula>75</formula>
    </cfRule>
    <cfRule type="cellIs" dxfId="223" priority="514" operator="notEqual">
      <formula>75</formula>
    </cfRule>
    <cfRule type="cellIs" dxfId="222" priority="515" operator="notEqual">
      <formula>75</formula>
    </cfRule>
    <cfRule type="cellIs" dxfId="221" priority="516" operator="notEqual">
      <formula>75</formula>
    </cfRule>
    <cfRule type="cellIs" dxfId="220" priority="517" operator="notEqual">
      <formula>75</formula>
    </cfRule>
    <cfRule type="cellIs" dxfId="219" priority="518" operator="notEqual">
      <formula>75</formula>
    </cfRule>
    <cfRule type="cellIs" dxfId="218" priority="519" operator="notEqual">
      <formula>75</formula>
    </cfRule>
    <cfRule type="cellIs" dxfId="217" priority="520" operator="notEqual">
      <formula>75</formula>
    </cfRule>
    <cfRule type="cellIs" dxfId="216" priority="521" operator="notEqual">
      <formula>75</formula>
    </cfRule>
    <cfRule type="cellIs" dxfId="215" priority="522" operator="notEqual">
      <formula>75</formula>
    </cfRule>
    <cfRule type="cellIs" dxfId="214" priority="523" operator="notEqual">
      <formula>75</formula>
    </cfRule>
    <cfRule type="cellIs" dxfId="213" priority="524" operator="notEqual">
      <formula>75</formula>
    </cfRule>
    <cfRule type="cellIs" dxfId="212" priority="525" operator="notEqual">
      <formula>76</formula>
    </cfRule>
    <cfRule type="cellIs" dxfId="211" priority="528" operator="notEqual">
      <formula>76</formula>
    </cfRule>
  </conditionalFormatting>
  <conditionalFormatting sqref="E66">
    <cfRule type="cellIs" dxfId="210" priority="526" operator="notEqual">
      <formula>76</formula>
    </cfRule>
    <cfRule type="cellIs" dxfId="209" priority="527" operator="notEqual">
      <formula>76</formula>
    </cfRule>
  </conditionalFormatting>
  <conditionalFormatting sqref="C119 C155:D155">
    <cfRule type="cellIs" dxfId="208" priority="250" operator="notEqual">
      <formula>76</formula>
    </cfRule>
    <cfRule type="cellIs" dxfId="207" priority="251" operator="notEqual">
      <formula>75</formula>
    </cfRule>
    <cfRule type="cellIs" dxfId="206" priority="252" operator="notEqual">
      <formula>75</formula>
    </cfRule>
    <cfRule type="cellIs" dxfId="205" priority="253" operator="notEqual">
      <formula>75</formula>
    </cfRule>
    <cfRule type="cellIs" dxfId="204" priority="254" operator="notEqual">
      <formula>75</formula>
    </cfRule>
    <cfRule type="cellIs" dxfId="203" priority="255" operator="notEqual">
      <formula>75</formula>
    </cfRule>
    <cfRule type="cellIs" dxfId="202" priority="256" operator="notEqual">
      <formula>75</formula>
    </cfRule>
    <cfRule type="cellIs" dxfId="201" priority="257" operator="notEqual">
      <formula>75</formula>
    </cfRule>
    <cfRule type="cellIs" dxfId="200" priority="258" operator="notEqual">
      <formula>75</formula>
    </cfRule>
    <cfRule type="cellIs" dxfId="199" priority="259" operator="notEqual">
      <formula>75</formula>
    </cfRule>
    <cfRule type="cellIs" dxfId="198" priority="260" operator="notEqual">
      <formula>75</formula>
    </cfRule>
    <cfRule type="cellIs" dxfId="197" priority="261" operator="notEqual">
      <formula>75</formula>
    </cfRule>
    <cfRule type="cellIs" dxfId="196" priority="262" operator="notEqual">
      <formula>75</formula>
    </cfRule>
    <cfRule type="cellIs" dxfId="195" priority="263" operator="notEqual">
      <formula>75</formula>
    </cfRule>
    <cfRule type="cellIs" dxfId="194" priority="264" operator="notEqual">
      <formula>75</formula>
    </cfRule>
    <cfRule type="cellIs" dxfId="193" priority="265" operator="notEqual">
      <formula>75</formula>
    </cfRule>
    <cfRule type="cellIs" dxfId="192" priority="266" operator="notEqual">
      <formula>75</formula>
    </cfRule>
    <cfRule type="cellIs" dxfId="191" priority="267" operator="notEqual">
      <formula>75</formula>
    </cfRule>
    <cfRule type="cellIs" dxfId="190" priority="268" operator="notEqual">
      <formula>75</formula>
    </cfRule>
    <cfRule type="cellIs" dxfId="189" priority="269" operator="notEqual">
      <formula>75</formula>
    </cfRule>
    <cfRule type="cellIs" dxfId="188" priority="270" operator="notEqual">
      <formula>75</formula>
    </cfRule>
    <cfRule type="cellIs" dxfId="187" priority="271" operator="notEqual">
      <formula>75</formula>
    </cfRule>
    <cfRule type="cellIs" dxfId="186" priority="272" operator="notEqual">
      <formula>75</formula>
    </cfRule>
    <cfRule type="cellIs" dxfId="185" priority="273" operator="notEqual">
      <formula>75</formula>
    </cfRule>
    <cfRule type="cellIs" dxfId="184" priority="274" operator="notEqual">
      <formula>75</formula>
    </cfRule>
    <cfRule type="cellIs" dxfId="183" priority="275" operator="notEqual">
      <formula>75</formula>
    </cfRule>
    <cfRule type="cellIs" dxfId="182" priority="276" operator="notEqual">
      <formula>75</formula>
    </cfRule>
    <cfRule type="cellIs" dxfId="181" priority="277" operator="notEqual">
      <formula>75</formula>
    </cfRule>
    <cfRule type="cellIs" dxfId="180" priority="278" operator="notEqual">
      <formula>75</formula>
    </cfRule>
    <cfRule type="cellIs" dxfId="179" priority="279" operator="notEqual">
      <formula>75</formula>
    </cfRule>
    <cfRule type="cellIs" dxfId="178" priority="280" operator="notEqual">
      <formula>75</formula>
    </cfRule>
    <cfRule type="cellIs" dxfId="177" priority="281" operator="notEqual">
      <formula>75</formula>
    </cfRule>
    <cfRule type="cellIs" dxfId="176" priority="282" operator="notEqual">
      <formula>75</formula>
    </cfRule>
    <cfRule type="cellIs" dxfId="175" priority="283" operator="notEqual">
      <formula>75</formula>
    </cfRule>
    <cfRule type="cellIs" dxfId="174" priority="284" operator="notEqual">
      <formula>75</formula>
    </cfRule>
    <cfRule type="cellIs" dxfId="173" priority="285" operator="notEqual">
      <formula>75</formula>
    </cfRule>
    <cfRule type="cellIs" dxfId="172" priority="286" operator="notEqual">
      <formula>75</formula>
    </cfRule>
    <cfRule type="cellIs" dxfId="171" priority="287" operator="notEqual">
      <formula>75</formula>
    </cfRule>
    <cfRule type="cellIs" dxfId="170" priority="288" operator="notEqual">
      <formula>75</formula>
    </cfRule>
    <cfRule type="cellIs" dxfId="169" priority="289" operator="notEqual">
      <formula>75</formula>
    </cfRule>
    <cfRule type="cellIs" dxfId="168" priority="290" operator="notEqual">
      <formula>75</formula>
    </cfRule>
    <cfRule type="cellIs" dxfId="167" priority="291" operator="notEqual">
      <formula>75</formula>
    </cfRule>
    <cfRule type="cellIs" dxfId="166" priority="292" operator="notEqual">
      <formula>75</formula>
    </cfRule>
    <cfRule type="cellIs" dxfId="165" priority="293" operator="notEqual">
      <formula>75</formula>
    </cfRule>
    <cfRule type="cellIs" dxfId="164" priority="294" operator="notEqual">
      <formula>75</formula>
    </cfRule>
    <cfRule type="cellIs" dxfId="163" priority="295" operator="notEqual">
      <formula>75</formula>
    </cfRule>
    <cfRule type="cellIs" dxfId="162" priority="296" operator="notEqual">
      <formula>75</formula>
    </cfRule>
    <cfRule type="cellIs" dxfId="161" priority="297" operator="notEqual">
      <formula>75</formula>
    </cfRule>
    <cfRule type="cellIs" dxfId="160" priority="298" operator="notEqual">
      <formula>75</formula>
    </cfRule>
    <cfRule type="cellIs" dxfId="159" priority="299" operator="notEqual">
      <formula>75</formula>
    </cfRule>
    <cfRule type="cellIs" dxfId="158" priority="300" operator="notEqual">
      <formula>75</formula>
    </cfRule>
    <cfRule type="cellIs" dxfId="157" priority="301" operator="notEqual">
      <formula>75</formula>
    </cfRule>
    <cfRule type="cellIs" dxfId="156" priority="302" operator="notEqual">
      <formula>75</formula>
    </cfRule>
    <cfRule type="cellIs" dxfId="155" priority="303" operator="notEqual">
      <formula>75</formula>
    </cfRule>
    <cfRule type="cellIs" dxfId="154" priority="304" operator="notEqual">
      <formula>75</formula>
    </cfRule>
    <cfRule type="cellIs" dxfId="153" priority="305" operator="notEqual">
      <formula>75</formula>
    </cfRule>
    <cfRule type="cellIs" dxfId="152" priority="306" operator="notEqual">
      <formula>76</formula>
    </cfRule>
    <cfRule type="cellIs" dxfId="151" priority="307" operator="notEqual">
      <formula>76</formula>
    </cfRule>
    <cfRule type="cellIs" dxfId="150" priority="308" operator="notEqual">
      <formula>76</formula>
    </cfRule>
    <cfRule type="cellIs" dxfId="149" priority="309" operator="notEqual">
      <formula>75</formula>
    </cfRule>
    <cfRule type="cellIs" dxfId="148" priority="310" operator="notEqual">
      <formula>75</formula>
    </cfRule>
    <cfRule type="cellIs" dxfId="147" priority="311" operator="notEqual">
      <formula>75</formula>
    </cfRule>
    <cfRule type="cellIs" dxfId="146" priority="312" operator="notEqual">
      <formula>75</formula>
    </cfRule>
    <cfRule type="cellIs" dxfId="145" priority="313" operator="notEqual">
      <formula>75</formula>
    </cfRule>
    <cfRule type="cellIs" dxfId="144" priority="314" operator="notEqual">
      <formula>75</formula>
    </cfRule>
    <cfRule type="cellIs" dxfId="143" priority="315" operator="notEqual">
      <formula>75</formula>
    </cfRule>
    <cfRule type="cellIs" dxfId="142" priority="316" operator="notEqual">
      <formula>75</formula>
    </cfRule>
    <cfRule type="cellIs" dxfId="141" priority="317" operator="notEqual">
      <formula>75</formula>
    </cfRule>
    <cfRule type="cellIs" dxfId="140" priority="318" operator="notEqual">
      <formula>75</formula>
    </cfRule>
    <cfRule type="cellIs" dxfId="139" priority="319" operator="notEqual">
      <formula>75</formula>
    </cfRule>
    <cfRule type="cellIs" dxfId="138" priority="320" operator="notEqual">
      <formula>75</formula>
    </cfRule>
    <cfRule type="cellIs" dxfId="137" priority="321" operator="notEqual">
      <formula>75</formula>
    </cfRule>
    <cfRule type="cellIs" dxfId="136" priority="322" operator="notEqual">
      <formula>75</formula>
    </cfRule>
    <cfRule type="cellIs" dxfId="135" priority="323" operator="notEqual">
      <formula>75</formula>
    </cfRule>
    <cfRule type="cellIs" dxfId="134" priority="324" operator="notEqual">
      <formula>75</formula>
    </cfRule>
    <cfRule type="cellIs" dxfId="133" priority="325" operator="notEqual">
      <formula>75</formula>
    </cfRule>
    <cfRule type="cellIs" dxfId="132" priority="326" operator="notEqual">
      <formula>75</formula>
    </cfRule>
    <cfRule type="cellIs" dxfId="131" priority="327" operator="notEqual">
      <formula>75</formula>
    </cfRule>
    <cfRule type="cellIs" dxfId="130" priority="328" operator="notEqual">
      <formula>75</formula>
    </cfRule>
    <cfRule type="cellIs" dxfId="129" priority="329" operator="notEqual">
      <formula>75</formula>
    </cfRule>
    <cfRule type="cellIs" dxfId="128" priority="330" operator="notEqual">
      <formula>75</formula>
    </cfRule>
    <cfRule type="cellIs" dxfId="127" priority="331" operator="notEqual">
      <formula>75</formula>
    </cfRule>
    <cfRule type="cellIs" dxfId="126" priority="332" operator="notEqual">
      <formula>75</formula>
    </cfRule>
    <cfRule type="cellIs" dxfId="125" priority="333" operator="notEqual">
      <formula>75</formula>
    </cfRule>
    <cfRule type="cellIs" dxfId="124" priority="334" operator="notEqual">
      <formula>75</formula>
    </cfRule>
    <cfRule type="cellIs" dxfId="123" priority="335" operator="notEqual">
      <formula>75</formula>
    </cfRule>
    <cfRule type="cellIs" dxfId="122" priority="336" operator="notEqual">
      <formula>75</formula>
    </cfRule>
    <cfRule type="cellIs" dxfId="121" priority="337" operator="notEqual">
      <formula>75</formula>
    </cfRule>
    <cfRule type="cellIs" dxfId="120" priority="338" operator="notEqual">
      <formula>75</formula>
    </cfRule>
    <cfRule type="cellIs" dxfId="119" priority="339" operator="notEqual">
      <formula>75</formula>
    </cfRule>
    <cfRule type="cellIs" dxfId="118" priority="340" operator="notEqual">
      <formula>75</formula>
    </cfRule>
    <cfRule type="cellIs" dxfId="117" priority="341" operator="notEqual">
      <formula>75</formula>
    </cfRule>
    <cfRule type="cellIs" dxfId="116" priority="342" operator="notEqual">
      <formula>75</formula>
    </cfRule>
    <cfRule type="cellIs" dxfId="115" priority="343" operator="notEqual">
      <formula>75</formula>
    </cfRule>
    <cfRule type="cellIs" dxfId="114" priority="344" operator="notEqual">
      <formula>75</formula>
    </cfRule>
    <cfRule type="cellIs" dxfId="113" priority="345" operator="notEqual">
      <formula>75</formula>
    </cfRule>
    <cfRule type="cellIs" dxfId="112" priority="346" operator="notEqual">
      <formula>75</formula>
    </cfRule>
    <cfRule type="cellIs" dxfId="111" priority="347" operator="notEqual">
      <formula>75</formula>
    </cfRule>
    <cfRule type="cellIs" dxfId="110" priority="348" operator="notEqual">
      <formula>75</formula>
    </cfRule>
    <cfRule type="cellIs" dxfId="109" priority="349" operator="notEqual">
      <formula>75</formula>
    </cfRule>
    <cfRule type="cellIs" dxfId="108" priority="350" operator="notEqual">
      <formula>75</formula>
    </cfRule>
    <cfRule type="cellIs" dxfId="107" priority="351" operator="notEqual">
      <formula>75</formula>
    </cfRule>
    <cfRule type="cellIs" dxfId="106" priority="352" operator="notEqual">
      <formula>75</formula>
    </cfRule>
    <cfRule type="cellIs" dxfId="105" priority="353" operator="notEqual">
      <formula>75</formula>
    </cfRule>
    <cfRule type="cellIs" dxfId="104" priority="354" operator="notEqual">
      <formula>75</formula>
    </cfRule>
    <cfRule type="cellIs" dxfId="103" priority="355" operator="notEqual">
      <formula>75</formula>
    </cfRule>
    <cfRule type="cellIs" dxfId="102" priority="356" operator="notEqual">
      <formula>75</formula>
    </cfRule>
    <cfRule type="cellIs" dxfId="101" priority="357" operator="notEqual">
      <formula>75</formula>
    </cfRule>
    <cfRule type="cellIs" dxfId="100" priority="358" operator="notEqual">
      <formula>75</formula>
    </cfRule>
    <cfRule type="cellIs" dxfId="99" priority="359" operator="notEqual">
      <formula>75</formula>
    </cfRule>
    <cfRule type="cellIs" dxfId="98" priority="360" operator="notEqual">
      <formula>75</formula>
    </cfRule>
    <cfRule type="cellIs" dxfId="97" priority="361" operator="notEqual">
      <formula>75</formula>
    </cfRule>
    <cfRule type="cellIs" dxfId="96" priority="362" operator="notEqual">
      <formula>75</formula>
    </cfRule>
    <cfRule type="cellIs" dxfId="95" priority="363" operator="notEqual">
      <formula>75</formula>
    </cfRule>
    <cfRule type="cellIs" dxfId="94" priority="364" operator="notEqual">
      <formula>76</formula>
    </cfRule>
  </conditionalFormatting>
  <conditionalFormatting sqref="E155:F155">
    <cfRule type="cellIs" dxfId="93" priority="68" operator="notEqual">
      <formula>76</formula>
    </cfRule>
    <cfRule type="cellIs" dxfId="92" priority="69" operator="notEqual">
      <formula>75</formula>
    </cfRule>
    <cfRule type="cellIs" dxfId="91" priority="70" operator="notEqual">
      <formula>75</formula>
    </cfRule>
    <cfRule type="cellIs" dxfId="90" priority="71" operator="notEqual">
      <formula>75</formula>
    </cfRule>
    <cfRule type="cellIs" dxfId="89" priority="72" operator="notEqual">
      <formula>75</formula>
    </cfRule>
    <cfRule type="cellIs" dxfId="88" priority="73" operator="notEqual">
      <formula>75</formula>
    </cfRule>
    <cfRule type="cellIs" dxfId="87" priority="74" operator="notEqual">
      <formula>75</formula>
    </cfRule>
    <cfRule type="cellIs" dxfId="86" priority="75" operator="notEqual">
      <formula>75</formula>
    </cfRule>
    <cfRule type="cellIs" dxfId="85" priority="76" operator="notEqual">
      <formula>75</formula>
    </cfRule>
    <cfRule type="cellIs" dxfId="84" priority="77" operator="notEqual">
      <formula>75</formula>
    </cfRule>
    <cfRule type="cellIs" dxfId="83" priority="78" operator="notEqual">
      <formula>75</formula>
    </cfRule>
    <cfRule type="cellIs" dxfId="82" priority="79" operator="notEqual">
      <formula>75</formula>
    </cfRule>
    <cfRule type="cellIs" dxfId="81" priority="80" operator="notEqual">
      <formula>75</formula>
    </cfRule>
    <cfRule type="cellIs" dxfId="80" priority="81" operator="notEqual">
      <formula>75</formula>
    </cfRule>
    <cfRule type="cellIs" dxfId="79" priority="82" operator="notEqual">
      <formula>75</formula>
    </cfRule>
    <cfRule type="cellIs" dxfId="78" priority="83" operator="notEqual">
      <formula>75</formula>
    </cfRule>
    <cfRule type="cellIs" dxfId="77" priority="84" operator="notEqual">
      <formula>75</formula>
    </cfRule>
    <cfRule type="cellIs" dxfId="76" priority="85" operator="notEqual">
      <formula>75</formula>
    </cfRule>
    <cfRule type="cellIs" dxfId="75" priority="86" operator="notEqual">
      <formula>75</formula>
    </cfRule>
    <cfRule type="cellIs" dxfId="74" priority="87" operator="notEqual">
      <formula>75</formula>
    </cfRule>
    <cfRule type="cellIs" dxfId="73" priority="88" operator="notEqual">
      <formula>75</formula>
    </cfRule>
    <cfRule type="cellIs" dxfId="72" priority="89" operator="notEqual">
      <formula>75</formula>
    </cfRule>
    <cfRule type="cellIs" dxfId="71" priority="90" operator="notEqual">
      <formula>75</formula>
    </cfRule>
    <cfRule type="cellIs" dxfId="70" priority="91" operator="notEqual">
      <formula>75</formula>
    </cfRule>
    <cfRule type="cellIs" dxfId="69" priority="92" operator="notEqual">
      <formula>75</formula>
    </cfRule>
    <cfRule type="cellIs" dxfId="68" priority="93" operator="notEqual">
      <formula>75</formula>
    </cfRule>
    <cfRule type="cellIs" dxfId="67" priority="94" operator="notEqual">
      <formula>75</formula>
    </cfRule>
    <cfRule type="cellIs" dxfId="66" priority="95" operator="notEqual">
      <formula>75</formula>
    </cfRule>
    <cfRule type="cellIs" dxfId="65" priority="96" operator="notEqual">
      <formula>75</formula>
    </cfRule>
    <cfRule type="cellIs" dxfId="64" priority="97" operator="notEqual">
      <formula>75</formula>
    </cfRule>
    <cfRule type="cellIs" dxfId="63" priority="98" operator="notEqual">
      <formula>75</formula>
    </cfRule>
    <cfRule type="cellIs" dxfId="62" priority="99" operator="notEqual">
      <formula>75</formula>
    </cfRule>
    <cfRule type="cellIs" dxfId="61" priority="100" operator="notEqual">
      <formula>75</formula>
    </cfRule>
    <cfRule type="cellIs" dxfId="60" priority="101" operator="notEqual">
      <formula>75</formula>
    </cfRule>
    <cfRule type="cellIs" dxfId="59" priority="102" operator="notEqual">
      <formula>75</formula>
    </cfRule>
    <cfRule type="cellIs" dxfId="58" priority="103" operator="notEqual">
      <formula>75</formula>
    </cfRule>
    <cfRule type="cellIs" dxfId="57" priority="104" operator="notEqual">
      <formula>75</formula>
    </cfRule>
    <cfRule type="cellIs" dxfId="56" priority="105" operator="notEqual">
      <formula>75</formula>
    </cfRule>
    <cfRule type="cellIs" dxfId="55" priority="106" operator="notEqual">
      <formula>75</formula>
    </cfRule>
    <cfRule type="cellIs" dxfId="54" priority="107" operator="notEqual">
      <formula>75</formula>
    </cfRule>
    <cfRule type="cellIs" dxfId="53" priority="108" operator="notEqual">
      <formula>75</formula>
    </cfRule>
    <cfRule type="cellIs" dxfId="52" priority="109" operator="notEqual">
      <formula>75</formula>
    </cfRule>
    <cfRule type="cellIs" dxfId="51" priority="110" operator="notEqual">
      <formula>75</formula>
    </cfRule>
    <cfRule type="cellIs" dxfId="50" priority="111" operator="notEqual">
      <formula>75</formula>
    </cfRule>
    <cfRule type="cellIs" dxfId="49" priority="112" operator="notEqual">
      <formula>75</formula>
    </cfRule>
    <cfRule type="cellIs" dxfId="48" priority="113" operator="notEqual">
      <formula>75</formula>
    </cfRule>
    <cfRule type="cellIs" dxfId="47" priority="114" operator="notEqual">
      <formula>75</formula>
    </cfRule>
    <cfRule type="cellIs" dxfId="46" priority="115" operator="notEqual">
      <formula>75</formula>
    </cfRule>
    <cfRule type="cellIs" dxfId="45" priority="116" operator="notEqual">
      <formula>75</formula>
    </cfRule>
    <cfRule type="cellIs" dxfId="44" priority="117" operator="notEqual">
      <formula>75</formula>
    </cfRule>
    <cfRule type="cellIs" dxfId="43" priority="118" operator="notEqual">
      <formula>75</formula>
    </cfRule>
    <cfRule type="cellIs" dxfId="42" priority="119" operator="notEqual">
      <formula>75</formula>
    </cfRule>
    <cfRule type="cellIs" dxfId="41" priority="120" operator="notEqual">
      <formula>75</formula>
    </cfRule>
    <cfRule type="cellIs" dxfId="40" priority="121" operator="notEqual">
      <formula>75</formula>
    </cfRule>
    <cfRule type="cellIs" dxfId="39" priority="122" operator="notEqual">
      <formula>75</formula>
    </cfRule>
    <cfRule type="cellIs" dxfId="38" priority="123" operator="notEqual">
      <formula>75</formula>
    </cfRule>
    <cfRule type="cellIs" dxfId="37" priority="124" operator="notEqual">
      <formula>75</formula>
    </cfRule>
    <cfRule type="cellIs" dxfId="36" priority="125" operator="notEqual">
      <formula>75</formula>
    </cfRule>
    <cfRule type="cellIs" dxfId="35" priority="126" operator="notEqual">
      <formula>75</formula>
    </cfRule>
    <cfRule type="cellIs" dxfId="34" priority="127" operator="notEqual">
      <formula>75</formula>
    </cfRule>
    <cfRule type="cellIs" dxfId="33" priority="128" operator="notEqual">
      <formula>75</formula>
    </cfRule>
    <cfRule type="cellIs" dxfId="32" priority="129" operator="notEqual">
      <formula>75</formula>
    </cfRule>
    <cfRule type="cellIs" dxfId="31" priority="130" operator="notEqual">
      <formula>75</formula>
    </cfRule>
    <cfRule type="cellIs" dxfId="30" priority="131" operator="notEqual">
      <formula>75</formula>
    </cfRule>
    <cfRule type="cellIs" dxfId="29" priority="132" operator="notEqual">
      <formula>75</formula>
    </cfRule>
    <cfRule type="cellIs" dxfId="28" priority="133" operator="notEqual">
      <formula>75</formula>
    </cfRule>
    <cfRule type="cellIs" dxfId="27" priority="134" operator="notEqual">
      <formula>76</formula>
    </cfRule>
  </conditionalFormatting>
  <conditionalFormatting sqref="C119 L4 C66:E66 C155:D155">
    <cfRule type="cellIs" dxfId="26" priority="985" operator="notEqual">
      <formula>75</formula>
    </cfRule>
    <cfRule type="cellIs" dxfId="25" priority="986" operator="notEqual">
      <formula>75</formula>
    </cfRule>
    <cfRule type="cellIs" dxfId="24" priority="987" operator="notEqual">
      <formula>75</formula>
    </cfRule>
    <cfRule type="cellIs" dxfId="23" priority="988" operator="notEqual">
      <formula>75</formula>
    </cfRule>
    <cfRule type="cellIs" dxfId="22" priority="989" operator="notEqual">
      <formula>75</formula>
    </cfRule>
    <cfRule type="cellIs" dxfId="21" priority="990" operator="notEqual">
      <formula>75</formula>
    </cfRule>
    <cfRule type="cellIs" dxfId="20" priority="991" operator="notEqual">
      <formula>75</formula>
    </cfRule>
  </conditionalFormatting>
  <conditionalFormatting sqref="C119 L4 C66:E66 C155:E155">
    <cfRule type="cellIs" dxfId="19" priority="992" operator="notEqual">
      <formula>75</formula>
    </cfRule>
    <cfRule type="cellIs" dxfId="18" priority="993" operator="notEqual">
      <formula>75</formula>
    </cfRule>
    <cfRule type="cellIs" dxfId="17" priority="994" operator="notEqual">
      <formula>75</formula>
    </cfRule>
    <cfRule type="cellIs" dxfId="16" priority="995" operator="notEqual">
      <formula>75</formula>
    </cfRule>
    <cfRule type="cellIs" dxfId="15" priority="996" operator="notEqual">
      <formula>75</formula>
    </cfRule>
    <cfRule type="cellIs" dxfId="14" priority="997" operator="notEqual">
      <formula>75</formula>
    </cfRule>
    <cfRule type="cellIs" dxfId="13" priority="998" operator="notEqual">
      <formula>75</formula>
    </cfRule>
    <cfRule type="cellIs" dxfId="12" priority="999" operator="notEqual">
      <formula>75</formula>
    </cfRule>
    <cfRule type="cellIs" dxfId="11" priority="1000" operator="notEqual">
      <formula>75</formula>
    </cfRule>
    <cfRule type="cellIs" dxfId="10" priority="1001" operator="notEqual">
      <formula>75</formula>
    </cfRule>
  </conditionalFormatting>
  <conditionalFormatting sqref="C119 C66:E66 C155:D155">
    <cfRule type="cellIs" dxfId="9" priority="940" operator="notEqual">
      <formula>75</formula>
    </cfRule>
  </conditionalFormatting>
  <hyperlinks>
    <hyperlink ref="D4" location="'Beer Scaling Calc'!L58" display="'Beer Scaling Calc'!L58" xr:uid="{00000000-0004-0000-0500-000000000000}"/>
    <hyperlink ref="S9" location="'Beer Data Sheet'!P20" display="=&quot;1 level 5ml tsp sugar = &quot;&amp;'Beer Data Sheet'!P21&amp;&quot;g&quot;" xr:uid="{00000000-0004-0000-0500-000001000000}"/>
    <hyperlink ref="W162" r:id="rId1" xr:uid="{00000000-0004-0000-0500-000002000000}"/>
    <hyperlink ref="W161" r:id="rId2" xr:uid="{00000000-0004-0000-0500-000003000000}"/>
    <hyperlink ref="B153" location="'Beer Data Sheet'!P21" display="=&quot;Priming sugar (sucrose) g/litre, 1 level tsp  = &quot;&amp;'Beer Data Sheet'!P$21&amp;&quot;g)&quot;" xr:uid="{00000000-0004-0000-0500-000004000000}"/>
    <hyperlink ref="B155" location="'Beer Data Sheet'!AD4" display="Yeast efficiency % (76 is generally assumed)" xr:uid="{00000000-0004-0000-0500-000005000000}"/>
    <hyperlink ref="B27" location="'Beer Scaling'!I30" display="Bitterness (See cells I30 etc)." xr:uid="{00000000-0004-0000-0500-000006000000}"/>
    <hyperlink ref="B79" location="'Beer Scaling'!I81" display="Bitterness (See cells I81 etc.)" xr:uid="{00000000-0004-0000-0500-000007000000}"/>
    <hyperlink ref="G120" location="'Beer Scaling'!G8" display="Isomerised hop extract - DO NOT BOIL" xr:uid="{00000000-0004-0000-0500-000008000000}"/>
    <hyperlink ref="G66" location="'Beer Scaling'!G8" display="Isomerised hop extract ml - DO NOT BOIL" xr:uid="{00000000-0004-0000-0500-000009000000}"/>
    <hyperlink ref="S9:T9" location="'Beer Data Sheet'!P21" display="=&quot;1 level 5ml tsp sugar = &quot;&amp;'Beer Data Sheet'!P21&amp;&quot;g&quot;" xr:uid="{00000000-0004-0000-0500-00000A000000}"/>
    <hyperlink ref="G162" location="'Beer Scaling'!G8" display="Isomerised hop extract ml - DO NOT BOIL" xr:uid="{00000000-0004-0000-0500-00000B000000}"/>
    <hyperlink ref="G18" location="'Wine Calc'!AA7" display="BREWING Sugar" xr:uid="{00000000-0004-0000-0500-00000C000000}"/>
    <hyperlink ref="N19" location="'Wine Calc'!AA7" display="BREWING Sugar (Dextrose)" xr:uid="{00000000-0004-0000-0500-00000D000000}"/>
    <hyperlink ref="B130" location="'Beer Scaling'!I130" display="Bitterness (See cells I33 etc.)" xr:uid="{00000000-0004-0000-0500-00000E000000}"/>
    <hyperlink ref="F9:K9" location="'Beer Data Sheet'!T17" display=" Note:- 1 ml of Ritchie's hop extract in 1 litre of beer adds 69 EBU's. See &quot;Beer Data Sheet&quot; cell T17." xr:uid="{00000000-0004-0000-0500-00000F000000}"/>
    <hyperlink ref="B119" location="'Beer Data Sheet'!AD4" display="Yeast efficiency % (75 is generally assumed)" xr:uid="{00000000-0004-0000-0500-000010000000}"/>
    <hyperlink ref="B64" location="'Beer Data Sheet'!P21" display="=&quot;Priming sugar (sucrose) g/litre, 1 level tsp  = &quot;&amp;'Beer Data Sheet'!P$21&amp;&quot;g&quot;" xr:uid="{00000000-0004-0000-0500-000011000000}"/>
    <hyperlink ref="B66" location="'Beer Data Sheet'!AD4" display="Yeast efficiency % (76 is generally assumed)" xr:uid="{00000000-0004-0000-0500-000012000000}"/>
    <hyperlink ref="B117" location="'Beer Data Sheet'!P21" display="'Beer Data Sheet'!P21" xr:uid="{00000000-0004-0000-0500-000013000000}"/>
  </hyperlinks>
  <printOptions verticalCentered="1"/>
  <pageMargins left="0.47244094488188998" right="0.47244094488188998" top="0.35433070866141703" bottom="0.59055118110236204" header="0.31496062992126" footer="0.47244094488188998"/>
  <pageSetup paperSize="9" scale="26" fitToHeight="2" orientation="landscape" verticalDpi="300" r:id="rId3"/>
  <ignoredErrors>
    <ignoredError sqref="L36" unlockedFormula="1"/>
  </ignoredError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FF"/>
    <pageSetUpPr fitToPage="1"/>
  </sheetPr>
  <dimension ref="A1:AL186"/>
  <sheetViews>
    <sheetView topLeftCell="A129" zoomScale="76" zoomScaleNormal="76" zoomScaleSheetLayoutView="75" zoomScalePageLayoutView="53" workbookViewId="0">
      <selection activeCell="Y142" sqref="Y142:AE142"/>
    </sheetView>
  </sheetViews>
  <sheetFormatPr defaultColWidth="9" defaultRowHeight="13.9"/>
  <cols>
    <col min="1" max="1" width="3" style="201" customWidth="1"/>
    <col min="2" max="2" width="34.28515625" style="201" customWidth="1"/>
    <col min="3" max="7" width="9.42578125" style="201" customWidth="1"/>
    <col min="8" max="8" width="3" style="201" customWidth="1"/>
    <col min="9" max="9" width="2.85546875" style="201" customWidth="1"/>
    <col min="10" max="10" width="34" style="201" customWidth="1"/>
    <col min="11" max="13" width="9" style="201" customWidth="1"/>
    <col min="14" max="14" width="7.85546875" style="201" customWidth="1"/>
    <col min="15" max="15" width="8.85546875" style="201" customWidth="1"/>
    <col min="16" max="16" width="10.42578125" style="201" customWidth="1"/>
    <col min="17" max="18" width="10.85546875" style="201" customWidth="1"/>
    <col min="19" max="21" width="12.5703125" style="201" customWidth="1"/>
    <col min="22" max="22" width="6" style="201" hidden="1" customWidth="1"/>
    <col min="23" max="23" width="7" style="201" hidden="1" customWidth="1"/>
    <col min="24" max="24" width="4.42578125" style="201" customWidth="1"/>
    <col min="25" max="25" width="39.85546875" style="202" customWidth="1"/>
    <col min="26" max="26" width="12.7109375" style="203" customWidth="1"/>
    <col min="27" max="27" width="10.85546875" style="203" customWidth="1"/>
    <col min="28" max="28" width="11.85546875" style="202" customWidth="1"/>
    <col min="29" max="29" width="9.28515625" style="203" customWidth="1"/>
    <col min="30" max="30" width="9.28515625" style="204" customWidth="1"/>
    <col min="31" max="31" width="9.28515625" style="205" customWidth="1"/>
    <col min="32" max="32" width="9.28515625" style="206" customWidth="1"/>
    <col min="33" max="36" width="9.28515625" style="207" customWidth="1"/>
    <col min="37" max="37" width="6.42578125" style="201" customWidth="1"/>
    <col min="38" max="16384" width="9" style="201"/>
  </cols>
  <sheetData>
    <row r="1" spans="1:38" s="316" customFormat="1" ht="42" customHeight="1">
      <c r="A1" s="2146"/>
      <c r="B1" s="2146"/>
      <c r="C1" s="1894"/>
      <c r="D1" s="1894"/>
      <c r="E1" s="1894"/>
      <c r="F1" s="1894"/>
      <c r="G1" s="1894"/>
      <c r="H1" s="1894"/>
      <c r="I1" s="1895"/>
      <c r="J1" s="1896"/>
      <c r="K1" s="1895"/>
      <c r="L1" s="1895"/>
      <c r="M1" s="1895"/>
      <c r="N1" s="1895"/>
      <c r="O1" s="1897"/>
      <c r="P1" s="3861" t="s">
        <v>1129</v>
      </c>
      <c r="Q1" s="3861"/>
      <c r="R1" s="3861"/>
      <c r="S1" s="3861"/>
      <c r="T1" s="3861"/>
      <c r="U1" s="1895"/>
      <c r="V1" s="1895"/>
      <c r="W1" s="1895"/>
      <c r="X1" s="1895"/>
      <c r="Y1" s="1895"/>
      <c r="Z1" s="1895"/>
      <c r="AA1" s="1895"/>
      <c r="AB1" s="1895"/>
      <c r="AC1" s="1895"/>
      <c r="AD1" s="1895"/>
      <c r="AE1" s="1895"/>
      <c r="AF1" s="1897"/>
      <c r="AG1" s="1897"/>
      <c r="AH1" s="2186"/>
      <c r="AI1" s="3855" t="s">
        <v>1130</v>
      </c>
      <c r="AJ1" s="3855"/>
      <c r="AK1" s="1897"/>
      <c r="AL1" s="317"/>
    </row>
    <row r="2" spans="1:38" ht="15" customHeight="1">
      <c r="A2" s="209"/>
      <c r="B2" s="209"/>
      <c r="C2" s="208"/>
      <c r="D2" s="208"/>
      <c r="E2" s="208"/>
      <c r="F2" s="208"/>
      <c r="G2" s="208"/>
      <c r="H2" s="208"/>
      <c r="I2" s="255"/>
      <c r="J2" s="255"/>
      <c r="K2" s="255"/>
      <c r="L2" s="255"/>
      <c r="M2" s="255"/>
      <c r="N2" s="255"/>
      <c r="O2" s="255"/>
      <c r="P2" s="255"/>
      <c r="Q2" s="255"/>
      <c r="R2" s="255"/>
      <c r="S2" s="255"/>
      <c r="T2" s="255"/>
      <c r="U2" s="255"/>
      <c r="V2" s="255"/>
      <c r="W2" s="255"/>
      <c r="X2" s="255"/>
      <c r="Y2" s="255"/>
      <c r="Z2" s="255"/>
      <c r="AA2" s="255"/>
      <c r="AB2" s="255"/>
      <c r="AC2" s="255"/>
      <c r="AD2" s="255"/>
      <c r="AE2" s="255"/>
      <c r="AF2" s="345"/>
      <c r="AG2" s="345"/>
      <c r="AH2" s="3856"/>
      <c r="AI2" s="3856"/>
      <c r="AJ2" s="3856"/>
      <c r="AK2" s="345"/>
      <c r="AL2" s="237"/>
    </row>
    <row r="3" spans="1:38" ht="19.149999999999999" customHeight="1">
      <c r="A3" s="210"/>
      <c r="B3" s="210"/>
      <c r="C3" s="208"/>
      <c r="D3" s="208"/>
      <c r="E3" s="208"/>
      <c r="F3" s="208"/>
      <c r="G3" s="208"/>
      <c r="H3" s="208"/>
      <c r="I3" s="255"/>
      <c r="J3" s="230"/>
      <c r="K3" s="230"/>
      <c r="L3" s="230"/>
      <c r="M3" s="230"/>
      <c r="N3" s="230"/>
      <c r="O3" s="230"/>
      <c r="P3" s="255"/>
      <c r="Q3" s="255"/>
      <c r="R3" s="255"/>
      <c r="S3" s="255"/>
      <c r="T3" s="255"/>
      <c r="U3" s="255"/>
      <c r="V3" s="255"/>
      <c r="W3" s="255"/>
      <c r="X3" s="255"/>
      <c r="Y3" s="255"/>
      <c r="Z3" s="353"/>
      <c r="AA3" s="1778"/>
      <c r="AB3" s="3857" t="s">
        <v>1131</v>
      </c>
      <c r="AC3" s="3857"/>
      <c r="AD3" s="3857"/>
      <c r="AE3" s="1779"/>
      <c r="AF3" s="342"/>
      <c r="AG3" s="342"/>
      <c r="AH3" s="342"/>
      <c r="AI3" s="342"/>
      <c r="AJ3" s="342"/>
      <c r="AK3" s="345"/>
      <c r="AL3" s="237"/>
    </row>
    <row r="4" spans="1:38" ht="19.149999999999999" customHeight="1">
      <c r="A4" s="4703" t="s">
        <v>1132</v>
      </c>
      <c r="B4" s="4703"/>
      <c r="C4" s="211"/>
      <c r="D4" s="211"/>
      <c r="E4" s="211"/>
      <c r="F4" s="211"/>
      <c r="G4" s="212"/>
      <c r="H4" s="208"/>
      <c r="I4" s="4704" t="s">
        <v>1133</v>
      </c>
      <c r="J4" s="4704"/>
      <c r="K4" s="231"/>
      <c r="L4" s="231"/>
      <c r="M4" s="231"/>
      <c r="N4" s="231"/>
      <c r="O4" s="231"/>
      <c r="P4" s="232"/>
      <c r="Q4" s="232"/>
      <c r="R4" s="232"/>
      <c r="S4" s="1105"/>
      <c r="T4" s="247"/>
      <c r="U4" s="248"/>
      <c r="V4" s="2561"/>
      <c r="W4" s="2391">
        <f>89.6/342</f>
        <v>0.26198830409356721</v>
      </c>
      <c r="X4" s="255"/>
      <c r="Y4" s="2562" t="s">
        <v>1134</v>
      </c>
      <c r="Z4" s="1780" t="s">
        <v>1135</v>
      </c>
      <c r="AA4" s="2563" t="s">
        <v>1136</v>
      </c>
      <c r="AB4" s="1781" t="s">
        <v>1137</v>
      </c>
      <c r="AC4" s="3858" t="s">
        <v>1138</v>
      </c>
      <c r="AD4" s="3858"/>
      <c r="AE4" s="3858"/>
      <c r="AF4" s="2564" t="s">
        <v>868</v>
      </c>
      <c r="AG4" s="3859" t="s">
        <v>1139</v>
      </c>
      <c r="AH4" s="3859"/>
      <c r="AI4" s="3860" t="s">
        <v>1139</v>
      </c>
      <c r="AJ4" s="3860"/>
      <c r="AK4" s="255"/>
      <c r="AL4" s="237"/>
    </row>
    <row r="5" spans="1:38" ht="14.25" customHeight="1">
      <c r="A5" s="4705" t="s">
        <v>1140</v>
      </c>
      <c r="B5" s="4705"/>
      <c r="C5" s="4705"/>
      <c r="D5" s="4705"/>
      <c r="E5" s="4705"/>
      <c r="F5" s="4705"/>
      <c r="G5" s="4705"/>
      <c r="H5" s="208"/>
      <c r="I5" s="4706"/>
      <c r="J5" s="233"/>
      <c r="K5" s="234"/>
      <c r="L5" s="4557" t="s">
        <v>67</v>
      </c>
      <c r="M5" s="4557"/>
      <c r="N5" s="4557"/>
      <c r="O5" s="4557"/>
      <c r="P5" s="4557"/>
      <c r="Q5" s="83"/>
      <c r="R5" s="83"/>
      <c r="S5" s="70"/>
      <c r="T5" s="70"/>
      <c r="U5" s="254"/>
      <c r="V5" s="249" t="s">
        <v>538</v>
      </c>
      <c r="W5" s="4470" t="s">
        <v>539</v>
      </c>
      <c r="X5" s="255"/>
      <c r="Y5" s="4707"/>
      <c r="Z5" s="1782"/>
      <c r="AA5" s="4708" t="s">
        <v>882</v>
      </c>
      <c r="AB5" s="1783"/>
      <c r="AC5" s="3852" t="s">
        <v>721</v>
      </c>
      <c r="AD5" s="3852"/>
      <c r="AE5" s="3852"/>
      <c r="AF5" s="4709" t="s">
        <v>1141</v>
      </c>
      <c r="AG5" s="4710" t="s">
        <v>1142</v>
      </c>
      <c r="AH5" s="4710"/>
      <c r="AI5" s="4711" t="s">
        <v>1143</v>
      </c>
      <c r="AJ5" s="4711"/>
      <c r="AK5" s="255"/>
      <c r="AL5" s="237"/>
    </row>
    <row r="6" spans="1:38" ht="14.25" customHeight="1">
      <c r="A6" s="4705"/>
      <c r="B6" s="4705"/>
      <c r="C6" s="4705"/>
      <c r="D6" s="4705"/>
      <c r="E6" s="4705"/>
      <c r="F6" s="4705"/>
      <c r="G6" s="4705"/>
      <c r="H6" s="208"/>
      <c r="I6" s="4706"/>
      <c r="J6" s="233"/>
      <c r="K6" s="233"/>
      <c r="L6" s="235"/>
      <c r="M6" s="235"/>
      <c r="N6" s="236"/>
      <c r="O6" s="236"/>
      <c r="P6" s="216"/>
      <c r="Q6" s="216"/>
      <c r="R6" s="216"/>
      <c r="S6" s="70"/>
      <c r="T6" s="70"/>
      <c r="U6" s="254"/>
      <c r="V6" s="250" t="s">
        <v>544</v>
      </c>
      <c r="W6" s="4473" t="s">
        <v>545</v>
      </c>
      <c r="X6" s="237"/>
      <c r="Y6" s="4712"/>
      <c r="Z6" s="267"/>
      <c r="AA6" s="4713"/>
      <c r="AB6" s="268"/>
      <c r="AC6" s="269" t="s">
        <v>596</v>
      </c>
      <c r="AD6" s="4714" t="s">
        <v>1144</v>
      </c>
      <c r="AE6" s="270" t="s">
        <v>594</v>
      </c>
      <c r="AF6" s="4715" t="s">
        <v>721</v>
      </c>
      <c r="AG6" s="4716" t="s">
        <v>1145</v>
      </c>
      <c r="AH6" s="4716"/>
      <c r="AI6" s="4717" t="s">
        <v>1145</v>
      </c>
      <c r="AJ6" s="4717"/>
      <c r="AK6" s="208"/>
    </row>
    <row r="7" spans="1:38" ht="14.25" customHeight="1">
      <c r="A7" s="4718"/>
      <c r="B7" s="213" t="s">
        <v>1146</v>
      </c>
      <c r="C7" s="214" t="s">
        <v>1147</v>
      </c>
      <c r="D7" s="3853" t="s">
        <v>1148</v>
      </c>
      <c r="E7" s="3853"/>
      <c r="F7" s="3853"/>
      <c r="G7" s="3854"/>
      <c r="H7" s="208"/>
      <c r="I7" s="4719" t="s">
        <v>1149</v>
      </c>
      <c r="J7" s="4719"/>
      <c r="K7" s="237" t="s">
        <v>1150</v>
      </c>
      <c r="L7" s="235"/>
      <c r="M7" s="235"/>
      <c r="N7" s="236"/>
      <c r="O7" s="236"/>
      <c r="P7" s="216"/>
      <c r="Q7" s="216"/>
      <c r="R7" s="216"/>
      <c r="S7" s="70"/>
      <c r="T7" s="70"/>
      <c r="U7" s="254"/>
      <c r="V7" s="251">
        <v>0</v>
      </c>
      <c r="W7" s="2424">
        <v>1.7130000000000001</v>
      </c>
      <c r="X7" s="255"/>
      <c r="Y7" s="4720" t="s">
        <v>1151</v>
      </c>
      <c r="Z7" s="4720" t="s">
        <v>1152</v>
      </c>
      <c r="AA7" s="4721" t="s">
        <v>124</v>
      </c>
      <c r="AB7" s="4720" t="s">
        <v>1153</v>
      </c>
      <c r="AC7" s="4722">
        <v>75</v>
      </c>
      <c r="AD7" s="4722">
        <v>80</v>
      </c>
      <c r="AE7" s="4723">
        <f>(AC7+AD7)/2</f>
        <v>77.5</v>
      </c>
      <c r="AF7" s="2565" t="s">
        <v>1154</v>
      </c>
      <c r="AG7" s="4724">
        <f t="shared" ref="AG7:AH40" si="0">((AI7+40)*5/9)-40</f>
        <v>18.333333333333336</v>
      </c>
      <c r="AH7" s="4724">
        <f t="shared" si="0"/>
        <v>21.111111111111114</v>
      </c>
      <c r="AI7" s="4725">
        <v>65</v>
      </c>
      <c r="AJ7" s="4725">
        <v>70</v>
      </c>
      <c r="AK7" s="208"/>
    </row>
    <row r="8" spans="1:38" ht="14.25" customHeight="1">
      <c r="A8" s="4718"/>
      <c r="B8" s="215" t="s">
        <v>1155</v>
      </c>
      <c r="C8" s="215" t="s">
        <v>1155</v>
      </c>
      <c r="D8" s="216"/>
      <c r="E8" s="216"/>
      <c r="F8" s="216"/>
      <c r="G8" s="217"/>
      <c r="H8" s="208"/>
      <c r="I8" s="4580"/>
      <c r="J8" s="238" t="s">
        <v>1156</v>
      </c>
      <c r="K8" s="238" t="s">
        <v>1156</v>
      </c>
      <c r="L8" s="237"/>
      <c r="M8" s="237"/>
      <c r="N8" s="237"/>
      <c r="O8" s="237"/>
      <c r="P8" s="216"/>
      <c r="Q8" s="216"/>
      <c r="R8" s="216"/>
      <c r="S8" s="70"/>
      <c r="T8" s="70"/>
      <c r="U8" s="254"/>
      <c r="V8" s="252">
        <v>1</v>
      </c>
      <c r="W8" s="4346">
        <v>1.6459999999999999</v>
      </c>
      <c r="X8" s="255"/>
      <c r="Y8" s="2566" t="s">
        <v>1157</v>
      </c>
      <c r="Z8" s="2566" t="s">
        <v>1152</v>
      </c>
      <c r="AA8" s="2567" t="s">
        <v>124</v>
      </c>
      <c r="AB8" s="2566" t="s">
        <v>1158</v>
      </c>
      <c r="AC8" s="2568">
        <v>75</v>
      </c>
      <c r="AD8" s="2568">
        <v>80</v>
      </c>
      <c r="AE8" s="2569">
        <f>(AC8+AD8)/2</f>
        <v>77.5</v>
      </c>
      <c r="AF8" s="2565" t="s">
        <v>1159</v>
      </c>
      <c r="AG8" s="2570">
        <f t="shared" si="0"/>
        <v>18.888888888888886</v>
      </c>
      <c r="AH8" s="2570">
        <f t="shared" si="0"/>
        <v>22.222222222222221</v>
      </c>
      <c r="AI8" s="2571">
        <v>66</v>
      </c>
      <c r="AJ8" s="2571">
        <v>72</v>
      </c>
      <c r="AK8" s="208"/>
    </row>
    <row r="9" spans="1:38" ht="14.25" customHeight="1">
      <c r="A9" s="4718"/>
      <c r="B9" s="218" t="s">
        <v>715</v>
      </c>
      <c r="C9" s="218">
        <v>11</v>
      </c>
      <c r="D9" s="216"/>
      <c r="E9" s="216"/>
      <c r="F9" s="216"/>
      <c r="G9" s="217"/>
      <c r="H9" s="208"/>
      <c r="I9" s="4726"/>
      <c r="J9" s="218" t="s">
        <v>715</v>
      </c>
      <c r="K9" s="218">
        <v>11</v>
      </c>
      <c r="L9" s="235"/>
      <c r="M9" s="235"/>
      <c r="N9" s="235"/>
      <c r="O9" s="235"/>
      <c r="P9" s="235"/>
      <c r="Q9" s="235"/>
      <c r="R9" s="235"/>
      <c r="S9" s="216"/>
      <c r="T9" s="70"/>
      <c r="U9" s="254"/>
      <c r="V9" s="252">
        <v>2</v>
      </c>
      <c r="W9" s="4352">
        <v>1.5840000000000001</v>
      </c>
      <c r="X9" s="255"/>
      <c r="Y9" s="2572" t="s">
        <v>1160</v>
      </c>
      <c r="Z9" s="2567" t="s">
        <v>1161</v>
      </c>
      <c r="AA9" s="2567" t="s">
        <v>124</v>
      </c>
      <c r="AB9" s="2566" t="s">
        <v>1153</v>
      </c>
      <c r="AC9" s="2568">
        <v>74</v>
      </c>
      <c r="AD9" s="2568">
        <v>82</v>
      </c>
      <c r="AE9" s="2569">
        <f>(AC9+AD9)/2</f>
        <v>78</v>
      </c>
      <c r="AF9" s="2565" t="s">
        <v>1159</v>
      </c>
      <c r="AG9" s="2570">
        <f t="shared" si="0"/>
        <v>18.888888888888886</v>
      </c>
      <c r="AH9" s="2573">
        <f t="shared" si="0"/>
        <v>22.222222222222221</v>
      </c>
      <c r="AI9" s="2574">
        <v>66</v>
      </c>
      <c r="AJ9" s="2571">
        <v>72</v>
      </c>
      <c r="AK9" s="208"/>
    </row>
    <row r="10" spans="1:38" ht="14.25" customHeight="1">
      <c r="A10" s="4718"/>
      <c r="B10" s="218" t="s">
        <v>717</v>
      </c>
      <c r="C10" s="218">
        <v>9.5</v>
      </c>
      <c r="D10" s="216"/>
      <c r="E10" s="216"/>
      <c r="F10" s="216"/>
      <c r="G10" s="217"/>
      <c r="H10" s="208"/>
      <c r="I10" s="4726"/>
      <c r="J10" s="218" t="s">
        <v>717</v>
      </c>
      <c r="K10" s="218">
        <v>9.5</v>
      </c>
      <c r="L10" s="235"/>
      <c r="M10" s="235"/>
      <c r="N10" s="235"/>
      <c r="O10" s="235"/>
      <c r="P10" s="235"/>
      <c r="Q10" s="235"/>
      <c r="R10" s="235"/>
      <c r="S10" s="216"/>
      <c r="T10" s="70"/>
      <c r="U10" s="254"/>
      <c r="V10" s="252">
        <v>3</v>
      </c>
      <c r="W10" s="4352">
        <v>1.53</v>
      </c>
      <c r="X10" s="255"/>
      <c r="Y10" s="2566" t="s">
        <v>1162</v>
      </c>
      <c r="Z10" s="2566" t="s">
        <v>1163</v>
      </c>
      <c r="AA10" s="2567" t="s">
        <v>124</v>
      </c>
      <c r="AB10" s="2566" t="s">
        <v>1153</v>
      </c>
      <c r="AC10" s="2575"/>
      <c r="AD10" s="2575"/>
      <c r="AE10" s="2576" t="s">
        <v>1144</v>
      </c>
      <c r="AF10" s="2577" t="s">
        <v>674</v>
      </c>
      <c r="AG10" s="2570">
        <f t="shared" si="0"/>
        <v>15</v>
      </c>
      <c r="AH10" s="2570">
        <f t="shared" si="0"/>
        <v>20</v>
      </c>
      <c r="AI10" s="2571">
        <v>59</v>
      </c>
      <c r="AJ10" s="2571">
        <v>68</v>
      </c>
      <c r="AK10" s="208"/>
    </row>
    <row r="11" spans="1:38" ht="14.25" customHeight="1">
      <c r="A11" s="4718"/>
      <c r="B11" s="218" t="s">
        <v>718</v>
      </c>
      <c r="C11" s="218">
        <v>5.0999999999999996</v>
      </c>
      <c r="D11" s="216"/>
      <c r="E11" s="216"/>
      <c r="F11" s="216"/>
      <c r="G11" s="217"/>
      <c r="H11" s="208"/>
      <c r="I11" s="4726"/>
      <c r="J11" s="218" t="s">
        <v>718</v>
      </c>
      <c r="K11" s="218">
        <v>5.0999999999999996</v>
      </c>
      <c r="L11" s="235"/>
      <c r="M11" s="235"/>
      <c r="N11" s="235"/>
      <c r="O11" s="235"/>
      <c r="P11" s="235"/>
      <c r="Q11" s="235"/>
      <c r="R11" s="235"/>
      <c r="S11" s="237"/>
      <c r="T11" s="70"/>
      <c r="U11" s="254"/>
      <c r="V11" s="252">
        <v>4</v>
      </c>
      <c r="W11" s="4352">
        <v>1.4730000000000001</v>
      </c>
      <c r="X11" s="255"/>
      <c r="Y11" s="2566" t="s">
        <v>1164</v>
      </c>
      <c r="Z11" s="2566" t="s">
        <v>1152</v>
      </c>
      <c r="AA11" s="2567" t="s">
        <v>124</v>
      </c>
      <c r="AB11" s="2566" t="s">
        <v>1165</v>
      </c>
      <c r="AC11" s="2568">
        <v>70</v>
      </c>
      <c r="AD11" s="2568">
        <v>75</v>
      </c>
      <c r="AE11" s="2569">
        <f t="shared" ref="AE11:AE17" si="1">(AC11+AD11)/2</f>
        <v>72.5</v>
      </c>
      <c r="AF11" s="2565" t="s">
        <v>1154</v>
      </c>
      <c r="AG11" s="2570">
        <f t="shared" si="0"/>
        <v>18.333333333333336</v>
      </c>
      <c r="AH11" s="2570">
        <f t="shared" si="0"/>
        <v>20.555555555555557</v>
      </c>
      <c r="AI11" s="2571">
        <v>65</v>
      </c>
      <c r="AJ11" s="2571">
        <v>69</v>
      </c>
      <c r="AK11" s="208"/>
    </row>
    <row r="12" spans="1:38" ht="14.25" customHeight="1">
      <c r="A12" s="4718"/>
      <c r="B12" s="218" t="s">
        <v>719</v>
      </c>
      <c r="C12" s="218">
        <v>5.5</v>
      </c>
      <c r="D12" s="216"/>
      <c r="E12" s="216"/>
      <c r="F12" s="216"/>
      <c r="G12" s="217"/>
      <c r="H12" s="208"/>
      <c r="I12" s="4726"/>
      <c r="J12" s="218" t="s">
        <v>719</v>
      </c>
      <c r="K12" s="218">
        <v>5.5</v>
      </c>
      <c r="L12" s="235"/>
      <c r="M12" s="235"/>
      <c r="N12" s="235"/>
      <c r="O12" s="235"/>
      <c r="P12" s="235"/>
      <c r="Q12" s="235"/>
      <c r="R12" s="235"/>
      <c r="S12" s="216"/>
      <c r="T12" s="70"/>
      <c r="U12" s="254"/>
      <c r="V12" s="252">
        <v>5</v>
      </c>
      <c r="W12" s="4352">
        <v>1.4239999999999999</v>
      </c>
      <c r="X12" s="255"/>
      <c r="Y12" s="2578" t="s">
        <v>1166</v>
      </c>
      <c r="Z12" s="2567" t="s">
        <v>1161</v>
      </c>
      <c r="AA12" s="2567" t="s">
        <v>124</v>
      </c>
      <c r="AB12" s="2566" t="s">
        <v>1158</v>
      </c>
      <c r="AC12" s="2579">
        <v>70</v>
      </c>
      <c r="AD12" s="2568">
        <v>74</v>
      </c>
      <c r="AE12" s="2569">
        <f t="shared" si="1"/>
        <v>72</v>
      </c>
      <c r="AF12" s="2565" t="s">
        <v>1167</v>
      </c>
      <c r="AG12" s="2570">
        <f t="shared" si="0"/>
        <v>18.888888888888886</v>
      </c>
      <c r="AH12" s="2573">
        <f t="shared" si="0"/>
        <v>21.111111111111114</v>
      </c>
      <c r="AI12" s="2574">
        <v>66</v>
      </c>
      <c r="AJ12" s="2571">
        <v>70</v>
      </c>
      <c r="AK12" s="208"/>
    </row>
    <row r="13" spans="1:38" ht="14.25" customHeight="1">
      <c r="A13" s="4718"/>
      <c r="B13" s="219" t="s">
        <v>722</v>
      </c>
      <c r="C13" s="219">
        <v>10</v>
      </c>
      <c r="D13" s="216"/>
      <c r="E13" s="216"/>
      <c r="F13" s="216"/>
      <c r="G13" s="217"/>
      <c r="H13" s="208"/>
      <c r="I13" s="4726"/>
      <c r="J13" s="219" t="s">
        <v>722</v>
      </c>
      <c r="K13" s="219">
        <v>10</v>
      </c>
      <c r="L13" s="235"/>
      <c r="M13" s="235"/>
      <c r="N13" s="235"/>
      <c r="O13" s="236"/>
      <c r="P13" s="236"/>
      <c r="Q13" s="216"/>
      <c r="R13" s="216"/>
      <c r="S13" s="216"/>
      <c r="T13" s="70"/>
      <c r="U13" s="254"/>
      <c r="V13" s="252">
        <v>6</v>
      </c>
      <c r="W13" s="4352">
        <v>1.377</v>
      </c>
      <c r="X13" s="255"/>
      <c r="Y13" s="2566" t="s">
        <v>1168</v>
      </c>
      <c r="Z13" s="2566" t="s">
        <v>1169</v>
      </c>
      <c r="AA13" s="2567" t="s">
        <v>124</v>
      </c>
      <c r="AB13" s="2566" t="s">
        <v>1170</v>
      </c>
      <c r="AC13" s="2568">
        <v>73</v>
      </c>
      <c r="AD13" s="2568">
        <v>77</v>
      </c>
      <c r="AE13" s="2569">
        <f t="shared" si="1"/>
        <v>75</v>
      </c>
      <c r="AF13" s="2577">
        <v>11</v>
      </c>
      <c r="AG13" s="2570">
        <f t="shared" si="0"/>
        <v>15.555555555555557</v>
      </c>
      <c r="AH13" s="2570">
        <f t="shared" si="0"/>
        <v>22.222222222222221</v>
      </c>
      <c r="AI13" s="2571">
        <v>60</v>
      </c>
      <c r="AJ13" s="2571">
        <v>72</v>
      </c>
      <c r="AK13" s="208"/>
    </row>
    <row r="14" spans="1:38" ht="14.25" customHeight="1">
      <c r="A14" s="4718"/>
      <c r="B14" s="219" t="s">
        <v>724</v>
      </c>
      <c r="C14" s="219">
        <v>7.7</v>
      </c>
      <c r="D14" s="216"/>
      <c r="E14" s="216"/>
      <c r="F14" s="216"/>
      <c r="G14" s="217"/>
      <c r="H14" s="208"/>
      <c r="I14" s="4726"/>
      <c r="J14" s="218" t="s">
        <v>724</v>
      </c>
      <c r="K14" s="218">
        <v>7.7</v>
      </c>
      <c r="L14" s="235"/>
      <c r="M14" s="235"/>
      <c r="N14" s="235"/>
      <c r="O14" s="236"/>
      <c r="P14" s="236"/>
      <c r="Q14" s="216"/>
      <c r="R14" s="216"/>
      <c r="S14" s="216"/>
      <c r="T14" s="70"/>
      <c r="U14" s="254"/>
      <c r="V14" s="252">
        <v>7</v>
      </c>
      <c r="W14" s="4352">
        <v>1.331</v>
      </c>
      <c r="X14" s="255"/>
      <c r="Y14" s="2566" t="s">
        <v>1171</v>
      </c>
      <c r="Z14" s="2566" t="s">
        <v>1163</v>
      </c>
      <c r="AA14" s="2567" t="s">
        <v>124</v>
      </c>
      <c r="AB14" s="2566" t="s">
        <v>1153</v>
      </c>
      <c r="AC14" s="2568"/>
      <c r="AD14" s="2568"/>
      <c r="AE14" s="2569">
        <f t="shared" si="1"/>
        <v>0</v>
      </c>
      <c r="AF14" s="2577" t="s">
        <v>674</v>
      </c>
      <c r="AG14" s="2570">
        <f t="shared" si="0"/>
        <v>17.777777777777779</v>
      </c>
      <c r="AH14" s="2570">
        <f t="shared" si="0"/>
        <v>22.222222222222221</v>
      </c>
      <c r="AI14" s="2571">
        <v>64</v>
      </c>
      <c r="AJ14" s="2571">
        <v>72</v>
      </c>
      <c r="AK14" s="208"/>
    </row>
    <row r="15" spans="1:38" ht="14.25" customHeight="1">
      <c r="A15" s="4718"/>
      <c r="B15" s="218" t="s">
        <v>725</v>
      </c>
      <c r="C15" s="218">
        <v>6.9</v>
      </c>
      <c r="D15" s="216"/>
      <c r="E15" s="216"/>
      <c r="F15" s="216"/>
      <c r="G15" s="217"/>
      <c r="H15" s="208"/>
      <c r="I15" s="4726"/>
      <c r="J15" s="218" t="s">
        <v>725</v>
      </c>
      <c r="K15" s="218">
        <v>6.9</v>
      </c>
      <c r="L15" s="235"/>
      <c r="M15" s="235"/>
      <c r="N15" s="235"/>
      <c r="O15" s="236"/>
      <c r="P15" s="236"/>
      <c r="Q15" s="216"/>
      <c r="R15" s="216"/>
      <c r="S15" s="216"/>
      <c r="T15" s="70"/>
      <c r="U15" s="254"/>
      <c r="V15" s="252">
        <v>8</v>
      </c>
      <c r="W15" s="4352">
        <v>1.282</v>
      </c>
      <c r="X15" s="255"/>
      <c r="Y15" s="2566" t="s">
        <v>1172</v>
      </c>
      <c r="Z15" s="2566" t="s">
        <v>1169</v>
      </c>
      <c r="AA15" s="2567" t="s">
        <v>124</v>
      </c>
      <c r="AB15" s="2566" t="s">
        <v>1153</v>
      </c>
      <c r="AC15" s="2568">
        <v>72</v>
      </c>
      <c r="AD15" s="2568">
        <v>76</v>
      </c>
      <c r="AE15" s="2569">
        <f t="shared" si="1"/>
        <v>74</v>
      </c>
      <c r="AF15" s="2577">
        <v>10</v>
      </c>
      <c r="AG15" s="2570">
        <f t="shared" si="0"/>
        <v>15.555555555555557</v>
      </c>
      <c r="AH15" s="2570">
        <f t="shared" si="0"/>
        <v>22.222222222222221</v>
      </c>
      <c r="AI15" s="2571">
        <v>60</v>
      </c>
      <c r="AJ15" s="2571">
        <v>72</v>
      </c>
      <c r="AK15" s="208"/>
    </row>
    <row r="16" spans="1:38" ht="14.25" customHeight="1">
      <c r="A16" s="4718"/>
      <c r="B16" s="219" t="s">
        <v>726</v>
      </c>
      <c r="C16" s="219">
        <v>5.5</v>
      </c>
      <c r="D16" s="216"/>
      <c r="E16" s="216"/>
      <c r="F16" s="216"/>
      <c r="G16" s="217"/>
      <c r="H16" s="208"/>
      <c r="I16" s="4726"/>
      <c r="J16" s="218" t="s">
        <v>726</v>
      </c>
      <c r="K16" s="218">
        <v>5.5</v>
      </c>
      <c r="L16" s="235"/>
      <c r="M16" s="4727" t="s">
        <v>1173</v>
      </c>
      <c r="N16" s="4727"/>
      <c r="O16" s="237"/>
      <c r="P16" s="83"/>
      <c r="Q16" s="83"/>
      <c r="R16" s="83"/>
      <c r="S16" s="253"/>
      <c r="T16" s="70"/>
      <c r="U16" s="254"/>
      <c r="V16" s="252">
        <v>9</v>
      </c>
      <c r="W16" s="4352">
        <v>1.2370000000000001</v>
      </c>
      <c r="X16" s="255"/>
      <c r="Y16" s="2566" t="s">
        <v>1174</v>
      </c>
      <c r="Z16" s="2566" t="s">
        <v>1152</v>
      </c>
      <c r="AA16" s="2567" t="s">
        <v>124</v>
      </c>
      <c r="AB16" s="2566" t="s">
        <v>1153</v>
      </c>
      <c r="AC16" s="2568">
        <v>72</v>
      </c>
      <c r="AD16" s="2568">
        <v>80</v>
      </c>
      <c r="AE16" s="2569">
        <f t="shared" si="1"/>
        <v>76</v>
      </c>
      <c r="AF16" s="2565" t="s">
        <v>1167</v>
      </c>
      <c r="AG16" s="2570">
        <f t="shared" si="0"/>
        <v>20</v>
      </c>
      <c r="AH16" s="2570">
        <f t="shared" si="0"/>
        <v>22.222222222222221</v>
      </c>
      <c r="AI16" s="2571">
        <v>68</v>
      </c>
      <c r="AJ16" s="2571">
        <v>72</v>
      </c>
      <c r="AK16" s="208"/>
    </row>
    <row r="17" spans="1:37" ht="14.25" customHeight="1">
      <c r="A17" s="4718"/>
      <c r="B17" s="218" t="s">
        <v>1175</v>
      </c>
      <c r="C17" s="218">
        <v>7.9</v>
      </c>
      <c r="D17" s="216"/>
      <c r="E17" s="216"/>
      <c r="F17" s="216"/>
      <c r="G17" s="217"/>
      <c r="H17" s="208"/>
      <c r="I17" s="4726"/>
      <c r="J17" s="218" t="s">
        <v>1175</v>
      </c>
      <c r="K17" s="218">
        <v>7.9</v>
      </c>
      <c r="L17" s="235"/>
      <c r="M17" s="3844" t="s">
        <v>542</v>
      </c>
      <c r="N17" s="3844"/>
      <c r="O17" s="1727">
        <v>1</v>
      </c>
      <c r="P17" s="3845" t="s">
        <v>255</v>
      </c>
      <c r="Q17" s="3845"/>
      <c r="R17" s="1727">
        <v>1</v>
      </c>
      <c r="S17" s="1729" t="s">
        <v>1176</v>
      </c>
      <c r="T17" s="1727">
        <v>69</v>
      </c>
      <c r="U17" s="2580" t="s">
        <v>257</v>
      </c>
      <c r="V17" s="252">
        <v>10</v>
      </c>
      <c r="W17" s="4352">
        <v>1.194</v>
      </c>
      <c r="X17" s="255"/>
      <c r="Y17" s="2566" t="s">
        <v>1177</v>
      </c>
      <c r="Z17" s="2566" t="s">
        <v>1169</v>
      </c>
      <c r="AA17" s="2567" t="s">
        <v>124</v>
      </c>
      <c r="AB17" s="2566" t="s">
        <v>1153</v>
      </c>
      <c r="AC17" s="2568">
        <v>73</v>
      </c>
      <c r="AD17" s="2568">
        <v>77</v>
      </c>
      <c r="AE17" s="2569">
        <f t="shared" si="1"/>
        <v>75</v>
      </c>
      <c r="AF17" s="2577">
        <v>9</v>
      </c>
      <c r="AG17" s="2570">
        <f t="shared" si="0"/>
        <v>8.8888888888888857</v>
      </c>
      <c r="AH17" s="2570">
        <f t="shared" si="0"/>
        <v>14.444444444444443</v>
      </c>
      <c r="AI17" s="2571">
        <v>48</v>
      </c>
      <c r="AJ17" s="2571">
        <v>58</v>
      </c>
      <c r="AK17" s="208"/>
    </row>
    <row r="18" spans="1:37" ht="14.25" customHeight="1">
      <c r="A18" s="4718"/>
      <c r="B18" s="218" t="s">
        <v>728</v>
      </c>
      <c r="C18" s="218">
        <v>4.5</v>
      </c>
      <c r="D18" s="216"/>
      <c r="E18" s="216"/>
      <c r="F18" s="216"/>
      <c r="G18" s="217"/>
      <c r="H18" s="208"/>
      <c r="I18" s="4726"/>
      <c r="J18" s="218" t="s">
        <v>728</v>
      </c>
      <c r="K18" s="218">
        <v>4.5</v>
      </c>
      <c r="L18" s="235"/>
      <c r="M18" s="3846" t="s">
        <v>548</v>
      </c>
      <c r="N18" s="3846"/>
      <c r="O18" s="3846"/>
      <c r="P18" s="3846"/>
      <c r="Q18" s="3846"/>
      <c r="R18" s="3846"/>
      <c r="S18" s="3846"/>
      <c r="T18" s="3846"/>
      <c r="U18" s="3846"/>
      <c r="V18" s="252">
        <v>11</v>
      </c>
      <c r="W18" s="4352">
        <v>1.1539999999999999</v>
      </c>
      <c r="X18" s="255"/>
      <c r="Y18" s="2566" t="s">
        <v>1178</v>
      </c>
      <c r="Z18" s="2566" t="s">
        <v>1163</v>
      </c>
      <c r="AA18" s="2567" t="s">
        <v>124</v>
      </c>
      <c r="AB18" s="2566" t="s">
        <v>1179</v>
      </c>
      <c r="AC18" s="2575"/>
      <c r="AD18" s="2575"/>
      <c r="AE18" s="2576" t="s">
        <v>1180</v>
      </c>
      <c r="AF18" s="2577" t="s">
        <v>674</v>
      </c>
      <c r="AG18" s="2570">
        <f t="shared" si="0"/>
        <v>20</v>
      </c>
      <c r="AH18" s="2570">
        <f t="shared" si="0"/>
        <v>22.222222222222221</v>
      </c>
      <c r="AI18" s="2571">
        <v>68</v>
      </c>
      <c r="AJ18" s="2571">
        <v>72</v>
      </c>
      <c r="AK18" s="208"/>
    </row>
    <row r="19" spans="1:37" ht="14.25" customHeight="1">
      <c r="A19" s="4718"/>
      <c r="B19" s="218" t="s">
        <v>729</v>
      </c>
      <c r="C19" s="218">
        <v>5.3</v>
      </c>
      <c r="D19" s="216"/>
      <c r="E19" s="216"/>
      <c r="F19" s="216"/>
      <c r="G19" s="217"/>
      <c r="H19" s="208"/>
      <c r="I19" s="4726"/>
      <c r="J19" s="218" t="s">
        <v>729</v>
      </c>
      <c r="K19" s="218">
        <v>5.3</v>
      </c>
      <c r="L19" s="235"/>
      <c r="M19" s="235"/>
      <c r="N19" s="235"/>
      <c r="O19" s="236"/>
      <c r="P19" s="236"/>
      <c r="Q19" s="216"/>
      <c r="R19" s="216"/>
      <c r="S19" s="216"/>
      <c r="T19" s="70"/>
      <c r="U19" s="254"/>
      <c r="V19" s="252">
        <v>12</v>
      </c>
      <c r="W19" s="4352">
        <v>1.117</v>
      </c>
      <c r="X19" s="255"/>
      <c r="Y19" s="2566" t="s">
        <v>1181</v>
      </c>
      <c r="Z19" s="2566" t="s">
        <v>1152</v>
      </c>
      <c r="AA19" s="2567" t="s">
        <v>124</v>
      </c>
      <c r="AB19" s="2566" t="s">
        <v>1153</v>
      </c>
      <c r="AC19" s="2568">
        <v>75</v>
      </c>
      <c r="AD19" s="2568">
        <v>80</v>
      </c>
      <c r="AE19" s="2569">
        <f t="shared" ref="AE19:AE26" si="2">(AC19+AD19)/2</f>
        <v>77.5</v>
      </c>
      <c r="AF19" s="2565" t="s">
        <v>1154</v>
      </c>
      <c r="AG19" s="2570">
        <f t="shared" si="0"/>
        <v>10</v>
      </c>
      <c r="AH19" s="2570">
        <f t="shared" si="0"/>
        <v>12.777777777777779</v>
      </c>
      <c r="AI19" s="2571">
        <v>50</v>
      </c>
      <c r="AJ19" s="2571">
        <v>55</v>
      </c>
      <c r="AK19" s="208"/>
    </row>
    <row r="20" spans="1:37" ht="14.25" customHeight="1">
      <c r="A20" s="4718"/>
      <c r="B20" s="218" t="s">
        <v>1182</v>
      </c>
      <c r="C20" s="218">
        <v>2</v>
      </c>
      <c r="D20" s="216"/>
      <c r="E20" s="216"/>
      <c r="F20" s="216"/>
      <c r="G20" s="217"/>
      <c r="H20" s="208"/>
      <c r="I20" s="4726"/>
      <c r="J20" s="218" t="s">
        <v>730</v>
      </c>
      <c r="K20" s="218">
        <v>13</v>
      </c>
      <c r="L20" s="235"/>
      <c r="M20" s="235"/>
      <c r="N20" s="235"/>
      <c r="O20" s="236"/>
      <c r="P20" s="236"/>
      <c r="Q20" s="216"/>
      <c r="R20" s="216"/>
      <c r="S20" s="216"/>
      <c r="T20" s="70"/>
      <c r="U20" s="254"/>
      <c r="V20" s="252">
        <v>13</v>
      </c>
      <c r="W20" s="4352">
        <v>1.083</v>
      </c>
      <c r="X20" s="255"/>
      <c r="Y20" s="2572" t="s">
        <v>1183</v>
      </c>
      <c r="Z20" s="2566" t="s">
        <v>1169</v>
      </c>
      <c r="AA20" s="2567" t="s">
        <v>124</v>
      </c>
      <c r="AB20" s="2566" t="s">
        <v>1165</v>
      </c>
      <c r="AC20" s="2568">
        <v>74</v>
      </c>
      <c r="AD20" s="2568">
        <v>78</v>
      </c>
      <c r="AE20" s="2569">
        <f t="shared" si="2"/>
        <v>76</v>
      </c>
      <c r="AF20" s="2577">
        <v>10</v>
      </c>
      <c r="AG20" s="2570">
        <f t="shared" si="0"/>
        <v>14.444444444444443</v>
      </c>
      <c r="AH20" s="2570">
        <f t="shared" si="0"/>
        <v>23.333333333333336</v>
      </c>
      <c r="AI20" s="2571">
        <v>58</v>
      </c>
      <c r="AJ20" s="2571">
        <v>74</v>
      </c>
      <c r="AK20" s="208"/>
    </row>
    <row r="21" spans="1:37" ht="14.25" customHeight="1">
      <c r="A21" s="4718"/>
      <c r="B21" s="218" t="s">
        <v>1184</v>
      </c>
      <c r="C21" s="218">
        <v>6.7</v>
      </c>
      <c r="D21" s="216"/>
      <c r="E21" s="216"/>
      <c r="F21" s="216"/>
      <c r="G21" s="217"/>
      <c r="H21" s="208"/>
      <c r="I21" s="4726"/>
      <c r="J21" s="218" t="s">
        <v>1182</v>
      </c>
      <c r="K21" s="218">
        <v>2</v>
      </c>
      <c r="L21" s="235"/>
      <c r="M21" s="3847" t="s">
        <v>1185</v>
      </c>
      <c r="N21" s="3847"/>
      <c r="O21" s="3847"/>
      <c r="P21" s="239">
        <v>3.15</v>
      </c>
      <c r="Q21" s="4557" t="s">
        <v>1186</v>
      </c>
      <c r="R21" s="4557"/>
      <c r="S21" s="216"/>
      <c r="T21" s="70"/>
      <c r="U21" s="254"/>
      <c r="V21" s="252">
        <f>(V20+V22)/2</f>
        <v>13.5</v>
      </c>
      <c r="W21" s="4345">
        <f>(W20+W22)/2</f>
        <v>1.0665</v>
      </c>
      <c r="X21" s="255"/>
      <c r="Y21" s="2572" t="s">
        <v>1187</v>
      </c>
      <c r="Z21" s="2566" t="s">
        <v>1152</v>
      </c>
      <c r="AA21" s="2567" t="s">
        <v>124</v>
      </c>
      <c r="AB21" s="2566" t="s">
        <v>1153</v>
      </c>
      <c r="AC21" s="2568">
        <v>73</v>
      </c>
      <c r="AD21" s="2568">
        <v>80</v>
      </c>
      <c r="AE21" s="2569">
        <f t="shared" si="2"/>
        <v>76.5</v>
      </c>
      <c r="AF21" s="2565" t="s">
        <v>1154</v>
      </c>
      <c r="AG21" s="2570">
        <f t="shared" si="0"/>
        <v>19.444444444444443</v>
      </c>
      <c r="AH21" s="2570">
        <f t="shared" si="0"/>
        <v>21.111111111111114</v>
      </c>
      <c r="AI21" s="2571">
        <v>67</v>
      </c>
      <c r="AJ21" s="2571">
        <v>70</v>
      </c>
      <c r="AK21" s="208"/>
    </row>
    <row r="22" spans="1:37" ht="14.25" customHeight="1">
      <c r="A22" s="4718"/>
      <c r="B22" s="218" t="s">
        <v>1188</v>
      </c>
      <c r="C22" s="218">
        <v>3</v>
      </c>
      <c r="D22" s="216"/>
      <c r="E22" s="216"/>
      <c r="F22" s="216"/>
      <c r="G22" s="217"/>
      <c r="H22" s="208"/>
      <c r="I22" s="4726"/>
      <c r="J22" s="218" t="s">
        <v>1184</v>
      </c>
      <c r="K22" s="218">
        <v>6.7</v>
      </c>
      <c r="L22" s="235"/>
      <c r="M22" s="235"/>
      <c r="N22" s="236"/>
      <c r="O22" s="236"/>
      <c r="P22" s="237"/>
      <c r="Q22" s="237"/>
      <c r="R22" s="216"/>
      <c r="S22" s="70"/>
      <c r="T22" s="70"/>
      <c r="U22" s="254"/>
      <c r="V22" s="252">
        <v>14</v>
      </c>
      <c r="W22" s="4352">
        <v>1.05</v>
      </c>
      <c r="X22" s="255"/>
      <c r="Y22" s="2581" t="s">
        <v>1189</v>
      </c>
      <c r="Z22" s="2566" t="s">
        <v>1152</v>
      </c>
      <c r="AA22" s="2567" t="s">
        <v>124</v>
      </c>
      <c r="AB22" s="2566" t="s">
        <v>1144</v>
      </c>
      <c r="AC22" s="2568">
        <v>70</v>
      </c>
      <c r="AD22" s="2568">
        <v>75</v>
      </c>
      <c r="AE22" s="2569">
        <f t="shared" si="2"/>
        <v>72.5</v>
      </c>
      <c r="AF22" s="2565" t="s">
        <v>1190</v>
      </c>
      <c r="AG22" s="2570">
        <f t="shared" si="0"/>
        <v>18.333333333333336</v>
      </c>
      <c r="AH22" s="2570">
        <f t="shared" si="0"/>
        <v>21.111111111111114</v>
      </c>
      <c r="AI22" s="2571">
        <v>65</v>
      </c>
      <c r="AJ22" s="2571">
        <v>70</v>
      </c>
      <c r="AK22" s="208"/>
    </row>
    <row r="23" spans="1:37" ht="14.25" customHeight="1">
      <c r="A23" s="4718"/>
      <c r="B23" s="218" t="s">
        <v>1191</v>
      </c>
      <c r="C23" s="218">
        <v>13</v>
      </c>
      <c r="D23" s="216"/>
      <c r="E23" s="216"/>
      <c r="F23" s="216"/>
      <c r="G23" s="217"/>
      <c r="H23" s="208"/>
      <c r="I23" s="4726"/>
      <c r="J23" s="218" t="s">
        <v>1192</v>
      </c>
      <c r="K23" s="218">
        <v>4</v>
      </c>
      <c r="L23" s="235"/>
      <c r="M23" s="235"/>
      <c r="N23" s="236"/>
      <c r="O23" s="236"/>
      <c r="P23" s="216"/>
      <c r="Q23" s="216"/>
      <c r="R23" s="216"/>
      <c r="S23" s="70"/>
      <c r="T23" s="70"/>
      <c r="U23" s="254"/>
      <c r="V23" s="252">
        <f>(V22+V24)/2</f>
        <v>14.5</v>
      </c>
      <c r="W23" s="4345">
        <f>(W22+W24)/2</f>
        <v>1.034</v>
      </c>
      <c r="X23" s="255"/>
      <c r="Y23" s="2566" t="s">
        <v>1193</v>
      </c>
      <c r="Z23" s="2566" t="s">
        <v>1152</v>
      </c>
      <c r="AA23" s="2567" t="s">
        <v>124</v>
      </c>
      <c r="AB23" s="2566" t="s">
        <v>1153</v>
      </c>
      <c r="AC23" s="2568">
        <v>74</v>
      </c>
      <c r="AD23" s="2568">
        <v>80</v>
      </c>
      <c r="AE23" s="2569">
        <f t="shared" si="2"/>
        <v>77</v>
      </c>
      <c r="AF23" s="2565" t="s">
        <v>1159</v>
      </c>
      <c r="AG23" s="2570">
        <f t="shared" si="0"/>
        <v>18.888888888888886</v>
      </c>
      <c r="AH23" s="2570">
        <f t="shared" si="0"/>
        <v>22.222222222222221</v>
      </c>
      <c r="AI23" s="2571">
        <v>66</v>
      </c>
      <c r="AJ23" s="2571">
        <v>72</v>
      </c>
      <c r="AK23" s="208"/>
    </row>
    <row r="24" spans="1:37" ht="14.25" customHeight="1">
      <c r="A24" s="4718"/>
      <c r="B24" s="220" t="s">
        <v>1194</v>
      </c>
      <c r="C24" s="218">
        <v>10.5</v>
      </c>
      <c r="D24" s="216"/>
      <c r="E24" s="216"/>
      <c r="F24" s="216"/>
      <c r="G24" s="217"/>
      <c r="H24" s="208"/>
      <c r="I24" s="4726"/>
      <c r="J24" s="218" t="s">
        <v>1188</v>
      </c>
      <c r="K24" s="218">
        <v>3</v>
      </c>
      <c r="L24" s="235"/>
      <c r="M24" s="235"/>
      <c r="N24" s="236"/>
      <c r="O24" s="236"/>
      <c r="P24" s="216"/>
      <c r="Q24" s="216"/>
      <c r="R24" s="216"/>
      <c r="S24" s="70"/>
      <c r="T24" s="70"/>
      <c r="U24" s="254"/>
      <c r="V24" s="252">
        <v>15</v>
      </c>
      <c r="W24" s="4352">
        <v>1.018</v>
      </c>
      <c r="X24" s="255"/>
      <c r="Y24" s="2566" t="s">
        <v>1195</v>
      </c>
      <c r="Z24" s="2566" t="s">
        <v>1169</v>
      </c>
      <c r="AA24" s="2567" t="s">
        <v>124</v>
      </c>
      <c r="AB24" s="2566" t="s">
        <v>1158</v>
      </c>
      <c r="AC24" s="2568">
        <v>73</v>
      </c>
      <c r="AD24" s="2568">
        <v>77</v>
      </c>
      <c r="AE24" s="2569">
        <f t="shared" si="2"/>
        <v>75</v>
      </c>
      <c r="AF24" s="2577">
        <v>9</v>
      </c>
      <c r="AG24" s="2570">
        <f t="shared" si="0"/>
        <v>7.7777777777777786</v>
      </c>
      <c r="AH24" s="2570">
        <f t="shared" si="0"/>
        <v>14.444444444444443</v>
      </c>
      <c r="AI24" s="2571">
        <v>46</v>
      </c>
      <c r="AJ24" s="2571">
        <v>58</v>
      </c>
      <c r="AK24" s="208"/>
    </row>
    <row r="25" spans="1:37" ht="14.25" customHeight="1">
      <c r="A25" s="4718"/>
      <c r="B25" s="218" t="s">
        <v>1196</v>
      </c>
      <c r="C25" s="218">
        <v>5</v>
      </c>
      <c r="D25" s="216"/>
      <c r="E25" s="216"/>
      <c r="F25" s="216"/>
      <c r="G25" s="217"/>
      <c r="H25" s="208"/>
      <c r="I25" s="4726"/>
      <c r="J25" s="218" t="s">
        <v>1191</v>
      </c>
      <c r="K25" s="218">
        <v>13</v>
      </c>
      <c r="L25" s="235"/>
      <c r="M25" s="235"/>
      <c r="N25" s="236"/>
      <c r="O25" s="236"/>
      <c r="P25" s="216"/>
      <c r="Q25" s="216"/>
      <c r="R25" s="216"/>
      <c r="S25" s="70"/>
      <c r="T25" s="70"/>
      <c r="U25" s="254"/>
      <c r="V25" s="252">
        <f>(V24+V26)/2</f>
        <v>15.5</v>
      </c>
      <c r="W25" s="4345">
        <f>(W24+W26)/2</f>
        <v>1.0015000000000001</v>
      </c>
      <c r="X25" s="255"/>
      <c r="Y25" s="2566" t="s">
        <v>1197</v>
      </c>
      <c r="Z25" s="2566" t="s">
        <v>1152</v>
      </c>
      <c r="AA25" s="2567" t="s">
        <v>124</v>
      </c>
      <c r="AB25" s="2566" t="s">
        <v>1165</v>
      </c>
      <c r="AC25" s="2568">
        <v>73</v>
      </c>
      <c r="AD25" s="2568">
        <v>77</v>
      </c>
      <c r="AE25" s="2569">
        <f t="shared" si="2"/>
        <v>75</v>
      </c>
      <c r="AF25" s="2565" t="s">
        <v>1154</v>
      </c>
      <c r="AG25" s="2570">
        <f t="shared" si="0"/>
        <v>18.888888888888886</v>
      </c>
      <c r="AH25" s="2570">
        <f t="shared" si="0"/>
        <v>21.111111111111114</v>
      </c>
      <c r="AI25" s="2571">
        <v>66</v>
      </c>
      <c r="AJ25" s="2571">
        <v>70</v>
      </c>
      <c r="AK25" s="208"/>
    </row>
    <row r="26" spans="1:37" ht="14.25" customHeight="1">
      <c r="A26" s="4718"/>
      <c r="B26" s="219" t="s">
        <v>1198</v>
      </c>
      <c r="C26" s="219">
        <v>8</v>
      </c>
      <c r="D26" s="216"/>
      <c r="E26" s="216"/>
      <c r="F26" s="216"/>
      <c r="G26" s="217"/>
      <c r="H26" s="208"/>
      <c r="I26" s="4726"/>
      <c r="J26" s="220" t="s">
        <v>1194</v>
      </c>
      <c r="K26" s="218">
        <v>10.5</v>
      </c>
      <c r="L26" s="235"/>
      <c r="M26" s="235"/>
      <c r="N26" s="236"/>
      <c r="O26" s="236"/>
      <c r="P26" s="216"/>
      <c r="Q26" s="216"/>
      <c r="R26" s="216"/>
      <c r="S26" s="70"/>
      <c r="T26" s="70"/>
      <c r="U26" s="254"/>
      <c r="V26" s="252">
        <v>16</v>
      </c>
      <c r="W26" s="4352">
        <v>0.98499999999999999</v>
      </c>
      <c r="X26" s="255"/>
      <c r="Y26" s="2566" t="s">
        <v>1199</v>
      </c>
      <c r="Z26" s="2566" t="s">
        <v>1163</v>
      </c>
      <c r="AA26" s="2567" t="s">
        <v>124</v>
      </c>
      <c r="AB26" s="2566" t="s">
        <v>1144</v>
      </c>
      <c r="AC26" s="2575"/>
      <c r="AD26" s="2575"/>
      <c r="AE26" s="2569">
        <f t="shared" si="2"/>
        <v>0</v>
      </c>
      <c r="AF26" s="2577" t="s">
        <v>674</v>
      </c>
      <c r="AG26" s="2570">
        <f t="shared" si="0"/>
        <v>10</v>
      </c>
      <c r="AH26" s="2570">
        <f t="shared" si="0"/>
        <v>13.888888888888886</v>
      </c>
      <c r="AI26" s="2571">
        <v>50</v>
      </c>
      <c r="AJ26" s="2571">
        <v>57</v>
      </c>
      <c r="AK26" s="208"/>
    </row>
    <row r="27" spans="1:37" ht="14.25" customHeight="1">
      <c r="A27" s="4718"/>
      <c r="B27" s="218" t="s">
        <v>1200</v>
      </c>
      <c r="C27" s="218">
        <v>7.5</v>
      </c>
      <c r="D27" s="216"/>
      <c r="E27" s="216"/>
      <c r="F27" s="216"/>
      <c r="G27" s="217"/>
      <c r="H27" s="208"/>
      <c r="I27" s="4726"/>
      <c r="J27" s="218" t="s">
        <v>1196</v>
      </c>
      <c r="K27" s="218">
        <v>5</v>
      </c>
      <c r="L27" s="235"/>
      <c r="M27" s="235"/>
      <c r="N27" s="236"/>
      <c r="O27" s="236"/>
      <c r="P27" s="216"/>
      <c r="Q27" s="216"/>
      <c r="R27" s="216"/>
      <c r="S27" s="70"/>
      <c r="T27" s="70"/>
      <c r="U27" s="254"/>
      <c r="V27" s="252">
        <f>(V26+V28)/2</f>
        <v>16.5</v>
      </c>
      <c r="W27" s="4345">
        <f>(W26+W28)/2</f>
        <v>0.97049999999999992</v>
      </c>
      <c r="X27" s="255"/>
      <c r="Y27" s="2566" t="s">
        <v>1201</v>
      </c>
      <c r="Z27" s="2566" t="s">
        <v>1169</v>
      </c>
      <c r="AA27" s="2567" t="s">
        <v>124</v>
      </c>
      <c r="AB27" s="2566" t="s">
        <v>1165</v>
      </c>
      <c r="AC27" s="2568">
        <v>70</v>
      </c>
      <c r="AD27" s="2568">
        <v>76</v>
      </c>
      <c r="AE27" s="2569">
        <f t="shared" ref="AE27:AE41" si="3">(AC27+AD27)/2</f>
        <v>73</v>
      </c>
      <c r="AF27" s="2577">
        <v>10</v>
      </c>
      <c r="AG27" s="2570">
        <f t="shared" si="0"/>
        <v>17.777777777777779</v>
      </c>
      <c r="AH27" s="2570">
        <f t="shared" si="0"/>
        <v>23.888888888888886</v>
      </c>
      <c r="AI27" s="2571">
        <v>64</v>
      </c>
      <c r="AJ27" s="2571">
        <v>75</v>
      </c>
      <c r="AK27" s="208"/>
    </row>
    <row r="28" spans="1:37" ht="14.25" customHeight="1">
      <c r="A28" s="4718"/>
      <c r="B28" s="219" t="s">
        <v>733</v>
      </c>
      <c r="C28" s="219">
        <v>8</v>
      </c>
      <c r="D28" s="216"/>
      <c r="E28" s="216"/>
      <c r="F28" s="216"/>
      <c r="G28" s="217"/>
      <c r="H28" s="208"/>
      <c r="I28" s="4726"/>
      <c r="J28" s="218" t="s">
        <v>1198</v>
      </c>
      <c r="K28" s="218">
        <v>8</v>
      </c>
      <c r="L28" s="235"/>
      <c r="M28" s="3848" t="s">
        <v>1202</v>
      </c>
      <c r="N28" s="3848"/>
      <c r="O28" s="3848"/>
      <c r="P28" s="3848"/>
      <c r="Q28" s="216"/>
      <c r="R28" s="216"/>
      <c r="S28" s="70"/>
      <c r="T28" s="70"/>
      <c r="U28" s="254"/>
      <c r="V28" s="252">
        <v>17</v>
      </c>
      <c r="W28" s="4352">
        <v>0.95599999999999996</v>
      </c>
      <c r="X28" s="255"/>
      <c r="Y28" s="2566" t="s">
        <v>1203</v>
      </c>
      <c r="Z28" s="2566" t="s">
        <v>1169</v>
      </c>
      <c r="AA28" s="2567" t="s">
        <v>124</v>
      </c>
      <c r="AB28" s="2566" t="s">
        <v>1153</v>
      </c>
      <c r="AC28" s="2568">
        <v>73</v>
      </c>
      <c r="AD28" s="2568">
        <v>77</v>
      </c>
      <c r="AE28" s="2569">
        <f t="shared" si="3"/>
        <v>75</v>
      </c>
      <c r="AF28" s="2577">
        <v>10</v>
      </c>
      <c r="AG28" s="2570">
        <f t="shared" si="0"/>
        <v>17.777777777777779</v>
      </c>
      <c r="AH28" s="2570">
        <f t="shared" si="0"/>
        <v>23.333333333333336</v>
      </c>
      <c r="AI28" s="2571">
        <v>64</v>
      </c>
      <c r="AJ28" s="2571">
        <v>74</v>
      </c>
      <c r="AK28" s="208"/>
    </row>
    <row r="29" spans="1:37" ht="14.25" customHeight="1">
      <c r="A29" s="4718"/>
      <c r="B29" s="218" t="s">
        <v>739</v>
      </c>
      <c r="C29" s="218">
        <v>8</v>
      </c>
      <c r="D29" s="216"/>
      <c r="E29" s="216"/>
      <c r="F29" s="216"/>
      <c r="G29" s="217"/>
      <c r="H29" s="208"/>
      <c r="I29" s="4726"/>
      <c r="J29" s="240" t="s">
        <v>1200</v>
      </c>
      <c r="K29" s="218">
        <v>7.5</v>
      </c>
      <c r="L29" s="235"/>
      <c r="M29" s="3849"/>
      <c r="N29" s="3850"/>
      <c r="O29" s="3851"/>
      <c r="P29" s="2582">
        <v>0.75</v>
      </c>
      <c r="Q29" s="3042" t="s">
        <v>1204</v>
      </c>
      <c r="R29" s="3042"/>
      <c r="S29" s="3042"/>
      <c r="T29" s="3043"/>
      <c r="U29" s="254"/>
      <c r="V29" s="252">
        <f>(V28+V30)/2</f>
        <v>17.5</v>
      </c>
      <c r="W29" s="4345">
        <f>(W28+W30)/2</f>
        <v>0.94199999999999995</v>
      </c>
      <c r="X29" s="255"/>
      <c r="Y29" s="2566" t="s">
        <v>1205</v>
      </c>
      <c r="Z29" s="2566" t="s">
        <v>1152</v>
      </c>
      <c r="AA29" s="2567" t="s">
        <v>124</v>
      </c>
      <c r="AB29" s="2566" t="s">
        <v>1144</v>
      </c>
      <c r="AC29" s="2568">
        <v>72</v>
      </c>
      <c r="AD29" s="2568">
        <v>80</v>
      </c>
      <c r="AE29" s="2569">
        <f t="shared" si="3"/>
        <v>76</v>
      </c>
      <c r="AF29" s="2565" t="s">
        <v>1154</v>
      </c>
      <c r="AG29" s="2570">
        <f t="shared" si="0"/>
        <v>18.333333333333336</v>
      </c>
      <c r="AH29" s="2570">
        <f t="shared" si="0"/>
        <v>21.111111111111114</v>
      </c>
      <c r="AI29" s="2571">
        <v>65</v>
      </c>
      <c r="AJ29" s="2571">
        <v>70</v>
      </c>
      <c r="AK29" s="208"/>
    </row>
    <row r="30" spans="1:37" ht="14.25" customHeight="1">
      <c r="A30" s="4718"/>
      <c r="B30" s="218" t="s">
        <v>741</v>
      </c>
      <c r="C30" s="218">
        <v>9</v>
      </c>
      <c r="D30" s="216"/>
      <c r="E30" s="216"/>
      <c r="F30" s="216"/>
      <c r="G30" s="217"/>
      <c r="H30" s="208"/>
      <c r="I30" s="4726"/>
      <c r="J30" s="218" t="s">
        <v>733</v>
      </c>
      <c r="K30" s="218">
        <v>8</v>
      </c>
      <c r="L30" s="235"/>
      <c r="M30" s="3728" t="s">
        <v>128</v>
      </c>
      <c r="N30" s="3822"/>
      <c r="O30" s="3729"/>
      <c r="P30" s="2291">
        <v>6200</v>
      </c>
      <c r="Q30" s="3048" t="str">
        <f>"g = "&amp;1*FIXED(($P$29*P30*Q$39/Q$41),0)&amp;"g LIQUID Extract"</f>
        <v>g = 4500g LIQUID Extract</v>
      </c>
      <c r="R30" s="3049"/>
      <c r="S30" s="3830" t="str">
        <f>"= "&amp;FIXED(($P$29*$P$30*Q$39/Q$40),0)&amp;"g DRY Extract †"</f>
        <v>= 3,822g DRY Extract †</v>
      </c>
      <c r="T30" s="3831"/>
      <c r="U30" s="254"/>
      <c r="V30" s="252">
        <v>18</v>
      </c>
      <c r="W30" s="4352">
        <v>0.92800000000000005</v>
      </c>
      <c r="X30" s="255"/>
      <c r="Y30" s="2566" t="s">
        <v>1206</v>
      </c>
      <c r="Z30" s="2566" t="s">
        <v>1169</v>
      </c>
      <c r="AA30" s="2567" t="s">
        <v>124</v>
      </c>
      <c r="AB30" s="2566" t="s">
        <v>1207</v>
      </c>
      <c r="AC30" s="2568">
        <v>74</v>
      </c>
      <c r="AD30" s="2568">
        <v>78</v>
      </c>
      <c r="AE30" s="2569">
        <f t="shared" si="3"/>
        <v>76</v>
      </c>
      <c r="AF30" s="2577">
        <v>12</v>
      </c>
      <c r="AG30" s="2570">
        <f t="shared" si="0"/>
        <v>20</v>
      </c>
      <c r="AH30" s="2570">
        <f t="shared" si="0"/>
        <v>25.555555555555557</v>
      </c>
      <c r="AI30" s="2571">
        <v>68</v>
      </c>
      <c r="AJ30" s="2571">
        <v>78</v>
      </c>
      <c r="AK30" s="208"/>
    </row>
    <row r="31" spans="1:37" ht="14.25" customHeight="1">
      <c r="A31" s="4728"/>
      <c r="B31" s="218" t="s">
        <v>745</v>
      </c>
      <c r="C31" s="218">
        <v>5.5</v>
      </c>
      <c r="G31" s="221"/>
      <c r="H31" s="208"/>
      <c r="I31" s="4726"/>
      <c r="J31" s="241" t="s">
        <v>734</v>
      </c>
      <c r="K31" s="218">
        <v>10</v>
      </c>
      <c r="L31" s="235"/>
      <c r="M31" s="3728" t="s">
        <v>131</v>
      </c>
      <c r="N31" s="3822"/>
      <c r="O31" s="3729"/>
      <c r="P31" s="2291">
        <v>1000</v>
      </c>
      <c r="Q31" s="3048" t="str">
        <f>"g  = "&amp;1*FIXED((P31*Q$41/Q$40),0)&amp;"g DRY Extract"</f>
        <v>g  = 849g DRY Extract</v>
      </c>
      <c r="R31" s="3049"/>
      <c r="S31" s="3830" t="str">
        <f>"= "&amp;1*FIXED($P$29*$P$30*Q$41/Q$39)&amp;"g Pale MALT †"</f>
        <v>= 4805g Pale MALT †</v>
      </c>
      <c r="T31" s="3831"/>
      <c r="U31" s="254"/>
      <c r="V31" s="252">
        <f>(V30+V32)/2</f>
        <v>18.5</v>
      </c>
      <c r="W31" s="4345">
        <f>(W30+W32)/2</f>
        <v>0.91500000000000004</v>
      </c>
      <c r="X31" s="255"/>
      <c r="Y31" s="2566"/>
      <c r="Z31" s="2566"/>
      <c r="AA31" s="2567"/>
      <c r="AB31" s="2566"/>
      <c r="AC31" s="2568"/>
      <c r="AD31" s="2568"/>
      <c r="AE31" s="2569">
        <f t="shared" si="3"/>
        <v>0</v>
      </c>
      <c r="AF31" s="2577"/>
      <c r="AG31" s="2570">
        <f t="shared" ref="AG31" si="4">((AI31+40)*5/9)-40</f>
        <v>20</v>
      </c>
      <c r="AH31" s="2570">
        <f t="shared" ref="AH31" si="5">((AJ31+40)*5/9)-40</f>
        <v>25.555555555555557</v>
      </c>
      <c r="AI31" s="2571">
        <v>68</v>
      </c>
      <c r="AJ31" s="2571">
        <v>78</v>
      </c>
      <c r="AK31" s="208"/>
    </row>
    <row r="32" spans="1:37" ht="14.25" customHeight="1">
      <c r="A32" s="4728"/>
      <c r="B32" s="219" t="s">
        <v>746</v>
      </c>
      <c r="C32" s="219">
        <v>11.2</v>
      </c>
      <c r="G32" s="221"/>
      <c r="H32" s="208"/>
      <c r="I32" s="4726"/>
      <c r="J32" s="241" t="s">
        <v>736</v>
      </c>
      <c r="K32" s="218">
        <v>11</v>
      </c>
      <c r="L32" s="235"/>
      <c r="M32" s="3728" t="s">
        <v>137</v>
      </c>
      <c r="N32" s="3822"/>
      <c r="O32" s="3729"/>
      <c r="P32" s="2291">
        <v>1000</v>
      </c>
      <c r="Q32" s="3048" t="str">
        <f>"g= "&amp;1*FIXED(($P$29*P32*Q40/Q41),0)&amp;" LIQUID Extract"</f>
        <v>g= 883 LIQUID Extract</v>
      </c>
      <c r="R32" s="3049"/>
      <c r="S32" s="3832" t="str">
        <f>"= "&amp;1*FIXED((P32*Q$39/Q$43),0)&amp;"g Pale MALT †"</f>
        <v>= 800g Pale MALT †</v>
      </c>
      <c r="T32" s="3833"/>
      <c r="U32" s="254"/>
      <c r="V32" s="252">
        <v>19</v>
      </c>
      <c r="W32" s="4352">
        <v>0.90200000000000002</v>
      </c>
      <c r="X32" s="255"/>
      <c r="Y32" s="2566" t="s">
        <v>1208</v>
      </c>
      <c r="Z32" s="2566" t="s">
        <v>1169</v>
      </c>
      <c r="AA32" s="2567" t="s">
        <v>124</v>
      </c>
      <c r="AB32" s="2566" t="s">
        <v>1153</v>
      </c>
      <c r="AC32" s="2568">
        <v>73</v>
      </c>
      <c r="AD32" s="2568">
        <v>77</v>
      </c>
      <c r="AE32" s="2569">
        <f t="shared" si="3"/>
        <v>75</v>
      </c>
      <c r="AF32" s="2577">
        <v>12</v>
      </c>
      <c r="AG32" s="2570">
        <f t="shared" si="0"/>
        <v>18.333333333333336</v>
      </c>
      <c r="AH32" s="2570">
        <f t="shared" si="0"/>
        <v>23.888888888888886</v>
      </c>
      <c r="AI32" s="2571">
        <v>65</v>
      </c>
      <c r="AJ32" s="2571">
        <v>75</v>
      </c>
      <c r="AK32" s="208"/>
    </row>
    <row r="33" spans="1:37" ht="14.25" customHeight="1">
      <c r="A33" s="4728"/>
      <c r="B33" s="218" t="s">
        <v>747</v>
      </c>
      <c r="C33" s="218">
        <v>5</v>
      </c>
      <c r="G33" s="221"/>
      <c r="H33" s="208"/>
      <c r="I33" s="4726"/>
      <c r="J33" s="218" t="s">
        <v>739</v>
      </c>
      <c r="K33" s="218">
        <v>8</v>
      </c>
      <c r="L33" s="236"/>
      <c r="M33" s="3834" t="s">
        <v>134</v>
      </c>
      <c r="N33" s="3835"/>
      <c r="O33" s="3836"/>
      <c r="P33" s="2291">
        <v>1000</v>
      </c>
      <c r="Q33" s="3762" t="str">
        <f>"g = "&amp;1*FIXED(1*P33*Q$41/Q$42,0)&amp;"g LIQUID Malt Extract"</f>
        <v>g = 1023g LIQUID Malt Extract</v>
      </c>
      <c r="R33" s="3763"/>
      <c r="S33" s="3763"/>
      <c r="T33" s="3837"/>
      <c r="U33" s="254"/>
      <c r="V33" s="252">
        <f>(V32+V34)/2</f>
        <v>19.5</v>
      </c>
      <c r="W33" s="4345">
        <f>(W32+W34)/2</f>
        <v>0.88949999999999996</v>
      </c>
      <c r="X33" s="255"/>
      <c r="Y33" s="2583" t="s">
        <v>1209</v>
      </c>
      <c r="Z33" s="2566" t="s">
        <v>1152</v>
      </c>
      <c r="AA33" s="2567" t="s">
        <v>124</v>
      </c>
      <c r="AB33" s="2566" t="s">
        <v>1153</v>
      </c>
      <c r="AC33" s="2568">
        <v>74</v>
      </c>
      <c r="AD33" s="2568">
        <v>82</v>
      </c>
      <c r="AE33" s="2569">
        <f t="shared" si="3"/>
        <v>78</v>
      </c>
      <c r="AF33" s="2565" t="s">
        <v>1159</v>
      </c>
      <c r="AG33" s="2570">
        <f t="shared" si="0"/>
        <v>18.888888888888886</v>
      </c>
      <c r="AH33" s="2570">
        <f t="shared" si="0"/>
        <v>22.222222222222221</v>
      </c>
      <c r="AI33" s="2571">
        <v>66</v>
      </c>
      <c r="AJ33" s="2571">
        <v>72</v>
      </c>
      <c r="AK33" s="208"/>
    </row>
    <row r="34" spans="1:37" ht="14.25" customHeight="1">
      <c r="A34" s="4728"/>
      <c r="B34" s="219" t="s">
        <v>748</v>
      </c>
      <c r="C34" s="219">
        <v>6.3</v>
      </c>
      <c r="G34" s="221"/>
      <c r="H34" s="208"/>
      <c r="I34" s="4726"/>
      <c r="J34" s="218" t="s">
        <v>740</v>
      </c>
      <c r="K34" s="218">
        <v>10</v>
      </c>
      <c r="L34" s="235"/>
      <c r="M34" s="3838" t="s">
        <v>1210</v>
      </c>
      <c r="N34" s="3839"/>
      <c r="O34" s="3840"/>
      <c r="P34" s="2584">
        <v>1000</v>
      </c>
      <c r="Q34" s="3841" t="str">
        <f>"g = "&amp;1*FIXED(1*P34*Q$42/Q$41,0)&amp;"g LIQUID Malt Extract""OLD"""</f>
        <v>g = 977g LIQUID Malt Extract"OLD"</v>
      </c>
      <c r="R34" s="3842"/>
      <c r="S34" s="3842"/>
      <c r="T34" s="3843"/>
      <c r="U34" s="254"/>
      <c r="V34" s="252">
        <v>20</v>
      </c>
      <c r="W34" s="4352">
        <v>0.877</v>
      </c>
      <c r="X34" s="255"/>
      <c r="Y34" s="2566" t="s">
        <v>1211</v>
      </c>
      <c r="Z34" s="2566" t="s">
        <v>1152</v>
      </c>
      <c r="AA34" s="2567" t="s">
        <v>124</v>
      </c>
      <c r="AB34" s="2566" t="s">
        <v>1153</v>
      </c>
      <c r="AC34" s="2568">
        <v>78</v>
      </c>
      <c r="AD34" s="2568">
        <v>85</v>
      </c>
      <c r="AE34" s="2569">
        <f t="shared" si="3"/>
        <v>81.5</v>
      </c>
      <c r="AF34" s="2565" t="s">
        <v>1167</v>
      </c>
      <c r="AG34" s="2570">
        <f t="shared" si="0"/>
        <v>20</v>
      </c>
      <c r="AH34" s="2570">
        <f t="shared" si="0"/>
        <v>25.555555555555557</v>
      </c>
      <c r="AI34" s="2571">
        <v>68</v>
      </c>
      <c r="AJ34" s="2571">
        <v>78</v>
      </c>
      <c r="AK34" s="208"/>
    </row>
    <row r="35" spans="1:37" ht="14.25" customHeight="1">
      <c r="A35" s="4728"/>
      <c r="B35" s="218" t="s">
        <v>752</v>
      </c>
      <c r="C35" s="218">
        <v>7.2</v>
      </c>
      <c r="G35" s="221"/>
      <c r="H35" s="208"/>
      <c r="I35" s="4726"/>
      <c r="J35" s="218" t="s">
        <v>741</v>
      </c>
      <c r="K35" s="218">
        <v>5</v>
      </c>
      <c r="L35" s="235"/>
      <c r="M35" s="2959" t="s">
        <v>1212</v>
      </c>
      <c r="N35" s="3820"/>
      <c r="O35" s="3821"/>
      <c r="P35" s="2291">
        <v>1000</v>
      </c>
      <c r="Q35" s="3064" t="str">
        <f>"g = "&amp;1*FIXED(P35*0.952,0)&amp;"g CANE Sugar"</f>
        <v>g = 952g CANE Sugar</v>
      </c>
      <c r="R35" s="3065"/>
      <c r="S35" s="3065"/>
      <c r="T35" s="3066"/>
      <c r="U35" s="254"/>
      <c r="V35" s="252">
        <f>(V34+V36)/2</f>
        <v>20.5</v>
      </c>
      <c r="W35" s="4345">
        <f>(W34+W36)/2</f>
        <v>0.86450000000000005</v>
      </c>
      <c r="X35" s="255"/>
      <c r="Y35" s="2583" t="s">
        <v>1213</v>
      </c>
      <c r="Z35" s="2566" t="s">
        <v>1169</v>
      </c>
      <c r="AA35" s="2567" t="s">
        <v>124</v>
      </c>
      <c r="AB35" s="2566" t="s">
        <v>1144</v>
      </c>
      <c r="AC35" s="2568">
        <v>72</v>
      </c>
      <c r="AD35" s="2568">
        <v>76</v>
      </c>
      <c r="AE35" s="2569">
        <f t="shared" si="3"/>
        <v>74</v>
      </c>
      <c r="AF35" s="2577">
        <v>12</v>
      </c>
      <c r="AG35" s="2570">
        <f t="shared" si="0"/>
        <v>18.333333333333336</v>
      </c>
      <c r="AH35" s="2570">
        <f t="shared" si="0"/>
        <v>24.444444444444443</v>
      </c>
      <c r="AI35" s="2571">
        <v>65</v>
      </c>
      <c r="AJ35" s="2571">
        <v>76</v>
      </c>
      <c r="AK35" s="208"/>
    </row>
    <row r="36" spans="1:37" ht="14.25" customHeight="1">
      <c r="A36" s="4728"/>
      <c r="B36" s="218" t="s">
        <v>755</v>
      </c>
      <c r="C36" s="218">
        <v>0</v>
      </c>
      <c r="G36" s="221"/>
      <c r="H36" s="208"/>
      <c r="I36" s="4726"/>
      <c r="J36" s="218" t="s">
        <v>742</v>
      </c>
      <c r="K36" s="218">
        <v>2.2000000000000002</v>
      </c>
      <c r="L36" s="235"/>
      <c r="M36" s="3728" t="s">
        <v>139</v>
      </c>
      <c r="N36" s="3822"/>
      <c r="O36" s="3729"/>
      <c r="P36" s="2291">
        <v>1000</v>
      </c>
      <c r="Q36" s="3061" t="str">
        <f>"g = "&amp;1*FIXED(P35*1/0.952,0)&amp;"g INVERT Sugar"</f>
        <v>g = 1050g INVERT Sugar</v>
      </c>
      <c r="R36" s="3062"/>
      <c r="S36" s="3062"/>
      <c r="T36" s="3063"/>
      <c r="U36" s="254"/>
      <c r="V36" s="252">
        <v>21</v>
      </c>
      <c r="W36" s="4352">
        <v>0.85199999999999998</v>
      </c>
      <c r="X36" s="255"/>
      <c r="Y36" s="2566" t="s">
        <v>1214</v>
      </c>
      <c r="Z36" s="2566" t="s">
        <v>1152</v>
      </c>
      <c r="AA36" s="2567" t="s">
        <v>124</v>
      </c>
      <c r="AB36" s="2566" t="s">
        <v>1165</v>
      </c>
      <c r="AC36" s="2568">
        <v>73</v>
      </c>
      <c r="AD36" s="2568">
        <v>78</v>
      </c>
      <c r="AE36" s="2569">
        <f t="shared" si="3"/>
        <v>75.5</v>
      </c>
      <c r="AF36" s="2565" t="s">
        <v>1159</v>
      </c>
      <c r="AG36" s="2570">
        <f t="shared" si="0"/>
        <v>20</v>
      </c>
      <c r="AH36" s="2570">
        <f t="shared" si="0"/>
        <v>23.888888888888886</v>
      </c>
      <c r="AI36" s="2571">
        <v>68</v>
      </c>
      <c r="AJ36" s="2571">
        <v>75</v>
      </c>
      <c r="AK36" s="208"/>
    </row>
    <row r="37" spans="1:37" ht="14.25" customHeight="1">
      <c r="A37" s="4728"/>
      <c r="B37" s="218" t="s">
        <v>755</v>
      </c>
      <c r="C37" s="218">
        <v>0</v>
      </c>
      <c r="G37" s="221"/>
      <c r="H37" s="208"/>
      <c r="I37" s="4726"/>
      <c r="J37" s="241" t="s">
        <v>744</v>
      </c>
      <c r="K37" s="218">
        <v>5.5</v>
      </c>
      <c r="L37" s="235"/>
      <c r="M37" s="3564" t="s">
        <v>122</v>
      </c>
      <c r="N37" s="3823"/>
      <c r="O37" s="3824"/>
      <c r="P37" s="3828" t="s">
        <v>915</v>
      </c>
      <c r="Q37" s="2585" t="s">
        <v>123</v>
      </c>
      <c r="R37" s="216"/>
      <c r="S37" s="70"/>
      <c r="T37" s="256"/>
      <c r="U37" s="254"/>
      <c r="V37" s="252">
        <f>(V36+V38)/2</f>
        <v>21.5</v>
      </c>
      <c r="W37" s="4345">
        <f>(W36+W38)/2</f>
        <v>0.83949999999999991</v>
      </c>
      <c r="X37" s="255"/>
      <c r="Y37" s="2566" t="s">
        <v>1215</v>
      </c>
      <c r="Z37" s="2566" t="s">
        <v>1169</v>
      </c>
      <c r="AA37" s="2567" t="s">
        <v>124</v>
      </c>
      <c r="AB37" s="2566" t="s">
        <v>1216</v>
      </c>
      <c r="AC37" s="2568">
        <v>70</v>
      </c>
      <c r="AD37" s="2568">
        <v>80</v>
      </c>
      <c r="AE37" s="2569">
        <f t="shared" si="3"/>
        <v>75</v>
      </c>
      <c r="AF37" s="2577">
        <v>11</v>
      </c>
      <c r="AG37" s="2570">
        <f t="shared" si="0"/>
        <v>17.222222222222221</v>
      </c>
      <c r="AH37" s="2570">
        <f t="shared" si="0"/>
        <v>23.888888888888886</v>
      </c>
      <c r="AI37" s="2571">
        <v>63</v>
      </c>
      <c r="AJ37" s="2571">
        <v>75</v>
      </c>
      <c r="AK37" s="208"/>
    </row>
    <row r="38" spans="1:37" ht="14.25" customHeight="1">
      <c r="A38" s="4728"/>
      <c r="B38" s="218" t="s">
        <v>755</v>
      </c>
      <c r="C38" s="218">
        <v>0</v>
      </c>
      <c r="G38" s="221"/>
      <c r="H38" s="208"/>
      <c r="I38" s="4726"/>
      <c r="J38" s="218" t="s">
        <v>745</v>
      </c>
      <c r="K38" s="218">
        <v>5.5</v>
      </c>
      <c r="L38" s="235"/>
      <c r="M38" s="3564"/>
      <c r="N38" s="3823"/>
      <c r="O38" s="3824"/>
      <c r="P38" s="3829"/>
      <c r="Q38" s="257" t="s">
        <v>1217</v>
      </c>
      <c r="R38" s="216"/>
      <c r="S38" s="70"/>
      <c r="T38" s="256"/>
      <c r="U38" s="254"/>
      <c r="V38" s="252">
        <v>22</v>
      </c>
      <c r="W38" s="4352">
        <v>0.82699999999999996</v>
      </c>
      <c r="X38" s="255"/>
      <c r="Y38" s="2566" t="s">
        <v>1218</v>
      </c>
      <c r="Z38" s="2566" t="s">
        <v>1169</v>
      </c>
      <c r="AA38" s="2567" t="s">
        <v>124</v>
      </c>
      <c r="AB38" s="2566" t="s">
        <v>1165</v>
      </c>
      <c r="AC38" s="2568">
        <v>76</v>
      </c>
      <c r="AD38" s="2568">
        <v>80</v>
      </c>
      <c r="AE38" s="2569">
        <f t="shared" si="3"/>
        <v>78</v>
      </c>
      <c r="AF38" s="2577">
        <v>12</v>
      </c>
      <c r="AG38" s="2570">
        <f t="shared" si="0"/>
        <v>21.111111111111114</v>
      </c>
      <c r="AH38" s="2570">
        <f t="shared" si="0"/>
        <v>35</v>
      </c>
      <c r="AI38" s="2571">
        <v>70</v>
      </c>
      <c r="AJ38" s="2571">
        <v>95</v>
      </c>
      <c r="AK38" s="208"/>
    </row>
    <row r="39" spans="1:37" ht="14.25" customHeight="1">
      <c r="A39" s="4728"/>
      <c r="B39" s="218" t="s">
        <v>755</v>
      </c>
      <c r="C39" s="218">
        <v>0</v>
      </c>
      <c r="G39" s="221"/>
      <c r="H39" s="208"/>
      <c r="I39" s="4726"/>
      <c r="J39" s="218" t="s">
        <v>746</v>
      </c>
      <c r="K39" s="218">
        <v>11.5</v>
      </c>
      <c r="L39" s="235"/>
      <c r="M39" s="3564" t="s">
        <v>937</v>
      </c>
      <c r="N39" s="3823"/>
      <c r="O39" s="3824"/>
      <c r="P39" s="242">
        <v>300</v>
      </c>
      <c r="Q39" s="258">
        <f>K63</f>
        <v>300</v>
      </c>
      <c r="R39" s="216"/>
      <c r="S39" s="70"/>
      <c r="T39" s="256"/>
      <c r="U39" s="254"/>
      <c r="V39" s="252">
        <f>(V38+V40)/2</f>
        <v>22.5</v>
      </c>
      <c r="W39" s="4345">
        <f>(W38+W40)/2</f>
        <v>0.8145</v>
      </c>
      <c r="X39" s="255"/>
      <c r="Y39" s="2566" t="s">
        <v>1219</v>
      </c>
      <c r="Z39" s="2566" t="s">
        <v>1152</v>
      </c>
      <c r="AA39" s="2567" t="s">
        <v>124</v>
      </c>
      <c r="AB39" s="2566" t="s">
        <v>1153</v>
      </c>
      <c r="AC39" s="2568">
        <v>65</v>
      </c>
      <c r="AD39" s="2568">
        <v>75</v>
      </c>
      <c r="AE39" s="2569">
        <f t="shared" si="3"/>
        <v>70</v>
      </c>
      <c r="AF39" s="2565" t="s">
        <v>1154</v>
      </c>
      <c r="AG39" s="2570">
        <f t="shared" si="0"/>
        <v>20</v>
      </c>
      <c r="AH39" s="2570">
        <f t="shared" si="0"/>
        <v>23.888888888888886</v>
      </c>
      <c r="AI39" s="2571">
        <v>68</v>
      </c>
      <c r="AJ39" s="2571">
        <v>75</v>
      </c>
      <c r="AK39" s="208"/>
    </row>
    <row r="40" spans="1:37" ht="14.25" customHeight="1">
      <c r="A40" s="4728"/>
      <c r="B40" s="218" t="s">
        <v>755</v>
      </c>
      <c r="C40" s="218">
        <v>0</v>
      </c>
      <c r="G40" s="221"/>
      <c r="H40" s="208"/>
      <c r="I40" s="4718"/>
      <c r="J40" s="218" t="s">
        <v>747</v>
      </c>
      <c r="K40" s="218">
        <v>5</v>
      </c>
      <c r="L40" s="235"/>
      <c r="M40" s="3564" t="s">
        <v>137</v>
      </c>
      <c r="N40" s="3823"/>
      <c r="O40" s="3824"/>
      <c r="P40" s="242">
        <v>365</v>
      </c>
      <c r="Q40" s="259">
        <f>K107</f>
        <v>365</v>
      </c>
      <c r="R40" s="216"/>
      <c r="S40" s="70"/>
      <c r="T40" s="256"/>
      <c r="U40" s="254"/>
      <c r="V40" s="252">
        <v>23</v>
      </c>
      <c r="W40" s="4352">
        <v>0.80200000000000005</v>
      </c>
      <c r="X40" s="255"/>
      <c r="Y40" s="2566" t="s">
        <v>1220</v>
      </c>
      <c r="Z40" s="2566" t="s">
        <v>1152</v>
      </c>
      <c r="AA40" s="2567" t="s">
        <v>124</v>
      </c>
      <c r="AB40" s="2566" t="s">
        <v>1153</v>
      </c>
      <c r="AC40" s="2568">
        <v>78</v>
      </c>
      <c r="AD40" s="2568">
        <v>85</v>
      </c>
      <c r="AE40" s="2569">
        <f t="shared" si="3"/>
        <v>81.5</v>
      </c>
      <c r="AF40" s="2565" t="s">
        <v>1154</v>
      </c>
      <c r="AG40" s="2570">
        <f t="shared" si="0"/>
        <v>20</v>
      </c>
      <c r="AH40" s="2570">
        <f t="shared" si="0"/>
        <v>25.555555555555557</v>
      </c>
      <c r="AI40" s="2571">
        <v>68</v>
      </c>
      <c r="AJ40" s="2571">
        <v>78</v>
      </c>
      <c r="AK40" s="208"/>
    </row>
    <row r="41" spans="1:37" ht="14.25" customHeight="1">
      <c r="A41" s="4728"/>
      <c r="B41" s="284"/>
      <c r="C41" s="284"/>
      <c r="G41" s="221"/>
      <c r="H41" s="208"/>
      <c r="I41" s="4718"/>
      <c r="J41" s="218" t="s">
        <v>748</v>
      </c>
      <c r="K41" s="218">
        <v>6.3</v>
      </c>
      <c r="L41" s="235"/>
      <c r="M41" s="3564" t="s">
        <v>1221</v>
      </c>
      <c r="N41" s="3823"/>
      <c r="O41" s="3824"/>
      <c r="P41" s="242">
        <v>310</v>
      </c>
      <c r="Q41" s="259">
        <f>K103</f>
        <v>310</v>
      </c>
      <c r="R41" s="216"/>
      <c r="S41" s="70"/>
      <c r="T41" s="256"/>
      <c r="U41" s="254"/>
      <c r="V41" s="252">
        <f>(V40+V42)/2</f>
        <v>23.5</v>
      </c>
      <c r="W41" s="4345">
        <f>(W40+W42)/2</f>
        <v>0.79150000000000009</v>
      </c>
      <c r="X41" s="255"/>
      <c r="Y41" s="2566" t="s">
        <v>1222</v>
      </c>
      <c r="Z41" s="2566" t="s">
        <v>1169</v>
      </c>
      <c r="AA41" s="2567" t="s">
        <v>124</v>
      </c>
      <c r="AB41" s="2566" t="s">
        <v>1165</v>
      </c>
      <c r="AC41" s="2568">
        <v>70</v>
      </c>
      <c r="AD41" s="2568">
        <v>76</v>
      </c>
      <c r="AE41" s="2569">
        <f t="shared" si="3"/>
        <v>73</v>
      </c>
      <c r="AF41" s="2577">
        <v>10</v>
      </c>
      <c r="AG41" s="2570">
        <f>((AI41+40)*5/9)-40</f>
        <v>17.777777777777779</v>
      </c>
      <c r="AH41" s="2570">
        <f>((AJ41+40)*5/9)-40</f>
        <v>23.888888888888886</v>
      </c>
      <c r="AI41" s="2571">
        <v>64</v>
      </c>
      <c r="AJ41" s="2571">
        <v>75</v>
      </c>
      <c r="AK41" s="208"/>
    </row>
    <row r="42" spans="1:37" ht="14.25" customHeight="1">
      <c r="A42" s="4728"/>
      <c r="B42" s="284"/>
      <c r="C42" s="284"/>
      <c r="G42" s="221"/>
      <c r="H42" s="208"/>
      <c r="I42" s="4718"/>
      <c r="J42" s="218" t="s">
        <v>752</v>
      </c>
      <c r="K42" s="218">
        <v>7.2</v>
      </c>
      <c r="L42" s="235"/>
      <c r="M42" s="3825" t="s">
        <v>138</v>
      </c>
      <c r="N42" s="3826"/>
      <c r="O42" s="3827"/>
      <c r="P42" s="243">
        <v>303</v>
      </c>
      <c r="Q42" s="260">
        <f>K113</f>
        <v>303</v>
      </c>
      <c r="R42" s="216"/>
      <c r="S42" s="70"/>
      <c r="T42" s="256"/>
      <c r="U42" s="254"/>
      <c r="V42" s="252">
        <v>24</v>
      </c>
      <c r="W42" s="4352">
        <v>0.78100000000000003</v>
      </c>
      <c r="X42" s="255"/>
      <c r="Y42" s="2566" t="s">
        <v>1223</v>
      </c>
      <c r="Z42" s="2566" t="s">
        <v>1152</v>
      </c>
      <c r="AA42" s="2567" t="s">
        <v>124</v>
      </c>
      <c r="AB42" s="2566" t="s">
        <v>1224</v>
      </c>
      <c r="AC42" s="2575" t="s">
        <v>1224</v>
      </c>
      <c r="AD42" s="2575" t="s">
        <v>1224</v>
      </c>
      <c r="AE42" s="2569" t="e">
        <f t="shared" ref="AE42:AE44" si="6">(AC42+AD42)/2</f>
        <v>#VALUE!</v>
      </c>
      <c r="AF42" s="2577" t="s">
        <v>1224</v>
      </c>
      <c r="AG42" s="2570" t="s">
        <v>1224</v>
      </c>
      <c r="AH42" s="2570" t="s">
        <v>1224</v>
      </c>
      <c r="AI42" s="2571" t="s">
        <v>1224</v>
      </c>
      <c r="AJ42" s="2571" t="s">
        <v>1224</v>
      </c>
      <c r="AK42" s="208"/>
    </row>
    <row r="43" spans="1:37" ht="14.25" customHeight="1">
      <c r="A43" s="4728"/>
      <c r="B43" s="284"/>
      <c r="C43" s="284"/>
      <c r="G43" s="221"/>
      <c r="H43" s="208"/>
      <c r="I43" s="4718"/>
      <c r="J43" s="218" t="s">
        <v>753</v>
      </c>
      <c r="K43" s="218">
        <v>9</v>
      </c>
      <c r="L43" s="235"/>
      <c r="M43" s="3068" t="s">
        <v>1225</v>
      </c>
      <c r="N43" s="3056"/>
      <c r="O43" s="3057"/>
      <c r="P43" s="242">
        <v>375</v>
      </c>
      <c r="Q43" s="259">
        <f>K132</f>
        <v>375</v>
      </c>
      <c r="R43" s="216"/>
      <c r="S43" s="70"/>
      <c r="T43" s="256"/>
      <c r="U43" s="254"/>
      <c r="V43" s="252">
        <f>(V42+V44)/2</f>
        <v>24.5</v>
      </c>
      <c r="W43" s="4345">
        <f>(W42+W44)/2</f>
        <v>0.77</v>
      </c>
      <c r="X43" s="255"/>
      <c r="Y43" s="2566" t="s">
        <v>1226</v>
      </c>
      <c r="Z43" s="2566" t="s">
        <v>1169</v>
      </c>
      <c r="AA43" s="2567" t="s">
        <v>124</v>
      </c>
      <c r="AB43" s="2566" t="s">
        <v>1165</v>
      </c>
      <c r="AC43" s="2568">
        <v>74</v>
      </c>
      <c r="AD43" s="2568">
        <v>78</v>
      </c>
      <c r="AE43" s="2569">
        <f t="shared" si="6"/>
        <v>76</v>
      </c>
      <c r="AF43" s="2577" t="s">
        <v>1227</v>
      </c>
      <c r="AG43" s="2570">
        <f t="shared" ref="AG43:AH74" si="7">((AI43+40)*5/9)-40</f>
        <v>17.777777777777779</v>
      </c>
      <c r="AH43" s="2570">
        <f t="shared" si="7"/>
        <v>26.666666666666671</v>
      </c>
      <c r="AI43" s="2571">
        <v>64</v>
      </c>
      <c r="AJ43" s="2571">
        <v>80</v>
      </c>
      <c r="AK43" s="208"/>
    </row>
    <row r="44" spans="1:37" ht="14.25" customHeight="1">
      <c r="A44" s="4728"/>
      <c r="B44" s="284"/>
      <c r="C44" s="284"/>
      <c r="G44" s="221"/>
      <c r="H44" s="208"/>
      <c r="I44" s="4718"/>
      <c r="J44" s="218" t="s">
        <v>755</v>
      </c>
      <c r="K44" s="218">
        <v>0</v>
      </c>
      <c r="L44" s="235"/>
      <c r="M44" s="3068" t="s">
        <v>1228</v>
      </c>
      <c r="N44" s="3056"/>
      <c r="O44" s="3057"/>
      <c r="P44" s="244">
        <f>375*0.952</f>
        <v>357</v>
      </c>
      <c r="Q44" s="259">
        <f>375*0.952</f>
        <v>357</v>
      </c>
      <c r="R44" s="216"/>
      <c r="S44" s="70"/>
      <c r="T44" s="256"/>
      <c r="U44" s="254"/>
      <c r="V44" s="252">
        <v>25</v>
      </c>
      <c r="W44" s="4352">
        <v>0.75900000000000001</v>
      </c>
      <c r="X44" s="255"/>
      <c r="Y44" s="2566" t="s">
        <v>1229</v>
      </c>
      <c r="Z44" s="2566" t="s">
        <v>1152</v>
      </c>
      <c r="AA44" s="2567" t="s">
        <v>124</v>
      </c>
      <c r="AB44" s="2566" t="s">
        <v>1153</v>
      </c>
      <c r="AC44" s="2568">
        <v>78</v>
      </c>
      <c r="AD44" s="2568">
        <v>85</v>
      </c>
      <c r="AE44" s="2569">
        <f t="shared" si="6"/>
        <v>81.5</v>
      </c>
      <c r="AF44" s="2565" t="s">
        <v>1159</v>
      </c>
      <c r="AG44" s="2570">
        <f t="shared" si="7"/>
        <v>18.888888888888886</v>
      </c>
      <c r="AH44" s="2570">
        <f t="shared" si="7"/>
        <v>22.222222222222221</v>
      </c>
      <c r="AI44" s="2571">
        <v>66</v>
      </c>
      <c r="AJ44" s="2571">
        <v>72</v>
      </c>
      <c r="AK44" s="208"/>
    </row>
    <row r="45" spans="1:37" ht="14.25" customHeight="1">
      <c r="A45" s="4728"/>
      <c r="B45" s="284"/>
      <c r="C45" s="284"/>
      <c r="G45" s="221"/>
      <c r="H45" s="208"/>
      <c r="I45" s="4718"/>
      <c r="J45" s="218" t="s">
        <v>755</v>
      </c>
      <c r="K45" s="218">
        <v>0</v>
      </c>
      <c r="L45" s="235"/>
      <c r="M45" s="236"/>
      <c r="N45" s="236"/>
      <c r="O45" s="236"/>
      <c r="P45" s="236"/>
      <c r="Q45" s="236"/>
      <c r="R45" s="236"/>
      <c r="S45" s="70"/>
      <c r="T45" s="70"/>
      <c r="U45" s="254"/>
      <c r="V45" s="252">
        <f>(V44+V46)/2</f>
        <v>25.5</v>
      </c>
      <c r="W45" s="4345">
        <f>(W44+W46)/2</f>
        <v>0.74849999999999994</v>
      </c>
      <c r="X45" s="255"/>
      <c r="Y45" s="2566" t="s">
        <v>1230</v>
      </c>
      <c r="Z45" s="2566" t="s">
        <v>1152</v>
      </c>
      <c r="AA45" s="2567" t="s">
        <v>124</v>
      </c>
      <c r="AB45" s="2566" t="s">
        <v>1153</v>
      </c>
      <c r="AC45" s="2568">
        <v>74</v>
      </c>
      <c r="AD45" s="2568">
        <v>80</v>
      </c>
      <c r="AE45" s="2569">
        <f t="shared" ref="AE45:AE53" si="8">(AC45+AD45)/2</f>
        <v>77</v>
      </c>
      <c r="AF45" s="2565" t="s">
        <v>1167</v>
      </c>
      <c r="AG45" s="2570">
        <f t="shared" si="7"/>
        <v>20</v>
      </c>
      <c r="AH45" s="2570">
        <f t="shared" si="7"/>
        <v>23.888888888888886</v>
      </c>
      <c r="AI45" s="2571">
        <v>68</v>
      </c>
      <c r="AJ45" s="2571">
        <v>75</v>
      </c>
      <c r="AK45" s="208"/>
    </row>
    <row r="46" spans="1:37" ht="14.25" customHeight="1">
      <c r="A46" s="4728"/>
      <c r="B46" s="284"/>
      <c r="C46" s="284"/>
      <c r="G46" s="221"/>
      <c r="H46" s="208"/>
      <c r="I46" s="4718"/>
      <c r="J46" s="218" t="s">
        <v>755</v>
      </c>
      <c r="K46" s="218">
        <v>0</v>
      </c>
      <c r="L46" s="235"/>
      <c r="M46" s="237"/>
      <c r="N46" s="237"/>
      <c r="O46" s="237"/>
      <c r="P46" s="237"/>
      <c r="Q46" s="237"/>
      <c r="R46" s="237"/>
      <c r="S46" s="237"/>
      <c r="T46" s="237"/>
      <c r="U46" s="254"/>
      <c r="V46" s="252">
        <v>26</v>
      </c>
      <c r="W46" s="4352">
        <v>0.73799999999999999</v>
      </c>
      <c r="X46" s="255"/>
      <c r="Y46" s="2566" t="s">
        <v>1231</v>
      </c>
      <c r="Z46" s="2566" t="s">
        <v>1169</v>
      </c>
      <c r="AA46" s="2567" t="s">
        <v>124</v>
      </c>
      <c r="AB46" s="2566" t="s">
        <v>1153</v>
      </c>
      <c r="AC46" s="2568">
        <v>72</v>
      </c>
      <c r="AD46" s="2568">
        <v>76</v>
      </c>
      <c r="AE46" s="2569">
        <f t="shared" si="8"/>
        <v>74</v>
      </c>
      <c r="AF46" s="2577">
        <v>12</v>
      </c>
      <c r="AG46" s="2570">
        <f t="shared" si="7"/>
        <v>17.777777777777779</v>
      </c>
      <c r="AH46" s="2570">
        <f t="shared" si="7"/>
        <v>23.333333333333336</v>
      </c>
      <c r="AI46" s="2571">
        <v>64</v>
      </c>
      <c r="AJ46" s="2571">
        <v>74</v>
      </c>
      <c r="AK46" s="208"/>
    </row>
    <row r="47" spans="1:37" ht="14.25" customHeight="1">
      <c r="A47" s="4728"/>
      <c r="B47" s="284"/>
      <c r="C47" s="284"/>
      <c r="G47" s="221"/>
      <c r="H47" s="208"/>
      <c r="I47" s="4718"/>
      <c r="J47" s="218" t="s">
        <v>755</v>
      </c>
      <c r="K47" s="218">
        <v>0</v>
      </c>
      <c r="L47" s="235"/>
      <c r="M47" s="235"/>
      <c r="N47" s="236"/>
      <c r="O47" s="236"/>
      <c r="P47" s="1924"/>
      <c r="Q47" s="216"/>
      <c r="R47" s="216"/>
      <c r="S47" s="70"/>
      <c r="T47" s="70"/>
      <c r="U47" s="254"/>
      <c r="V47" s="252">
        <v>27</v>
      </c>
      <c r="W47" s="4352">
        <v>0.71799999999999997</v>
      </c>
      <c r="X47" s="255"/>
      <c r="Y47" s="2566" t="s">
        <v>1232</v>
      </c>
      <c r="Z47" s="2566" t="s">
        <v>1152</v>
      </c>
      <c r="AA47" s="2567" t="s">
        <v>124</v>
      </c>
      <c r="AB47" s="2566" t="s">
        <v>1170</v>
      </c>
      <c r="AC47" s="2568">
        <v>74</v>
      </c>
      <c r="AD47" s="2568">
        <v>78</v>
      </c>
      <c r="AE47" s="2569">
        <f t="shared" si="8"/>
        <v>76</v>
      </c>
      <c r="AF47" s="2565" t="s">
        <v>1154</v>
      </c>
      <c r="AG47" s="2570">
        <f t="shared" si="7"/>
        <v>19.444444444444443</v>
      </c>
      <c r="AH47" s="2570">
        <f t="shared" si="7"/>
        <v>23.333333333333336</v>
      </c>
      <c r="AI47" s="2571">
        <v>67</v>
      </c>
      <c r="AJ47" s="2571">
        <v>74</v>
      </c>
      <c r="AK47" s="208"/>
    </row>
    <row r="48" spans="1:37" ht="14.25" customHeight="1">
      <c r="A48" s="4728"/>
      <c r="G48" s="221"/>
      <c r="H48" s="208"/>
      <c r="I48" s="4718"/>
      <c r="J48" s="218" t="s">
        <v>755</v>
      </c>
      <c r="K48" s="218">
        <v>0</v>
      </c>
      <c r="L48" s="235"/>
      <c r="M48" s="235"/>
      <c r="N48" s="237"/>
      <c r="O48" s="236"/>
      <c r="P48" s="1924"/>
      <c r="Q48" s="216"/>
      <c r="R48" s="216"/>
      <c r="S48" s="70"/>
      <c r="T48" s="70"/>
      <c r="U48" s="254"/>
      <c r="V48" s="252">
        <v>28</v>
      </c>
      <c r="W48" s="4352">
        <v>0.69899999999999995</v>
      </c>
      <c r="X48" s="255"/>
      <c r="Y48" s="2566" t="s">
        <v>1233</v>
      </c>
      <c r="Z48" s="2566" t="s">
        <v>1152</v>
      </c>
      <c r="AA48" s="2567" t="s">
        <v>124</v>
      </c>
      <c r="AB48" s="2566" t="s">
        <v>1170</v>
      </c>
      <c r="AC48" s="2568">
        <v>70</v>
      </c>
      <c r="AD48" s="2568">
        <v>75</v>
      </c>
      <c r="AE48" s="2569">
        <f t="shared" si="8"/>
        <v>72.5</v>
      </c>
      <c r="AF48" s="2565" t="s">
        <v>1154</v>
      </c>
      <c r="AG48" s="2570">
        <f t="shared" si="7"/>
        <v>19.444444444444443</v>
      </c>
      <c r="AH48" s="2570">
        <f t="shared" si="7"/>
        <v>23.333333333333336</v>
      </c>
      <c r="AI48" s="2571">
        <v>67</v>
      </c>
      <c r="AJ48" s="2571">
        <v>74</v>
      </c>
      <c r="AK48" s="208"/>
    </row>
    <row r="49" spans="1:37" ht="14.25" customHeight="1">
      <c r="A49" s="4728"/>
      <c r="G49" s="221"/>
      <c r="H49" s="208"/>
      <c r="I49" s="4718"/>
      <c r="J49" s="218" t="s">
        <v>755</v>
      </c>
      <c r="K49" s="218">
        <v>0</v>
      </c>
      <c r="L49" s="235"/>
      <c r="M49" s="235"/>
      <c r="N49" s="236"/>
      <c r="O49" s="236"/>
      <c r="P49" s="1924"/>
      <c r="Q49" s="1924"/>
      <c r="R49" s="1924"/>
      <c r="S49" s="1924"/>
      <c r="T49" s="1924"/>
      <c r="U49" s="254"/>
      <c r="V49" s="252">
        <v>29</v>
      </c>
      <c r="W49" s="4346">
        <v>0.68200000000000005</v>
      </c>
      <c r="X49" s="255"/>
      <c r="Y49" s="2566" t="s">
        <v>1234</v>
      </c>
      <c r="Z49" s="2566" t="s">
        <v>1169</v>
      </c>
      <c r="AA49" s="2567" t="s">
        <v>124</v>
      </c>
      <c r="AB49" s="2566" t="s">
        <v>1153</v>
      </c>
      <c r="AC49" s="2568">
        <v>72</v>
      </c>
      <c r="AD49" s="2568">
        <v>76</v>
      </c>
      <c r="AE49" s="2569">
        <f t="shared" si="8"/>
        <v>74</v>
      </c>
      <c r="AF49" s="2577" t="s">
        <v>1235</v>
      </c>
      <c r="AG49" s="2570">
        <f t="shared" si="7"/>
        <v>16.666666666666664</v>
      </c>
      <c r="AH49" s="2570">
        <f t="shared" si="7"/>
        <v>23.888888888888886</v>
      </c>
      <c r="AI49" s="2571">
        <v>62</v>
      </c>
      <c r="AJ49" s="2571">
        <v>75</v>
      </c>
      <c r="AK49" s="208"/>
    </row>
    <row r="50" spans="1:37" ht="14.25" customHeight="1">
      <c r="A50" s="4728"/>
      <c r="G50" s="221"/>
      <c r="H50" s="208"/>
      <c r="I50" s="4718"/>
      <c r="J50" s="237"/>
      <c r="K50" s="237"/>
      <c r="L50" s="235"/>
      <c r="M50" s="235"/>
      <c r="N50" s="236"/>
      <c r="O50" s="236"/>
      <c r="P50" s="3559" t="s">
        <v>847</v>
      </c>
      <c r="Q50" s="3559"/>
      <c r="R50" s="3559"/>
      <c r="S50" s="3559"/>
      <c r="T50" s="3559"/>
      <c r="U50" s="254"/>
      <c r="V50" s="261">
        <v>30</v>
      </c>
      <c r="W50" s="4396">
        <v>0.66500000000000004</v>
      </c>
      <c r="X50" s="255"/>
      <c r="Y50" s="2566" t="s">
        <v>1236</v>
      </c>
      <c r="Z50" s="2566" t="s">
        <v>1152</v>
      </c>
      <c r="AA50" s="2567" t="s">
        <v>124</v>
      </c>
      <c r="AB50" s="2566" t="s">
        <v>1153</v>
      </c>
      <c r="AC50" s="2579">
        <v>73</v>
      </c>
      <c r="AD50" s="2568">
        <v>80</v>
      </c>
      <c r="AE50" s="2569">
        <f t="shared" si="8"/>
        <v>76.5</v>
      </c>
      <c r="AF50" s="2586" t="s">
        <v>1154</v>
      </c>
      <c r="AG50" s="2570">
        <f t="shared" si="7"/>
        <v>20</v>
      </c>
      <c r="AH50" s="2573">
        <f t="shared" si="7"/>
        <v>22.222222222222221</v>
      </c>
      <c r="AI50" s="2574">
        <v>68</v>
      </c>
      <c r="AJ50" s="2571">
        <v>72</v>
      </c>
      <c r="AK50" s="208"/>
    </row>
    <row r="51" spans="1:37" ht="14.25" customHeight="1">
      <c r="A51" s="4728"/>
      <c r="F51" s="222"/>
      <c r="G51" s="221"/>
      <c r="H51" s="208"/>
      <c r="I51" s="4718"/>
      <c r="J51" s="237"/>
      <c r="K51" s="237"/>
      <c r="L51" s="235"/>
      <c r="M51" s="235"/>
      <c r="N51" s="236"/>
      <c r="O51" s="236"/>
      <c r="P51" s="236"/>
      <c r="Q51" s="1729" t="s">
        <v>270</v>
      </c>
      <c r="R51" s="1729" t="s">
        <v>271</v>
      </c>
      <c r="S51" s="1729" t="s">
        <v>294</v>
      </c>
      <c r="T51" s="70"/>
      <c r="U51" s="254"/>
      <c r="V51" s="237"/>
      <c r="W51" s="237"/>
      <c r="X51" s="255"/>
      <c r="Y51" s="2566" t="s">
        <v>1237</v>
      </c>
      <c r="Z51" s="2566" t="s">
        <v>1169</v>
      </c>
      <c r="AA51" s="2567" t="s">
        <v>124</v>
      </c>
      <c r="AB51" s="2566" t="s">
        <v>1165</v>
      </c>
      <c r="AC51" s="2568">
        <v>74</v>
      </c>
      <c r="AD51" s="2568">
        <v>79</v>
      </c>
      <c r="AE51" s="2569">
        <f t="shared" si="8"/>
        <v>76.5</v>
      </c>
      <c r="AF51" s="2577">
        <v>12</v>
      </c>
      <c r="AG51" s="2570">
        <f t="shared" si="7"/>
        <v>21.111111111111114</v>
      </c>
      <c r="AH51" s="2570">
        <f t="shared" si="7"/>
        <v>26.111111111111114</v>
      </c>
      <c r="AI51" s="2571">
        <v>70</v>
      </c>
      <c r="AJ51" s="2571">
        <v>79</v>
      </c>
      <c r="AK51" s="208"/>
    </row>
    <row r="52" spans="1:37" ht="14.25" customHeight="1">
      <c r="A52" s="4719" t="s">
        <v>1238</v>
      </c>
      <c r="B52" s="4719"/>
      <c r="C52" s="4719"/>
      <c r="D52" s="4719"/>
      <c r="E52" s="216"/>
      <c r="F52" s="216"/>
      <c r="G52" s="217"/>
      <c r="H52" s="208"/>
      <c r="I52" s="4719" t="s">
        <v>1239</v>
      </c>
      <c r="J52" s="4719"/>
      <c r="K52" s="4719"/>
      <c r="L52" s="4719"/>
      <c r="M52" s="235"/>
      <c r="N52" s="236"/>
      <c r="O52" s="236"/>
      <c r="P52" s="236"/>
      <c r="Q52" s="2282">
        <f>(R52/0.3750625)-1.4</f>
        <v>51.924445925679052</v>
      </c>
      <c r="R52" s="2587" t="s">
        <v>1240</v>
      </c>
      <c r="S52" s="2282">
        <f>((R52+0.1)*0.3750625)+0.5</f>
        <v>8.0387562500000023</v>
      </c>
      <c r="T52" s="70"/>
      <c r="U52" s="254"/>
      <c r="V52" s="237"/>
      <c r="W52" s="237"/>
      <c r="X52" s="255"/>
      <c r="Y52" s="2566" t="s">
        <v>1241</v>
      </c>
      <c r="Z52" s="2566" t="s">
        <v>1169</v>
      </c>
      <c r="AA52" s="2567" t="s">
        <v>124</v>
      </c>
      <c r="AB52" s="2566" t="s">
        <v>1207</v>
      </c>
      <c r="AC52" s="2568">
        <v>73</v>
      </c>
      <c r="AD52" s="2568">
        <v>77</v>
      </c>
      <c r="AE52" s="2569">
        <f t="shared" si="8"/>
        <v>75</v>
      </c>
      <c r="AF52" s="2577">
        <v>9</v>
      </c>
      <c r="AG52" s="2570">
        <f t="shared" si="7"/>
        <v>7.2222222222222214</v>
      </c>
      <c r="AH52" s="2570">
        <f t="shared" si="7"/>
        <v>20</v>
      </c>
      <c r="AI52" s="2571">
        <v>45</v>
      </c>
      <c r="AJ52" s="2571">
        <v>68</v>
      </c>
      <c r="AK52" s="208"/>
    </row>
    <row r="53" spans="1:37" ht="14.25" customHeight="1">
      <c r="A53" s="4729" t="s">
        <v>1242</v>
      </c>
      <c r="B53" s="4729"/>
      <c r="C53" s="4729"/>
      <c r="D53" s="4729"/>
      <c r="E53" s="4729"/>
      <c r="F53" s="4729"/>
      <c r="G53" s="4729"/>
      <c r="H53" s="208"/>
      <c r="I53" s="4730" t="s">
        <v>1243</v>
      </c>
      <c r="J53" s="3816"/>
      <c r="K53" s="3816"/>
      <c r="L53" s="3816"/>
      <c r="M53" s="3816"/>
      <c r="N53" s="3816"/>
      <c r="O53" s="3816"/>
      <c r="P53" s="3816"/>
      <c r="Q53" s="3816"/>
      <c r="R53" s="3816"/>
      <c r="S53" s="262"/>
      <c r="T53" s="262"/>
      <c r="U53" s="263"/>
      <c r="V53" s="237"/>
      <c r="W53" s="237"/>
      <c r="X53" s="255"/>
      <c r="Y53" s="2566" t="s">
        <v>1244</v>
      </c>
      <c r="Z53" s="2566" t="s">
        <v>1152</v>
      </c>
      <c r="AA53" s="2567" t="s">
        <v>124</v>
      </c>
      <c r="AB53" s="2566" t="s">
        <v>1224</v>
      </c>
      <c r="AC53" s="2575">
        <v>70</v>
      </c>
      <c r="AD53" s="2575">
        <v>85</v>
      </c>
      <c r="AE53" s="2569">
        <f t="shared" si="8"/>
        <v>77.5</v>
      </c>
      <c r="AF53" s="2577" t="s">
        <v>1167</v>
      </c>
      <c r="AG53" s="2570">
        <f t="shared" si="7"/>
        <v>29.444444444444443</v>
      </c>
      <c r="AH53" s="2570">
        <f t="shared" si="7"/>
        <v>32.222222222222229</v>
      </c>
      <c r="AI53" s="2571">
        <v>85</v>
      </c>
      <c r="AJ53" s="2571">
        <v>90</v>
      </c>
      <c r="AK53" s="208"/>
    </row>
    <row r="54" spans="1:37" ht="14.25" customHeight="1">
      <c r="A54" s="4729"/>
      <c r="B54" s="4729"/>
      <c r="C54" s="4729"/>
      <c r="D54" s="4729"/>
      <c r="E54" s="4729"/>
      <c r="F54" s="4729"/>
      <c r="G54" s="4729"/>
      <c r="H54" s="208"/>
      <c r="I54" s="4731" t="s">
        <v>852</v>
      </c>
      <c r="J54" s="3817"/>
      <c r="K54" s="3817"/>
      <c r="L54" s="3817"/>
      <c r="M54" s="3817"/>
      <c r="N54" s="237"/>
      <c r="O54" s="237"/>
      <c r="P54" s="237"/>
      <c r="Q54" s="237"/>
      <c r="R54" s="237"/>
      <c r="S54" s="237"/>
      <c r="T54" s="237"/>
      <c r="U54" s="225"/>
      <c r="V54" s="237"/>
      <c r="W54" s="237"/>
      <c r="X54" s="255"/>
      <c r="Y54" s="2566" t="s">
        <v>1245</v>
      </c>
      <c r="Z54" s="2566" t="s">
        <v>1152</v>
      </c>
      <c r="AA54" s="2567" t="s">
        <v>124</v>
      </c>
      <c r="AB54" s="2566" t="s">
        <v>1224</v>
      </c>
      <c r="AC54" s="2575">
        <v>70</v>
      </c>
      <c r="AD54" s="2575">
        <v>85</v>
      </c>
      <c r="AE54" s="2576" t="s">
        <v>1224</v>
      </c>
      <c r="AF54" s="2577" t="s">
        <v>1167</v>
      </c>
      <c r="AG54" s="2570">
        <f t="shared" si="7"/>
        <v>29.444444444444443</v>
      </c>
      <c r="AH54" s="2570">
        <f t="shared" si="7"/>
        <v>29.444444444444443</v>
      </c>
      <c r="AI54" s="2571">
        <v>85</v>
      </c>
      <c r="AJ54" s="2571">
        <v>85</v>
      </c>
      <c r="AK54" s="208"/>
    </row>
    <row r="55" spans="1:37" ht="14.25" customHeight="1">
      <c r="A55" s="4578" t="s">
        <v>1246</v>
      </c>
      <c r="B55" s="223" t="s">
        <v>1155</v>
      </c>
      <c r="C55" s="224" t="s">
        <v>1155</v>
      </c>
      <c r="D55" s="224" t="s">
        <v>1155</v>
      </c>
      <c r="E55" s="224" t="s">
        <v>1155</v>
      </c>
      <c r="F55" s="224"/>
      <c r="G55" s="225"/>
      <c r="H55" s="208"/>
      <c r="I55" s="4732"/>
      <c r="J55" s="1950" t="s">
        <v>1156</v>
      </c>
      <c r="K55" s="1950" t="s">
        <v>1156</v>
      </c>
      <c r="L55" s="1950" t="s">
        <v>1156</v>
      </c>
      <c r="M55" s="1950" t="s">
        <v>1156</v>
      </c>
      <c r="N55" s="3818" t="s">
        <v>1247</v>
      </c>
      <c r="O55" s="3818"/>
      <c r="P55" s="70"/>
      <c r="Q55" s="70"/>
      <c r="R55" s="70"/>
      <c r="S55" s="70"/>
      <c r="T55" s="70"/>
      <c r="U55" s="254"/>
      <c r="V55" s="237"/>
      <c r="W55" s="237"/>
      <c r="X55" s="255"/>
      <c r="Y55" s="2566" t="s">
        <v>1245</v>
      </c>
      <c r="Z55" s="2566" t="s">
        <v>1152</v>
      </c>
      <c r="AA55" s="2567" t="s">
        <v>124</v>
      </c>
      <c r="AB55" s="2566" t="s">
        <v>1224</v>
      </c>
      <c r="AC55" s="2575">
        <v>70</v>
      </c>
      <c r="AD55" s="2575">
        <v>85</v>
      </c>
      <c r="AE55" s="2569">
        <f>(AC55+AD55)/2</f>
        <v>77.5</v>
      </c>
      <c r="AF55" s="2577" t="s">
        <v>1224</v>
      </c>
      <c r="AG55" s="2570">
        <f t="shared" si="7"/>
        <v>29.444444444444443</v>
      </c>
      <c r="AH55" s="2570">
        <f t="shared" si="7"/>
        <v>35</v>
      </c>
      <c r="AI55" s="2571">
        <v>85</v>
      </c>
      <c r="AJ55" s="2571">
        <v>95</v>
      </c>
      <c r="AK55" s="208"/>
    </row>
    <row r="56" spans="1:37" ht="14.25" customHeight="1">
      <c r="A56" s="4733"/>
      <c r="B56" s="3785" t="s">
        <v>1248</v>
      </c>
      <c r="C56" s="3787" t="s">
        <v>1249</v>
      </c>
      <c r="D56" s="3787" t="s">
        <v>1250</v>
      </c>
      <c r="E56" s="3789" t="s">
        <v>1251</v>
      </c>
      <c r="F56" s="3791" t="s">
        <v>1252</v>
      </c>
      <c r="G56" s="3792" t="s">
        <v>1253</v>
      </c>
      <c r="H56" s="208"/>
      <c r="I56" s="4734"/>
      <c r="J56" s="3785" t="s">
        <v>1248</v>
      </c>
      <c r="K56" s="3794" t="s">
        <v>1249</v>
      </c>
      <c r="L56" s="3794" t="s">
        <v>1250</v>
      </c>
      <c r="M56" s="3819" t="s">
        <v>1251</v>
      </c>
      <c r="N56" s="3794" t="s">
        <v>1252</v>
      </c>
      <c r="O56" s="3794" t="s">
        <v>1253</v>
      </c>
      <c r="P56" s="237"/>
      <c r="Q56" s="237"/>
      <c r="R56" s="237"/>
      <c r="S56" s="264" t="s">
        <v>1254</v>
      </c>
      <c r="T56" s="264"/>
      <c r="U56" s="1972"/>
      <c r="V56" s="237"/>
      <c r="W56" s="237"/>
      <c r="X56" s="255"/>
      <c r="Y56" s="2566" t="s">
        <v>1255</v>
      </c>
      <c r="Z56" s="2566" t="s">
        <v>1169</v>
      </c>
      <c r="AA56" s="2567" t="s">
        <v>124</v>
      </c>
      <c r="AB56" s="2566" t="s">
        <v>1153</v>
      </c>
      <c r="AC56" s="2575"/>
      <c r="AD56" s="2575"/>
      <c r="AE56" s="2576" t="s">
        <v>1256</v>
      </c>
      <c r="AF56" s="2577">
        <v>12</v>
      </c>
      <c r="AG56" s="2570">
        <f t="shared" si="7"/>
        <v>15.555555555555557</v>
      </c>
      <c r="AH56" s="2570">
        <f t="shared" si="7"/>
        <v>23.888888888888886</v>
      </c>
      <c r="AI56" s="2571">
        <v>60</v>
      </c>
      <c r="AJ56" s="2571">
        <v>75</v>
      </c>
      <c r="AK56" s="208"/>
    </row>
    <row r="57" spans="1:37" ht="14.25" customHeight="1">
      <c r="A57" s="4733"/>
      <c r="B57" s="3786"/>
      <c r="C57" s="3788"/>
      <c r="D57" s="3788"/>
      <c r="E57" s="3790"/>
      <c r="F57" s="3788"/>
      <c r="G57" s="3793"/>
      <c r="H57" s="208"/>
      <c r="I57" s="4734"/>
      <c r="J57" s="3785"/>
      <c r="K57" s="3794"/>
      <c r="L57" s="3794"/>
      <c r="M57" s="3819"/>
      <c r="N57" s="3794"/>
      <c r="O57" s="3794"/>
      <c r="P57" s="237"/>
      <c r="Q57" s="237"/>
      <c r="R57" s="237"/>
      <c r="S57" s="265" t="s">
        <v>1257</v>
      </c>
      <c r="T57" s="265" t="s">
        <v>1258</v>
      </c>
      <c r="U57" s="266" t="s">
        <v>1259</v>
      </c>
      <c r="V57" s="237"/>
      <c r="W57" s="237"/>
      <c r="X57" s="255"/>
      <c r="Y57" s="2566" t="s">
        <v>1260</v>
      </c>
      <c r="Z57" s="2566" t="s">
        <v>1169</v>
      </c>
      <c r="AA57" s="2567" t="s">
        <v>124</v>
      </c>
      <c r="AB57" s="2566" t="s">
        <v>1153</v>
      </c>
      <c r="AC57" s="2575"/>
      <c r="AD57" s="2575"/>
      <c r="AE57" s="2576" t="s">
        <v>1256</v>
      </c>
      <c r="AF57" s="2577">
        <v>12</v>
      </c>
      <c r="AG57" s="2570">
        <f t="shared" si="7"/>
        <v>15.555555555555557</v>
      </c>
      <c r="AH57" s="2570">
        <f t="shared" si="7"/>
        <v>23.888888888888886</v>
      </c>
      <c r="AI57" s="2571">
        <v>60</v>
      </c>
      <c r="AJ57" s="2571">
        <v>75</v>
      </c>
      <c r="AK57" s="208"/>
    </row>
    <row r="58" spans="1:37" ht="14.25" customHeight="1">
      <c r="A58" s="4735" t="s">
        <v>1261</v>
      </c>
      <c r="B58" s="219" t="s">
        <v>280</v>
      </c>
      <c r="C58" s="1715">
        <v>300</v>
      </c>
      <c r="D58" s="1716" t="s">
        <v>674</v>
      </c>
      <c r="E58" s="1717">
        <f t="shared" ref="E58:E88" si="9">G58*F58/100</f>
        <v>4.0999999999999996</v>
      </c>
      <c r="F58" s="226">
        <v>82</v>
      </c>
      <c r="G58" s="227">
        <v>5</v>
      </c>
      <c r="H58" s="208"/>
      <c r="I58" s="4736" t="s">
        <v>1262</v>
      </c>
      <c r="J58" s="219" t="s">
        <v>1263</v>
      </c>
      <c r="K58" s="219">
        <v>270</v>
      </c>
      <c r="L58" s="290" t="s">
        <v>674</v>
      </c>
      <c r="M58" s="291">
        <f t="shared" ref="M58:M79" si="10">(N58*O58)/100</f>
        <v>25.9</v>
      </c>
      <c r="N58" s="245">
        <v>74</v>
      </c>
      <c r="O58" s="245">
        <v>35</v>
      </c>
      <c r="P58" s="237"/>
      <c r="Q58" s="237"/>
      <c r="R58" s="237"/>
      <c r="S58" s="265">
        <v>20</v>
      </c>
      <c r="T58" s="1973">
        <v>26</v>
      </c>
      <c r="U58" s="1974">
        <v>29</v>
      </c>
      <c r="X58" s="208"/>
      <c r="Y58" s="2566" t="s">
        <v>1264</v>
      </c>
      <c r="Z58" s="2566" t="s">
        <v>1265</v>
      </c>
      <c r="AA58" s="2588" t="s">
        <v>1266</v>
      </c>
      <c r="AB58" s="2566" t="s">
        <v>1165</v>
      </c>
      <c r="AC58" s="2575"/>
      <c r="AD58" s="2575"/>
      <c r="AE58" s="2576" t="s">
        <v>1144</v>
      </c>
      <c r="AF58" s="2577" t="s">
        <v>674</v>
      </c>
      <c r="AG58" s="2570">
        <f t="shared" si="7"/>
        <v>17.777777777777779</v>
      </c>
      <c r="AH58" s="2570">
        <f t="shared" si="7"/>
        <v>22.777777777777779</v>
      </c>
      <c r="AI58" s="2571">
        <v>64</v>
      </c>
      <c r="AJ58" s="2571">
        <v>73</v>
      </c>
      <c r="AK58" s="208"/>
    </row>
    <row r="59" spans="1:37" ht="14.25" customHeight="1">
      <c r="A59" s="4735"/>
      <c r="B59" s="219" t="s">
        <v>1267</v>
      </c>
      <c r="C59" s="1715">
        <v>295</v>
      </c>
      <c r="D59" s="1716" t="s">
        <v>674</v>
      </c>
      <c r="E59" s="1717">
        <f t="shared" si="9"/>
        <v>4.97</v>
      </c>
      <c r="F59" s="226">
        <v>71</v>
      </c>
      <c r="G59" s="227">
        <v>7</v>
      </c>
      <c r="H59" s="208"/>
      <c r="I59" s="4736"/>
      <c r="J59" s="219" t="s">
        <v>1268</v>
      </c>
      <c r="K59" s="219">
        <v>270</v>
      </c>
      <c r="L59" s="290" t="s">
        <v>674</v>
      </c>
      <c r="M59" s="291">
        <f t="shared" si="10"/>
        <v>79.2</v>
      </c>
      <c r="N59" s="245">
        <v>72</v>
      </c>
      <c r="O59" s="245">
        <v>110</v>
      </c>
      <c r="P59" s="237"/>
      <c r="Q59" s="237"/>
      <c r="R59" s="237"/>
      <c r="S59" s="265">
        <v>10</v>
      </c>
      <c r="T59" s="265">
        <v>13</v>
      </c>
      <c r="U59" s="266">
        <v>15</v>
      </c>
      <c r="X59" s="208"/>
      <c r="Y59" s="2566" t="s">
        <v>1269</v>
      </c>
      <c r="Z59" s="2566" t="s">
        <v>1265</v>
      </c>
      <c r="AA59" s="2588" t="s">
        <v>1266</v>
      </c>
      <c r="AB59" s="2566" t="s">
        <v>1144</v>
      </c>
      <c r="AC59" s="2575"/>
      <c r="AD59" s="2575"/>
      <c r="AE59" s="2589" t="s">
        <v>1180</v>
      </c>
      <c r="AF59" s="2577" t="s">
        <v>674</v>
      </c>
      <c r="AG59" s="2570">
        <f t="shared" si="7"/>
        <v>10</v>
      </c>
      <c r="AH59" s="2570">
        <f t="shared" si="7"/>
        <v>15</v>
      </c>
      <c r="AI59" s="2571">
        <v>50</v>
      </c>
      <c r="AJ59" s="2571">
        <v>59</v>
      </c>
      <c r="AK59" s="208"/>
    </row>
    <row r="60" spans="1:37" ht="14.25" customHeight="1">
      <c r="A60" s="4735"/>
      <c r="B60" s="219" t="s">
        <v>1270</v>
      </c>
      <c r="C60" s="1715">
        <v>300</v>
      </c>
      <c r="D60" s="1716" t="s">
        <v>674</v>
      </c>
      <c r="E60" s="1717">
        <f t="shared" si="9"/>
        <v>2.2000000000000002</v>
      </c>
      <c r="F60" s="226">
        <v>80</v>
      </c>
      <c r="G60" s="227">
        <v>2.75</v>
      </c>
      <c r="H60" s="208"/>
      <c r="I60" s="4736"/>
      <c r="J60" s="219" t="s">
        <v>1270</v>
      </c>
      <c r="K60" s="219">
        <v>300</v>
      </c>
      <c r="L60" s="290" t="s">
        <v>674</v>
      </c>
      <c r="M60" s="291">
        <f t="shared" si="10"/>
        <v>2.2000000000000002</v>
      </c>
      <c r="N60" s="245">
        <v>80</v>
      </c>
      <c r="O60" s="246">
        <v>2.75</v>
      </c>
      <c r="P60" s="237"/>
      <c r="Q60" s="237"/>
      <c r="R60" s="237"/>
      <c r="S60" s="70"/>
      <c r="T60" s="70"/>
      <c r="U60" s="254"/>
      <c r="X60" s="208"/>
      <c r="Y60" s="2566" t="s">
        <v>1271</v>
      </c>
      <c r="Z60" s="2566" t="s">
        <v>1169</v>
      </c>
      <c r="AA60" s="2567" t="s">
        <v>124</v>
      </c>
      <c r="AB60" s="2566" t="s">
        <v>1153</v>
      </c>
      <c r="AC60" s="2568">
        <v>73</v>
      </c>
      <c r="AD60" s="2568">
        <v>75</v>
      </c>
      <c r="AE60" s="2569">
        <v>74</v>
      </c>
      <c r="AF60" s="2577">
        <v>10</v>
      </c>
      <c r="AG60" s="2570">
        <f t="shared" si="7"/>
        <v>17.777777777777779</v>
      </c>
      <c r="AH60" s="2570">
        <f t="shared" si="7"/>
        <v>22.222222222222221</v>
      </c>
      <c r="AI60" s="2571">
        <v>64</v>
      </c>
      <c r="AJ60" s="2571">
        <v>72</v>
      </c>
      <c r="AK60" s="208"/>
    </row>
    <row r="61" spans="1:37" ht="14.25" customHeight="1">
      <c r="A61" s="4735"/>
      <c r="B61" s="219" t="s">
        <v>1272</v>
      </c>
      <c r="C61" s="1715">
        <v>295</v>
      </c>
      <c r="D61" s="1716" t="s">
        <v>674</v>
      </c>
      <c r="E61" s="1717">
        <f t="shared" si="9"/>
        <v>12.15</v>
      </c>
      <c r="F61" s="226">
        <v>81</v>
      </c>
      <c r="G61" s="228">
        <v>15</v>
      </c>
      <c r="H61" s="208"/>
      <c r="I61" s="4736"/>
      <c r="J61" s="219" t="s">
        <v>1267</v>
      </c>
      <c r="K61" s="219">
        <v>295</v>
      </c>
      <c r="L61" s="290" t="s">
        <v>674</v>
      </c>
      <c r="M61" s="291">
        <f t="shared" si="10"/>
        <v>4.97</v>
      </c>
      <c r="N61" s="245">
        <v>71</v>
      </c>
      <c r="O61" s="246">
        <v>7</v>
      </c>
      <c r="P61" s="1975"/>
      <c r="Q61" s="1975"/>
      <c r="R61" s="1975"/>
      <c r="S61" s="535"/>
      <c r="T61" s="70"/>
      <c r="U61" s="254"/>
      <c r="X61" s="208"/>
      <c r="Y61" s="2566" t="s">
        <v>1273</v>
      </c>
      <c r="Z61" s="2566" t="s">
        <v>1169</v>
      </c>
      <c r="AA61" s="2567" t="s">
        <v>124</v>
      </c>
      <c r="AB61" s="2566" t="s">
        <v>1144</v>
      </c>
      <c r="AC61" s="2568">
        <v>73</v>
      </c>
      <c r="AD61" s="2568">
        <v>76</v>
      </c>
      <c r="AE61" s="2569">
        <v>74</v>
      </c>
      <c r="AF61" s="2577">
        <v>10</v>
      </c>
      <c r="AG61" s="2570">
        <f t="shared" si="7"/>
        <v>17.222222222222221</v>
      </c>
      <c r="AH61" s="2570">
        <f t="shared" si="7"/>
        <v>23.888888888888886</v>
      </c>
      <c r="AI61" s="2571">
        <v>63</v>
      </c>
      <c r="AJ61" s="2571">
        <v>75</v>
      </c>
      <c r="AK61" s="208"/>
    </row>
    <row r="62" spans="1:37" ht="14.25" customHeight="1">
      <c r="A62" s="4735"/>
      <c r="B62" s="219" t="s">
        <v>1274</v>
      </c>
      <c r="C62" s="1715">
        <v>295</v>
      </c>
      <c r="D62" s="1716" t="s">
        <v>674</v>
      </c>
      <c r="E62" s="1717">
        <f t="shared" si="9"/>
        <v>6.57</v>
      </c>
      <c r="F62" s="226">
        <v>73</v>
      </c>
      <c r="G62" s="227">
        <v>9</v>
      </c>
      <c r="H62" s="208"/>
      <c r="I62" s="4736"/>
      <c r="J62" s="219" t="s">
        <v>1272</v>
      </c>
      <c r="K62" s="219">
        <v>295</v>
      </c>
      <c r="L62" s="290" t="s">
        <v>674</v>
      </c>
      <c r="M62" s="291">
        <f t="shared" si="10"/>
        <v>12.15</v>
      </c>
      <c r="N62" s="245">
        <v>81</v>
      </c>
      <c r="O62" s="245">
        <v>15</v>
      </c>
      <c r="P62" s="237"/>
      <c r="Q62" s="245"/>
      <c r="R62" s="245"/>
      <c r="S62" s="245"/>
      <c r="T62" s="70"/>
      <c r="U62" s="254"/>
      <c r="X62" s="208"/>
      <c r="Y62" s="2566" t="s">
        <v>1275</v>
      </c>
      <c r="Z62" s="2566" t="s">
        <v>1152</v>
      </c>
      <c r="AA62" s="2567" t="s">
        <v>124</v>
      </c>
      <c r="AB62" s="2566" t="s">
        <v>1144</v>
      </c>
      <c r="AC62" s="2568">
        <v>67</v>
      </c>
      <c r="AD62" s="2568">
        <v>74</v>
      </c>
      <c r="AE62" s="2569">
        <f t="shared" ref="AE62:AE69" si="11">(AC62+AD62)/2</f>
        <v>70.5</v>
      </c>
      <c r="AF62" s="2565" t="s">
        <v>1154</v>
      </c>
      <c r="AG62" s="2570">
        <f t="shared" si="7"/>
        <v>18.333333333333336</v>
      </c>
      <c r="AH62" s="2570">
        <f t="shared" si="7"/>
        <v>21.111111111111114</v>
      </c>
      <c r="AI62" s="2571">
        <v>65</v>
      </c>
      <c r="AJ62" s="2571">
        <v>70</v>
      </c>
      <c r="AK62" s="208"/>
    </row>
    <row r="63" spans="1:37" ht="14.25" customHeight="1">
      <c r="A63" s="4735"/>
      <c r="B63" s="219" t="s">
        <v>1263</v>
      </c>
      <c r="C63" s="1715">
        <v>270</v>
      </c>
      <c r="D63" s="1716" t="s">
        <v>674</v>
      </c>
      <c r="E63" s="1717">
        <f t="shared" si="9"/>
        <v>25.9</v>
      </c>
      <c r="F63" s="226">
        <v>74</v>
      </c>
      <c r="G63" s="228">
        <v>35</v>
      </c>
      <c r="H63" s="208"/>
      <c r="I63" s="4736"/>
      <c r="J63" s="219" t="s">
        <v>280</v>
      </c>
      <c r="K63" s="219">
        <v>300</v>
      </c>
      <c r="L63" s="290" t="s">
        <v>674</v>
      </c>
      <c r="M63" s="291">
        <f t="shared" si="10"/>
        <v>4.0999999999999996</v>
      </c>
      <c r="N63" s="245">
        <v>82</v>
      </c>
      <c r="O63" s="246">
        <v>5</v>
      </c>
      <c r="P63" s="237"/>
      <c r="Q63" s="264"/>
      <c r="R63" s="264"/>
      <c r="S63" s="264"/>
      <c r="T63" s="264"/>
      <c r="U63" s="254"/>
      <c r="X63" s="208"/>
      <c r="Y63" s="2566" t="s">
        <v>1276</v>
      </c>
      <c r="Z63" s="2566" t="s">
        <v>1169</v>
      </c>
      <c r="AA63" s="2567" t="s">
        <v>124</v>
      </c>
      <c r="AB63" s="2566" t="s">
        <v>1158</v>
      </c>
      <c r="AC63" s="2568">
        <v>74</v>
      </c>
      <c r="AD63" s="2568">
        <v>77</v>
      </c>
      <c r="AE63" s="2569">
        <f t="shared" si="11"/>
        <v>75.5</v>
      </c>
      <c r="AF63" s="2565" t="s">
        <v>1167</v>
      </c>
      <c r="AG63" s="2570">
        <f t="shared" si="7"/>
        <v>17.222222222222221</v>
      </c>
      <c r="AH63" s="2570">
        <f t="shared" si="7"/>
        <v>25</v>
      </c>
      <c r="AI63" s="2571">
        <v>63</v>
      </c>
      <c r="AJ63" s="2571">
        <v>77</v>
      </c>
      <c r="AK63" s="208"/>
    </row>
    <row r="64" spans="1:37" ht="14.25" customHeight="1">
      <c r="A64" s="4735"/>
      <c r="B64" s="219" t="s">
        <v>1277</v>
      </c>
      <c r="C64" s="1715">
        <v>260</v>
      </c>
      <c r="D64" s="1716" t="s">
        <v>674</v>
      </c>
      <c r="E64" s="1717">
        <f t="shared" si="9"/>
        <v>1.7749999999999999</v>
      </c>
      <c r="F64" s="226">
        <v>71</v>
      </c>
      <c r="G64" s="227">
        <v>2.5</v>
      </c>
      <c r="H64" s="208"/>
      <c r="I64" s="4736"/>
      <c r="J64" s="219" t="s">
        <v>1274</v>
      </c>
      <c r="K64" s="219">
        <v>295</v>
      </c>
      <c r="L64" s="290" t="s">
        <v>674</v>
      </c>
      <c r="M64" s="291">
        <f t="shared" si="10"/>
        <v>6.57</v>
      </c>
      <c r="N64" s="245">
        <v>73</v>
      </c>
      <c r="O64" s="246">
        <v>9</v>
      </c>
      <c r="P64" s="237"/>
      <c r="Q64" s="237"/>
      <c r="R64" s="237"/>
      <c r="S64" s="264"/>
      <c r="T64" s="70"/>
      <c r="U64" s="254"/>
      <c r="X64" s="208"/>
      <c r="Y64" s="2566" t="s">
        <v>1278</v>
      </c>
      <c r="Z64" s="2566" t="s">
        <v>1169</v>
      </c>
      <c r="AA64" s="2567" t="s">
        <v>124</v>
      </c>
      <c r="AB64" s="2566" t="s">
        <v>1158</v>
      </c>
      <c r="AC64" s="2568">
        <v>71</v>
      </c>
      <c r="AD64" s="2568">
        <v>75</v>
      </c>
      <c r="AE64" s="2569">
        <f t="shared" si="11"/>
        <v>73</v>
      </c>
      <c r="AF64" s="2577">
        <v>9</v>
      </c>
      <c r="AG64" s="2570">
        <f t="shared" si="7"/>
        <v>8.8888888888888857</v>
      </c>
      <c r="AH64" s="2570">
        <f t="shared" si="7"/>
        <v>13.333333333333336</v>
      </c>
      <c r="AI64" s="2571">
        <v>48</v>
      </c>
      <c r="AJ64" s="2571">
        <v>56</v>
      </c>
      <c r="AK64" s="208"/>
    </row>
    <row r="65" spans="1:37" ht="14.25" customHeight="1">
      <c r="A65" s="4735"/>
      <c r="B65" s="219" t="s">
        <v>1279</v>
      </c>
      <c r="C65" s="1715">
        <v>310</v>
      </c>
      <c r="D65" s="1716" t="s">
        <v>674</v>
      </c>
      <c r="E65" s="1717">
        <f t="shared" si="9"/>
        <v>0.71</v>
      </c>
      <c r="F65" s="226">
        <v>71</v>
      </c>
      <c r="G65" s="227">
        <v>1</v>
      </c>
      <c r="H65" s="208"/>
      <c r="I65" s="4736"/>
      <c r="J65" s="219" t="s">
        <v>1280</v>
      </c>
      <c r="K65" s="219">
        <v>305</v>
      </c>
      <c r="L65" s="290" t="s">
        <v>674</v>
      </c>
      <c r="M65" s="291">
        <f t="shared" si="10"/>
        <v>2.9750000000000001</v>
      </c>
      <c r="N65" s="245">
        <v>85</v>
      </c>
      <c r="O65" s="246">
        <v>3.5</v>
      </c>
      <c r="P65" s="237"/>
      <c r="Q65" s="237"/>
      <c r="R65" s="237"/>
      <c r="S65" s="264"/>
      <c r="T65" s="237"/>
      <c r="U65" s="1976"/>
      <c r="X65" s="208"/>
      <c r="Y65" s="2566" t="s">
        <v>1281</v>
      </c>
      <c r="Z65" s="2566" t="s">
        <v>1152</v>
      </c>
      <c r="AA65" s="2567" t="s">
        <v>124</v>
      </c>
      <c r="AB65" s="2566" t="s">
        <v>1153</v>
      </c>
      <c r="AC65" s="2568">
        <v>65</v>
      </c>
      <c r="AD65" s="2568">
        <v>75</v>
      </c>
      <c r="AE65" s="2569">
        <f t="shared" si="11"/>
        <v>70</v>
      </c>
      <c r="AF65" s="2565" t="s">
        <v>1154</v>
      </c>
      <c r="AG65" s="2570">
        <f t="shared" si="7"/>
        <v>20</v>
      </c>
      <c r="AH65" s="2570">
        <f t="shared" si="7"/>
        <v>22.777777777777779</v>
      </c>
      <c r="AI65" s="2571">
        <v>68</v>
      </c>
      <c r="AJ65" s="2571">
        <v>73</v>
      </c>
      <c r="AK65" s="208"/>
    </row>
    <row r="66" spans="1:37" ht="14.25" customHeight="1">
      <c r="A66" s="4735"/>
      <c r="B66" s="219" t="s">
        <v>1282</v>
      </c>
      <c r="C66" s="1715">
        <v>250</v>
      </c>
      <c r="D66" s="1716" t="s">
        <v>674</v>
      </c>
      <c r="E66" s="1717">
        <f t="shared" si="9"/>
        <v>2.13</v>
      </c>
      <c r="F66" s="226">
        <v>71</v>
      </c>
      <c r="G66" s="227">
        <v>3</v>
      </c>
      <c r="H66" s="208"/>
      <c r="I66" s="4736"/>
      <c r="J66" s="219" t="s">
        <v>755</v>
      </c>
      <c r="K66" s="219"/>
      <c r="L66" s="290" t="s">
        <v>674</v>
      </c>
      <c r="M66" s="291">
        <f t="shared" si="10"/>
        <v>0</v>
      </c>
      <c r="N66" s="245"/>
      <c r="O66" s="246"/>
      <c r="P66" s="237"/>
      <c r="Q66" s="237"/>
      <c r="R66" s="237"/>
      <c r="S66" s="264"/>
      <c r="T66" s="1977"/>
      <c r="U66" s="1976"/>
      <c r="X66" s="208"/>
      <c r="Y66" s="2566" t="s">
        <v>1283</v>
      </c>
      <c r="Z66" s="2566" t="s">
        <v>1152</v>
      </c>
      <c r="AA66" s="2567" t="s">
        <v>124</v>
      </c>
      <c r="AB66" s="2566" t="s">
        <v>1158</v>
      </c>
      <c r="AC66" s="2568">
        <v>70</v>
      </c>
      <c r="AD66" s="2568">
        <v>75</v>
      </c>
      <c r="AE66" s="2569">
        <f t="shared" si="11"/>
        <v>72.5</v>
      </c>
      <c r="AF66" s="2565" t="s">
        <v>1167</v>
      </c>
      <c r="AG66" s="2570">
        <f t="shared" si="7"/>
        <v>18.888888888888886</v>
      </c>
      <c r="AH66" s="2570">
        <f t="shared" si="7"/>
        <v>21.111111111111114</v>
      </c>
      <c r="AI66" s="2571">
        <v>66</v>
      </c>
      <c r="AJ66" s="2571">
        <v>70</v>
      </c>
      <c r="AK66" s="208"/>
    </row>
    <row r="67" spans="1:37" ht="14.25" customHeight="1">
      <c r="A67" s="4735"/>
      <c r="B67" s="219" t="s">
        <v>1284</v>
      </c>
      <c r="C67" s="1718">
        <v>250</v>
      </c>
      <c r="D67" s="1716" t="s">
        <v>674</v>
      </c>
      <c r="E67" s="1717">
        <f t="shared" si="9"/>
        <v>1.0649999999999999</v>
      </c>
      <c r="F67" s="226">
        <v>71</v>
      </c>
      <c r="G67" s="227">
        <v>1.5</v>
      </c>
      <c r="H67" s="208"/>
      <c r="I67" s="4736"/>
      <c r="J67" s="219" t="s">
        <v>755</v>
      </c>
      <c r="K67" s="219"/>
      <c r="L67" s="290" t="s">
        <v>674</v>
      </c>
      <c r="M67" s="291">
        <f t="shared" si="10"/>
        <v>0</v>
      </c>
      <c r="N67" s="245"/>
      <c r="O67" s="246"/>
      <c r="P67" s="237"/>
      <c r="Q67" s="237"/>
      <c r="R67" s="237"/>
      <c r="S67" s="237"/>
      <c r="T67" s="237"/>
      <c r="U67" s="225"/>
      <c r="X67" s="208"/>
      <c r="Y67" s="2566" t="s">
        <v>1285</v>
      </c>
      <c r="Z67" s="2566" t="s">
        <v>1152</v>
      </c>
      <c r="AA67" s="2567" t="s">
        <v>124</v>
      </c>
      <c r="AB67" s="2566" t="s">
        <v>1153</v>
      </c>
      <c r="AC67" s="2568">
        <v>73</v>
      </c>
      <c r="AD67" s="2568">
        <v>80</v>
      </c>
      <c r="AE67" s="2569">
        <f t="shared" si="11"/>
        <v>76.5</v>
      </c>
      <c r="AF67" s="2565" t="s">
        <v>1159</v>
      </c>
      <c r="AG67" s="2570">
        <f t="shared" si="7"/>
        <v>20</v>
      </c>
      <c r="AH67" s="2570">
        <f t="shared" si="7"/>
        <v>22.777777777777779</v>
      </c>
      <c r="AI67" s="2571">
        <v>68</v>
      </c>
      <c r="AJ67" s="2571">
        <v>73</v>
      </c>
      <c r="AK67" s="208"/>
    </row>
    <row r="68" spans="1:37" ht="14.25" customHeight="1">
      <c r="A68" s="4735"/>
      <c r="B68" s="218" t="s">
        <v>1286</v>
      </c>
      <c r="C68" s="1719">
        <v>288</v>
      </c>
      <c r="D68" s="1716" t="s">
        <v>674</v>
      </c>
      <c r="E68" s="1717">
        <f t="shared" si="9"/>
        <v>2.84</v>
      </c>
      <c r="F68" s="271">
        <v>71</v>
      </c>
      <c r="G68" s="272">
        <v>4</v>
      </c>
      <c r="H68" s="208"/>
      <c r="I68" s="4736"/>
      <c r="J68" s="219" t="s">
        <v>755</v>
      </c>
      <c r="K68" s="219"/>
      <c r="L68" s="290" t="s">
        <v>674</v>
      </c>
      <c r="M68" s="291">
        <f t="shared" si="10"/>
        <v>0</v>
      </c>
      <c r="N68" s="245"/>
      <c r="O68" s="246"/>
      <c r="P68" s="245" t="s">
        <v>1287</v>
      </c>
      <c r="Q68" s="237"/>
      <c r="R68" s="237"/>
      <c r="S68" s="237"/>
      <c r="T68" s="237"/>
      <c r="U68" s="225"/>
      <c r="X68" s="208"/>
      <c r="Y68" s="2566" t="s">
        <v>1288</v>
      </c>
      <c r="Z68" s="2566" t="s">
        <v>1169</v>
      </c>
      <c r="AA68" s="2567" t="s">
        <v>124</v>
      </c>
      <c r="AB68" s="2566" t="s">
        <v>1144</v>
      </c>
      <c r="AC68" s="2568">
        <v>67</v>
      </c>
      <c r="AD68" s="2568">
        <v>71</v>
      </c>
      <c r="AE68" s="2569">
        <f t="shared" si="11"/>
        <v>69</v>
      </c>
      <c r="AF68" s="2577">
        <v>9</v>
      </c>
      <c r="AG68" s="2570">
        <f t="shared" si="7"/>
        <v>14.444444444444443</v>
      </c>
      <c r="AH68" s="2570">
        <f t="shared" si="7"/>
        <v>20</v>
      </c>
      <c r="AI68" s="2571">
        <v>58</v>
      </c>
      <c r="AJ68" s="2571">
        <v>68</v>
      </c>
      <c r="AK68" s="208"/>
    </row>
    <row r="69" spans="1:37" ht="14.25" customHeight="1">
      <c r="A69" s="4735"/>
      <c r="B69" s="219" t="s">
        <v>1289</v>
      </c>
      <c r="C69" s="1715">
        <v>173</v>
      </c>
      <c r="D69" s="1716" t="s">
        <v>674</v>
      </c>
      <c r="E69" s="1717">
        <f t="shared" si="9"/>
        <v>0</v>
      </c>
      <c r="F69" s="226">
        <v>71</v>
      </c>
      <c r="G69" s="227"/>
      <c r="H69" s="208"/>
      <c r="I69" s="4736"/>
      <c r="J69" s="219" t="s">
        <v>755</v>
      </c>
      <c r="K69" s="219"/>
      <c r="L69" s="290" t="s">
        <v>674</v>
      </c>
      <c r="M69" s="291">
        <f t="shared" si="10"/>
        <v>0</v>
      </c>
      <c r="N69" s="245"/>
      <c r="O69" s="246"/>
      <c r="P69" s="264" t="s">
        <v>1290</v>
      </c>
      <c r="Q69" s="237"/>
      <c r="R69" s="237"/>
      <c r="S69" s="237"/>
      <c r="T69" s="237"/>
      <c r="U69" s="225"/>
      <c r="X69" s="208"/>
      <c r="Y69" s="2566" t="s">
        <v>1291</v>
      </c>
      <c r="Z69" s="2566" t="s">
        <v>1169</v>
      </c>
      <c r="AA69" s="2567" t="s">
        <v>124</v>
      </c>
      <c r="AB69" s="2566" t="s">
        <v>1153</v>
      </c>
      <c r="AC69" s="2568">
        <v>75</v>
      </c>
      <c r="AD69" s="2568">
        <v>79</v>
      </c>
      <c r="AE69" s="2569">
        <f t="shared" si="11"/>
        <v>77</v>
      </c>
      <c r="AF69" s="2577">
        <v>12</v>
      </c>
      <c r="AG69" s="2570">
        <f t="shared" si="7"/>
        <v>18.333333333333336</v>
      </c>
      <c r="AH69" s="2570">
        <f t="shared" si="7"/>
        <v>26.666666666666671</v>
      </c>
      <c r="AI69" s="2571">
        <v>65</v>
      </c>
      <c r="AJ69" s="2571">
        <v>80</v>
      </c>
      <c r="AK69" s="208"/>
    </row>
    <row r="70" spans="1:37" ht="14.25" customHeight="1">
      <c r="A70" s="4735"/>
      <c r="B70" s="219" t="s">
        <v>1292</v>
      </c>
      <c r="C70" s="1715">
        <v>304</v>
      </c>
      <c r="D70" s="1716" t="s">
        <v>674</v>
      </c>
      <c r="E70" s="1717">
        <f t="shared" si="9"/>
        <v>0</v>
      </c>
      <c r="F70" s="226">
        <v>71</v>
      </c>
      <c r="G70" s="227"/>
      <c r="H70" s="208"/>
      <c r="I70" s="4736"/>
      <c r="J70" s="219" t="s">
        <v>755</v>
      </c>
      <c r="K70" s="219"/>
      <c r="L70" s="290" t="s">
        <v>674</v>
      </c>
      <c r="M70" s="291">
        <f t="shared" si="10"/>
        <v>0</v>
      </c>
      <c r="N70" s="245"/>
      <c r="O70" s="246"/>
      <c r="P70" s="237"/>
      <c r="Q70" s="237"/>
      <c r="R70" s="237"/>
      <c r="S70" s="237"/>
      <c r="T70" s="237"/>
      <c r="U70" s="225"/>
      <c r="X70" s="208"/>
      <c r="Y70" s="2566" t="s">
        <v>1293</v>
      </c>
      <c r="Z70" s="2566" t="s">
        <v>1294</v>
      </c>
      <c r="AA70" s="2588" t="s">
        <v>1266</v>
      </c>
      <c r="AB70" s="2566" t="s">
        <v>1144</v>
      </c>
      <c r="AC70" s="2575"/>
      <c r="AD70" s="2575"/>
      <c r="AE70" s="2576" t="s">
        <v>1144</v>
      </c>
      <c r="AF70" s="2577" t="s">
        <v>674</v>
      </c>
      <c r="AG70" s="2570">
        <f t="shared" si="7"/>
        <v>20</v>
      </c>
      <c r="AH70" s="2570">
        <f t="shared" si="7"/>
        <v>26.666666666666671</v>
      </c>
      <c r="AI70" s="2571">
        <v>68</v>
      </c>
      <c r="AJ70" s="2571">
        <v>80</v>
      </c>
      <c r="AK70" s="208"/>
    </row>
    <row r="71" spans="1:37" ht="14.25" customHeight="1">
      <c r="A71" s="4735"/>
      <c r="B71" s="219" t="s">
        <v>1295</v>
      </c>
      <c r="C71" s="1715">
        <v>305</v>
      </c>
      <c r="D71" s="1716" t="s">
        <v>674</v>
      </c>
      <c r="E71" s="1717">
        <f t="shared" si="9"/>
        <v>2.13</v>
      </c>
      <c r="F71" s="226">
        <v>71</v>
      </c>
      <c r="G71" s="227">
        <v>3</v>
      </c>
      <c r="H71" s="208"/>
      <c r="I71" s="4736"/>
      <c r="J71" s="219" t="s">
        <v>755</v>
      </c>
      <c r="K71" s="219"/>
      <c r="L71" s="290" t="s">
        <v>674</v>
      </c>
      <c r="M71" s="291">
        <f t="shared" si="10"/>
        <v>0</v>
      </c>
      <c r="N71" s="245"/>
      <c r="O71" s="246"/>
      <c r="P71" s="237"/>
      <c r="Q71" s="237"/>
      <c r="R71" s="237"/>
      <c r="S71" s="237"/>
      <c r="T71" s="237"/>
      <c r="U71" s="225"/>
      <c r="X71" s="208"/>
      <c r="Y71" s="2566" t="s">
        <v>1296</v>
      </c>
      <c r="Z71" s="2566" t="s">
        <v>1152</v>
      </c>
      <c r="AA71" s="2567" t="s">
        <v>124</v>
      </c>
      <c r="AB71" s="2566" t="s">
        <v>1153</v>
      </c>
      <c r="AC71" s="2568">
        <v>72</v>
      </c>
      <c r="AD71" s="2568">
        <v>78</v>
      </c>
      <c r="AE71" s="2569">
        <f t="shared" ref="AE71:AE81" si="12">(AC71+AD71)/2</f>
        <v>75</v>
      </c>
      <c r="AF71" s="2565" t="s">
        <v>1154</v>
      </c>
      <c r="AG71" s="2570">
        <f t="shared" si="7"/>
        <v>10</v>
      </c>
      <c r="AH71" s="2570">
        <f t="shared" si="7"/>
        <v>14.444444444444443</v>
      </c>
      <c r="AI71" s="2571">
        <v>50</v>
      </c>
      <c r="AJ71" s="2571">
        <v>58</v>
      </c>
      <c r="AK71" s="208"/>
    </row>
    <row r="72" spans="1:37" ht="14.25" customHeight="1">
      <c r="A72" s="4737" t="s">
        <v>731</v>
      </c>
      <c r="B72" s="218" t="s">
        <v>870</v>
      </c>
      <c r="C72" s="1719">
        <v>265</v>
      </c>
      <c r="D72" s="1716" t="s">
        <v>674</v>
      </c>
      <c r="E72" s="1717">
        <f t="shared" si="9"/>
        <v>908.8</v>
      </c>
      <c r="F72" s="271">
        <v>71</v>
      </c>
      <c r="G72" s="273">
        <v>1280</v>
      </c>
      <c r="H72" s="208"/>
      <c r="I72" s="4736"/>
      <c r="J72" s="219" t="s">
        <v>755</v>
      </c>
      <c r="K72" s="219"/>
      <c r="L72" s="290" t="s">
        <v>674</v>
      </c>
      <c r="M72" s="291">
        <f t="shared" si="10"/>
        <v>0</v>
      </c>
      <c r="N72" s="245"/>
      <c r="O72" s="246"/>
      <c r="P72" s="237"/>
      <c r="Q72" s="237"/>
      <c r="R72" s="237"/>
      <c r="S72" s="237"/>
      <c r="T72" s="237"/>
      <c r="U72" s="225"/>
      <c r="X72" s="208"/>
      <c r="Y72" s="2578" t="s">
        <v>1297</v>
      </c>
      <c r="Z72" s="2567" t="s">
        <v>1161</v>
      </c>
      <c r="AA72" s="2567" t="s">
        <v>124</v>
      </c>
      <c r="AB72" s="2566" t="s">
        <v>1153</v>
      </c>
      <c r="AC72" s="2579">
        <v>75</v>
      </c>
      <c r="AD72" s="2568">
        <v>80</v>
      </c>
      <c r="AE72" s="2569">
        <f t="shared" si="12"/>
        <v>77.5</v>
      </c>
      <c r="AF72" s="2565" t="s">
        <v>1167</v>
      </c>
      <c r="AG72" s="2570">
        <f t="shared" si="7"/>
        <v>18.333333333333336</v>
      </c>
      <c r="AH72" s="2573">
        <f t="shared" si="7"/>
        <v>21.111111111111114</v>
      </c>
      <c r="AI72" s="2574">
        <v>65</v>
      </c>
      <c r="AJ72" s="2571">
        <v>70</v>
      </c>
      <c r="AK72" s="208"/>
    </row>
    <row r="73" spans="1:37" ht="14.25" customHeight="1">
      <c r="A73" s="4737"/>
      <c r="B73" s="219" t="s">
        <v>873</v>
      </c>
      <c r="C73" s="1715">
        <v>265</v>
      </c>
      <c r="D73" s="1716" t="s">
        <v>674</v>
      </c>
      <c r="E73" s="1717">
        <f t="shared" si="9"/>
        <v>763.2</v>
      </c>
      <c r="F73" s="271">
        <v>72</v>
      </c>
      <c r="G73" s="228">
        <v>1060</v>
      </c>
      <c r="H73" s="208"/>
      <c r="I73" s="4736"/>
      <c r="J73" s="219" t="s">
        <v>755</v>
      </c>
      <c r="K73" s="219"/>
      <c r="L73" s="290" t="s">
        <v>674</v>
      </c>
      <c r="M73" s="291">
        <f t="shared" si="10"/>
        <v>0</v>
      </c>
      <c r="N73" s="245"/>
      <c r="O73" s="246"/>
      <c r="P73" s="237"/>
      <c r="Q73" s="237"/>
      <c r="R73" s="237"/>
      <c r="S73" s="237"/>
      <c r="T73" s="237"/>
      <c r="U73" s="225"/>
      <c r="X73" s="208"/>
      <c r="Y73" s="2566" t="s">
        <v>1298</v>
      </c>
      <c r="Z73" s="2566" t="s">
        <v>1152</v>
      </c>
      <c r="AA73" s="2567" t="s">
        <v>124</v>
      </c>
      <c r="AB73" s="2566" t="s">
        <v>1153</v>
      </c>
      <c r="AC73" s="2579">
        <v>75</v>
      </c>
      <c r="AD73" s="2568">
        <v>80</v>
      </c>
      <c r="AE73" s="2569">
        <f t="shared" si="12"/>
        <v>77.5</v>
      </c>
      <c r="AF73" s="2565" t="s">
        <v>1154</v>
      </c>
      <c r="AG73" s="2570">
        <f t="shared" si="7"/>
        <v>10</v>
      </c>
      <c r="AH73" s="2570">
        <f t="shared" si="7"/>
        <v>12.777777777777779</v>
      </c>
      <c r="AI73" s="2571">
        <v>50</v>
      </c>
      <c r="AJ73" s="2571">
        <v>55</v>
      </c>
      <c r="AK73" s="208"/>
    </row>
    <row r="74" spans="1:37" ht="14.25" customHeight="1">
      <c r="A74" s="4737"/>
      <c r="B74" s="219" t="s">
        <v>877</v>
      </c>
      <c r="C74" s="1715">
        <v>265</v>
      </c>
      <c r="D74" s="1716" t="s">
        <v>674</v>
      </c>
      <c r="E74" s="1717">
        <f t="shared" si="9"/>
        <v>77.7</v>
      </c>
      <c r="F74" s="271">
        <v>74</v>
      </c>
      <c r="G74" s="228">
        <v>105</v>
      </c>
      <c r="H74" s="208"/>
      <c r="I74" s="4736"/>
      <c r="J74" s="219" t="s">
        <v>755</v>
      </c>
      <c r="K74" s="219"/>
      <c r="L74" s="290" t="s">
        <v>674</v>
      </c>
      <c r="M74" s="291">
        <f t="shared" si="10"/>
        <v>0</v>
      </c>
      <c r="N74" s="245"/>
      <c r="O74" s="246"/>
      <c r="P74" s="237"/>
      <c r="Q74" s="237"/>
      <c r="R74" s="237"/>
      <c r="S74" s="237"/>
      <c r="T74" s="237"/>
      <c r="U74" s="225"/>
      <c r="X74" s="208"/>
      <c r="Y74" s="2566" t="s">
        <v>1299</v>
      </c>
      <c r="Z74" s="2566" t="s">
        <v>1169</v>
      </c>
      <c r="AA74" s="2567" t="s">
        <v>124</v>
      </c>
      <c r="AB74" s="2566" t="s">
        <v>1158</v>
      </c>
      <c r="AC74" s="2568">
        <v>70</v>
      </c>
      <c r="AD74" s="2568">
        <v>74</v>
      </c>
      <c r="AE74" s="2569">
        <f t="shared" si="12"/>
        <v>72</v>
      </c>
      <c r="AF74" s="2577">
        <v>9</v>
      </c>
      <c r="AG74" s="2570">
        <f t="shared" si="7"/>
        <v>10</v>
      </c>
      <c r="AH74" s="2570">
        <f t="shared" si="7"/>
        <v>14.444444444444443</v>
      </c>
      <c r="AI74" s="2571">
        <v>50</v>
      </c>
      <c r="AJ74" s="2571">
        <v>58</v>
      </c>
      <c r="AK74" s="208"/>
    </row>
    <row r="75" spans="1:37" ht="14.25" customHeight="1">
      <c r="A75" s="4737"/>
      <c r="B75" s="219" t="s">
        <v>878</v>
      </c>
      <c r="C75" s="1715">
        <v>265</v>
      </c>
      <c r="D75" s="1716" t="s">
        <v>674</v>
      </c>
      <c r="E75" s="1717">
        <f t="shared" si="9"/>
        <v>103.6</v>
      </c>
      <c r="F75" s="271">
        <v>74</v>
      </c>
      <c r="G75" s="228">
        <v>140</v>
      </c>
      <c r="H75" s="208"/>
      <c r="I75" s="4736"/>
      <c r="J75" s="219" t="s">
        <v>755</v>
      </c>
      <c r="K75" s="219"/>
      <c r="L75" s="290" t="s">
        <v>674</v>
      </c>
      <c r="M75" s="291">
        <f t="shared" si="10"/>
        <v>0</v>
      </c>
      <c r="N75" s="245"/>
      <c r="O75" s="246"/>
      <c r="P75" s="237"/>
      <c r="Q75" s="237"/>
      <c r="R75" s="237"/>
      <c r="S75" s="237"/>
      <c r="T75" s="237"/>
      <c r="U75" s="225"/>
      <c r="X75" s="208"/>
      <c r="Y75" s="2566" t="s">
        <v>1300</v>
      </c>
      <c r="Z75" s="2566" t="s">
        <v>1169</v>
      </c>
      <c r="AA75" s="2567" t="s">
        <v>124</v>
      </c>
      <c r="AB75" s="2566" t="s">
        <v>1165</v>
      </c>
      <c r="AC75" s="2568">
        <v>73</v>
      </c>
      <c r="AD75" s="2568">
        <v>77</v>
      </c>
      <c r="AE75" s="2569">
        <f t="shared" si="12"/>
        <v>75</v>
      </c>
      <c r="AF75" s="2577">
        <v>9</v>
      </c>
      <c r="AG75" s="2570">
        <f t="shared" ref="AG75:AH106" si="13">((AI75+40)*5/9)-40</f>
        <v>7.7777777777777786</v>
      </c>
      <c r="AH75" s="2570">
        <f t="shared" si="13"/>
        <v>13.333333333333336</v>
      </c>
      <c r="AI75" s="2571">
        <v>46</v>
      </c>
      <c r="AJ75" s="2571">
        <v>56</v>
      </c>
      <c r="AK75" s="208"/>
    </row>
    <row r="76" spans="1:37" ht="14.25" customHeight="1">
      <c r="A76" s="4737"/>
      <c r="B76" s="219" t="s">
        <v>875</v>
      </c>
      <c r="C76" s="1715">
        <v>265</v>
      </c>
      <c r="D76" s="1716" t="s">
        <v>674</v>
      </c>
      <c r="E76" s="1717">
        <f t="shared" si="9"/>
        <v>148</v>
      </c>
      <c r="F76" s="271">
        <v>74</v>
      </c>
      <c r="G76" s="228">
        <v>200</v>
      </c>
      <c r="H76" s="208"/>
      <c r="I76" s="4736"/>
      <c r="J76" s="219" t="s">
        <v>755</v>
      </c>
      <c r="K76" s="219"/>
      <c r="L76" s="290" t="s">
        <v>674</v>
      </c>
      <c r="M76" s="291">
        <f t="shared" si="10"/>
        <v>0</v>
      </c>
      <c r="N76" s="245"/>
      <c r="O76" s="246"/>
      <c r="P76" s="237"/>
      <c r="Q76" s="237"/>
      <c r="R76" s="237"/>
      <c r="S76" s="237"/>
      <c r="T76" s="237"/>
      <c r="U76" s="225"/>
      <c r="X76" s="208"/>
      <c r="Y76" s="2566" t="s">
        <v>1301</v>
      </c>
      <c r="Z76" s="2566" t="s">
        <v>1152</v>
      </c>
      <c r="AA76" s="2567" t="s">
        <v>124</v>
      </c>
      <c r="AB76" s="2566" t="s">
        <v>1144</v>
      </c>
      <c r="AC76" s="2568">
        <v>70</v>
      </c>
      <c r="AD76" s="2568">
        <v>80</v>
      </c>
      <c r="AE76" s="2569">
        <f t="shared" si="12"/>
        <v>75</v>
      </c>
      <c r="AF76" s="2565" t="s">
        <v>1167</v>
      </c>
      <c r="AG76" s="2570">
        <f t="shared" si="13"/>
        <v>18.333333333333336</v>
      </c>
      <c r="AH76" s="2570">
        <f t="shared" si="13"/>
        <v>21.111111111111114</v>
      </c>
      <c r="AI76" s="2571">
        <v>65</v>
      </c>
      <c r="AJ76" s="2571">
        <v>70</v>
      </c>
      <c r="AK76" s="208"/>
    </row>
    <row r="77" spans="1:37" ht="14.25" customHeight="1">
      <c r="A77" s="4737"/>
      <c r="B77" s="219" t="s">
        <v>283</v>
      </c>
      <c r="C77" s="1719">
        <v>265</v>
      </c>
      <c r="D77" s="1716" t="s">
        <v>674</v>
      </c>
      <c r="E77" s="1717">
        <f t="shared" si="9"/>
        <v>17.75</v>
      </c>
      <c r="F77" s="226">
        <v>71</v>
      </c>
      <c r="G77" s="274">
        <v>25</v>
      </c>
      <c r="H77" s="208"/>
      <c r="I77" s="4736"/>
      <c r="J77" s="219" t="s">
        <v>755</v>
      </c>
      <c r="K77" s="219"/>
      <c r="L77" s="290" t="s">
        <v>674</v>
      </c>
      <c r="M77" s="291">
        <f t="shared" si="10"/>
        <v>0</v>
      </c>
      <c r="N77" s="245"/>
      <c r="O77" s="246"/>
      <c r="P77" s="237"/>
      <c r="Q77" s="237"/>
      <c r="R77" s="237"/>
      <c r="S77" s="237"/>
      <c r="T77" s="237"/>
      <c r="U77" s="225"/>
      <c r="X77" s="208"/>
      <c r="Y77" s="2566" t="s">
        <v>1302</v>
      </c>
      <c r="Z77" s="2566" t="s">
        <v>1152</v>
      </c>
      <c r="AA77" s="2567" t="s">
        <v>124</v>
      </c>
      <c r="AB77" s="2566" t="s">
        <v>1153</v>
      </c>
      <c r="AC77" s="2568">
        <v>65</v>
      </c>
      <c r="AD77" s="2568">
        <v>72</v>
      </c>
      <c r="AE77" s="2569">
        <f t="shared" si="12"/>
        <v>68.5</v>
      </c>
      <c r="AF77" s="2565" t="s">
        <v>1154</v>
      </c>
      <c r="AG77" s="2570">
        <f t="shared" si="13"/>
        <v>18.333333333333336</v>
      </c>
      <c r="AH77" s="2570">
        <f t="shared" si="13"/>
        <v>20.555555555555557</v>
      </c>
      <c r="AI77" s="2571">
        <v>65</v>
      </c>
      <c r="AJ77" s="2571">
        <v>69</v>
      </c>
      <c r="AK77" s="208"/>
    </row>
    <row r="78" spans="1:37" ht="14.25" customHeight="1">
      <c r="A78" s="4737"/>
      <c r="B78" s="219" t="s">
        <v>1303</v>
      </c>
      <c r="C78" s="1719">
        <v>265</v>
      </c>
      <c r="D78" s="1716" t="s">
        <v>674</v>
      </c>
      <c r="E78" s="1717">
        <f t="shared" si="9"/>
        <v>8.52</v>
      </c>
      <c r="F78" s="226">
        <v>71</v>
      </c>
      <c r="G78" s="274">
        <v>12</v>
      </c>
      <c r="H78" s="208"/>
      <c r="I78" s="4736"/>
      <c r="J78" s="219" t="s">
        <v>755</v>
      </c>
      <c r="K78" s="219"/>
      <c r="L78" s="290" t="s">
        <v>674</v>
      </c>
      <c r="M78" s="291">
        <f t="shared" si="10"/>
        <v>0</v>
      </c>
      <c r="N78" s="245"/>
      <c r="O78" s="246"/>
      <c r="P78" s="237"/>
      <c r="Q78" s="237"/>
      <c r="R78" s="237"/>
      <c r="S78" s="237"/>
      <c r="T78" s="237"/>
      <c r="U78" s="225"/>
      <c r="X78" s="208"/>
      <c r="Y78" s="2566" t="s">
        <v>1304</v>
      </c>
      <c r="Z78" s="2566" t="s">
        <v>1169</v>
      </c>
      <c r="AA78" s="2567" t="s">
        <v>124</v>
      </c>
      <c r="AB78" s="2566" t="s">
        <v>1153</v>
      </c>
      <c r="AC78" s="2568">
        <v>74</v>
      </c>
      <c r="AD78" s="2568">
        <v>79</v>
      </c>
      <c r="AE78" s="2569">
        <f t="shared" si="12"/>
        <v>76.5</v>
      </c>
      <c r="AF78" s="2577">
        <v>12</v>
      </c>
      <c r="AG78" s="2570">
        <f t="shared" si="13"/>
        <v>18.333333333333336</v>
      </c>
      <c r="AH78" s="2570">
        <f t="shared" si="13"/>
        <v>26.666666666666671</v>
      </c>
      <c r="AI78" s="2571">
        <v>65</v>
      </c>
      <c r="AJ78" s="2571">
        <v>80</v>
      </c>
      <c r="AK78" s="208"/>
    </row>
    <row r="79" spans="1:37" ht="14.25" customHeight="1">
      <c r="A79" s="4737"/>
      <c r="B79" s="219" t="s">
        <v>282</v>
      </c>
      <c r="C79" s="1719">
        <v>265</v>
      </c>
      <c r="D79" s="1716" t="s">
        <v>674</v>
      </c>
      <c r="E79" s="1717">
        <f t="shared" si="9"/>
        <v>7.1</v>
      </c>
      <c r="F79" s="226">
        <v>71</v>
      </c>
      <c r="G79" s="274">
        <v>10</v>
      </c>
      <c r="H79" s="208"/>
      <c r="I79" s="4736"/>
      <c r="J79" s="219" t="s">
        <v>755</v>
      </c>
      <c r="K79" s="219"/>
      <c r="L79" s="290" t="s">
        <v>674</v>
      </c>
      <c r="M79" s="291">
        <f t="shared" si="10"/>
        <v>0</v>
      </c>
      <c r="N79" s="245"/>
      <c r="O79" s="246"/>
      <c r="P79" s="237"/>
      <c r="Q79" s="237"/>
      <c r="R79" s="237"/>
      <c r="S79" s="237"/>
      <c r="T79" s="237"/>
      <c r="U79" s="225"/>
      <c r="X79" s="208"/>
      <c r="Y79" s="2566" t="s">
        <v>1305</v>
      </c>
      <c r="Z79" s="2566" t="s">
        <v>1152</v>
      </c>
      <c r="AA79" s="2567" t="s">
        <v>124</v>
      </c>
      <c r="AB79" s="2566" t="s">
        <v>1170</v>
      </c>
      <c r="AC79" s="2568">
        <v>70</v>
      </c>
      <c r="AD79" s="2568">
        <v>75</v>
      </c>
      <c r="AE79" s="2569">
        <f t="shared" si="12"/>
        <v>72.5</v>
      </c>
      <c r="AF79" s="2565" t="s">
        <v>1154</v>
      </c>
      <c r="AG79" s="2570">
        <f t="shared" si="13"/>
        <v>20</v>
      </c>
      <c r="AH79" s="2570">
        <f t="shared" si="13"/>
        <v>22.777777777777779</v>
      </c>
      <c r="AI79" s="2571">
        <v>68</v>
      </c>
      <c r="AJ79" s="2571">
        <v>73</v>
      </c>
      <c r="AK79" s="208"/>
    </row>
    <row r="80" spans="1:37" ht="14.25" customHeight="1">
      <c r="A80" s="4737"/>
      <c r="B80" s="219" t="s">
        <v>879</v>
      </c>
      <c r="C80" s="1715">
        <v>265</v>
      </c>
      <c r="D80" s="1716" t="s">
        <v>674</v>
      </c>
      <c r="E80" s="1717">
        <f t="shared" si="9"/>
        <v>902.8</v>
      </c>
      <c r="F80" s="271">
        <v>74</v>
      </c>
      <c r="G80" s="228">
        <v>1220</v>
      </c>
      <c r="H80" s="208"/>
      <c r="I80" s="4736"/>
      <c r="J80" s="283" t="s">
        <v>1306</v>
      </c>
      <c r="K80" s="283"/>
      <c r="L80" s="283"/>
      <c r="M80" s="283"/>
      <c r="N80" s="283"/>
      <c r="O80" s="283"/>
      <c r="P80" s="283"/>
      <c r="Q80" s="283"/>
      <c r="R80" s="283"/>
      <c r="S80" s="283"/>
      <c r="T80" s="283"/>
      <c r="U80" s="1978"/>
      <c r="X80" s="208"/>
      <c r="Y80" s="2578" t="s">
        <v>1307</v>
      </c>
      <c r="Z80" s="2567" t="s">
        <v>1161</v>
      </c>
      <c r="AA80" s="2567" t="s">
        <v>124</v>
      </c>
      <c r="AB80" s="2566" t="s">
        <v>1158</v>
      </c>
      <c r="AC80" s="2579">
        <v>73</v>
      </c>
      <c r="AD80" s="2568">
        <v>82</v>
      </c>
      <c r="AE80" s="2569">
        <f t="shared" si="12"/>
        <v>77.5</v>
      </c>
      <c r="AF80" s="2565" t="s">
        <v>1154</v>
      </c>
      <c r="AG80" s="2570">
        <f t="shared" si="13"/>
        <v>18.888888888888886</v>
      </c>
      <c r="AH80" s="2573">
        <f t="shared" si="13"/>
        <v>21.111111111111114</v>
      </c>
      <c r="AI80" s="2574">
        <v>66</v>
      </c>
      <c r="AJ80" s="2571">
        <v>70</v>
      </c>
      <c r="AK80" s="208"/>
    </row>
    <row r="81" spans="1:37" ht="14.25" customHeight="1">
      <c r="A81" s="4738" t="s">
        <v>958</v>
      </c>
      <c r="B81" s="219" t="s">
        <v>1308</v>
      </c>
      <c r="C81" s="1718">
        <v>310</v>
      </c>
      <c r="D81" s="1716" t="s">
        <v>674</v>
      </c>
      <c r="E81" s="1717">
        <f t="shared" si="9"/>
        <v>10</v>
      </c>
      <c r="F81" s="226">
        <v>100</v>
      </c>
      <c r="G81" s="228">
        <v>10</v>
      </c>
      <c r="H81" s="208"/>
      <c r="I81" s="4736"/>
      <c r="J81" s="283"/>
      <c r="K81" s="283"/>
      <c r="L81" s="283"/>
      <c r="M81" s="283"/>
      <c r="N81" s="283"/>
      <c r="O81" s="283"/>
      <c r="P81" s="283"/>
      <c r="Q81" s="283"/>
      <c r="R81" s="283"/>
      <c r="S81" s="283"/>
      <c r="T81" s="283"/>
      <c r="U81" s="1978"/>
      <c r="X81" s="208"/>
      <c r="Y81" s="2578" t="s">
        <v>1309</v>
      </c>
      <c r="Z81" s="2567" t="s">
        <v>1161</v>
      </c>
      <c r="AA81" s="2567" t="s">
        <v>124</v>
      </c>
      <c r="AB81" s="2566" t="s">
        <v>1153</v>
      </c>
      <c r="AC81" s="2579">
        <v>70</v>
      </c>
      <c r="AD81" s="2568">
        <v>75</v>
      </c>
      <c r="AE81" s="2569">
        <f t="shared" si="12"/>
        <v>72.5</v>
      </c>
      <c r="AF81" s="2565" t="s">
        <v>1154</v>
      </c>
      <c r="AG81" s="2570">
        <f t="shared" si="13"/>
        <v>18.333333333333336</v>
      </c>
      <c r="AH81" s="2573">
        <f t="shared" si="13"/>
        <v>21.111111111111114</v>
      </c>
      <c r="AI81" s="2574">
        <v>65</v>
      </c>
      <c r="AJ81" s="2571">
        <v>70</v>
      </c>
      <c r="AK81" s="208"/>
    </row>
    <row r="82" spans="1:37" ht="14.25" customHeight="1">
      <c r="A82" s="4738"/>
      <c r="B82" s="219" t="s">
        <v>1310</v>
      </c>
      <c r="C82" s="1718">
        <v>365</v>
      </c>
      <c r="D82" s="1716" t="s">
        <v>674</v>
      </c>
      <c r="E82" s="1717">
        <f t="shared" si="9"/>
        <v>11</v>
      </c>
      <c r="F82" s="226">
        <v>100</v>
      </c>
      <c r="G82" s="228">
        <v>11</v>
      </c>
      <c r="H82" s="208"/>
      <c r="I82" s="4736"/>
      <c r="J82" s="283"/>
      <c r="K82" s="283"/>
      <c r="L82" s="283"/>
      <c r="M82" s="283"/>
      <c r="N82" s="283"/>
      <c r="O82" s="283"/>
      <c r="P82" s="283"/>
      <c r="Q82" s="283"/>
      <c r="R82" s="283"/>
      <c r="S82" s="283"/>
      <c r="T82" s="283"/>
      <c r="U82" s="1978"/>
      <c r="X82" s="208"/>
      <c r="Y82" s="2566" t="s">
        <v>1311</v>
      </c>
      <c r="Z82" s="2566" t="s">
        <v>1163</v>
      </c>
      <c r="AA82" s="2567" t="s">
        <v>124</v>
      </c>
      <c r="AB82" s="2566" t="s">
        <v>1153</v>
      </c>
      <c r="AC82" s="2575"/>
      <c r="AD82" s="2575"/>
      <c r="AE82" s="2576" t="s">
        <v>1144</v>
      </c>
      <c r="AF82" s="2577" t="s">
        <v>674</v>
      </c>
      <c r="AG82" s="2570">
        <f t="shared" si="13"/>
        <v>15</v>
      </c>
      <c r="AH82" s="2570">
        <f t="shared" si="13"/>
        <v>20</v>
      </c>
      <c r="AI82" s="2571">
        <v>59</v>
      </c>
      <c r="AJ82" s="2571">
        <v>68</v>
      </c>
      <c r="AK82" s="208"/>
    </row>
    <row r="83" spans="1:37" ht="14.25" customHeight="1">
      <c r="A83" s="4738"/>
      <c r="B83" s="219" t="s">
        <v>1312</v>
      </c>
      <c r="C83" s="1718">
        <v>365</v>
      </c>
      <c r="D83" s="1716" t="s">
        <v>674</v>
      </c>
      <c r="E83" s="1717">
        <f t="shared" si="9"/>
        <v>6</v>
      </c>
      <c r="F83" s="226">
        <v>100</v>
      </c>
      <c r="G83" s="227">
        <v>6</v>
      </c>
      <c r="H83" s="208"/>
      <c r="I83" s="4728"/>
      <c r="N83" s="284"/>
      <c r="O83" s="284"/>
      <c r="P83" s="237"/>
      <c r="Q83" s="237"/>
      <c r="R83" s="237"/>
      <c r="S83" s="237"/>
      <c r="T83" s="237"/>
      <c r="U83" s="225"/>
      <c r="X83" s="208"/>
      <c r="Y83" s="2566" t="s">
        <v>1313</v>
      </c>
      <c r="Z83" s="2566" t="s">
        <v>1152</v>
      </c>
      <c r="AA83" s="2567" t="s">
        <v>124</v>
      </c>
      <c r="AB83" s="2566" t="s">
        <v>1314</v>
      </c>
      <c r="AC83" s="2568">
        <v>63</v>
      </c>
      <c r="AD83" s="2568">
        <v>70</v>
      </c>
      <c r="AE83" s="2569">
        <f t="shared" ref="AE83:AE103" si="14">(AC83+AD83)/2</f>
        <v>66.5</v>
      </c>
      <c r="AF83" s="2565" t="s">
        <v>1154</v>
      </c>
      <c r="AG83" s="2570">
        <f t="shared" si="13"/>
        <v>18.333333333333336</v>
      </c>
      <c r="AH83" s="2570">
        <f t="shared" si="13"/>
        <v>20</v>
      </c>
      <c r="AI83" s="2571">
        <v>65</v>
      </c>
      <c r="AJ83" s="2571">
        <v>68</v>
      </c>
      <c r="AK83" s="208"/>
    </row>
    <row r="84" spans="1:37" ht="14.25" customHeight="1">
      <c r="A84" s="4739" t="s">
        <v>1315</v>
      </c>
      <c r="B84" s="219" t="s">
        <v>883</v>
      </c>
      <c r="C84" s="1720">
        <v>375</v>
      </c>
      <c r="D84" s="1719">
        <v>1</v>
      </c>
      <c r="E84" s="1717">
        <f t="shared" si="9"/>
        <v>0</v>
      </c>
      <c r="F84" s="271">
        <v>100</v>
      </c>
      <c r="G84" s="273">
        <v>0</v>
      </c>
      <c r="H84" s="208"/>
      <c r="I84" s="4736" t="s">
        <v>1316</v>
      </c>
      <c r="J84" s="219" t="s">
        <v>1277</v>
      </c>
      <c r="K84" s="219">
        <v>260</v>
      </c>
      <c r="L84" s="290" t="s">
        <v>674</v>
      </c>
      <c r="M84" s="291">
        <f t="shared" ref="M84:M99" si="15">(N84*O84)/100</f>
        <v>1.7749999999999999</v>
      </c>
      <c r="N84" s="285">
        <v>71</v>
      </c>
      <c r="O84" s="286">
        <v>2.5</v>
      </c>
      <c r="P84" s="245"/>
      <c r="Q84" s="245"/>
      <c r="R84" s="245"/>
      <c r="S84" s="265">
        <v>20</v>
      </c>
      <c r="T84" s="265">
        <v>26</v>
      </c>
      <c r="U84" s="266">
        <v>29</v>
      </c>
      <c r="X84" s="208"/>
      <c r="Y84" s="2566" t="s">
        <v>1317</v>
      </c>
      <c r="Z84" s="2566" t="s">
        <v>1169</v>
      </c>
      <c r="AA84" s="2567" t="s">
        <v>124</v>
      </c>
      <c r="AB84" s="2566" t="s">
        <v>1314</v>
      </c>
      <c r="AC84" s="2568">
        <v>68</v>
      </c>
      <c r="AD84" s="2568">
        <v>72</v>
      </c>
      <c r="AE84" s="2569">
        <f t="shared" si="14"/>
        <v>70</v>
      </c>
      <c r="AF84" s="2577">
        <v>10</v>
      </c>
      <c r="AG84" s="2570">
        <f t="shared" si="13"/>
        <v>17.777777777777779</v>
      </c>
      <c r="AH84" s="2570">
        <f t="shared" si="13"/>
        <v>22.222222222222221</v>
      </c>
      <c r="AI84" s="2571">
        <v>64</v>
      </c>
      <c r="AJ84" s="2571">
        <v>72</v>
      </c>
      <c r="AK84" s="208"/>
    </row>
    <row r="85" spans="1:37" ht="14.25" customHeight="1">
      <c r="A85" s="4739"/>
      <c r="B85" s="219" t="s">
        <v>884</v>
      </c>
      <c r="C85" s="1720">
        <v>370</v>
      </c>
      <c r="D85" s="1715">
        <v>1</v>
      </c>
      <c r="E85" s="1717">
        <f t="shared" si="9"/>
        <v>16</v>
      </c>
      <c r="F85" s="271">
        <v>100</v>
      </c>
      <c r="G85" s="228">
        <v>16</v>
      </c>
      <c r="H85" s="208"/>
      <c r="I85" s="4736"/>
      <c r="J85" s="219" t="s">
        <v>1279</v>
      </c>
      <c r="K85" s="219">
        <v>310</v>
      </c>
      <c r="L85" s="290" t="s">
        <v>674</v>
      </c>
      <c r="M85" s="291">
        <f t="shared" si="15"/>
        <v>0.71</v>
      </c>
      <c r="N85" s="285">
        <v>71</v>
      </c>
      <c r="O85" s="286">
        <v>1</v>
      </c>
      <c r="P85" s="245"/>
      <c r="Q85" s="245"/>
      <c r="R85" s="245"/>
      <c r="S85" s="83"/>
      <c r="T85" s="1979"/>
      <c r="U85" s="1980"/>
      <c r="X85" s="208"/>
      <c r="Y85" s="2566" t="s">
        <v>1318</v>
      </c>
      <c r="Z85" s="2566" t="s">
        <v>1152</v>
      </c>
      <c r="AA85" s="2567" t="s">
        <v>124</v>
      </c>
      <c r="AB85" s="2566" t="s">
        <v>1158</v>
      </c>
      <c r="AC85" s="2568">
        <v>71</v>
      </c>
      <c r="AD85" s="2568">
        <v>76</v>
      </c>
      <c r="AE85" s="2569">
        <f t="shared" si="14"/>
        <v>73.5</v>
      </c>
      <c r="AF85" s="2565" t="s">
        <v>1154</v>
      </c>
      <c r="AG85" s="2570">
        <f t="shared" si="13"/>
        <v>18.888888888888886</v>
      </c>
      <c r="AH85" s="2570">
        <f t="shared" si="13"/>
        <v>21.111111111111114</v>
      </c>
      <c r="AI85" s="2571">
        <v>66</v>
      </c>
      <c r="AJ85" s="2571">
        <v>70</v>
      </c>
      <c r="AK85" s="208"/>
    </row>
    <row r="86" spans="1:37" ht="14.25" customHeight="1">
      <c r="A86" s="4739"/>
      <c r="B86" s="219" t="s">
        <v>885</v>
      </c>
      <c r="C86" s="1720">
        <v>319</v>
      </c>
      <c r="D86" s="1715">
        <v>1</v>
      </c>
      <c r="E86" s="1717">
        <f t="shared" si="9"/>
        <v>45</v>
      </c>
      <c r="F86" s="271">
        <v>100</v>
      </c>
      <c r="G86" s="228">
        <v>45</v>
      </c>
      <c r="H86" s="208"/>
      <c r="I86" s="4736"/>
      <c r="J86" s="219" t="s">
        <v>1319</v>
      </c>
      <c r="K86" s="219">
        <v>310</v>
      </c>
      <c r="L86" s="290" t="s">
        <v>674</v>
      </c>
      <c r="M86" s="291">
        <f t="shared" si="15"/>
        <v>1.42</v>
      </c>
      <c r="N86" s="285">
        <v>71</v>
      </c>
      <c r="O86" s="286">
        <v>2</v>
      </c>
      <c r="P86" s="245"/>
      <c r="Q86" s="245"/>
      <c r="R86" s="245"/>
      <c r="S86" s="83"/>
      <c r="T86" s="1979"/>
      <c r="U86" s="1980"/>
      <c r="X86" s="208"/>
      <c r="Y86" s="2566" t="s">
        <v>1320</v>
      </c>
      <c r="Z86" s="2566" t="s">
        <v>1152</v>
      </c>
      <c r="AA86" s="2567" t="s">
        <v>124</v>
      </c>
      <c r="AB86" s="2566" t="s">
        <v>1153</v>
      </c>
      <c r="AC86" s="2568">
        <v>65</v>
      </c>
      <c r="AD86" s="2568">
        <v>70</v>
      </c>
      <c r="AE86" s="2569">
        <f t="shared" si="14"/>
        <v>67.5</v>
      </c>
      <c r="AF86" s="2565" t="s">
        <v>1154</v>
      </c>
      <c r="AG86" s="2570">
        <f t="shared" si="13"/>
        <v>18.333333333333336</v>
      </c>
      <c r="AH86" s="2570">
        <f t="shared" si="13"/>
        <v>21.111111111111114</v>
      </c>
      <c r="AI86" s="2571">
        <v>65</v>
      </c>
      <c r="AJ86" s="2571">
        <v>70</v>
      </c>
      <c r="AK86" s="208"/>
    </row>
    <row r="87" spans="1:37" ht="14.25" customHeight="1">
      <c r="A87" s="4739"/>
      <c r="B87" s="219" t="s">
        <v>340</v>
      </c>
      <c r="C87" s="1718">
        <v>360</v>
      </c>
      <c r="D87" s="1715">
        <v>0.95</v>
      </c>
      <c r="E87" s="1717">
        <f t="shared" si="9"/>
        <v>0</v>
      </c>
      <c r="F87" s="226">
        <v>100</v>
      </c>
      <c r="G87" s="228"/>
      <c r="H87" s="208"/>
      <c r="I87" s="4736"/>
      <c r="J87" s="219" t="s">
        <v>1282</v>
      </c>
      <c r="K87" s="219">
        <v>250</v>
      </c>
      <c r="L87" s="290" t="s">
        <v>674</v>
      </c>
      <c r="M87" s="291">
        <f t="shared" si="15"/>
        <v>2.13</v>
      </c>
      <c r="N87" s="285">
        <v>71</v>
      </c>
      <c r="O87" s="286">
        <v>3</v>
      </c>
      <c r="P87" s="245"/>
      <c r="Q87" s="245"/>
      <c r="R87" s="245"/>
      <c r="S87" s="83"/>
      <c r="T87" s="1979"/>
      <c r="U87" s="1980"/>
      <c r="X87" s="208"/>
      <c r="Y87" s="2566" t="s">
        <v>1321</v>
      </c>
      <c r="Z87" s="2566" t="s">
        <v>1169</v>
      </c>
      <c r="AA87" s="2567" t="s">
        <v>124</v>
      </c>
      <c r="AB87" s="2566" t="s">
        <v>1165</v>
      </c>
      <c r="AC87" s="2568">
        <v>73</v>
      </c>
      <c r="AD87" s="2568">
        <v>77</v>
      </c>
      <c r="AE87" s="2569">
        <f t="shared" si="14"/>
        <v>75</v>
      </c>
      <c r="AF87" s="2577">
        <v>9</v>
      </c>
      <c r="AG87" s="2570">
        <f t="shared" si="13"/>
        <v>7.7777777777777786</v>
      </c>
      <c r="AH87" s="2570">
        <f t="shared" si="13"/>
        <v>13.333333333333336</v>
      </c>
      <c r="AI87" s="2571">
        <v>46</v>
      </c>
      <c r="AJ87" s="2571">
        <v>56</v>
      </c>
      <c r="AK87" s="208"/>
    </row>
    <row r="88" spans="1:37" ht="14.25" customHeight="1">
      <c r="A88" s="4739"/>
      <c r="B88" s="275" t="s">
        <v>1322</v>
      </c>
      <c r="C88" s="276">
        <v>380</v>
      </c>
      <c r="D88" s="226">
        <v>0</v>
      </c>
      <c r="E88" s="1717">
        <f t="shared" si="9"/>
        <v>30</v>
      </c>
      <c r="F88" s="226">
        <v>100</v>
      </c>
      <c r="G88" s="228">
        <v>30</v>
      </c>
      <c r="H88" s="208"/>
      <c r="I88" s="4736"/>
      <c r="J88" s="219" t="s">
        <v>1284</v>
      </c>
      <c r="K88" s="289">
        <v>250</v>
      </c>
      <c r="L88" s="290" t="s">
        <v>674</v>
      </c>
      <c r="M88" s="291">
        <f t="shared" si="15"/>
        <v>1.0649999999999999</v>
      </c>
      <c r="N88" s="285">
        <v>71</v>
      </c>
      <c r="O88" s="286">
        <v>1.5</v>
      </c>
      <c r="P88" s="245"/>
      <c r="Q88" s="1938"/>
      <c r="R88" s="1938"/>
      <c r="S88" s="1938"/>
      <c r="T88" s="265"/>
      <c r="U88" s="318"/>
      <c r="X88" s="208"/>
      <c r="Y88" s="2566" t="s">
        <v>1323</v>
      </c>
      <c r="Z88" s="2566" t="s">
        <v>1169</v>
      </c>
      <c r="AA88" s="2567" t="s">
        <v>124</v>
      </c>
      <c r="AB88" s="2566" t="s">
        <v>1216</v>
      </c>
      <c r="AC88" s="2568">
        <v>74</v>
      </c>
      <c r="AD88" s="2568">
        <v>79</v>
      </c>
      <c r="AE88" s="2569">
        <f t="shared" si="14"/>
        <v>76.5</v>
      </c>
      <c r="AF88" s="2577">
        <v>12</v>
      </c>
      <c r="AG88" s="2570">
        <f t="shared" si="13"/>
        <v>23.333333333333336</v>
      </c>
      <c r="AH88" s="2570">
        <f t="shared" si="13"/>
        <v>35</v>
      </c>
      <c r="AI88" s="2571">
        <v>74</v>
      </c>
      <c r="AJ88" s="2571">
        <v>95</v>
      </c>
      <c r="AK88" s="208"/>
    </row>
    <row r="89" spans="1:37" ht="14.25" customHeight="1">
      <c r="A89" s="277"/>
      <c r="B89" s="278"/>
      <c r="C89" s="279"/>
      <c r="D89" s="280"/>
      <c r="E89" s="280"/>
      <c r="F89" s="281"/>
      <c r="G89" s="282"/>
      <c r="H89" s="208"/>
      <c r="I89" s="4736"/>
      <c r="J89" s="218" t="s">
        <v>1286</v>
      </c>
      <c r="K89" s="218">
        <v>288</v>
      </c>
      <c r="L89" s="290" t="s">
        <v>674</v>
      </c>
      <c r="M89" s="291">
        <f t="shared" si="15"/>
        <v>2.84</v>
      </c>
      <c r="N89" s="287">
        <v>71</v>
      </c>
      <c r="O89" s="288">
        <v>4</v>
      </c>
      <c r="P89" s="245"/>
      <c r="Q89" s="245"/>
      <c r="R89" s="245"/>
      <c r="S89" s="83"/>
      <c r="T89" s="83"/>
      <c r="U89" s="318"/>
      <c r="X89" s="208"/>
      <c r="Y89" s="2566" t="s">
        <v>1324</v>
      </c>
      <c r="Z89" s="2566" t="s">
        <v>1169</v>
      </c>
      <c r="AA89" s="2567" t="s">
        <v>124</v>
      </c>
      <c r="AB89" s="2566" t="s">
        <v>1165</v>
      </c>
      <c r="AC89" s="2568">
        <v>72</v>
      </c>
      <c r="AD89" s="2568">
        <v>76</v>
      </c>
      <c r="AE89" s="2569">
        <f t="shared" si="14"/>
        <v>74</v>
      </c>
      <c r="AF89" s="2577">
        <v>12</v>
      </c>
      <c r="AG89" s="2570">
        <f t="shared" si="13"/>
        <v>17.222222222222221</v>
      </c>
      <c r="AH89" s="2570">
        <f t="shared" si="13"/>
        <v>24.444444444444443</v>
      </c>
      <c r="AI89" s="2571">
        <v>63</v>
      </c>
      <c r="AJ89" s="2571">
        <v>76</v>
      </c>
      <c r="AK89" s="208"/>
    </row>
    <row r="90" spans="1:37" ht="14.25" customHeight="1">
      <c r="A90" s="4740"/>
      <c r="B90" s="4740"/>
      <c r="C90" s="208"/>
      <c r="D90" s="208"/>
      <c r="E90" s="208"/>
      <c r="F90" s="208"/>
      <c r="G90" s="208"/>
      <c r="H90" s="208"/>
      <c r="I90" s="4736"/>
      <c r="J90" s="219" t="s">
        <v>1289</v>
      </c>
      <c r="K90" s="219">
        <v>173</v>
      </c>
      <c r="L90" s="290" t="s">
        <v>674</v>
      </c>
      <c r="M90" s="291">
        <f t="shared" si="15"/>
        <v>0</v>
      </c>
      <c r="N90" s="285">
        <v>71</v>
      </c>
      <c r="O90" s="286"/>
      <c r="P90" s="245"/>
      <c r="Q90" s="245"/>
      <c r="R90" s="245"/>
      <c r="S90" s="83"/>
      <c r="T90" s="83"/>
      <c r="U90" s="318"/>
      <c r="X90" s="208"/>
      <c r="Y90" s="2578" t="s">
        <v>1325</v>
      </c>
      <c r="Z90" s="2567" t="s">
        <v>1161</v>
      </c>
      <c r="AA90" s="2567" t="s">
        <v>124</v>
      </c>
      <c r="AB90" s="2566" t="s">
        <v>1158</v>
      </c>
      <c r="AC90" s="2579">
        <v>68</v>
      </c>
      <c r="AD90" s="2568">
        <v>75</v>
      </c>
      <c r="AE90" s="2569">
        <f t="shared" si="14"/>
        <v>71.5</v>
      </c>
      <c r="AF90" s="2577" t="s">
        <v>674</v>
      </c>
      <c r="AG90" s="2570">
        <f t="shared" si="13"/>
        <v>17.222222222222221</v>
      </c>
      <c r="AH90" s="2573">
        <f t="shared" si="13"/>
        <v>22.777777777777779</v>
      </c>
      <c r="AI90" s="2574">
        <v>63</v>
      </c>
      <c r="AJ90" s="2571">
        <v>73</v>
      </c>
      <c r="AK90" s="208"/>
    </row>
    <row r="91" spans="1:37" ht="14.25" customHeight="1">
      <c r="A91" s="4740" t="s">
        <v>832</v>
      </c>
      <c r="B91" s="4740"/>
      <c r="C91" s="208"/>
      <c r="D91" s="208"/>
      <c r="E91" s="208"/>
      <c r="F91" s="208"/>
      <c r="G91" s="208"/>
      <c r="H91" s="208"/>
      <c r="I91" s="4736"/>
      <c r="J91" s="219" t="s">
        <v>1292</v>
      </c>
      <c r="K91" s="219">
        <v>304</v>
      </c>
      <c r="L91" s="290" t="s">
        <v>674</v>
      </c>
      <c r="M91" s="291">
        <f t="shared" si="15"/>
        <v>0</v>
      </c>
      <c r="N91" s="285">
        <v>71</v>
      </c>
      <c r="O91" s="286"/>
      <c r="P91" s="245"/>
      <c r="Q91" s="245"/>
      <c r="R91" s="245"/>
      <c r="S91" s="83"/>
      <c r="T91" s="83"/>
      <c r="U91" s="318"/>
      <c r="X91" s="208"/>
      <c r="Y91" s="2578" t="s">
        <v>1326</v>
      </c>
      <c r="Z91" s="2566" t="s">
        <v>1169</v>
      </c>
      <c r="AA91" s="2567" t="s">
        <v>124</v>
      </c>
      <c r="AB91" s="2566" t="s">
        <v>1165</v>
      </c>
      <c r="AC91" s="2568">
        <v>77</v>
      </c>
      <c r="AD91" s="2568">
        <v>83</v>
      </c>
      <c r="AE91" s="2569">
        <f t="shared" si="14"/>
        <v>80</v>
      </c>
      <c r="AF91" s="2577">
        <v>12</v>
      </c>
      <c r="AG91" s="2570">
        <f t="shared" si="13"/>
        <v>18.333333333333336</v>
      </c>
      <c r="AH91" s="2570">
        <f t="shared" si="13"/>
        <v>25</v>
      </c>
      <c r="AI91" s="2571">
        <v>65</v>
      </c>
      <c r="AJ91" s="2571">
        <v>77</v>
      </c>
      <c r="AK91" s="208"/>
    </row>
    <row r="92" spans="1:37" ht="14.25" customHeight="1">
      <c r="A92" s="208"/>
      <c r="B92" s="208"/>
      <c r="C92" s="208"/>
      <c r="D92" s="208"/>
      <c r="E92" s="208"/>
      <c r="F92" s="208"/>
      <c r="G92" s="208"/>
      <c r="H92" s="208"/>
      <c r="I92" s="4736"/>
      <c r="J92" s="219" t="s">
        <v>1295</v>
      </c>
      <c r="K92" s="219">
        <v>305</v>
      </c>
      <c r="L92" s="290" t="s">
        <v>674</v>
      </c>
      <c r="M92" s="291">
        <f t="shared" si="15"/>
        <v>2.13</v>
      </c>
      <c r="N92" s="285">
        <v>71</v>
      </c>
      <c r="O92" s="286">
        <v>3</v>
      </c>
      <c r="P92" s="245" t="s">
        <v>1327</v>
      </c>
      <c r="Q92" s="245"/>
      <c r="R92" s="245"/>
      <c r="S92" s="265">
        <v>15</v>
      </c>
      <c r="T92" s="265">
        <v>20</v>
      </c>
      <c r="U92" s="266">
        <v>23</v>
      </c>
      <c r="X92" s="208"/>
      <c r="Y92" s="2566" t="s">
        <v>1328</v>
      </c>
      <c r="Z92" s="2566" t="s">
        <v>1169</v>
      </c>
      <c r="AA92" s="2567" t="s">
        <v>124</v>
      </c>
      <c r="AB92" s="2566" t="s">
        <v>1158</v>
      </c>
      <c r="AC92" s="2568">
        <v>71</v>
      </c>
      <c r="AD92" s="2568">
        <v>75</v>
      </c>
      <c r="AE92" s="2569">
        <f t="shared" si="14"/>
        <v>73</v>
      </c>
      <c r="AF92" s="2577">
        <v>9</v>
      </c>
      <c r="AG92" s="2570">
        <f t="shared" si="13"/>
        <v>7.7777777777777786</v>
      </c>
      <c r="AH92" s="2570">
        <f t="shared" si="13"/>
        <v>13.333333333333336</v>
      </c>
      <c r="AI92" s="2571">
        <v>46</v>
      </c>
      <c r="AJ92" s="2571">
        <v>56</v>
      </c>
      <c r="AK92" s="208"/>
    </row>
    <row r="93" spans="1:37" ht="14.25" customHeight="1">
      <c r="A93" s="208"/>
      <c r="B93" s="208"/>
      <c r="C93" s="208"/>
      <c r="D93" s="208"/>
      <c r="E93" s="208"/>
      <c r="F93" s="208"/>
      <c r="G93" s="208"/>
      <c r="H93" s="208"/>
      <c r="I93" s="4736"/>
      <c r="J93" s="219" t="s">
        <v>755</v>
      </c>
      <c r="K93" s="219"/>
      <c r="L93" s="290" t="s">
        <v>674</v>
      </c>
      <c r="M93" s="291">
        <f t="shared" si="15"/>
        <v>0</v>
      </c>
      <c r="N93" s="285"/>
      <c r="O93" s="286"/>
      <c r="P93" s="245" t="s">
        <v>1329</v>
      </c>
      <c r="Q93" s="245"/>
      <c r="R93" s="245"/>
      <c r="S93" s="245"/>
      <c r="T93" s="245"/>
      <c r="U93" s="1723"/>
      <c r="X93" s="208"/>
      <c r="Y93" s="2566" t="s">
        <v>1330</v>
      </c>
      <c r="Z93" s="2566" t="s">
        <v>1152</v>
      </c>
      <c r="AA93" s="2567" t="s">
        <v>124</v>
      </c>
      <c r="AB93" s="2566" t="s">
        <v>1153</v>
      </c>
      <c r="AC93" s="2568">
        <v>72</v>
      </c>
      <c r="AD93" s="2568">
        <v>78</v>
      </c>
      <c r="AE93" s="2569">
        <f t="shared" si="14"/>
        <v>75</v>
      </c>
      <c r="AF93" s="2565" t="s">
        <v>1154</v>
      </c>
      <c r="AG93" s="2570">
        <f t="shared" si="13"/>
        <v>18.333333333333336</v>
      </c>
      <c r="AH93" s="2570">
        <f t="shared" si="13"/>
        <v>20.555555555555557</v>
      </c>
      <c r="AI93" s="2571">
        <v>65</v>
      </c>
      <c r="AJ93" s="2571">
        <v>69</v>
      </c>
      <c r="AK93" s="208"/>
    </row>
    <row r="94" spans="1:37" ht="14.25" customHeight="1">
      <c r="A94" s="208"/>
      <c r="B94" s="208"/>
      <c r="C94" s="208"/>
      <c r="D94" s="208"/>
      <c r="E94" s="208"/>
      <c r="F94" s="208"/>
      <c r="G94" s="208"/>
      <c r="H94" s="208"/>
      <c r="I94" s="4736"/>
      <c r="J94" s="219" t="s">
        <v>755</v>
      </c>
      <c r="K94" s="219"/>
      <c r="L94" s="290" t="s">
        <v>674</v>
      </c>
      <c r="M94" s="291">
        <f t="shared" si="15"/>
        <v>0</v>
      </c>
      <c r="N94" s="285"/>
      <c r="O94" s="286"/>
      <c r="P94" s="245"/>
      <c r="Q94" s="245"/>
      <c r="R94" s="245"/>
      <c r="S94" s="245"/>
      <c r="T94" s="245"/>
      <c r="U94" s="1723"/>
      <c r="X94" s="208"/>
      <c r="Y94" s="2566" t="s">
        <v>1331</v>
      </c>
      <c r="Z94" s="2566" t="s">
        <v>1169</v>
      </c>
      <c r="AA94" s="2567" t="s">
        <v>124</v>
      </c>
      <c r="AB94" s="2566" t="s">
        <v>1165</v>
      </c>
      <c r="AC94" s="2568">
        <v>73</v>
      </c>
      <c r="AD94" s="2568">
        <v>77</v>
      </c>
      <c r="AE94" s="2569">
        <f t="shared" si="14"/>
        <v>75</v>
      </c>
      <c r="AF94" s="2577">
        <v>11</v>
      </c>
      <c r="AG94" s="2570">
        <f t="shared" si="13"/>
        <v>12.777777777777779</v>
      </c>
      <c r="AH94" s="2570">
        <f t="shared" si="13"/>
        <v>20</v>
      </c>
      <c r="AI94" s="2571">
        <v>55</v>
      </c>
      <c r="AJ94" s="2571">
        <v>68</v>
      </c>
      <c r="AK94" s="208"/>
    </row>
    <row r="95" spans="1:37" ht="14.25" customHeight="1">
      <c r="A95" s="208"/>
      <c r="B95" s="208"/>
      <c r="C95" s="208"/>
      <c r="D95" s="208"/>
      <c r="E95" s="208"/>
      <c r="F95" s="208"/>
      <c r="G95" s="208"/>
      <c r="H95" s="208"/>
      <c r="I95" s="4736"/>
      <c r="J95" s="219" t="s">
        <v>755</v>
      </c>
      <c r="K95" s="219"/>
      <c r="L95" s="290" t="s">
        <v>674</v>
      </c>
      <c r="M95" s="291">
        <f t="shared" si="15"/>
        <v>0</v>
      </c>
      <c r="N95" s="285"/>
      <c r="O95" s="286"/>
      <c r="P95" s="245"/>
      <c r="Q95" s="245"/>
      <c r="R95" s="245"/>
      <c r="S95" s="245"/>
      <c r="T95" s="245"/>
      <c r="U95" s="1723"/>
      <c r="X95" s="208"/>
      <c r="Y95" s="2566" t="s">
        <v>1332</v>
      </c>
      <c r="Z95" s="2566" t="s">
        <v>1152</v>
      </c>
      <c r="AA95" s="2567" t="s">
        <v>124</v>
      </c>
      <c r="AB95" s="2566" t="s">
        <v>1153</v>
      </c>
      <c r="AC95" s="2568">
        <v>73</v>
      </c>
      <c r="AD95" s="2568">
        <v>80</v>
      </c>
      <c r="AE95" s="2569">
        <f t="shared" si="14"/>
        <v>76.5</v>
      </c>
      <c r="AF95" s="2565" t="s">
        <v>1154</v>
      </c>
      <c r="AG95" s="2570">
        <f t="shared" si="13"/>
        <v>18.333333333333336</v>
      </c>
      <c r="AH95" s="2570">
        <f t="shared" si="13"/>
        <v>21.111111111111114</v>
      </c>
      <c r="AI95" s="2571">
        <v>65</v>
      </c>
      <c r="AJ95" s="2571">
        <v>70</v>
      </c>
      <c r="AK95" s="208"/>
    </row>
    <row r="96" spans="1:37" ht="14.25" customHeight="1">
      <c r="A96" s="208"/>
      <c r="B96" s="208"/>
      <c r="C96" s="208"/>
      <c r="D96" s="208"/>
      <c r="E96" s="208"/>
      <c r="F96" s="208"/>
      <c r="G96" s="208"/>
      <c r="H96" s="208"/>
      <c r="I96" s="4736"/>
      <c r="J96" s="219" t="s">
        <v>755</v>
      </c>
      <c r="K96" s="219"/>
      <c r="L96" s="290" t="s">
        <v>674</v>
      </c>
      <c r="M96" s="291">
        <f t="shared" si="15"/>
        <v>0</v>
      </c>
      <c r="N96" s="285"/>
      <c r="O96" s="286"/>
      <c r="P96" s="245"/>
      <c r="Q96" s="245"/>
      <c r="R96" s="245"/>
      <c r="S96" s="245"/>
      <c r="T96" s="245"/>
      <c r="U96" s="1723"/>
      <c r="X96" s="208"/>
      <c r="Y96" s="2566" t="s">
        <v>1333</v>
      </c>
      <c r="Z96" s="2566" t="s">
        <v>1152</v>
      </c>
      <c r="AA96" s="2567" t="s">
        <v>124</v>
      </c>
      <c r="AB96" s="2566" t="s">
        <v>1153</v>
      </c>
      <c r="AC96" s="2568">
        <v>70</v>
      </c>
      <c r="AD96" s="2568">
        <v>76</v>
      </c>
      <c r="AE96" s="2569">
        <f t="shared" si="14"/>
        <v>73</v>
      </c>
      <c r="AF96" s="2565" t="s">
        <v>1167</v>
      </c>
      <c r="AG96" s="2570">
        <f t="shared" si="13"/>
        <v>8.8888888888888857</v>
      </c>
      <c r="AH96" s="2570">
        <f t="shared" si="13"/>
        <v>12.777777777777779</v>
      </c>
      <c r="AI96" s="2571">
        <v>48</v>
      </c>
      <c r="AJ96" s="2571">
        <v>55</v>
      </c>
      <c r="AK96" s="208"/>
    </row>
    <row r="97" spans="1:37" ht="14.25" customHeight="1">
      <c r="A97" s="208"/>
      <c r="B97" s="208"/>
      <c r="C97" s="208"/>
      <c r="D97" s="208"/>
      <c r="E97" s="208"/>
      <c r="F97" s="208"/>
      <c r="G97" s="208"/>
      <c r="H97" s="208"/>
      <c r="I97" s="4736"/>
      <c r="J97" s="219" t="s">
        <v>755</v>
      </c>
      <c r="K97" s="219"/>
      <c r="L97" s="290" t="s">
        <v>674</v>
      </c>
      <c r="M97" s="291">
        <f t="shared" si="15"/>
        <v>0</v>
      </c>
      <c r="N97" s="285"/>
      <c r="O97" s="286"/>
      <c r="P97" s="245"/>
      <c r="Q97" s="245"/>
      <c r="R97" s="245"/>
      <c r="S97" s="245"/>
      <c r="T97" s="245"/>
      <c r="U97" s="1723"/>
      <c r="X97" s="208"/>
      <c r="Y97" s="2566" t="s">
        <v>1334</v>
      </c>
      <c r="Z97" s="2566" t="s">
        <v>1152</v>
      </c>
      <c r="AA97" s="2567" t="s">
        <v>124</v>
      </c>
      <c r="AB97" s="2566" t="s">
        <v>1153</v>
      </c>
      <c r="AC97" s="2568">
        <v>74</v>
      </c>
      <c r="AD97" s="2568">
        <v>79</v>
      </c>
      <c r="AE97" s="2569">
        <f t="shared" si="14"/>
        <v>76.5</v>
      </c>
      <c r="AF97" s="2565" t="s">
        <v>1154</v>
      </c>
      <c r="AG97" s="2570">
        <f t="shared" si="13"/>
        <v>10</v>
      </c>
      <c r="AH97" s="2570">
        <f t="shared" si="13"/>
        <v>12.777777777777779</v>
      </c>
      <c r="AI97" s="2571">
        <v>50</v>
      </c>
      <c r="AJ97" s="2571">
        <v>55</v>
      </c>
      <c r="AK97" s="208"/>
    </row>
    <row r="98" spans="1:37" ht="14.25" customHeight="1">
      <c r="A98" s="208"/>
      <c r="B98" s="208"/>
      <c r="C98" s="208"/>
      <c r="D98" s="208"/>
      <c r="E98" s="208"/>
      <c r="F98" s="208"/>
      <c r="G98" s="208"/>
      <c r="H98" s="208"/>
      <c r="I98" s="4736"/>
      <c r="J98" s="219" t="s">
        <v>755</v>
      </c>
      <c r="K98" s="219"/>
      <c r="L98" s="290" t="s">
        <v>674</v>
      </c>
      <c r="M98" s="291">
        <f t="shared" si="15"/>
        <v>0</v>
      </c>
      <c r="N98" s="285"/>
      <c r="O98" s="286"/>
      <c r="P98" s="245"/>
      <c r="Q98" s="245"/>
      <c r="R98" s="245"/>
      <c r="S98" s="245"/>
      <c r="T98" s="245"/>
      <c r="U98" s="1723"/>
      <c r="X98" s="208"/>
      <c r="Y98" s="2566" t="s">
        <v>1335</v>
      </c>
      <c r="Z98" s="2566" t="s">
        <v>1169</v>
      </c>
      <c r="AA98" s="2567" t="s">
        <v>124</v>
      </c>
      <c r="AB98" s="2566" t="s">
        <v>1144</v>
      </c>
      <c r="AC98" s="2568">
        <v>70</v>
      </c>
      <c r="AD98" s="2568">
        <v>76</v>
      </c>
      <c r="AE98" s="2569">
        <f t="shared" si="14"/>
        <v>73</v>
      </c>
      <c r="AF98" s="2577">
        <v>10</v>
      </c>
      <c r="AG98" s="2570">
        <f t="shared" si="13"/>
        <v>17.222222222222221</v>
      </c>
      <c r="AH98" s="2570">
        <f t="shared" si="13"/>
        <v>23.888888888888886</v>
      </c>
      <c r="AI98" s="2571">
        <v>63</v>
      </c>
      <c r="AJ98" s="2571">
        <v>75</v>
      </c>
      <c r="AK98" s="208"/>
    </row>
    <row r="99" spans="1:37" ht="14.25" customHeight="1">
      <c r="A99" s="208"/>
      <c r="B99" s="208"/>
      <c r="C99" s="208"/>
      <c r="D99" s="208"/>
      <c r="E99" s="208"/>
      <c r="F99" s="208"/>
      <c r="G99" s="208"/>
      <c r="H99" s="208"/>
      <c r="I99" s="4736"/>
      <c r="J99" s="219" t="s">
        <v>755</v>
      </c>
      <c r="K99" s="219"/>
      <c r="L99" s="290" t="s">
        <v>674</v>
      </c>
      <c r="M99" s="291">
        <f t="shared" si="15"/>
        <v>0</v>
      </c>
      <c r="N99" s="285"/>
      <c r="O99" s="286"/>
      <c r="P99" s="245"/>
      <c r="Q99" s="245"/>
      <c r="R99" s="245"/>
      <c r="S99" s="245"/>
      <c r="T99" s="245"/>
      <c r="U99" s="1723"/>
      <c r="X99" s="208"/>
      <c r="Y99" s="2566" t="s">
        <v>1336</v>
      </c>
      <c r="Z99" s="2566" t="s">
        <v>1152</v>
      </c>
      <c r="AA99" s="2567" t="s">
        <v>124</v>
      </c>
      <c r="AB99" s="2566" t="s">
        <v>596</v>
      </c>
      <c r="AC99" s="2568">
        <v>72</v>
      </c>
      <c r="AD99" s="2568">
        <v>76</v>
      </c>
      <c r="AE99" s="2569">
        <f t="shared" si="14"/>
        <v>74</v>
      </c>
      <c r="AF99" s="2565" t="s">
        <v>1154</v>
      </c>
      <c r="AG99" s="2570">
        <f t="shared" si="13"/>
        <v>20</v>
      </c>
      <c r="AH99" s="2570">
        <f t="shared" si="13"/>
        <v>22.222222222222221</v>
      </c>
      <c r="AI99" s="2571">
        <v>68</v>
      </c>
      <c r="AJ99" s="2571">
        <v>72</v>
      </c>
      <c r="AK99" s="208"/>
    </row>
    <row r="100" spans="1:37" ht="14.25" customHeight="1">
      <c r="A100" s="208"/>
      <c r="B100" s="208"/>
      <c r="C100" s="208"/>
      <c r="D100" s="208"/>
      <c r="E100" s="208"/>
      <c r="F100" s="208"/>
      <c r="G100" s="208"/>
      <c r="H100" s="208"/>
      <c r="I100" s="4728"/>
      <c r="J100" s="284"/>
      <c r="K100" s="284"/>
      <c r="L100" s="284"/>
      <c r="M100" s="284"/>
      <c r="N100" s="284"/>
      <c r="O100" s="284"/>
      <c r="P100" s="245"/>
      <c r="Q100" s="245"/>
      <c r="R100" s="245"/>
      <c r="S100" s="245"/>
      <c r="T100" s="245"/>
      <c r="U100" s="1723"/>
      <c r="X100" s="208"/>
      <c r="Y100" s="2566" t="s">
        <v>1337</v>
      </c>
      <c r="Z100" s="2566" t="s">
        <v>1152</v>
      </c>
      <c r="AA100" s="2567" t="s">
        <v>124</v>
      </c>
      <c r="AB100" s="2566" t="s">
        <v>1165</v>
      </c>
      <c r="AC100" s="2568">
        <v>73</v>
      </c>
      <c r="AD100" s="2568">
        <v>80</v>
      </c>
      <c r="AE100" s="2569">
        <f t="shared" si="14"/>
        <v>76.5</v>
      </c>
      <c r="AF100" s="2565" t="s">
        <v>1154</v>
      </c>
      <c r="AG100" s="2570">
        <f t="shared" si="13"/>
        <v>18.888888888888886</v>
      </c>
      <c r="AH100" s="2570">
        <f t="shared" si="13"/>
        <v>21.111111111111114</v>
      </c>
      <c r="AI100" s="2571">
        <v>66</v>
      </c>
      <c r="AJ100" s="2571">
        <v>70</v>
      </c>
      <c r="AK100" s="208"/>
    </row>
    <row r="101" spans="1:37" ht="14.25" customHeight="1">
      <c r="A101" s="208"/>
      <c r="B101" s="208"/>
      <c r="C101" s="208"/>
      <c r="D101" s="208"/>
      <c r="E101" s="208"/>
      <c r="F101" s="208"/>
      <c r="G101" s="208"/>
      <c r="H101" s="208"/>
      <c r="I101" s="4741" t="s">
        <v>848</v>
      </c>
      <c r="J101" s="219" t="s">
        <v>1338</v>
      </c>
      <c r="K101" s="289">
        <v>310</v>
      </c>
      <c r="L101" s="290" t="s">
        <v>674</v>
      </c>
      <c r="M101" s="291">
        <f t="shared" ref="M101:M113" si="16">(N101*O101)/100</f>
        <v>5.5</v>
      </c>
      <c r="N101" s="285">
        <v>100</v>
      </c>
      <c r="O101" s="285">
        <v>5.5</v>
      </c>
      <c r="P101" s="245"/>
      <c r="Q101" s="245"/>
      <c r="R101" s="245"/>
      <c r="S101" s="83"/>
      <c r="T101" s="265">
        <v>100</v>
      </c>
      <c r="U101" s="266">
        <v>100</v>
      </c>
      <c r="X101" s="208"/>
      <c r="Y101" s="2566" t="s">
        <v>1339</v>
      </c>
      <c r="Z101" s="2566" t="s">
        <v>1169</v>
      </c>
      <c r="AA101" s="2567" t="s">
        <v>124</v>
      </c>
      <c r="AB101" s="2566" t="s">
        <v>1153</v>
      </c>
      <c r="AC101" s="2568">
        <v>71</v>
      </c>
      <c r="AD101" s="2568">
        <v>75</v>
      </c>
      <c r="AE101" s="2569">
        <f t="shared" si="14"/>
        <v>73</v>
      </c>
      <c r="AF101" s="2577">
        <v>12</v>
      </c>
      <c r="AG101" s="2570">
        <f t="shared" si="13"/>
        <v>15.555555555555557</v>
      </c>
      <c r="AH101" s="2570">
        <f t="shared" si="13"/>
        <v>22.222222222222221</v>
      </c>
      <c r="AI101" s="2571">
        <v>60</v>
      </c>
      <c r="AJ101" s="2571">
        <v>72</v>
      </c>
      <c r="AK101" s="208"/>
    </row>
    <row r="102" spans="1:37" ht="14.25" customHeight="1">
      <c r="A102" s="208"/>
      <c r="B102" s="208"/>
      <c r="C102" s="208"/>
      <c r="D102" s="208"/>
      <c r="E102" s="208"/>
      <c r="F102" s="208"/>
      <c r="G102" s="208"/>
      <c r="H102" s="208"/>
      <c r="I102" s="4741"/>
      <c r="J102" s="219" t="s">
        <v>1308</v>
      </c>
      <c r="K102" s="289">
        <v>310</v>
      </c>
      <c r="L102" s="290" t="s">
        <v>674</v>
      </c>
      <c r="M102" s="291">
        <f t="shared" si="16"/>
        <v>10</v>
      </c>
      <c r="N102" s="285">
        <v>100</v>
      </c>
      <c r="O102" s="285">
        <v>10</v>
      </c>
      <c r="P102" s="245"/>
      <c r="Q102" s="245"/>
      <c r="R102" s="245"/>
      <c r="S102" s="83"/>
      <c r="T102" s="265">
        <v>100</v>
      </c>
      <c r="U102" s="266">
        <v>100</v>
      </c>
      <c r="X102" s="208"/>
      <c r="Y102" s="2566" t="s">
        <v>1340</v>
      </c>
      <c r="Z102" s="2566" t="s">
        <v>1152</v>
      </c>
      <c r="AA102" s="2567" t="s">
        <v>124</v>
      </c>
      <c r="AB102" s="2566" t="s">
        <v>1179</v>
      </c>
      <c r="AC102" s="2568">
        <v>63</v>
      </c>
      <c r="AD102" s="2568">
        <v>70</v>
      </c>
      <c r="AE102" s="2569">
        <f t="shared" si="14"/>
        <v>66.5</v>
      </c>
      <c r="AF102" s="2565" t="s">
        <v>1154</v>
      </c>
      <c r="AG102" s="2570">
        <f t="shared" si="13"/>
        <v>18.333333333333336</v>
      </c>
      <c r="AH102" s="2570">
        <f t="shared" si="13"/>
        <v>20</v>
      </c>
      <c r="AI102" s="2571">
        <v>65</v>
      </c>
      <c r="AJ102" s="2571">
        <v>68</v>
      </c>
      <c r="AK102" s="208"/>
    </row>
    <row r="103" spans="1:37" ht="14.25" customHeight="1">
      <c r="A103" s="208"/>
      <c r="B103" s="208"/>
      <c r="C103" s="208"/>
      <c r="D103" s="208"/>
      <c r="E103" s="208"/>
      <c r="F103" s="208"/>
      <c r="G103" s="208"/>
      <c r="H103" s="208"/>
      <c r="I103" s="4741"/>
      <c r="J103" s="219" t="s">
        <v>1341</v>
      </c>
      <c r="K103" s="289">
        <v>310</v>
      </c>
      <c r="L103" s="290" t="s">
        <v>674</v>
      </c>
      <c r="M103" s="291">
        <f t="shared" si="16"/>
        <v>18</v>
      </c>
      <c r="N103" s="285">
        <v>100</v>
      </c>
      <c r="O103" s="285">
        <v>18</v>
      </c>
      <c r="P103" s="245"/>
      <c r="Q103" s="245"/>
      <c r="R103" s="245"/>
      <c r="S103" s="83"/>
      <c r="T103" s="265">
        <v>100</v>
      </c>
      <c r="U103" s="266">
        <v>100</v>
      </c>
      <c r="X103" s="208"/>
      <c r="Y103" s="2566" t="s">
        <v>1342</v>
      </c>
      <c r="Z103" s="2566" t="s">
        <v>1169</v>
      </c>
      <c r="AA103" s="2567" t="s">
        <v>124</v>
      </c>
      <c r="AB103" s="2566" t="s">
        <v>1165</v>
      </c>
      <c r="AC103" s="2568">
        <v>73</v>
      </c>
      <c r="AD103" s="2568">
        <v>77</v>
      </c>
      <c r="AE103" s="2569">
        <f t="shared" si="14"/>
        <v>75</v>
      </c>
      <c r="AF103" s="2577">
        <v>10</v>
      </c>
      <c r="AG103" s="2570">
        <f t="shared" si="13"/>
        <v>13.333333333333336</v>
      </c>
      <c r="AH103" s="2570">
        <f t="shared" si="13"/>
        <v>21.111111111111114</v>
      </c>
      <c r="AI103" s="2571">
        <v>56</v>
      </c>
      <c r="AJ103" s="2571">
        <v>70</v>
      </c>
      <c r="AK103" s="208"/>
    </row>
    <row r="104" spans="1:37" ht="14.25" customHeight="1">
      <c r="A104" s="208"/>
      <c r="B104" s="208"/>
      <c r="C104" s="208"/>
      <c r="D104" s="208"/>
      <c r="E104" s="208"/>
      <c r="F104" s="208"/>
      <c r="G104" s="208"/>
      <c r="H104" s="208"/>
      <c r="I104" s="4741"/>
      <c r="J104" s="219" t="s">
        <v>1343</v>
      </c>
      <c r="K104" s="289">
        <v>310</v>
      </c>
      <c r="L104" s="290" t="s">
        <v>674</v>
      </c>
      <c r="M104" s="291">
        <f t="shared" si="16"/>
        <v>55</v>
      </c>
      <c r="N104" s="285">
        <v>100</v>
      </c>
      <c r="O104" s="285">
        <v>55</v>
      </c>
      <c r="P104" s="245"/>
      <c r="Q104" s="245"/>
      <c r="R104" s="245"/>
      <c r="S104" s="83"/>
      <c r="T104" s="265">
        <v>100</v>
      </c>
      <c r="U104" s="266">
        <v>100</v>
      </c>
      <c r="X104" s="208"/>
      <c r="Y104" s="2566" t="s">
        <v>1344</v>
      </c>
      <c r="Z104" s="2566" t="s">
        <v>1169</v>
      </c>
      <c r="AA104" s="2567" t="s">
        <v>124</v>
      </c>
      <c r="AB104" s="2566" t="s">
        <v>1224</v>
      </c>
      <c r="AC104" s="2575" t="s">
        <v>1224</v>
      </c>
      <c r="AD104" s="2575" t="s">
        <v>1224</v>
      </c>
      <c r="AE104" s="2576" t="s">
        <v>1224</v>
      </c>
      <c r="AF104" s="2577">
        <v>9</v>
      </c>
      <c r="AG104" s="2570">
        <f t="shared" si="13"/>
        <v>15.555555555555557</v>
      </c>
      <c r="AH104" s="2570">
        <f t="shared" si="13"/>
        <v>35</v>
      </c>
      <c r="AI104" s="2571">
        <v>60</v>
      </c>
      <c r="AJ104" s="2571">
        <v>95</v>
      </c>
      <c r="AK104" s="208"/>
    </row>
    <row r="105" spans="1:37" ht="14.25" customHeight="1">
      <c r="A105" s="208"/>
      <c r="B105" s="208"/>
      <c r="C105" s="208"/>
      <c r="D105" s="208"/>
      <c r="E105" s="208"/>
      <c r="F105" s="208"/>
      <c r="G105" s="208"/>
      <c r="H105" s="208"/>
      <c r="I105" s="4741"/>
      <c r="J105" s="219" t="s">
        <v>1345</v>
      </c>
      <c r="K105" s="289">
        <v>310</v>
      </c>
      <c r="L105" s="290" t="s">
        <v>674</v>
      </c>
      <c r="M105" s="291">
        <f t="shared" si="16"/>
        <v>9</v>
      </c>
      <c r="N105" s="285">
        <v>100</v>
      </c>
      <c r="O105" s="286">
        <v>9</v>
      </c>
      <c r="P105" s="292" t="s">
        <v>1346</v>
      </c>
      <c r="Q105" s="292"/>
      <c r="R105" s="292"/>
      <c r="S105" s="83"/>
      <c r="T105" s="265">
        <v>100</v>
      </c>
      <c r="U105" s="266">
        <v>100</v>
      </c>
      <c r="X105" s="208"/>
      <c r="Y105" s="2566" t="s">
        <v>1347</v>
      </c>
      <c r="Z105" s="2566" t="s">
        <v>1169</v>
      </c>
      <c r="AA105" s="2567" t="s">
        <v>124</v>
      </c>
      <c r="AB105" s="2566" t="s">
        <v>1224</v>
      </c>
      <c r="AC105" s="2575" t="s">
        <v>1224</v>
      </c>
      <c r="AD105" s="2575" t="s">
        <v>1224</v>
      </c>
      <c r="AE105" s="2576" t="s">
        <v>1224</v>
      </c>
      <c r="AF105" s="2577" t="s">
        <v>674</v>
      </c>
      <c r="AG105" s="2570">
        <f t="shared" si="13"/>
        <v>15.555555555555557</v>
      </c>
      <c r="AH105" s="2570">
        <f t="shared" si="13"/>
        <v>35</v>
      </c>
      <c r="AI105" s="2571">
        <v>60</v>
      </c>
      <c r="AJ105" s="2571">
        <v>95</v>
      </c>
      <c r="AK105" s="208"/>
    </row>
    <row r="106" spans="1:37" ht="14.25" customHeight="1">
      <c r="A106" s="208"/>
      <c r="B106" s="208"/>
      <c r="C106" s="208"/>
      <c r="D106" s="208"/>
      <c r="E106" s="208"/>
      <c r="F106" s="208"/>
      <c r="G106" s="208"/>
      <c r="H106" s="208"/>
      <c r="I106" s="4741"/>
      <c r="J106" s="219" t="s">
        <v>1348</v>
      </c>
      <c r="K106" s="289">
        <v>365</v>
      </c>
      <c r="L106" s="290" t="s">
        <v>674</v>
      </c>
      <c r="M106" s="291">
        <f t="shared" si="16"/>
        <v>7.5</v>
      </c>
      <c r="N106" s="285">
        <v>100</v>
      </c>
      <c r="O106" s="286">
        <v>7.5</v>
      </c>
      <c r="P106" s="3471"/>
      <c r="Q106" s="3471"/>
      <c r="R106" s="3471"/>
      <c r="S106" s="3471"/>
      <c r="T106" s="265">
        <v>100</v>
      </c>
      <c r="U106" s="266">
        <v>100</v>
      </c>
      <c r="X106" s="208"/>
      <c r="Y106" s="2566" t="s">
        <v>1349</v>
      </c>
      <c r="Z106" s="2566" t="s">
        <v>1169</v>
      </c>
      <c r="AA106" s="2567" t="s">
        <v>124</v>
      </c>
      <c r="AB106" s="2566" t="s">
        <v>1144</v>
      </c>
      <c r="AC106" s="2568">
        <v>75</v>
      </c>
      <c r="AD106" s="2568">
        <v>78</v>
      </c>
      <c r="AE106" s="2569">
        <f t="shared" ref="AE106:AE112" si="17">(AC106+AD106)/2</f>
        <v>76.5</v>
      </c>
      <c r="AF106" s="2577">
        <v>12</v>
      </c>
      <c r="AG106" s="2570">
        <f t="shared" si="13"/>
        <v>18.333333333333336</v>
      </c>
      <c r="AH106" s="2570">
        <f t="shared" si="13"/>
        <v>26.666666666666671</v>
      </c>
      <c r="AI106" s="2571">
        <v>65</v>
      </c>
      <c r="AJ106" s="2571">
        <v>80</v>
      </c>
      <c r="AK106" s="208"/>
    </row>
    <row r="107" spans="1:37" ht="14.25" customHeight="1">
      <c r="A107" s="208"/>
      <c r="B107" s="208"/>
      <c r="C107" s="208"/>
      <c r="D107" s="208"/>
      <c r="E107" s="208"/>
      <c r="F107" s="208"/>
      <c r="G107" s="208"/>
      <c r="H107" s="208"/>
      <c r="I107" s="4741"/>
      <c r="J107" s="219" t="s">
        <v>1310</v>
      </c>
      <c r="K107" s="289">
        <v>365</v>
      </c>
      <c r="L107" s="290" t="s">
        <v>674</v>
      </c>
      <c r="M107" s="291">
        <f t="shared" si="16"/>
        <v>11</v>
      </c>
      <c r="N107" s="285">
        <v>100</v>
      </c>
      <c r="O107" s="285">
        <v>11</v>
      </c>
      <c r="P107" s="3471" t="s">
        <v>1350</v>
      </c>
      <c r="Q107" s="3471"/>
      <c r="R107" s="3471"/>
      <c r="S107" s="3471"/>
      <c r="T107" s="265">
        <v>100</v>
      </c>
      <c r="U107" s="266">
        <v>100</v>
      </c>
      <c r="X107" s="208"/>
      <c r="Y107" s="2566" t="s">
        <v>1351</v>
      </c>
      <c r="Z107" s="2566" t="s">
        <v>1169</v>
      </c>
      <c r="AA107" s="2567" t="s">
        <v>124</v>
      </c>
      <c r="AB107" s="2566" t="s">
        <v>1170</v>
      </c>
      <c r="AC107" s="2568">
        <v>73</v>
      </c>
      <c r="AD107" s="2568">
        <v>77</v>
      </c>
      <c r="AE107" s="2569">
        <f t="shared" si="17"/>
        <v>75</v>
      </c>
      <c r="AF107" s="2577">
        <v>11</v>
      </c>
      <c r="AG107" s="2570">
        <f t="shared" ref="AG107:AH128" si="18">((AI107+40)*5/9)-40</f>
        <v>15.555555555555557</v>
      </c>
      <c r="AH107" s="2570">
        <f t="shared" si="18"/>
        <v>22.222222222222221</v>
      </c>
      <c r="AI107" s="2571">
        <v>60</v>
      </c>
      <c r="AJ107" s="2571">
        <v>72</v>
      </c>
      <c r="AK107" s="208"/>
    </row>
    <row r="108" spans="1:37" ht="14.25" customHeight="1">
      <c r="A108" s="208"/>
      <c r="B108" s="208"/>
      <c r="C108" s="208"/>
      <c r="D108" s="208"/>
      <c r="E108" s="208"/>
      <c r="F108" s="208"/>
      <c r="G108" s="208"/>
      <c r="H108" s="208"/>
      <c r="I108" s="4741"/>
      <c r="J108" s="219" t="s">
        <v>1352</v>
      </c>
      <c r="K108" s="289">
        <v>365</v>
      </c>
      <c r="L108" s="290" t="s">
        <v>674</v>
      </c>
      <c r="M108" s="291">
        <f t="shared" si="16"/>
        <v>34</v>
      </c>
      <c r="N108" s="285">
        <v>100</v>
      </c>
      <c r="O108" s="285">
        <v>34</v>
      </c>
      <c r="P108" s="1938"/>
      <c r="Q108" s="1938"/>
      <c r="R108" s="1938"/>
      <c r="S108" s="83"/>
      <c r="T108" s="265">
        <v>100</v>
      </c>
      <c r="U108" s="266">
        <v>100</v>
      </c>
      <c r="X108" s="208"/>
      <c r="Y108" s="2566" t="s">
        <v>1353</v>
      </c>
      <c r="Z108" s="2566" t="s">
        <v>1169</v>
      </c>
      <c r="AA108" s="2567" t="s">
        <v>124</v>
      </c>
      <c r="AB108" s="2566" t="s">
        <v>1144</v>
      </c>
      <c r="AC108" s="2568">
        <v>71</v>
      </c>
      <c r="AD108" s="2568">
        <v>75</v>
      </c>
      <c r="AE108" s="2569">
        <f t="shared" si="17"/>
        <v>73</v>
      </c>
      <c r="AF108" s="2577">
        <v>10</v>
      </c>
      <c r="AG108" s="2570">
        <f t="shared" si="18"/>
        <v>17.777777777777779</v>
      </c>
      <c r="AH108" s="2570">
        <f t="shared" si="18"/>
        <v>23.333333333333336</v>
      </c>
      <c r="AI108" s="2571">
        <v>64</v>
      </c>
      <c r="AJ108" s="2571">
        <v>74</v>
      </c>
      <c r="AK108" s="208"/>
    </row>
    <row r="109" spans="1:37" ht="14.25" customHeight="1">
      <c r="A109" s="208"/>
      <c r="B109" s="208"/>
      <c r="C109" s="208"/>
      <c r="D109" s="208"/>
      <c r="E109" s="208"/>
      <c r="F109" s="208"/>
      <c r="G109" s="208"/>
      <c r="I109" s="4741"/>
      <c r="J109" s="219" t="s">
        <v>1354</v>
      </c>
      <c r="K109" s="289">
        <v>365</v>
      </c>
      <c r="L109" s="290" t="s">
        <v>674</v>
      </c>
      <c r="M109" s="291">
        <f t="shared" si="16"/>
        <v>57</v>
      </c>
      <c r="N109" s="285">
        <v>100</v>
      </c>
      <c r="O109" s="285">
        <v>57</v>
      </c>
      <c r="P109" s="1938"/>
      <c r="Q109" s="1938"/>
      <c r="R109" s="1938"/>
      <c r="S109" s="83"/>
      <c r="T109" s="265">
        <v>100</v>
      </c>
      <c r="U109" s="266">
        <v>100</v>
      </c>
      <c r="X109" s="208"/>
      <c r="Y109" s="2566" t="s">
        <v>1355</v>
      </c>
      <c r="Z109" s="2566" t="s">
        <v>1152</v>
      </c>
      <c r="AA109" s="2567" t="s">
        <v>124</v>
      </c>
      <c r="AB109" s="2566" t="s">
        <v>1153</v>
      </c>
      <c r="AC109" s="2568">
        <v>67</v>
      </c>
      <c r="AD109" s="2568">
        <v>75</v>
      </c>
      <c r="AE109" s="2569">
        <f t="shared" si="17"/>
        <v>71</v>
      </c>
      <c r="AF109" s="2565" t="s">
        <v>1154</v>
      </c>
      <c r="AG109" s="2570">
        <f t="shared" si="18"/>
        <v>18.888888888888886</v>
      </c>
      <c r="AH109" s="2570">
        <f t="shared" si="18"/>
        <v>21.666666666666664</v>
      </c>
      <c r="AI109" s="2571">
        <v>66</v>
      </c>
      <c r="AJ109" s="2571">
        <v>71</v>
      </c>
      <c r="AK109" s="208"/>
    </row>
    <row r="110" spans="1:37" ht="14.25" customHeight="1">
      <c r="B110" s="208"/>
      <c r="C110" s="208"/>
      <c r="D110" s="208"/>
      <c r="E110" s="208"/>
      <c r="F110" s="208"/>
      <c r="G110" s="208"/>
      <c r="H110" s="208"/>
      <c r="I110" s="4741"/>
      <c r="J110" s="219" t="s">
        <v>1356</v>
      </c>
      <c r="K110" s="289">
        <v>365</v>
      </c>
      <c r="L110" s="290" t="s">
        <v>674</v>
      </c>
      <c r="M110" s="291">
        <f t="shared" si="16"/>
        <v>95</v>
      </c>
      <c r="N110" s="285">
        <v>100</v>
      </c>
      <c r="O110" s="285">
        <v>95</v>
      </c>
      <c r="P110" s="1938"/>
      <c r="Q110" s="1938"/>
      <c r="R110" s="1938"/>
      <c r="S110" s="83"/>
      <c r="T110" s="265">
        <v>100</v>
      </c>
      <c r="U110" s="266">
        <v>100</v>
      </c>
      <c r="X110" s="208"/>
      <c r="Y110" s="2566" t="s">
        <v>1357</v>
      </c>
      <c r="Z110" s="2566" t="s">
        <v>1169</v>
      </c>
      <c r="AA110" s="2567" t="s">
        <v>124</v>
      </c>
      <c r="AB110" s="2566" t="s">
        <v>1314</v>
      </c>
      <c r="AC110" s="2568">
        <v>67</v>
      </c>
      <c r="AD110" s="2568">
        <v>71</v>
      </c>
      <c r="AE110" s="2569">
        <f t="shared" si="17"/>
        <v>69</v>
      </c>
      <c r="AF110" s="2577">
        <v>9</v>
      </c>
      <c r="AG110" s="2570">
        <f t="shared" si="18"/>
        <v>17.777777777777779</v>
      </c>
      <c r="AH110" s="2570">
        <f t="shared" si="18"/>
        <v>22.222222222222221</v>
      </c>
      <c r="AI110" s="2571">
        <v>64</v>
      </c>
      <c r="AJ110" s="2571">
        <v>72</v>
      </c>
      <c r="AK110" s="208"/>
    </row>
    <row r="111" spans="1:37" ht="14.25" customHeight="1">
      <c r="A111" s="208"/>
      <c r="B111" s="208"/>
      <c r="C111" s="208"/>
      <c r="D111" s="208"/>
      <c r="E111" s="208"/>
      <c r="F111" s="208"/>
      <c r="G111" s="208"/>
      <c r="H111" s="208"/>
      <c r="I111" s="4741"/>
      <c r="J111" s="219" t="s">
        <v>1312</v>
      </c>
      <c r="K111" s="289">
        <v>365</v>
      </c>
      <c r="L111" s="290" t="s">
        <v>674</v>
      </c>
      <c r="M111" s="291">
        <f t="shared" si="16"/>
        <v>6</v>
      </c>
      <c r="N111" s="285">
        <v>100</v>
      </c>
      <c r="O111" s="286">
        <v>6</v>
      </c>
      <c r="P111" s="292" t="s">
        <v>1346</v>
      </c>
      <c r="Q111" s="292"/>
      <c r="R111" s="292"/>
      <c r="S111" s="83"/>
      <c r="T111" s="265">
        <v>100</v>
      </c>
      <c r="U111" s="266">
        <v>100</v>
      </c>
      <c r="X111" s="208"/>
      <c r="Y111" s="2566" t="s">
        <v>1358</v>
      </c>
      <c r="Z111" s="2566" t="s">
        <v>1152</v>
      </c>
      <c r="AA111" s="2567" t="s">
        <v>124</v>
      </c>
      <c r="AB111" s="2566" t="s">
        <v>1153</v>
      </c>
      <c r="AC111" s="2568">
        <v>70</v>
      </c>
      <c r="AD111" s="2568">
        <v>78</v>
      </c>
      <c r="AE111" s="2569">
        <f t="shared" si="17"/>
        <v>74</v>
      </c>
      <c r="AF111" s="2565" t="s">
        <v>1154</v>
      </c>
      <c r="AG111" s="2570">
        <f t="shared" si="18"/>
        <v>10</v>
      </c>
      <c r="AH111" s="2570">
        <f t="shared" si="18"/>
        <v>12.777777777777779</v>
      </c>
      <c r="AI111" s="2571">
        <v>50</v>
      </c>
      <c r="AJ111" s="2571">
        <v>55</v>
      </c>
      <c r="AK111" s="208"/>
    </row>
    <row r="112" spans="1:37" ht="14.25" customHeight="1">
      <c r="A112" s="208"/>
      <c r="B112" s="208"/>
      <c r="C112" s="208"/>
      <c r="D112" s="208"/>
      <c r="E112" s="208"/>
      <c r="F112" s="208"/>
      <c r="G112" s="208"/>
      <c r="H112" s="208"/>
      <c r="I112" s="4741"/>
      <c r="J112" s="219" t="s">
        <v>755</v>
      </c>
      <c r="K112" s="219"/>
      <c r="L112" s="290" t="s">
        <v>674</v>
      </c>
      <c r="M112" s="291">
        <f t="shared" si="16"/>
        <v>0</v>
      </c>
      <c r="N112" s="285"/>
      <c r="O112" s="286"/>
      <c r="P112" s="245"/>
      <c r="Q112" s="245"/>
      <c r="R112" s="245"/>
      <c r="S112" s="245"/>
      <c r="T112" s="245"/>
      <c r="U112" s="1723"/>
      <c r="X112" s="208"/>
      <c r="Y112" s="2566" t="s">
        <v>1359</v>
      </c>
      <c r="Z112" s="2566" t="s">
        <v>1169</v>
      </c>
      <c r="AA112" s="2567" t="s">
        <v>124</v>
      </c>
      <c r="AB112" s="2566" t="s">
        <v>1153</v>
      </c>
      <c r="AC112" s="2568">
        <v>70</v>
      </c>
      <c r="AD112" s="2568">
        <v>74</v>
      </c>
      <c r="AE112" s="2569">
        <f t="shared" si="17"/>
        <v>72</v>
      </c>
      <c r="AF112" s="2577">
        <v>9</v>
      </c>
      <c r="AG112" s="2570">
        <f t="shared" si="18"/>
        <v>8.8888888888888857</v>
      </c>
      <c r="AH112" s="2570">
        <f t="shared" si="18"/>
        <v>13.333333333333336</v>
      </c>
      <c r="AI112" s="2571">
        <v>48</v>
      </c>
      <c r="AJ112" s="2571">
        <v>56</v>
      </c>
      <c r="AK112" s="208"/>
    </row>
    <row r="113" spans="1:37" ht="14.25" customHeight="1">
      <c r="A113" s="208"/>
      <c r="B113" s="208"/>
      <c r="C113" s="208"/>
      <c r="D113" s="208"/>
      <c r="E113" s="208"/>
      <c r="F113" s="208"/>
      <c r="G113" s="208"/>
      <c r="H113" s="208"/>
      <c r="I113" s="4741"/>
      <c r="J113" s="293" t="s">
        <v>1360</v>
      </c>
      <c r="K113" s="294">
        <v>303</v>
      </c>
      <c r="L113" s="290" t="s">
        <v>674</v>
      </c>
      <c r="M113" s="291">
        <f t="shared" si="16"/>
        <v>0</v>
      </c>
      <c r="N113" s="285"/>
      <c r="O113" s="286"/>
      <c r="P113" s="237"/>
      <c r="Q113" s="237"/>
      <c r="R113" s="237"/>
      <c r="S113" s="245"/>
      <c r="T113" s="245"/>
      <c r="U113" s="1723"/>
      <c r="X113" s="208"/>
      <c r="Y113" s="2566" t="s">
        <v>1361</v>
      </c>
      <c r="Z113" s="2566" t="s">
        <v>1362</v>
      </c>
      <c r="AA113" s="2588" t="s">
        <v>1266</v>
      </c>
      <c r="AB113" s="2566" t="s">
        <v>1144</v>
      </c>
      <c r="AC113" s="2575"/>
      <c r="AD113" s="2575"/>
      <c r="AE113" s="2576" t="s">
        <v>1144</v>
      </c>
      <c r="AF113" s="2577" t="s">
        <v>674</v>
      </c>
      <c r="AG113" s="2570">
        <f t="shared" si="18"/>
        <v>13.888888888888886</v>
      </c>
      <c r="AH113" s="2570">
        <f t="shared" si="18"/>
        <v>25</v>
      </c>
      <c r="AI113" s="2571">
        <v>57</v>
      </c>
      <c r="AJ113" s="2571">
        <v>77</v>
      </c>
      <c r="AK113" s="208"/>
    </row>
    <row r="114" spans="1:37" ht="14.25" customHeight="1">
      <c r="A114" s="208"/>
      <c r="B114" s="208"/>
      <c r="C114" s="208"/>
      <c r="D114" s="208"/>
      <c r="E114" s="208"/>
      <c r="F114" s="208"/>
      <c r="G114" s="208"/>
      <c r="H114" s="208"/>
      <c r="I114" s="4728"/>
      <c r="J114" s="284"/>
      <c r="K114" s="284"/>
      <c r="L114" s="284"/>
      <c r="M114" s="284"/>
      <c r="N114" s="284"/>
      <c r="O114" s="284"/>
      <c r="P114" s="237"/>
      <c r="Q114" s="237"/>
      <c r="R114" s="237"/>
      <c r="S114" s="245"/>
      <c r="T114" s="245"/>
      <c r="U114" s="1723"/>
      <c r="X114" s="208"/>
      <c r="Y114" s="2566" t="s">
        <v>1363</v>
      </c>
      <c r="Z114" s="2566" t="s">
        <v>1362</v>
      </c>
      <c r="AA114" s="2588" t="s">
        <v>1266</v>
      </c>
      <c r="AB114" s="2566" t="s">
        <v>1144</v>
      </c>
      <c r="AC114" s="2575"/>
      <c r="AD114" s="2575"/>
      <c r="AE114" s="2576" t="s">
        <v>1144</v>
      </c>
      <c r="AF114" s="2577" t="s">
        <v>674</v>
      </c>
      <c r="AG114" s="2570">
        <f t="shared" si="18"/>
        <v>13.888888888888886</v>
      </c>
      <c r="AH114" s="2570">
        <f t="shared" si="18"/>
        <v>25</v>
      </c>
      <c r="AI114" s="2571">
        <v>57</v>
      </c>
      <c r="AJ114" s="2571">
        <v>77</v>
      </c>
      <c r="AK114" s="208"/>
    </row>
    <row r="115" spans="1:37" ht="14.25" customHeight="1">
      <c r="A115" s="208"/>
      <c r="B115" s="208"/>
      <c r="C115" s="208"/>
      <c r="D115" s="208"/>
      <c r="E115" s="208"/>
      <c r="F115" s="208"/>
      <c r="G115" s="208"/>
      <c r="H115" s="208"/>
      <c r="I115" s="4742" t="s">
        <v>731</v>
      </c>
      <c r="J115" s="218" t="s">
        <v>870</v>
      </c>
      <c r="K115" s="218">
        <v>265</v>
      </c>
      <c r="L115" s="290" t="s">
        <v>674</v>
      </c>
      <c r="M115" s="291">
        <f t="shared" ref="M115:M130" si="19">(N115*O115)/100</f>
        <v>908.8</v>
      </c>
      <c r="N115" s="287">
        <v>71</v>
      </c>
      <c r="O115" s="287">
        <v>1280</v>
      </c>
      <c r="P115" s="237"/>
      <c r="Q115" s="237"/>
      <c r="R115" s="237"/>
      <c r="S115" s="265">
        <v>10</v>
      </c>
      <c r="T115" s="265">
        <v>13</v>
      </c>
      <c r="U115" s="266">
        <v>15</v>
      </c>
      <c r="X115" s="208"/>
      <c r="Y115" s="2566" t="s">
        <v>1364</v>
      </c>
      <c r="Z115" s="2566" t="s">
        <v>1169</v>
      </c>
      <c r="AA115" s="2567" t="s">
        <v>124</v>
      </c>
      <c r="AB115" s="2566" t="s">
        <v>1144</v>
      </c>
      <c r="AC115" s="2568">
        <v>70</v>
      </c>
      <c r="AD115" s="2568">
        <v>76</v>
      </c>
      <c r="AE115" s="2569">
        <f>(AC115+AD115)/2</f>
        <v>73</v>
      </c>
      <c r="AF115" s="2577">
        <v>9</v>
      </c>
      <c r="AG115" s="2570">
        <f t="shared" si="18"/>
        <v>11.111111111111114</v>
      </c>
      <c r="AH115" s="2570">
        <f t="shared" si="18"/>
        <v>14.444444444444443</v>
      </c>
      <c r="AI115" s="2571">
        <v>52</v>
      </c>
      <c r="AJ115" s="2571">
        <v>58</v>
      </c>
      <c r="AK115" s="208"/>
    </row>
    <row r="116" spans="1:37" ht="14.25" customHeight="1">
      <c r="A116" s="208"/>
      <c r="B116" s="208"/>
      <c r="C116" s="208"/>
      <c r="D116" s="208"/>
      <c r="E116" s="208"/>
      <c r="F116" s="208"/>
      <c r="G116" s="208"/>
      <c r="H116" s="208"/>
      <c r="I116" s="4742"/>
      <c r="J116" s="219" t="s">
        <v>283</v>
      </c>
      <c r="K116" s="218">
        <v>265</v>
      </c>
      <c r="L116" s="290" t="s">
        <v>674</v>
      </c>
      <c r="M116" s="291">
        <f t="shared" si="19"/>
        <v>17.75</v>
      </c>
      <c r="N116" s="285">
        <v>71</v>
      </c>
      <c r="O116" s="295">
        <v>25</v>
      </c>
      <c r="P116" s="237"/>
      <c r="Q116" s="237"/>
      <c r="R116" s="237"/>
      <c r="S116" s="265">
        <v>10</v>
      </c>
      <c r="T116" s="265">
        <v>13</v>
      </c>
      <c r="U116" s="266">
        <v>15</v>
      </c>
      <c r="X116" s="208"/>
      <c r="Y116" s="2566" t="s">
        <v>1365</v>
      </c>
      <c r="Z116" s="2566" t="s">
        <v>1163</v>
      </c>
      <c r="AA116" s="2567" t="s">
        <v>124</v>
      </c>
      <c r="AB116" s="2566" t="s">
        <v>1165</v>
      </c>
      <c r="AC116" s="2575"/>
      <c r="AD116" s="2575"/>
      <c r="AE116" s="2576" t="s">
        <v>1144</v>
      </c>
      <c r="AF116" s="2577" t="s">
        <v>674</v>
      </c>
      <c r="AG116" s="2570">
        <f t="shared" si="18"/>
        <v>20</v>
      </c>
      <c r="AH116" s="2570">
        <f t="shared" si="18"/>
        <v>22.222222222222221</v>
      </c>
      <c r="AI116" s="2571">
        <v>68</v>
      </c>
      <c r="AJ116" s="2571">
        <v>72</v>
      </c>
      <c r="AK116" s="208"/>
    </row>
    <row r="117" spans="1:37" ht="14.25" customHeight="1">
      <c r="A117" s="208"/>
      <c r="B117" s="208"/>
      <c r="C117" s="208"/>
      <c r="D117" s="208"/>
      <c r="E117" s="208"/>
      <c r="F117" s="208"/>
      <c r="G117" s="208"/>
      <c r="H117" s="208"/>
      <c r="I117" s="4742"/>
      <c r="J117" s="219" t="s">
        <v>1303</v>
      </c>
      <c r="K117" s="218">
        <v>265</v>
      </c>
      <c r="L117" s="290" t="s">
        <v>674</v>
      </c>
      <c r="M117" s="291">
        <f t="shared" si="19"/>
        <v>8.52</v>
      </c>
      <c r="N117" s="285">
        <v>71</v>
      </c>
      <c r="O117" s="295">
        <v>12</v>
      </c>
      <c r="P117" s="237"/>
      <c r="Q117" s="237"/>
      <c r="R117" s="237"/>
      <c r="S117" s="265">
        <v>10</v>
      </c>
      <c r="T117" s="265">
        <v>13</v>
      </c>
      <c r="U117" s="266">
        <v>15</v>
      </c>
      <c r="X117" s="208"/>
      <c r="Y117" s="2566" t="s">
        <v>1366</v>
      </c>
      <c r="Z117" s="2566" t="s">
        <v>1169</v>
      </c>
      <c r="AA117" s="2567" t="s">
        <v>124</v>
      </c>
      <c r="AB117" s="2566" t="s">
        <v>1144</v>
      </c>
      <c r="AC117" s="2568">
        <v>67</v>
      </c>
      <c r="AD117" s="2568">
        <v>71</v>
      </c>
      <c r="AE117" s="2569">
        <f>(AC117+AD117)/2</f>
        <v>69</v>
      </c>
      <c r="AF117" s="2577">
        <v>10</v>
      </c>
      <c r="AG117" s="2570">
        <f t="shared" si="18"/>
        <v>18.333333333333336</v>
      </c>
      <c r="AH117" s="2570">
        <f t="shared" si="18"/>
        <v>23.888888888888886</v>
      </c>
      <c r="AI117" s="2571">
        <v>65</v>
      </c>
      <c r="AJ117" s="2571">
        <v>75</v>
      </c>
      <c r="AK117" s="208"/>
    </row>
    <row r="118" spans="1:37" ht="14.25" customHeight="1">
      <c r="A118" s="208"/>
      <c r="B118" s="208"/>
      <c r="C118" s="208"/>
      <c r="D118" s="208"/>
      <c r="E118" s="208"/>
      <c r="F118" s="208"/>
      <c r="G118" s="208"/>
      <c r="H118" s="208"/>
      <c r="I118" s="4742"/>
      <c r="J118" s="219" t="s">
        <v>282</v>
      </c>
      <c r="K118" s="218">
        <v>265</v>
      </c>
      <c r="L118" s="290" t="s">
        <v>674</v>
      </c>
      <c r="M118" s="291">
        <f t="shared" si="19"/>
        <v>7.1</v>
      </c>
      <c r="N118" s="285">
        <v>71</v>
      </c>
      <c r="O118" s="295">
        <v>10</v>
      </c>
      <c r="P118" s="237"/>
      <c r="Q118" s="237"/>
      <c r="R118" s="237"/>
      <c r="S118" s="265">
        <v>10</v>
      </c>
      <c r="T118" s="265">
        <v>13</v>
      </c>
      <c r="U118" s="266">
        <v>15</v>
      </c>
      <c r="X118" s="208"/>
      <c r="Y118" s="2566" t="s">
        <v>1367</v>
      </c>
      <c r="Z118" s="2566" t="s">
        <v>1368</v>
      </c>
      <c r="AA118" s="2588" t="s">
        <v>1266</v>
      </c>
      <c r="AB118" s="2566" t="s">
        <v>1144</v>
      </c>
      <c r="AC118" s="2575"/>
      <c r="AD118" s="2575"/>
      <c r="AE118" s="2576" t="s">
        <v>1144</v>
      </c>
      <c r="AF118" s="2577" t="s">
        <v>674</v>
      </c>
      <c r="AG118" s="2570">
        <f t="shared" si="18"/>
        <v>13.888888888888886</v>
      </c>
      <c r="AH118" s="2570">
        <f t="shared" si="18"/>
        <v>21.111111111111114</v>
      </c>
      <c r="AI118" s="2571">
        <v>57</v>
      </c>
      <c r="AJ118" s="2571">
        <v>70</v>
      </c>
      <c r="AK118" s="208"/>
    </row>
    <row r="119" spans="1:37" ht="14.25" customHeight="1">
      <c r="A119" s="208"/>
      <c r="B119" s="208"/>
      <c r="C119" s="208"/>
      <c r="D119" s="208"/>
      <c r="E119" s="208"/>
      <c r="F119" s="208"/>
      <c r="G119" s="208"/>
      <c r="H119" s="208"/>
      <c r="I119" s="4742"/>
      <c r="J119" s="219" t="s">
        <v>873</v>
      </c>
      <c r="K119" s="219">
        <v>265</v>
      </c>
      <c r="L119" s="290" t="s">
        <v>674</v>
      </c>
      <c r="M119" s="291">
        <f t="shared" si="19"/>
        <v>763.2</v>
      </c>
      <c r="N119" s="285">
        <v>72</v>
      </c>
      <c r="O119" s="285">
        <v>1060</v>
      </c>
      <c r="P119" s="237"/>
      <c r="Q119" s="237"/>
      <c r="R119" s="237"/>
      <c r="S119" s="265">
        <v>5</v>
      </c>
      <c r="T119" s="265">
        <v>7</v>
      </c>
      <c r="U119" s="266">
        <v>8</v>
      </c>
      <c r="X119" s="208"/>
      <c r="Y119" s="2566" t="s">
        <v>1369</v>
      </c>
      <c r="Z119" s="2566" t="s">
        <v>1169</v>
      </c>
      <c r="AA119" s="2567" t="s">
        <v>124</v>
      </c>
      <c r="AB119" s="2566" t="s">
        <v>1207</v>
      </c>
      <c r="AC119" s="2568">
        <v>73</v>
      </c>
      <c r="AD119" s="2568">
        <v>77</v>
      </c>
      <c r="AE119" s="2569">
        <f>(AC119+AD119)/2</f>
        <v>75</v>
      </c>
      <c r="AF119" s="2577">
        <v>9</v>
      </c>
      <c r="AG119" s="2570">
        <f t="shared" si="18"/>
        <v>8.8888888888888857</v>
      </c>
      <c r="AH119" s="2570">
        <f t="shared" si="18"/>
        <v>14.444444444444443</v>
      </c>
      <c r="AI119" s="2571">
        <v>48</v>
      </c>
      <c r="AJ119" s="2571">
        <v>58</v>
      </c>
      <c r="AK119" s="208"/>
    </row>
    <row r="120" spans="1:37" ht="14.25" customHeight="1">
      <c r="A120" s="208"/>
      <c r="B120" s="208"/>
      <c r="C120" s="208"/>
      <c r="D120" s="208"/>
      <c r="E120" s="208"/>
      <c r="F120" s="208"/>
      <c r="G120" s="208"/>
      <c r="H120" s="208"/>
      <c r="I120" s="4742"/>
      <c r="J120" s="219" t="s">
        <v>877</v>
      </c>
      <c r="K120" s="219">
        <v>265</v>
      </c>
      <c r="L120" s="290" t="s">
        <v>674</v>
      </c>
      <c r="M120" s="291">
        <f t="shared" si="19"/>
        <v>77.7</v>
      </c>
      <c r="N120" s="285">
        <v>74</v>
      </c>
      <c r="O120" s="285">
        <v>105</v>
      </c>
      <c r="P120" s="237"/>
      <c r="Q120" s="237"/>
      <c r="R120" s="237"/>
      <c r="S120" s="265">
        <v>20</v>
      </c>
      <c r="T120" s="265">
        <v>26</v>
      </c>
      <c r="U120" s="266">
        <v>29</v>
      </c>
      <c r="X120" s="208"/>
      <c r="Y120" s="2566" t="s">
        <v>1370</v>
      </c>
      <c r="Z120" s="2566" t="s">
        <v>1152</v>
      </c>
      <c r="AA120" s="2567" t="s">
        <v>124</v>
      </c>
      <c r="AB120" s="2566" t="s">
        <v>1153</v>
      </c>
      <c r="AC120" s="2568">
        <v>65</v>
      </c>
      <c r="AD120" s="2568">
        <v>73</v>
      </c>
      <c r="AE120" s="2569">
        <f>(AC120+AD120)/2</f>
        <v>69</v>
      </c>
      <c r="AF120" s="2565" t="s">
        <v>1167</v>
      </c>
      <c r="AG120" s="2570">
        <f t="shared" si="18"/>
        <v>11.111111111111114</v>
      </c>
      <c r="AH120" s="2570">
        <f t="shared" si="18"/>
        <v>14.444444444444443</v>
      </c>
      <c r="AI120" s="2571">
        <v>52</v>
      </c>
      <c r="AJ120" s="2571">
        <v>58</v>
      </c>
      <c r="AK120" s="208"/>
    </row>
    <row r="121" spans="1:37" ht="14.25" customHeight="1">
      <c r="A121" s="208"/>
      <c r="B121" s="208"/>
      <c r="C121" s="208"/>
      <c r="D121" s="208"/>
      <c r="E121" s="208"/>
      <c r="F121" s="208"/>
      <c r="G121" s="208"/>
      <c r="H121" s="208"/>
      <c r="I121" s="4742"/>
      <c r="J121" s="219" t="s">
        <v>878</v>
      </c>
      <c r="K121" s="219">
        <v>265</v>
      </c>
      <c r="L121" s="290" t="s">
        <v>674</v>
      </c>
      <c r="M121" s="291">
        <f t="shared" si="19"/>
        <v>103.6</v>
      </c>
      <c r="N121" s="285">
        <v>74</v>
      </c>
      <c r="O121" s="285">
        <v>140</v>
      </c>
      <c r="P121" s="245" t="s">
        <v>1371</v>
      </c>
      <c r="Q121" s="237"/>
      <c r="R121" s="237"/>
      <c r="S121" s="265">
        <v>20</v>
      </c>
      <c r="T121" s="265">
        <v>26</v>
      </c>
      <c r="U121" s="266">
        <v>29</v>
      </c>
      <c r="X121" s="208"/>
      <c r="Y121" s="2566" t="s">
        <v>1372</v>
      </c>
      <c r="Z121" s="2566" t="s">
        <v>1152</v>
      </c>
      <c r="AA121" s="2567" t="s">
        <v>124</v>
      </c>
      <c r="AB121" s="2566" t="s">
        <v>1153</v>
      </c>
      <c r="AC121" s="2568">
        <v>66</v>
      </c>
      <c r="AD121" s="2568">
        <v>73</v>
      </c>
      <c r="AE121" s="2569">
        <f>(AC121+AD121)/2</f>
        <v>69.5</v>
      </c>
      <c r="AF121" s="2565" t="s">
        <v>1167</v>
      </c>
      <c r="AG121" s="2570">
        <f t="shared" si="18"/>
        <v>10</v>
      </c>
      <c r="AH121" s="2570">
        <f t="shared" si="18"/>
        <v>12.777777777777779</v>
      </c>
      <c r="AI121" s="2571">
        <v>50</v>
      </c>
      <c r="AJ121" s="2571">
        <v>55</v>
      </c>
      <c r="AK121" s="208"/>
    </row>
    <row r="122" spans="1:37" ht="14.25" customHeight="1">
      <c r="A122" s="208"/>
      <c r="B122" s="208"/>
      <c r="C122" s="208"/>
      <c r="D122" s="208"/>
      <c r="E122" s="208"/>
      <c r="F122" s="208"/>
      <c r="G122" s="208"/>
      <c r="H122" s="208"/>
      <c r="I122" s="4742"/>
      <c r="J122" s="219" t="s">
        <v>875</v>
      </c>
      <c r="K122" s="219">
        <v>265</v>
      </c>
      <c r="L122" s="290" t="s">
        <v>674</v>
      </c>
      <c r="M122" s="291">
        <f t="shared" si="19"/>
        <v>148</v>
      </c>
      <c r="N122" s="285">
        <v>74</v>
      </c>
      <c r="O122" s="285">
        <v>200</v>
      </c>
      <c r="P122" s="3810" t="s">
        <v>1373</v>
      </c>
      <c r="Q122" s="3810"/>
      <c r="R122" s="3810"/>
      <c r="S122" s="265">
        <v>20</v>
      </c>
      <c r="T122" s="265">
        <v>26</v>
      </c>
      <c r="U122" s="266">
        <v>29</v>
      </c>
      <c r="X122" s="208"/>
      <c r="Y122" s="2566" t="s">
        <v>1374</v>
      </c>
      <c r="Z122" s="2566" t="s">
        <v>1152</v>
      </c>
      <c r="AA122" s="2567" t="s">
        <v>124</v>
      </c>
      <c r="AB122" s="2566" t="s">
        <v>1144</v>
      </c>
      <c r="AC122" s="2568">
        <v>65</v>
      </c>
      <c r="AD122" s="2568">
        <v>70</v>
      </c>
      <c r="AE122" s="2569">
        <f>(AC122+AD122)/2</f>
        <v>67.5</v>
      </c>
      <c r="AF122" s="2565" t="s">
        <v>1154</v>
      </c>
      <c r="AG122" s="2570">
        <f t="shared" si="18"/>
        <v>18.333333333333336</v>
      </c>
      <c r="AH122" s="2570">
        <f t="shared" si="18"/>
        <v>20</v>
      </c>
      <c r="AI122" s="2571">
        <v>65</v>
      </c>
      <c r="AJ122" s="2571">
        <v>68</v>
      </c>
      <c r="AK122" s="208"/>
    </row>
    <row r="123" spans="1:37" ht="14.25" customHeight="1">
      <c r="A123" s="208"/>
      <c r="B123" s="208"/>
      <c r="C123" s="208"/>
      <c r="D123" s="208"/>
      <c r="E123" s="208"/>
      <c r="F123" s="208"/>
      <c r="G123" s="208"/>
      <c r="H123" s="208"/>
      <c r="I123" s="4742"/>
      <c r="J123" s="219" t="s">
        <v>879</v>
      </c>
      <c r="K123" s="219">
        <v>265</v>
      </c>
      <c r="L123" s="290" t="s">
        <v>674</v>
      </c>
      <c r="M123" s="291">
        <f t="shared" si="19"/>
        <v>902.8</v>
      </c>
      <c r="N123" s="285">
        <v>74</v>
      </c>
      <c r="O123" s="285">
        <v>1220</v>
      </c>
      <c r="P123" s="3811" t="s">
        <v>1375</v>
      </c>
      <c r="Q123" s="3811"/>
      <c r="R123" s="3811"/>
      <c r="S123" s="265">
        <v>10</v>
      </c>
      <c r="T123" s="265">
        <v>13</v>
      </c>
      <c r="U123" s="266">
        <v>15</v>
      </c>
      <c r="X123" s="208"/>
      <c r="Y123" s="2566" t="s">
        <v>1376</v>
      </c>
      <c r="Z123" s="2566" t="s">
        <v>1169</v>
      </c>
      <c r="AA123" s="2567" t="s">
        <v>124</v>
      </c>
      <c r="AB123" s="2566" t="s">
        <v>1224</v>
      </c>
      <c r="AC123" s="2575" t="s">
        <v>1224</v>
      </c>
      <c r="AD123" s="2575" t="s">
        <v>1224</v>
      </c>
      <c r="AE123" s="2576" t="s">
        <v>1224</v>
      </c>
      <c r="AF123" s="2577">
        <v>9</v>
      </c>
      <c r="AG123" s="2570">
        <f t="shared" si="18"/>
        <v>15.555555555555557</v>
      </c>
      <c r="AH123" s="2570">
        <f t="shared" si="18"/>
        <v>35</v>
      </c>
      <c r="AI123" s="2571">
        <v>60</v>
      </c>
      <c r="AJ123" s="2571">
        <v>95</v>
      </c>
      <c r="AK123" s="208"/>
    </row>
    <row r="124" spans="1:37" ht="14.25" customHeight="1">
      <c r="A124" s="208"/>
      <c r="B124" s="208"/>
      <c r="C124" s="208"/>
      <c r="D124" s="208"/>
      <c r="E124" s="208"/>
      <c r="F124" s="208"/>
      <c r="G124" s="208"/>
      <c r="H124" s="208"/>
      <c r="I124" s="4742"/>
      <c r="J124" s="219" t="s">
        <v>755</v>
      </c>
      <c r="K124" s="219"/>
      <c r="L124" s="290" t="s">
        <v>674</v>
      </c>
      <c r="M124" s="291">
        <f t="shared" si="19"/>
        <v>0</v>
      </c>
      <c r="N124" s="285"/>
      <c r="O124" s="286"/>
      <c r="P124" s="3812" t="s">
        <v>1377</v>
      </c>
      <c r="Q124" s="3812"/>
      <c r="R124" s="3812"/>
      <c r="S124" s="245"/>
      <c r="T124" s="245"/>
      <c r="U124" s="1723"/>
      <c r="X124" s="208"/>
      <c r="Y124" s="2566" t="s">
        <v>1378</v>
      </c>
      <c r="Z124" s="2566" t="s">
        <v>1169</v>
      </c>
      <c r="AA124" s="2567" t="s">
        <v>124</v>
      </c>
      <c r="AB124" s="2566" t="s">
        <v>1153</v>
      </c>
      <c r="AC124" s="2568">
        <v>71</v>
      </c>
      <c r="AD124" s="2568">
        <v>75</v>
      </c>
      <c r="AE124" s="2569">
        <f>(AC124+AD124)/2</f>
        <v>73</v>
      </c>
      <c r="AF124" s="2577">
        <v>9</v>
      </c>
      <c r="AG124" s="2570">
        <f t="shared" si="18"/>
        <v>8.8888888888888857</v>
      </c>
      <c r="AH124" s="2570">
        <f t="shared" si="18"/>
        <v>13.333333333333336</v>
      </c>
      <c r="AI124" s="2571">
        <v>48</v>
      </c>
      <c r="AJ124" s="2571">
        <v>56</v>
      </c>
      <c r="AK124" s="208"/>
    </row>
    <row r="125" spans="1:37" ht="14.25" customHeight="1">
      <c r="A125" s="208"/>
      <c r="B125" s="208"/>
      <c r="C125" s="208"/>
      <c r="D125" s="208"/>
      <c r="E125" s="208"/>
      <c r="F125" s="208"/>
      <c r="G125" s="208"/>
      <c r="H125" s="208"/>
      <c r="I125" s="4742"/>
      <c r="J125" s="219" t="s">
        <v>755</v>
      </c>
      <c r="K125" s="219"/>
      <c r="L125" s="290" t="s">
        <v>674</v>
      </c>
      <c r="M125" s="291">
        <f t="shared" si="19"/>
        <v>0</v>
      </c>
      <c r="N125" s="285"/>
      <c r="O125" s="286"/>
      <c r="P125" s="237"/>
      <c r="Q125" s="237"/>
      <c r="R125" s="237"/>
      <c r="S125" s="245"/>
      <c r="T125" s="245"/>
      <c r="U125" s="1723"/>
      <c r="X125" s="208"/>
      <c r="Y125" s="2566" t="s">
        <v>1379</v>
      </c>
      <c r="Z125" s="2566" t="s">
        <v>1152</v>
      </c>
      <c r="AA125" s="2567" t="s">
        <v>124</v>
      </c>
      <c r="AB125" s="2566" t="s">
        <v>1158</v>
      </c>
      <c r="AC125" s="2568">
        <v>72</v>
      </c>
      <c r="AD125" s="2568">
        <v>77</v>
      </c>
      <c r="AE125" s="2569">
        <f>(AC125+AD125)/2</f>
        <v>74.5</v>
      </c>
      <c r="AF125" s="2565" t="s">
        <v>1154</v>
      </c>
      <c r="AG125" s="2570">
        <f t="shared" si="18"/>
        <v>10</v>
      </c>
      <c r="AH125" s="2570">
        <f t="shared" si="18"/>
        <v>12.777777777777779</v>
      </c>
      <c r="AI125" s="2571">
        <v>50</v>
      </c>
      <c r="AJ125" s="2571">
        <v>55</v>
      </c>
      <c r="AK125" s="208"/>
    </row>
    <row r="126" spans="1:37" ht="14.25" customHeight="1">
      <c r="A126" s="208"/>
      <c r="B126" s="208"/>
      <c r="C126" s="208"/>
      <c r="D126" s="208"/>
      <c r="E126" s="208"/>
      <c r="F126" s="208"/>
      <c r="G126" s="208"/>
      <c r="H126" s="208"/>
      <c r="I126" s="4742"/>
      <c r="J126" s="219" t="s">
        <v>755</v>
      </c>
      <c r="K126" s="219"/>
      <c r="L126" s="290" t="s">
        <v>674</v>
      </c>
      <c r="M126" s="291">
        <f t="shared" si="19"/>
        <v>0</v>
      </c>
      <c r="N126" s="285"/>
      <c r="O126" s="286"/>
      <c r="P126" s="237"/>
      <c r="Q126" s="237"/>
      <c r="R126" s="237"/>
      <c r="S126" s="245"/>
      <c r="T126" s="245"/>
      <c r="U126" s="1723"/>
      <c r="X126" s="208"/>
      <c r="Y126" s="2566" t="s">
        <v>1380</v>
      </c>
      <c r="Z126" s="2566" t="s">
        <v>1152</v>
      </c>
      <c r="AA126" s="2567" t="s">
        <v>124</v>
      </c>
      <c r="AB126" s="2566" t="s">
        <v>1153</v>
      </c>
      <c r="AC126" s="2568">
        <v>70</v>
      </c>
      <c r="AD126" s="2568">
        <v>75</v>
      </c>
      <c r="AE126" s="2569">
        <f>(AC126+AD126)/2</f>
        <v>72.5</v>
      </c>
      <c r="AF126" s="2565" t="s">
        <v>1154</v>
      </c>
      <c r="AG126" s="2570">
        <f t="shared" si="18"/>
        <v>19.444444444444443</v>
      </c>
      <c r="AH126" s="2570">
        <f t="shared" si="18"/>
        <v>21.111111111111114</v>
      </c>
      <c r="AI126" s="2571">
        <v>67</v>
      </c>
      <c r="AJ126" s="2571">
        <v>70</v>
      </c>
      <c r="AK126" s="208"/>
    </row>
    <row r="127" spans="1:37" ht="14.25" customHeight="1">
      <c r="A127" s="208"/>
      <c r="B127" s="208"/>
      <c r="C127" s="208"/>
      <c r="D127" s="208"/>
      <c r="E127" s="208"/>
      <c r="F127" s="208"/>
      <c r="G127" s="208"/>
      <c r="H127" s="208"/>
      <c r="I127" s="4742"/>
      <c r="J127" s="219" t="s">
        <v>755</v>
      </c>
      <c r="K127" s="219"/>
      <c r="L127" s="290" t="s">
        <v>674</v>
      </c>
      <c r="M127" s="291">
        <f t="shared" si="19"/>
        <v>0</v>
      </c>
      <c r="N127" s="285"/>
      <c r="O127" s="286"/>
      <c r="P127" s="237"/>
      <c r="Q127" s="237"/>
      <c r="R127" s="237"/>
      <c r="S127" s="245"/>
      <c r="T127" s="245"/>
      <c r="U127" s="1723"/>
      <c r="X127" s="208"/>
      <c r="Y127" s="2566" t="s">
        <v>1381</v>
      </c>
      <c r="Z127" s="2566" t="s">
        <v>1169</v>
      </c>
      <c r="AA127" s="2567" t="s">
        <v>124</v>
      </c>
      <c r="AB127" s="2566" t="s">
        <v>1144</v>
      </c>
      <c r="AC127" s="2568">
        <v>68</v>
      </c>
      <c r="AD127" s="2568">
        <v>72</v>
      </c>
      <c r="AE127" s="2569">
        <f>(AC127+AD127)/2</f>
        <v>70</v>
      </c>
      <c r="AF127" s="2577">
        <v>10</v>
      </c>
      <c r="AG127" s="2570">
        <f t="shared" si="18"/>
        <v>17.777777777777779</v>
      </c>
      <c r="AH127" s="2570">
        <f t="shared" si="18"/>
        <v>23.333333333333336</v>
      </c>
      <c r="AI127" s="2571">
        <v>64</v>
      </c>
      <c r="AJ127" s="2571">
        <v>74</v>
      </c>
      <c r="AK127" s="208"/>
    </row>
    <row r="128" spans="1:37" ht="14.25" customHeight="1">
      <c r="A128" s="208"/>
      <c r="B128" s="208"/>
      <c r="C128" s="208"/>
      <c r="D128" s="208"/>
      <c r="E128" s="208"/>
      <c r="F128" s="208"/>
      <c r="G128" s="208"/>
      <c r="H128" s="208"/>
      <c r="I128" s="4742"/>
      <c r="J128" s="219" t="s">
        <v>755</v>
      </c>
      <c r="K128" s="219"/>
      <c r="L128" s="290" t="s">
        <v>674</v>
      </c>
      <c r="M128" s="291">
        <f t="shared" si="19"/>
        <v>0</v>
      </c>
      <c r="N128" s="285"/>
      <c r="O128" s="286"/>
      <c r="P128" s="237"/>
      <c r="Q128" s="237"/>
      <c r="R128" s="237"/>
      <c r="S128" s="245"/>
      <c r="T128" s="245"/>
      <c r="U128" s="1723"/>
      <c r="X128" s="208"/>
      <c r="Y128" s="2572" t="s">
        <v>1382</v>
      </c>
      <c r="Z128" s="2566" t="s">
        <v>1169</v>
      </c>
      <c r="AA128" s="2567" t="s">
        <v>124</v>
      </c>
      <c r="AB128" s="2566" t="s">
        <v>1216</v>
      </c>
      <c r="AC128" s="2568"/>
      <c r="AD128" s="2568"/>
      <c r="AE128" s="2569">
        <f t="shared" ref="AE128:AE135" si="20">(AC128+AD128)/2</f>
        <v>0</v>
      </c>
      <c r="AF128" s="2577">
        <v>11</v>
      </c>
      <c r="AG128" s="2570">
        <f t="shared" si="18"/>
        <v>18.333333333333336</v>
      </c>
      <c r="AH128" s="2570">
        <f t="shared" si="18"/>
        <v>29.444444444444443</v>
      </c>
      <c r="AI128" s="2571">
        <v>65</v>
      </c>
      <c r="AJ128" s="2571">
        <v>85</v>
      </c>
      <c r="AK128" s="208"/>
    </row>
    <row r="129" spans="1:37" ht="14.25" customHeight="1">
      <c r="A129" s="208"/>
      <c r="B129" s="208"/>
      <c r="C129" s="208"/>
      <c r="D129" s="208"/>
      <c r="E129" s="208"/>
      <c r="F129" s="208"/>
      <c r="G129" s="208"/>
      <c r="H129" s="208"/>
      <c r="I129" s="4742"/>
      <c r="J129" s="219" t="s">
        <v>755</v>
      </c>
      <c r="K129" s="219"/>
      <c r="L129" s="290" t="s">
        <v>674</v>
      </c>
      <c r="M129" s="291">
        <f t="shared" si="19"/>
        <v>0</v>
      </c>
      <c r="N129" s="285"/>
      <c r="O129" s="286"/>
      <c r="P129" s="237"/>
      <c r="Q129" s="237"/>
      <c r="R129" s="237"/>
      <c r="S129" s="245"/>
      <c r="T129" s="245"/>
      <c r="U129" s="1723"/>
      <c r="X129" s="208"/>
      <c r="Y129" s="2566" t="s">
        <v>1383</v>
      </c>
      <c r="Z129" s="2566" t="s">
        <v>1384</v>
      </c>
      <c r="AA129" s="2588" t="s">
        <v>1266</v>
      </c>
      <c r="AB129" s="2566" t="s">
        <v>1144</v>
      </c>
      <c r="AC129" s="2568"/>
      <c r="AD129" s="2568"/>
      <c r="AE129" s="2569">
        <f t="shared" si="20"/>
        <v>0</v>
      </c>
      <c r="AF129" s="2577" t="s">
        <v>674</v>
      </c>
      <c r="AG129" s="2570">
        <f>((AI129+40)*5/9)-40</f>
        <v>12.222222222222221</v>
      </c>
      <c r="AH129" s="2570">
        <f>((AJ129+40)*5/9)-40</f>
        <v>25</v>
      </c>
      <c r="AI129" s="2571">
        <v>54</v>
      </c>
      <c r="AJ129" s="2571">
        <v>77</v>
      </c>
      <c r="AK129" s="208"/>
    </row>
    <row r="130" spans="1:37" ht="14.25" customHeight="1">
      <c r="A130" s="208"/>
      <c r="B130" s="208"/>
      <c r="C130" s="208"/>
      <c r="D130" s="208"/>
      <c r="E130" s="208"/>
      <c r="F130" s="208"/>
      <c r="G130" s="208"/>
      <c r="H130" s="208"/>
      <c r="I130" s="4742"/>
      <c r="J130" s="219" t="s">
        <v>755</v>
      </c>
      <c r="K130" s="219"/>
      <c r="L130" s="290" t="s">
        <v>674</v>
      </c>
      <c r="M130" s="291">
        <f t="shared" si="19"/>
        <v>0</v>
      </c>
      <c r="N130" s="285"/>
      <c r="O130" s="286"/>
      <c r="P130" s="237"/>
      <c r="Q130" s="237"/>
      <c r="R130" s="237"/>
      <c r="S130" s="245"/>
      <c r="T130" s="245"/>
      <c r="U130" s="1723"/>
      <c r="X130" s="208"/>
      <c r="Y130" s="2566"/>
      <c r="Z130" s="2566"/>
      <c r="AA130" s="2567"/>
      <c r="AB130" s="2566"/>
      <c r="AC130" s="2575"/>
      <c r="AD130" s="2575"/>
      <c r="AE130" s="2569">
        <f t="shared" si="20"/>
        <v>0</v>
      </c>
      <c r="AF130" s="2577"/>
      <c r="AG130" s="2570">
        <f t="shared" ref="AG130:AG135" si="21">((AI130+40)*5/9)-40</f>
        <v>-17.777777777777779</v>
      </c>
      <c r="AH130" s="2570">
        <f t="shared" ref="AH130:AH135" si="22">((AJ130+40)*5/9)-40</f>
        <v>-17.777777777777779</v>
      </c>
      <c r="AI130" s="2571"/>
      <c r="AJ130" s="2571"/>
      <c r="AK130" s="208"/>
    </row>
    <row r="131" spans="1:37" ht="14.25" customHeight="1">
      <c r="A131" s="208"/>
      <c r="B131" s="208"/>
      <c r="C131" s="208"/>
      <c r="D131" s="208"/>
      <c r="E131" s="208"/>
      <c r="F131" s="208"/>
      <c r="G131" s="208"/>
      <c r="H131" s="208"/>
      <c r="I131" s="4728"/>
      <c r="J131" s="284"/>
      <c r="K131" s="284"/>
      <c r="L131" s="284"/>
      <c r="M131" s="284"/>
      <c r="N131" s="284"/>
      <c r="O131" s="284"/>
      <c r="P131" s="237"/>
      <c r="Q131" s="237"/>
      <c r="R131" s="237"/>
      <c r="S131" s="245"/>
      <c r="T131" s="245"/>
      <c r="U131" s="1723"/>
      <c r="X131" s="208"/>
      <c r="Y131" s="2566"/>
      <c r="Z131" s="2566"/>
      <c r="AA131" s="2567"/>
      <c r="AB131" s="2566"/>
      <c r="AC131" s="2575"/>
      <c r="AD131" s="2575"/>
      <c r="AE131" s="2569">
        <f t="shared" si="20"/>
        <v>0</v>
      </c>
      <c r="AF131" s="2577"/>
      <c r="AG131" s="2570">
        <f t="shared" si="21"/>
        <v>-17.777777777777779</v>
      </c>
      <c r="AH131" s="2570">
        <f t="shared" si="22"/>
        <v>-17.777777777777779</v>
      </c>
      <c r="AI131" s="2571"/>
      <c r="AJ131" s="2571"/>
      <c r="AK131" s="208"/>
    </row>
    <row r="132" spans="1:37" ht="14.25" customHeight="1">
      <c r="A132" s="208"/>
      <c r="B132" s="208"/>
      <c r="C132" s="208"/>
      <c r="D132" s="208"/>
      <c r="E132" s="208"/>
      <c r="F132" s="208"/>
      <c r="G132" s="208"/>
      <c r="H132" s="208"/>
      <c r="I132" s="4743" t="s">
        <v>1385</v>
      </c>
      <c r="J132" s="219" t="s">
        <v>883</v>
      </c>
      <c r="K132" s="289">
        <v>375</v>
      </c>
      <c r="L132" s="219">
        <v>1</v>
      </c>
      <c r="M132" s="291">
        <f t="shared" ref="M132:M152" si="23">(N132*O132)/100</f>
        <v>0</v>
      </c>
      <c r="N132" s="285">
        <v>100</v>
      </c>
      <c r="O132" s="285"/>
      <c r="P132" s="570"/>
      <c r="Q132" s="237"/>
      <c r="R132" s="237"/>
      <c r="S132" s="1724">
        <v>30</v>
      </c>
      <c r="T132" s="1724">
        <v>39</v>
      </c>
      <c r="U132" s="1725">
        <v>44</v>
      </c>
      <c r="X132" s="208"/>
      <c r="Y132" s="2566"/>
      <c r="Z132" s="2566"/>
      <c r="AA132" s="2567"/>
      <c r="AB132" s="2566"/>
      <c r="AC132" s="2575"/>
      <c r="AD132" s="2575"/>
      <c r="AE132" s="2569">
        <f t="shared" si="20"/>
        <v>0</v>
      </c>
      <c r="AF132" s="2577"/>
      <c r="AG132" s="2570">
        <f t="shared" si="21"/>
        <v>-17.777777777777779</v>
      </c>
      <c r="AH132" s="2570">
        <f t="shared" si="22"/>
        <v>-17.777777777777779</v>
      </c>
      <c r="AI132" s="2571"/>
      <c r="AJ132" s="2571"/>
      <c r="AK132" s="208"/>
    </row>
    <row r="133" spans="1:37" ht="14.25" customHeight="1">
      <c r="A133" s="208"/>
      <c r="B133" s="208"/>
      <c r="C133" s="208"/>
      <c r="D133" s="208"/>
      <c r="E133" s="208"/>
      <c r="F133" s="208"/>
      <c r="G133" s="208"/>
      <c r="H133" s="208"/>
      <c r="I133" s="4743"/>
      <c r="J133" s="219" t="s">
        <v>884</v>
      </c>
      <c r="K133" s="289">
        <v>370</v>
      </c>
      <c r="L133" s="219">
        <v>1</v>
      </c>
      <c r="M133" s="291">
        <f t="shared" si="23"/>
        <v>16</v>
      </c>
      <c r="N133" s="285">
        <v>100</v>
      </c>
      <c r="O133" s="285">
        <v>16</v>
      </c>
      <c r="P133" s="237"/>
      <c r="Q133" s="237"/>
      <c r="R133" s="237"/>
      <c r="S133" s="1724"/>
      <c r="T133" s="1724"/>
      <c r="U133" s="1725"/>
      <c r="X133" s="208"/>
      <c r="Y133" s="2566"/>
      <c r="Z133" s="2566"/>
      <c r="AA133" s="2567"/>
      <c r="AB133" s="2566"/>
      <c r="AC133" s="2575"/>
      <c r="AD133" s="2575"/>
      <c r="AE133" s="2569">
        <f t="shared" si="20"/>
        <v>0</v>
      </c>
      <c r="AF133" s="2577"/>
      <c r="AG133" s="2570">
        <f t="shared" si="21"/>
        <v>-17.777777777777779</v>
      </c>
      <c r="AH133" s="2570">
        <f t="shared" si="22"/>
        <v>-17.777777777777779</v>
      </c>
      <c r="AI133" s="2571"/>
      <c r="AJ133" s="2571"/>
      <c r="AK133" s="208"/>
    </row>
    <row r="134" spans="1:37" ht="14.25" customHeight="1">
      <c r="A134" s="208"/>
      <c r="B134" s="208"/>
      <c r="C134" s="208"/>
      <c r="D134" s="208"/>
      <c r="E134" s="208"/>
      <c r="F134" s="208"/>
      <c r="G134" s="208"/>
      <c r="H134" s="208"/>
      <c r="I134" s="4743"/>
      <c r="J134" s="219" t="s">
        <v>885</v>
      </c>
      <c r="K134" s="289">
        <v>370</v>
      </c>
      <c r="L134" s="219">
        <v>1</v>
      </c>
      <c r="M134" s="291">
        <f t="shared" si="23"/>
        <v>45</v>
      </c>
      <c r="N134" s="285">
        <v>100</v>
      </c>
      <c r="O134" s="285">
        <v>45</v>
      </c>
      <c r="P134" s="237"/>
      <c r="Q134" s="237"/>
      <c r="R134" s="237"/>
      <c r="S134" s="83"/>
      <c r="T134" s="83"/>
      <c r="U134" s="318"/>
      <c r="X134" s="208"/>
      <c r="Y134" s="2566"/>
      <c r="Z134" s="2566"/>
      <c r="AA134" s="2567"/>
      <c r="AB134" s="2566"/>
      <c r="AC134" s="2575"/>
      <c r="AD134" s="2575"/>
      <c r="AE134" s="2569">
        <f t="shared" si="20"/>
        <v>0</v>
      </c>
      <c r="AF134" s="2577"/>
      <c r="AG134" s="2570">
        <f t="shared" si="21"/>
        <v>-17.777777777777779</v>
      </c>
      <c r="AH134" s="2570">
        <f t="shared" si="22"/>
        <v>-17.777777777777779</v>
      </c>
      <c r="AI134" s="2571"/>
      <c r="AJ134" s="2571"/>
      <c r="AK134" s="208"/>
    </row>
    <row r="135" spans="1:37" ht="14.25" customHeight="1">
      <c r="A135" s="208"/>
      <c r="B135" s="208"/>
      <c r="C135" s="208"/>
      <c r="D135" s="208"/>
      <c r="E135" s="208"/>
      <c r="F135" s="208"/>
      <c r="G135" s="208"/>
      <c r="H135" s="208"/>
      <c r="I135" s="4743"/>
      <c r="J135" s="219" t="s">
        <v>886</v>
      </c>
      <c r="K135" s="289">
        <v>370</v>
      </c>
      <c r="L135" s="219">
        <v>1</v>
      </c>
      <c r="M135" s="291">
        <f t="shared" si="23"/>
        <v>90</v>
      </c>
      <c r="N135" s="285">
        <v>100</v>
      </c>
      <c r="O135" s="285">
        <v>90</v>
      </c>
      <c r="P135" s="237"/>
      <c r="Q135" s="237"/>
      <c r="R135" s="237"/>
      <c r="S135" s="70"/>
      <c r="T135" s="70"/>
      <c r="U135" s="254"/>
      <c r="X135" s="208"/>
      <c r="Y135" s="2566"/>
      <c r="Z135" s="2566"/>
      <c r="AA135" s="2567"/>
      <c r="AB135" s="2566"/>
      <c r="AC135" s="2575"/>
      <c r="AD135" s="2575"/>
      <c r="AE135" s="2569">
        <f t="shared" si="20"/>
        <v>0</v>
      </c>
      <c r="AF135" s="2577"/>
      <c r="AG135" s="2570">
        <f t="shared" si="21"/>
        <v>-17.777777777777779</v>
      </c>
      <c r="AH135" s="2570">
        <f t="shared" si="22"/>
        <v>-17.777777777777779</v>
      </c>
      <c r="AI135" s="2571"/>
      <c r="AJ135" s="2571"/>
      <c r="AK135" s="208"/>
    </row>
    <row r="136" spans="1:37" ht="14.25" customHeight="1">
      <c r="A136" s="208"/>
      <c r="B136" s="208"/>
      <c r="C136" s="208"/>
      <c r="D136" s="208"/>
      <c r="E136" s="208"/>
      <c r="F136" s="208"/>
      <c r="G136" s="208"/>
      <c r="H136" s="208"/>
      <c r="I136" s="4743"/>
      <c r="J136" s="219" t="s">
        <v>340</v>
      </c>
      <c r="K136" s="289">
        <v>319</v>
      </c>
      <c r="L136" s="219">
        <v>0.8</v>
      </c>
      <c r="M136" s="291">
        <f t="shared" si="23"/>
        <v>0</v>
      </c>
      <c r="N136" s="285">
        <v>100</v>
      </c>
      <c r="O136" s="285"/>
      <c r="P136" s="237"/>
      <c r="Q136" s="237"/>
      <c r="R136" s="237"/>
      <c r="S136" s="70"/>
      <c r="T136" s="70"/>
      <c r="U136" s="254"/>
      <c r="X136" s="208"/>
      <c r="Y136" s="2566"/>
      <c r="Z136" s="2566"/>
      <c r="AA136" s="2567"/>
      <c r="AB136" s="2566"/>
      <c r="AC136" s="2575"/>
      <c r="AD136" s="2575"/>
      <c r="AE136" s="2569">
        <f t="shared" ref="AE136:AE140" si="24">(AC136+AD136)/2</f>
        <v>0</v>
      </c>
      <c r="AF136" s="2577"/>
      <c r="AG136" s="2570">
        <f t="shared" ref="AG136:AG140" si="25">((AI136+40)*5/9)-40</f>
        <v>-17.777777777777779</v>
      </c>
      <c r="AH136" s="2570">
        <f t="shared" ref="AH136:AH140" si="26">((AJ136+40)*5/9)-40</f>
        <v>-17.777777777777779</v>
      </c>
      <c r="AI136" s="2571"/>
      <c r="AJ136" s="2571"/>
      <c r="AK136" s="357"/>
    </row>
    <row r="137" spans="1:37" ht="14.25" customHeight="1">
      <c r="A137" s="208"/>
      <c r="B137" s="208"/>
      <c r="C137" s="208"/>
      <c r="D137" s="208"/>
      <c r="E137" s="208"/>
      <c r="F137" s="208"/>
      <c r="G137" s="208"/>
      <c r="H137" s="208"/>
      <c r="I137" s="4743"/>
      <c r="J137" s="296" t="s">
        <v>888</v>
      </c>
      <c r="K137" s="297">
        <f>0.8*375</f>
        <v>300</v>
      </c>
      <c r="L137" s="298">
        <v>0.95</v>
      </c>
      <c r="M137" s="291">
        <f t="shared" si="23"/>
        <v>10</v>
      </c>
      <c r="N137" s="285">
        <v>100</v>
      </c>
      <c r="O137" s="285">
        <v>10</v>
      </c>
      <c r="P137" s="237"/>
      <c r="Q137" s="237"/>
      <c r="R137" s="237"/>
      <c r="S137" s="70"/>
      <c r="T137" s="70"/>
      <c r="U137" s="254"/>
      <c r="X137" s="208"/>
      <c r="Y137" s="2566"/>
      <c r="Z137" s="2566"/>
      <c r="AA137" s="2567"/>
      <c r="AB137" s="2566"/>
      <c r="AC137" s="2575"/>
      <c r="AD137" s="2575"/>
      <c r="AE137" s="2569">
        <f t="shared" si="24"/>
        <v>0</v>
      </c>
      <c r="AF137" s="2577"/>
      <c r="AG137" s="2570">
        <f t="shared" si="25"/>
        <v>-17.777777777777779</v>
      </c>
      <c r="AH137" s="2570">
        <f t="shared" si="26"/>
        <v>-17.777777777777779</v>
      </c>
      <c r="AI137" s="2571"/>
      <c r="AJ137" s="2571"/>
      <c r="AK137" s="357"/>
    </row>
    <row r="138" spans="1:37" ht="14.25" customHeight="1">
      <c r="A138" s="208"/>
      <c r="B138" s="208"/>
      <c r="C138" s="208"/>
      <c r="D138" s="208"/>
      <c r="E138" s="208"/>
      <c r="F138" s="208"/>
      <c r="G138" s="208"/>
      <c r="H138" s="208"/>
      <c r="I138" s="4743"/>
      <c r="J138" s="219" t="s">
        <v>1386</v>
      </c>
      <c r="K138" s="289">
        <v>360</v>
      </c>
      <c r="L138" s="298">
        <v>0.95</v>
      </c>
      <c r="M138" s="291">
        <f t="shared" si="23"/>
        <v>0</v>
      </c>
      <c r="N138" s="285">
        <v>100</v>
      </c>
      <c r="O138" s="285"/>
      <c r="P138" s="237"/>
      <c r="Q138" s="237"/>
      <c r="R138" s="237"/>
      <c r="S138" s="70"/>
      <c r="T138" s="70"/>
      <c r="U138" s="254"/>
      <c r="X138" s="208"/>
      <c r="Y138" s="2566"/>
      <c r="Z138" s="2566"/>
      <c r="AA138" s="2567"/>
      <c r="AB138" s="2566"/>
      <c r="AC138" s="2575"/>
      <c r="AD138" s="2575"/>
      <c r="AE138" s="2569">
        <f t="shared" si="24"/>
        <v>0</v>
      </c>
      <c r="AF138" s="2577"/>
      <c r="AG138" s="2570">
        <f t="shared" si="25"/>
        <v>-17.777777777777779</v>
      </c>
      <c r="AH138" s="2570">
        <f t="shared" si="26"/>
        <v>-17.777777777777779</v>
      </c>
      <c r="AI138" s="2571"/>
      <c r="AJ138" s="2571"/>
      <c r="AK138" s="357"/>
    </row>
    <row r="139" spans="1:37" ht="14.25" customHeight="1">
      <c r="A139" s="208"/>
      <c r="B139" s="208"/>
      <c r="C139" s="208"/>
      <c r="D139" s="208"/>
      <c r="E139" s="208"/>
      <c r="F139" s="208"/>
      <c r="G139" s="208"/>
      <c r="H139" s="255"/>
      <c r="I139" s="4743"/>
      <c r="J139" s="299" t="s">
        <v>1387</v>
      </c>
      <c r="K139" s="289">
        <v>380</v>
      </c>
      <c r="L139" s="219">
        <v>0</v>
      </c>
      <c r="M139" s="291">
        <f t="shared" si="23"/>
        <v>30</v>
      </c>
      <c r="N139" s="285">
        <v>100</v>
      </c>
      <c r="O139" s="285">
        <v>30</v>
      </c>
      <c r="P139" s="237"/>
      <c r="Q139" s="237"/>
      <c r="R139" s="237"/>
      <c r="S139" s="70"/>
      <c r="T139" s="70"/>
      <c r="U139" s="254"/>
      <c r="X139" s="208"/>
      <c r="Y139" s="2566"/>
      <c r="Z139" s="2566"/>
      <c r="AA139" s="2567"/>
      <c r="AB139" s="2566"/>
      <c r="AC139" s="2575"/>
      <c r="AD139" s="2575"/>
      <c r="AE139" s="2569">
        <f t="shared" si="24"/>
        <v>0</v>
      </c>
      <c r="AF139" s="2577"/>
      <c r="AG139" s="2570">
        <f t="shared" si="25"/>
        <v>-17.777777777777779</v>
      </c>
      <c r="AH139" s="2570">
        <f t="shared" si="26"/>
        <v>-17.777777777777779</v>
      </c>
      <c r="AI139" s="2571"/>
      <c r="AJ139" s="2571"/>
      <c r="AK139" s="357"/>
    </row>
    <row r="140" spans="1:37" ht="14.25" customHeight="1">
      <c r="A140" s="208"/>
      <c r="B140" s="208"/>
      <c r="C140" s="208"/>
      <c r="D140" s="208"/>
      <c r="E140" s="208"/>
      <c r="F140" s="208"/>
      <c r="G140" s="208"/>
      <c r="H140" s="255"/>
      <c r="I140" s="4743"/>
      <c r="J140" s="219" t="s">
        <v>1388</v>
      </c>
      <c r="K140" s="289">
        <v>319</v>
      </c>
      <c r="L140" s="219">
        <v>0.35</v>
      </c>
      <c r="M140" s="291">
        <f t="shared" si="23"/>
        <v>0</v>
      </c>
      <c r="N140" s="285">
        <v>100</v>
      </c>
      <c r="O140" s="285"/>
      <c r="P140" s="237"/>
      <c r="Q140" s="237"/>
      <c r="R140" s="237"/>
      <c r="S140" s="70"/>
      <c r="T140" s="70"/>
      <c r="U140" s="254"/>
      <c r="X140" s="208"/>
      <c r="Y140" s="2566"/>
      <c r="Z140" s="2566"/>
      <c r="AA140" s="2567"/>
      <c r="AB140" s="2566"/>
      <c r="AC140" s="2575"/>
      <c r="AD140" s="2575"/>
      <c r="AE140" s="2569">
        <f t="shared" si="24"/>
        <v>0</v>
      </c>
      <c r="AF140" s="2577"/>
      <c r="AG140" s="2570">
        <f t="shared" si="25"/>
        <v>-17.777777777777779</v>
      </c>
      <c r="AH140" s="2570">
        <f t="shared" si="26"/>
        <v>-17.777777777777779</v>
      </c>
      <c r="AI140" s="2571"/>
      <c r="AJ140" s="2571"/>
      <c r="AK140" s="357"/>
    </row>
    <row r="141" spans="1:37" ht="14.25" customHeight="1">
      <c r="A141" s="208"/>
      <c r="B141" s="208"/>
      <c r="C141" s="208"/>
      <c r="D141" s="208"/>
      <c r="E141" s="208"/>
      <c r="F141" s="208"/>
      <c r="G141" s="208"/>
      <c r="H141" s="255"/>
      <c r="I141" s="4743"/>
      <c r="J141" s="219" t="s">
        <v>755</v>
      </c>
      <c r="K141" s="219"/>
      <c r="L141" s="290"/>
      <c r="M141" s="291">
        <f t="shared" si="23"/>
        <v>0</v>
      </c>
      <c r="N141" s="285"/>
      <c r="O141" s="286"/>
      <c r="P141" s="237"/>
      <c r="Q141" s="237"/>
      <c r="R141" s="237"/>
      <c r="S141" s="70"/>
      <c r="T141" s="70"/>
      <c r="U141" s="254"/>
      <c r="X141" s="208"/>
      <c r="Y141" s="346"/>
      <c r="Z141" s="346"/>
      <c r="AA141" s="346"/>
      <c r="AB141" s="346"/>
      <c r="AC141" s="344"/>
      <c r="AD141" s="345"/>
      <c r="AE141" s="345"/>
      <c r="AF141" s="343"/>
      <c r="AG141" s="343"/>
      <c r="AH141" s="343"/>
      <c r="AI141" s="347"/>
      <c r="AJ141" s="347"/>
      <c r="AK141" s="357"/>
    </row>
    <row r="142" spans="1:37" ht="14.25" customHeight="1">
      <c r="A142" s="208"/>
      <c r="B142" s="208"/>
      <c r="C142" s="208"/>
      <c r="D142" s="208"/>
      <c r="E142" s="208"/>
      <c r="F142" s="208"/>
      <c r="G142" s="208"/>
      <c r="H142" s="255"/>
      <c r="I142" s="4743"/>
      <c r="J142" s="218" t="s">
        <v>1389</v>
      </c>
      <c r="K142" s="300">
        <v>373</v>
      </c>
      <c r="L142" s="218">
        <v>1</v>
      </c>
      <c r="M142" s="301">
        <f t="shared" si="23"/>
        <v>0</v>
      </c>
      <c r="N142" s="287">
        <v>100</v>
      </c>
      <c r="O142" s="287">
        <v>0</v>
      </c>
      <c r="P142" s="245"/>
      <c r="Q142" s="245"/>
      <c r="R142" s="245"/>
      <c r="S142" s="265">
        <v>20</v>
      </c>
      <c r="T142" s="265">
        <v>26</v>
      </c>
      <c r="U142" s="266">
        <v>29</v>
      </c>
      <c r="X142" s="208"/>
      <c r="Y142" s="3813" t="s">
        <v>1390</v>
      </c>
      <c r="Z142" s="3813"/>
      <c r="AA142" s="3813"/>
      <c r="AB142" s="3813"/>
      <c r="AC142" s="3813"/>
      <c r="AD142" s="3813"/>
      <c r="AE142" s="3813"/>
      <c r="AG142" s="1270"/>
      <c r="AH142" s="1270" t="s">
        <v>502</v>
      </c>
      <c r="AI142" s="1270"/>
      <c r="AJ142" s="1270"/>
      <c r="AK142" s="357"/>
    </row>
    <row r="143" spans="1:37" ht="14.25" customHeight="1">
      <c r="A143" s="208"/>
      <c r="B143" s="208"/>
      <c r="C143" s="208"/>
      <c r="D143" s="208"/>
      <c r="E143" s="208"/>
      <c r="F143" s="208"/>
      <c r="G143" s="208"/>
      <c r="H143" s="255"/>
      <c r="I143" s="4743"/>
      <c r="J143" s="218" t="s">
        <v>1391</v>
      </c>
      <c r="K143" s="300">
        <v>373</v>
      </c>
      <c r="L143" s="218">
        <v>1</v>
      </c>
      <c r="M143" s="301">
        <f t="shared" si="23"/>
        <v>13</v>
      </c>
      <c r="N143" s="287">
        <v>100</v>
      </c>
      <c r="O143" s="287">
        <v>13</v>
      </c>
      <c r="P143" s="245"/>
      <c r="Q143" s="245"/>
      <c r="R143" s="245"/>
      <c r="S143" s="265"/>
      <c r="T143" s="83"/>
      <c r="U143" s="318"/>
      <c r="X143" s="208"/>
      <c r="Y143" s="208"/>
      <c r="Z143" s="208"/>
      <c r="AA143" s="208"/>
      <c r="AB143" s="208"/>
      <c r="AC143" s="208"/>
      <c r="AD143" s="208"/>
      <c r="AE143" s="208"/>
      <c r="AF143" s="3814"/>
      <c r="AG143" s="3814"/>
      <c r="AH143" s="3814"/>
      <c r="AI143" s="343"/>
      <c r="AJ143" s="343"/>
      <c r="AK143" s="343"/>
    </row>
    <row r="144" spans="1:37" ht="14.25" customHeight="1">
      <c r="I144" s="4743"/>
      <c r="J144" s="218" t="s">
        <v>1392</v>
      </c>
      <c r="K144" s="300">
        <v>373</v>
      </c>
      <c r="L144" s="218">
        <v>1</v>
      </c>
      <c r="M144" s="301">
        <f t="shared" si="23"/>
        <v>43</v>
      </c>
      <c r="N144" s="287">
        <v>100</v>
      </c>
      <c r="O144" s="287">
        <v>43</v>
      </c>
      <c r="P144" s="245"/>
      <c r="Q144" s="245"/>
      <c r="R144" s="245"/>
      <c r="S144" s="265"/>
      <c r="T144" s="83"/>
      <c r="U144" s="318"/>
      <c r="X144" s="208"/>
      <c r="Y144" s="348"/>
      <c r="Z144" s="349"/>
      <c r="AA144" s="349"/>
      <c r="AB144" s="348"/>
      <c r="AC144" s="349"/>
      <c r="AD144" s="350"/>
      <c r="AE144" s="351"/>
      <c r="AF144" s="351"/>
      <c r="AG144" s="351"/>
      <c r="AH144" s="351"/>
      <c r="AI144" s="351"/>
      <c r="AJ144" s="351"/>
      <c r="AK144" s="351"/>
    </row>
    <row r="145" spans="9:37" ht="14.25" customHeight="1">
      <c r="I145" s="4743"/>
      <c r="J145" s="219" t="s">
        <v>755</v>
      </c>
      <c r="K145" s="219"/>
      <c r="L145" s="290"/>
      <c r="M145" s="291">
        <f t="shared" si="23"/>
        <v>0</v>
      </c>
      <c r="N145" s="285"/>
      <c r="O145" s="286"/>
      <c r="P145" s="245"/>
      <c r="Q145" s="245"/>
      <c r="R145" s="245"/>
      <c r="S145" s="265"/>
      <c r="T145" s="83"/>
      <c r="U145" s="318"/>
      <c r="V145" s="237"/>
      <c r="X145" s="352"/>
      <c r="Y145" s="352"/>
      <c r="Z145" s="353"/>
      <c r="AA145" s="353"/>
      <c r="AB145" s="352"/>
      <c r="AC145" s="353"/>
      <c r="AD145" s="354"/>
      <c r="AE145" s="355"/>
      <c r="AF145" s="356"/>
      <c r="AG145" s="201"/>
      <c r="AH145" s="201"/>
      <c r="AI145" s="201"/>
      <c r="AJ145" s="201"/>
    </row>
    <row r="146" spans="9:37" ht="14.25" customHeight="1">
      <c r="I146" s="4743"/>
      <c r="J146" s="218" t="s">
        <v>1393</v>
      </c>
      <c r="K146" s="300">
        <v>300</v>
      </c>
      <c r="L146" s="218">
        <v>1</v>
      </c>
      <c r="M146" s="301">
        <f t="shared" si="23"/>
        <v>2</v>
      </c>
      <c r="N146" s="287">
        <v>100</v>
      </c>
      <c r="O146" s="287">
        <v>2</v>
      </c>
      <c r="P146" s="245"/>
      <c r="Q146" s="245"/>
      <c r="R146" s="245"/>
      <c r="S146" s="265"/>
      <c r="T146" s="83"/>
      <c r="U146" s="318"/>
      <c r="V146" s="237"/>
      <c r="Y146" s="352"/>
      <c r="Z146" s="353"/>
      <c r="AA146" s="353"/>
      <c r="AB146" s="352"/>
      <c r="AC146" s="353"/>
      <c r="AD146" s="354"/>
      <c r="AE146" s="355"/>
      <c r="AF146" s="356"/>
      <c r="AG146" s="201"/>
      <c r="AH146" s="201"/>
      <c r="AI146" s="201"/>
      <c r="AJ146" s="201"/>
    </row>
    <row r="147" spans="9:37" ht="14.25" customHeight="1">
      <c r="I147" s="4743"/>
      <c r="J147" s="218" t="s">
        <v>1394</v>
      </c>
      <c r="K147" s="300">
        <v>300</v>
      </c>
      <c r="L147" s="218">
        <v>1</v>
      </c>
      <c r="M147" s="301">
        <f t="shared" si="23"/>
        <v>89</v>
      </c>
      <c r="N147" s="287">
        <v>100</v>
      </c>
      <c r="O147" s="287">
        <v>89</v>
      </c>
      <c r="P147" s="245"/>
      <c r="Q147" s="245"/>
      <c r="R147" s="245"/>
      <c r="S147" s="83"/>
      <c r="T147" s="83"/>
      <c r="U147" s="318"/>
      <c r="V147" s="237"/>
      <c r="Y147" s="352"/>
      <c r="Z147" s="353"/>
      <c r="AA147" s="353"/>
      <c r="AB147" s="352"/>
      <c r="AC147" s="353"/>
      <c r="AD147" s="354"/>
      <c r="AE147" s="355"/>
      <c r="AF147" s="356"/>
      <c r="AG147" s="356"/>
      <c r="AH147" s="356"/>
      <c r="AK147" s="356"/>
    </row>
    <row r="148" spans="9:37" ht="14.25" customHeight="1">
      <c r="I148" s="4743"/>
      <c r="J148" s="218" t="s">
        <v>1395</v>
      </c>
      <c r="K148" s="300">
        <v>300</v>
      </c>
      <c r="L148" s="218">
        <v>1</v>
      </c>
      <c r="M148" s="301">
        <f t="shared" si="23"/>
        <v>178</v>
      </c>
      <c r="N148" s="287">
        <v>100</v>
      </c>
      <c r="O148" s="287">
        <v>178</v>
      </c>
      <c r="P148" s="245"/>
      <c r="Q148" s="245"/>
      <c r="R148" s="245"/>
      <c r="S148" s="245"/>
      <c r="T148" s="83"/>
      <c r="U148" s="318"/>
      <c r="V148" s="237"/>
      <c r="Y148" s="352"/>
      <c r="Z148" s="353"/>
      <c r="AA148" s="353"/>
      <c r="AB148" s="352"/>
      <c r="AC148" s="353"/>
      <c r="AD148" s="354"/>
      <c r="AE148" s="355"/>
      <c r="AF148" s="356"/>
      <c r="AG148" s="70"/>
      <c r="AH148" s="201"/>
      <c r="AI148" s="201"/>
      <c r="AJ148" s="201"/>
    </row>
    <row r="149" spans="9:37" ht="14.25" customHeight="1">
      <c r="I149" s="4743"/>
      <c r="J149" s="219" t="s">
        <v>755</v>
      </c>
      <c r="K149" s="219"/>
      <c r="L149" s="290"/>
      <c r="M149" s="291">
        <f t="shared" si="23"/>
        <v>0</v>
      </c>
      <c r="N149" s="285"/>
      <c r="O149" s="286"/>
      <c r="P149" s="245"/>
      <c r="Q149" s="245"/>
      <c r="R149" s="245"/>
      <c r="S149" s="245"/>
      <c r="T149" s="83"/>
      <c r="U149" s="318"/>
      <c r="V149" s="237"/>
      <c r="Y149" s="352"/>
      <c r="Z149" s="353"/>
      <c r="AA149" s="353"/>
      <c r="AB149" s="352"/>
      <c r="AC149" s="353"/>
      <c r="AD149" s="354"/>
      <c r="AE149" s="355"/>
      <c r="AF149" s="356"/>
      <c r="AG149" s="70"/>
      <c r="AH149" s="70"/>
      <c r="AI149" s="70"/>
      <c r="AJ149" s="70"/>
    </row>
    <row r="150" spans="9:37" ht="14.25" customHeight="1">
      <c r="I150" s="4743"/>
      <c r="J150" s="219" t="s">
        <v>755</v>
      </c>
      <c r="K150" s="219"/>
      <c r="L150" s="290"/>
      <c r="M150" s="291">
        <f t="shared" si="23"/>
        <v>0</v>
      </c>
      <c r="N150" s="285"/>
      <c r="O150" s="286"/>
      <c r="P150" s="237"/>
      <c r="Q150" s="237"/>
      <c r="R150" s="237"/>
      <c r="S150" s="237"/>
      <c r="T150" s="83"/>
      <c r="U150" s="318"/>
      <c r="V150" s="237"/>
      <c r="Y150" s="352"/>
      <c r="Z150" s="353"/>
      <c r="AA150" s="353"/>
      <c r="AB150" s="352"/>
      <c r="AC150" s="353"/>
      <c r="AD150" s="354"/>
      <c r="AE150" s="355"/>
      <c r="AF150" s="356"/>
      <c r="AG150" s="70"/>
      <c r="AH150" s="70"/>
      <c r="AI150" s="70"/>
      <c r="AJ150" s="70"/>
    </row>
    <row r="151" spans="9:37" ht="14.25" customHeight="1">
      <c r="I151" s="4743"/>
      <c r="J151" s="219" t="s">
        <v>755</v>
      </c>
      <c r="K151" s="219"/>
      <c r="L151" s="290"/>
      <c r="M151" s="291">
        <f t="shared" si="23"/>
        <v>0</v>
      </c>
      <c r="N151" s="285"/>
      <c r="O151" s="286"/>
      <c r="P151" s="264"/>
      <c r="Q151" s="264"/>
      <c r="R151" s="264"/>
      <c r="S151" s="264"/>
      <c r="T151" s="83"/>
      <c r="U151" s="318"/>
      <c r="V151" s="237"/>
      <c r="Y151" s="352"/>
      <c r="Z151" s="353"/>
      <c r="AA151" s="353"/>
      <c r="AB151" s="352"/>
      <c r="AC151" s="353"/>
      <c r="AD151" s="354"/>
      <c r="AE151" s="355"/>
      <c r="AF151" s="356"/>
      <c r="AG151" s="70"/>
      <c r="AH151" s="70"/>
      <c r="AI151" s="70"/>
      <c r="AJ151" s="70"/>
    </row>
    <row r="152" spans="9:37" ht="14.25" customHeight="1">
      <c r="I152" s="4743"/>
      <c r="J152" s="219" t="s">
        <v>755</v>
      </c>
      <c r="K152" s="219"/>
      <c r="L152" s="290"/>
      <c r="M152" s="291">
        <f t="shared" si="23"/>
        <v>0</v>
      </c>
      <c r="N152" s="285"/>
      <c r="O152" s="286"/>
      <c r="P152" s="3811" t="s">
        <v>1396</v>
      </c>
      <c r="Q152" s="3811"/>
      <c r="R152" s="3811"/>
      <c r="S152" s="3811"/>
      <c r="T152" s="83"/>
      <c r="U152" s="318"/>
      <c r="V152" s="237"/>
      <c r="Y152" s="352"/>
      <c r="Z152" s="353"/>
      <c r="AA152" s="353"/>
      <c r="AB152" s="352"/>
      <c r="AC152" s="353"/>
      <c r="AD152" s="354"/>
      <c r="AE152" s="355"/>
      <c r="AF152" s="356"/>
      <c r="AG152" s="70"/>
      <c r="AH152" s="70"/>
      <c r="AI152" s="70"/>
      <c r="AJ152" s="70"/>
    </row>
    <row r="153" spans="9:37" ht="14.25" customHeight="1">
      <c r="I153" s="4728"/>
      <c r="J153" s="284"/>
      <c r="K153" s="284"/>
      <c r="L153" s="284"/>
      <c r="M153" s="284"/>
      <c r="N153" s="285"/>
      <c r="O153" s="284"/>
      <c r="P153" s="3471" t="s">
        <v>1397</v>
      </c>
      <c r="Q153" s="3471"/>
      <c r="R153" s="3471"/>
      <c r="S153" s="3471"/>
      <c r="T153" s="83"/>
      <c r="U153" s="318"/>
      <c r="V153" s="237"/>
      <c r="Y153" s="352"/>
      <c r="Z153" s="353"/>
      <c r="AA153" s="353"/>
      <c r="AB153" s="352"/>
      <c r="AC153" s="353"/>
      <c r="AD153" s="354"/>
      <c r="AE153" s="355"/>
      <c r="AF153" s="356"/>
      <c r="AG153" s="70"/>
      <c r="AH153" s="70"/>
      <c r="AI153" s="70"/>
      <c r="AJ153" s="70"/>
    </row>
    <row r="154" spans="9:37" ht="14.25" customHeight="1">
      <c r="I154" s="4744" t="s">
        <v>1398</v>
      </c>
      <c r="J154" s="219" t="s">
        <v>1399</v>
      </c>
      <c r="K154" s="289">
        <v>279</v>
      </c>
      <c r="L154" s="219">
        <v>0.75</v>
      </c>
      <c r="M154" s="291">
        <f t="shared" ref="M154:M161" si="27">(N154*O154)/100</f>
        <v>2</v>
      </c>
      <c r="N154" s="285">
        <v>100</v>
      </c>
      <c r="O154" s="285">
        <v>2</v>
      </c>
      <c r="P154" s="245"/>
      <c r="Q154" s="245"/>
      <c r="R154" s="245"/>
      <c r="S154" s="265">
        <v>15</v>
      </c>
      <c r="T154" s="265">
        <v>20</v>
      </c>
      <c r="U154" s="266">
        <v>23</v>
      </c>
      <c r="V154" s="237"/>
      <c r="Y154" s="352"/>
      <c r="Z154" s="353"/>
      <c r="AA154" s="353"/>
      <c r="AB154" s="352"/>
      <c r="AC154" s="353"/>
      <c r="AD154" s="354"/>
      <c r="AE154" s="355"/>
      <c r="AF154" s="356"/>
      <c r="AG154" s="70"/>
      <c r="AH154" s="70"/>
      <c r="AI154" s="70"/>
      <c r="AJ154" s="70"/>
    </row>
    <row r="155" spans="9:37" ht="14.25" customHeight="1">
      <c r="I155" s="4744"/>
      <c r="J155" s="219" t="s">
        <v>1400</v>
      </c>
      <c r="K155" s="219">
        <v>240</v>
      </c>
      <c r="L155" s="219">
        <v>1</v>
      </c>
      <c r="M155" s="291">
        <f t="shared" si="27"/>
        <v>1500</v>
      </c>
      <c r="N155" s="285">
        <v>100</v>
      </c>
      <c r="O155" s="285">
        <v>1500</v>
      </c>
      <c r="P155" s="245"/>
      <c r="Q155" s="245"/>
      <c r="R155" s="245"/>
      <c r="S155" s="83"/>
      <c r="T155" s="83"/>
      <c r="U155" s="318"/>
      <c r="V155" s="237"/>
      <c r="W155" s="237"/>
      <c r="X155" s="237"/>
      <c r="Y155" s="352"/>
      <c r="Z155" s="353"/>
      <c r="AA155" s="353"/>
      <c r="AB155" s="352"/>
      <c r="AC155" s="353"/>
      <c r="AD155" s="354"/>
      <c r="AE155" s="355"/>
      <c r="AF155" s="356"/>
      <c r="AG155" s="70"/>
      <c r="AH155" s="70"/>
      <c r="AI155" s="70"/>
      <c r="AJ155" s="70"/>
    </row>
    <row r="156" spans="9:37" ht="14.25" customHeight="1">
      <c r="I156" s="4744"/>
      <c r="J156" s="302" t="s">
        <v>1401</v>
      </c>
      <c r="K156" s="289">
        <v>291</v>
      </c>
      <c r="L156" s="219">
        <v>0.8</v>
      </c>
      <c r="M156" s="291">
        <f t="shared" si="27"/>
        <v>30</v>
      </c>
      <c r="N156" s="285">
        <v>100</v>
      </c>
      <c r="O156" s="285">
        <v>30</v>
      </c>
      <c r="P156" s="245"/>
      <c r="Q156" s="319" t="s">
        <v>1402</v>
      </c>
      <c r="R156" s="319"/>
      <c r="S156" s="319"/>
      <c r="T156" s="319"/>
      <c r="U156" s="320"/>
      <c r="V156" s="237"/>
      <c r="W156" s="237"/>
      <c r="X156" s="237"/>
      <c r="Y156" s="352"/>
      <c r="Z156" s="353"/>
      <c r="AA156" s="353"/>
      <c r="AB156" s="352"/>
      <c r="AC156" s="353"/>
      <c r="AD156" s="354"/>
      <c r="AE156" s="355"/>
      <c r="AF156" s="356"/>
      <c r="AG156" s="70"/>
      <c r="AH156" s="70"/>
      <c r="AI156" s="70"/>
      <c r="AJ156" s="70"/>
    </row>
    <row r="157" spans="9:37" ht="14.25" customHeight="1">
      <c r="I157" s="4744"/>
      <c r="J157" s="219" t="s">
        <v>1403</v>
      </c>
      <c r="K157" s="289">
        <v>300</v>
      </c>
      <c r="L157" s="219">
        <v>0.8</v>
      </c>
      <c r="M157" s="291">
        <f t="shared" si="27"/>
        <v>2</v>
      </c>
      <c r="N157" s="285">
        <v>100</v>
      </c>
      <c r="O157" s="285">
        <v>2</v>
      </c>
      <c r="P157" s="245"/>
      <c r="Q157" s="3806" t="s">
        <v>1404</v>
      </c>
      <c r="R157" s="3806"/>
      <c r="S157" s="3806"/>
      <c r="T157" s="3806"/>
      <c r="U157" s="3807"/>
      <c r="V157" s="237"/>
      <c r="W157" s="237"/>
      <c r="X157" s="237"/>
      <c r="Y157" s="352"/>
      <c r="Z157" s="353"/>
      <c r="AA157" s="353"/>
      <c r="AB157" s="352"/>
      <c r="AC157" s="353"/>
      <c r="AD157" s="354"/>
      <c r="AE157" s="355"/>
      <c r="AF157" s="356"/>
      <c r="AG157" s="70"/>
      <c r="AH157" s="70"/>
      <c r="AI157" s="70"/>
      <c r="AJ157" s="70"/>
    </row>
    <row r="158" spans="9:37" ht="14.25" customHeight="1">
      <c r="I158" s="4744"/>
      <c r="J158" s="219" t="s">
        <v>1405</v>
      </c>
      <c r="K158" s="289">
        <v>300</v>
      </c>
      <c r="L158" s="219">
        <v>0.75</v>
      </c>
      <c r="M158" s="291">
        <f t="shared" si="27"/>
        <v>2</v>
      </c>
      <c r="N158" s="285">
        <v>100</v>
      </c>
      <c r="O158" s="285">
        <v>2</v>
      </c>
      <c r="P158" s="245"/>
      <c r="Q158" s="3806"/>
      <c r="R158" s="3806"/>
      <c r="S158" s="3806"/>
      <c r="T158" s="3806"/>
      <c r="U158" s="3807"/>
      <c r="V158" s="237"/>
      <c r="W158" s="237"/>
      <c r="X158" s="237"/>
      <c r="Y158" s="352"/>
      <c r="Z158" s="353"/>
      <c r="AA158" s="353"/>
      <c r="AB158" s="352"/>
      <c r="AC158" s="353"/>
      <c r="AD158" s="354"/>
      <c r="AE158" s="355"/>
      <c r="AF158" s="356"/>
      <c r="AG158" s="70"/>
      <c r="AH158" s="70"/>
      <c r="AI158" s="70"/>
      <c r="AJ158" s="70"/>
    </row>
    <row r="159" spans="9:37" ht="14.25" customHeight="1">
      <c r="I159" s="4744"/>
      <c r="J159" s="219" t="s">
        <v>1406</v>
      </c>
      <c r="K159" s="219">
        <v>218</v>
      </c>
      <c r="L159" s="219">
        <v>1</v>
      </c>
      <c r="M159" s="291">
        <f t="shared" si="27"/>
        <v>3250</v>
      </c>
      <c r="N159" s="285">
        <v>100</v>
      </c>
      <c r="O159" s="285">
        <f>(2500+4000)/2</f>
        <v>3250</v>
      </c>
      <c r="P159" s="237"/>
      <c r="Q159" s="321" t="s">
        <v>1407</v>
      </c>
      <c r="R159" s="321"/>
      <c r="S159" s="321"/>
      <c r="T159" s="321"/>
      <c r="U159" s="322"/>
      <c r="V159" s="237"/>
      <c r="W159" s="237"/>
      <c r="X159" s="237"/>
      <c r="Y159" s="352"/>
      <c r="Z159" s="353"/>
      <c r="AA159" s="353"/>
      <c r="AB159" s="352"/>
      <c r="AC159" s="353"/>
      <c r="AD159" s="354"/>
      <c r="AE159" s="355"/>
      <c r="AF159" s="356"/>
      <c r="AG159" s="70"/>
      <c r="AH159" s="70"/>
      <c r="AI159" s="70"/>
      <c r="AJ159" s="70"/>
    </row>
    <row r="160" spans="9:37" ht="14.25" customHeight="1">
      <c r="I160" s="4744"/>
      <c r="J160" s="219" t="s">
        <v>755</v>
      </c>
      <c r="K160" s="219"/>
      <c r="L160" s="290"/>
      <c r="M160" s="291">
        <f t="shared" si="27"/>
        <v>0</v>
      </c>
      <c r="N160" s="285"/>
      <c r="O160" s="286"/>
      <c r="P160" s="237"/>
      <c r="Q160" s="3808" t="s">
        <v>1408</v>
      </c>
      <c r="R160" s="3815"/>
      <c r="S160" s="1777">
        <v>100</v>
      </c>
      <c r="T160" s="2590" t="s">
        <v>82</v>
      </c>
      <c r="U160" s="2591" t="s">
        <v>271</v>
      </c>
      <c r="V160" s="237"/>
      <c r="W160" s="237"/>
      <c r="X160" s="237"/>
      <c r="Y160" s="352"/>
      <c r="Z160" s="353"/>
      <c r="AA160" s="353"/>
      <c r="AB160" s="352"/>
      <c r="AC160" s="353"/>
      <c r="AD160" s="354"/>
      <c r="AE160" s="355"/>
      <c r="AF160" s="356"/>
      <c r="AG160" s="70"/>
      <c r="AH160" s="70"/>
      <c r="AI160" s="70"/>
      <c r="AJ160" s="70"/>
    </row>
    <row r="161" spans="9:36" ht="14.25" customHeight="1">
      <c r="I161" s="4744"/>
      <c r="J161" s="219" t="s">
        <v>755</v>
      </c>
      <c r="K161" s="219"/>
      <c r="L161" s="290"/>
      <c r="M161" s="291">
        <f t="shared" si="27"/>
        <v>0</v>
      </c>
      <c r="N161" s="285"/>
      <c r="O161" s="286"/>
      <c r="P161" s="237"/>
      <c r="Q161" s="3795" t="s">
        <v>1409</v>
      </c>
      <c r="R161" s="3796"/>
      <c r="S161" s="2592" t="s">
        <v>1410</v>
      </c>
      <c r="T161" s="237"/>
      <c r="U161" s="4745" t="s">
        <v>270</v>
      </c>
      <c r="V161" s="237"/>
      <c r="W161" s="237"/>
      <c r="X161" s="237"/>
      <c r="Y161" s="352"/>
      <c r="Z161" s="353"/>
      <c r="AA161" s="353"/>
      <c r="AB161" s="352"/>
      <c r="AC161" s="353"/>
      <c r="AD161" s="354"/>
      <c r="AE161" s="355"/>
      <c r="AF161" s="356"/>
      <c r="AG161" s="70"/>
      <c r="AH161" s="70"/>
      <c r="AI161" s="70"/>
      <c r="AJ161" s="70"/>
    </row>
    <row r="162" spans="9:36" ht="14.25" customHeight="1">
      <c r="I162" s="4728"/>
      <c r="J162" s="284"/>
      <c r="K162" s="284"/>
      <c r="L162" s="284"/>
      <c r="M162" s="284"/>
      <c r="N162" s="284"/>
      <c r="O162" s="303"/>
      <c r="P162" s="237"/>
      <c r="Q162" s="3797" t="s">
        <v>1411</v>
      </c>
      <c r="R162" s="3798"/>
      <c r="S162" s="323">
        <f>S$160/100*V163</f>
        <v>0.82</v>
      </c>
      <c r="T162" s="2593" t="s">
        <v>1412</v>
      </c>
      <c r="U162" s="4746">
        <f>(V$162/V$178)*(100*S$179+V163*S$180)/(V$162)</f>
        <v>29.95</v>
      </c>
      <c r="V162" s="324">
        <v>100</v>
      </c>
      <c r="W162" s="237"/>
      <c r="X162" s="237"/>
      <c r="Y162" s="352"/>
      <c r="Z162" s="353"/>
      <c r="AA162" s="353"/>
      <c r="AB162" s="352"/>
      <c r="AC162" s="353"/>
      <c r="AD162" s="354"/>
      <c r="AE162" s="355"/>
      <c r="AF162" s="356"/>
      <c r="AG162" s="70"/>
      <c r="AH162" s="70"/>
      <c r="AI162" s="70"/>
      <c r="AJ162" s="70"/>
    </row>
    <row r="163" spans="9:36" ht="14.25" customHeight="1">
      <c r="I163" s="4743" t="s">
        <v>1413</v>
      </c>
      <c r="J163" s="287" t="s">
        <v>1414</v>
      </c>
      <c r="K163" s="1721" t="s">
        <v>1415</v>
      </c>
      <c r="L163" s="304"/>
      <c r="M163" s="304"/>
      <c r="N163" s="304"/>
      <c r="O163" s="305"/>
      <c r="P163" s="237"/>
      <c r="Q163" s="4747" t="s">
        <v>1416</v>
      </c>
      <c r="R163" s="3799"/>
      <c r="S163" s="323">
        <f>S$160/100*V164</f>
        <v>1.9</v>
      </c>
      <c r="T163" s="4748">
        <f t="shared" ref="T163:T167" si="28">S$160-S163</f>
        <v>98.1</v>
      </c>
      <c r="U163" s="4746">
        <f>(V$162/V$178)*(100*S$179+V164*S$180)/(V$162)</f>
        <v>65.05</v>
      </c>
      <c r="V163" s="325">
        <v>0.82</v>
      </c>
      <c r="W163" s="237"/>
      <c r="X163" s="237"/>
      <c r="Y163" s="352"/>
      <c r="Z163" s="353"/>
      <c r="AA163" s="353"/>
      <c r="AB163" s="352"/>
      <c r="AC163" s="353"/>
      <c r="AD163" s="354"/>
      <c r="AE163" s="355"/>
      <c r="AF163" s="356"/>
      <c r="AG163" s="70"/>
      <c r="AH163" s="70"/>
      <c r="AI163" s="70"/>
      <c r="AJ163" s="70"/>
    </row>
    <row r="164" spans="9:36" ht="14.25" customHeight="1">
      <c r="I164" s="4743"/>
      <c r="J164" s="306" t="s">
        <v>904</v>
      </c>
      <c r="K164" s="218">
        <v>360</v>
      </c>
      <c r="L164" s="218">
        <v>1</v>
      </c>
      <c r="M164" s="219">
        <v>30</v>
      </c>
      <c r="N164" s="287">
        <v>100</v>
      </c>
      <c r="O164" s="307">
        <f>(N164*M164)/100</f>
        <v>30</v>
      </c>
      <c r="P164" s="237"/>
      <c r="Q164" s="4747" t="s">
        <v>1417</v>
      </c>
      <c r="R164" s="3799"/>
      <c r="S164" s="323">
        <f>S$160/100*V165</f>
        <v>3.9</v>
      </c>
      <c r="T164" s="4748">
        <f t="shared" si="28"/>
        <v>96.1</v>
      </c>
      <c r="U164" s="4746">
        <f>(V$162/V$178)*(100*S$179+V165*S$180)/(V$162)</f>
        <v>130.05000000000001</v>
      </c>
      <c r="V164" s="326">
        <v>1.9</v>
      </c>
      <c r="W164" s="237"/>
      <c r="X164" s="237"/>
      <c r="Y164" s="352"/>
      <c r="Z164" s="353"/>
      <c r="AA164" s="353"/>
      <c r="AB164" s="352"/>
      <c r="AC164" s="353"/>
      <c r="AD164" s="354"/>
      <c r="AE164" s="355"/>
      <c r="AF164" s="356"/>
      <c r="AG164" s="70"/>
      <c r="AH164" s="70"/>
      <c r="AI164" s="70"/>
      <c r="AJ164" s="70"/>
    </row>
    <row r="165" spans="9:36" ht="14.25" customHeight="1">
      <c r="I165" s="4743"/>
      <c r="J165" s="306" t="s">
        <v>905</v>
      </c>
      <c r="K165" s="218">
        <v>360</v>
      </c>
      <c r="L165" s="218">
        <v>1</v>
      </c>
      <c r="M165" s="219">
        <v>65</v>
      </c>
      <c r="N165" s="287">
        <v>100</v>
      </c>
      <c r="O165" s="307">
        <f>(N165*M165)/100</f>
        <v>65</v>
      </c>
      <c r="P165" s="237"/>
      <c r="Q165" s="4749" t="s">
        <v>1418</v>
      </c>
      <c r="R165" s="3800"/>
      <c r="S165" s="323">
        <f>S$160/100*V166</f>
        <v>10.67</v>
      </c>
      <c r="T165" s="4748">
        <f t="shared" si="28"/>
        <v>89.33</v>
      </c>
      <c r="U165" s="4746">
        <f>(V$162/V$178)*(100*S$179+V166*S$180)/(V$162)</f>
        <v>350.07499999999999</v>
      </c>
      <c r="V165" s="326">
        <v>3.9</v>
      </c>
      <c r="W165" s="237"/>
      <c r="X165" s="237"/>
      <c r="Y165" s="352"/>
      <c r="Z165" s="353"/>
      <c r="AA165" s="353"/>
      <c r="AB165" s="352"/>
      <c r="AC165" s="353"/>
      <c r="AD165" s="354"/>
      <c r="AE165" s="355"/>
      <c r="AF165" s="356"/>
      <c r="AG165" s="70"/>
      <c r="AH165" s="70"/>
      <c r="AI165" s="70"/>
      <c r="AJ165" s="70"/>
    </row>
    <row r="166" spans="9:36" ht="14.25" customHeight="1">
      <c r="I166" s="4743"/>
      <c r="J166" s="306" t="s">
        <v>906</v>
      </c>
      <c r="K166" s="218">
        <v>360</v>
      </c>
      <c r="L166" s="218">
        <v>1</v>
      </c>
      <c r="M166" s="219">
        <v>130</v>
      </c>
      <c r="N166" s="287">
        <v>100</v>
      </c>
      <c r="O166" s="307">
        <f>(N166*M166)/100</f>
        <v>130</v>
      </c>
      <c r="P166" s="237"/>
      <c r="Q166" s="3801" t="s">
        <v>1419</v>
      </c>
      <c r="R166" s="3802"/>
      <c r="S166" s="323">
        <f>S$160/100*V167</f>
        <v>18.36</v>
      </c>
      <c r="T166" s="4748">
        <f t="shared" si="28"/>
        <v>81.64</v>
      </c>
      <c r="U166" s="4746">
        <f>(V$162/V$178)*(100*S$179+V167*S$180)/(V$162)</f>
        <v>600</v>
      </c>
      <c r="V166" s="327">
        <v>10.67</v>
      </c>
      <c r="W166" s="237"/>
      <c r="X166" s="237"/>
      <c r="Y166" s="352"/>
      <c r="Z166" s="353"/>
      <c r="AA166" s="353"/>
      <c r="AB166" s="352"/>
      <c r="AC166" s="353"/>
      <c r="AD166" s="354"/>
      <c r="AE166" s="355"/>
      <c r="AF166" s="356"/>
      <c r="AG166" s="70"/>
      <c r="AH166" s="70"/>
      <c r="AI166" s="70"/>
      <c r="AJ166" s="70"/>
    </row>
    <row r="167" spans="9:36" ht="14.25" customHeight="1">
      <c r="I167" s="4743"/>
      <c r="J167" s="306" t="s">
        <v>1420</v>
      </c>
      <c r="K167" s="218">
        <v>360</v>
      </c>
      <c r="L167" s="218">
        <v>1</v>
      </c>
      <c r="M167" s="219">
        <v>350</v>
      </c>
      <c r="N167" s="287">
        <v>100</v>
      </c>
      <c r="O167" s="307">
        <f>(N167*M167)/100</f>
        <v>350</v>
      </c>
      <c r="P167" s="237"/>
      <c r="Q167" s="3803" t="str">
        <f>"Invert  ("&amp;1*FIXED((U167),1)&amp;"EBC)"</f>
        <v>Invert  (392.9EBC)</v>
      </c>
      <c r="R167" s="3804"/>
      <c r="S167" s="2594">
        <v>12</v>
      </c>
      <c r="T167" s="2595">
        <f t="shared" si="28"/>
        <v>88</v>
      </c>
      <c r="U167" s="2414">
        <f>(T167*S179+S167*S180)/S160</f>
        <v>392.904</v>
      </c>
      <c r="V167" s="327">
        <v>18.36</v>
      </c>
      <c r="W167" s="237"/>
      <c r="X167" s="237"/>
      <c r="Y167" s="352"/>
      <c r="Z167" s="353"/>
      <c r="AA167" s="353"/>
      <c r="AB167" s="352"/>
      <c r="AC167" s="353"/>
      <c r="AD167" s="354"/>
      <c r="AE167" s="355"/>
      <c r="AF167" s="356"/>
      <c r="AG167" s="70"/>
      <c r="AH167" s="70"/>
      <c r="AI167" s="70"/>
      <c r="AJ167" s="70"/>
    </row>
    <row r="168" spans="9:36" ht="14.25" customHeight="1">
      <c r="I168" s="4743"/>
      <c r="J168" s="306" t="s">
        <v>907</v>
      </c>
      <c r="K168" s="218">
        <v>360</v>
      </c>
      <c r="L168" s="218">
        <v>1</v>
      </c>
      <c r="M168" s="219">
        <v>600</v>
      </c>
      <c r="N168" s="287">
        <v>100</v>
      </c>
      <c r="O168" s="307">
        <f>(N168*M168)/100</f>
        <v>600</v>
      </c>
      <c r="P168" s="237"/>
      <c r="Q168" s="328"/>
      <c r="R168" s="328"/>
      <c r="S168" s="328"/>
      <c r="T168" s="328"/>
      <c r="U168" s="329"/>
      <c r="V168" s="237"/>
      <c r="W168" s="237"/>
      <c r="X168" s="237"/>
      <c r="Y168" s="352"/>
      <c r="Z168" s="353"/>
      <c r="AA168" s="353"/>
      <c r="AB168" s="352"/>
      <c r="AC168" s="353"/>
      <c r="AD168" s="354"/>
      <c r="AE168" s="355"/>
      <c r="AF168" s="356"/>
      <c r="AG168" s="70"/>
      <c r="AH168" s="70"/>
      <c r="AI168" s="70"/>
      <c r="AJ168" s="70"/>
    </row>
    <row r="169" spans="9:36" ht="14.25" customHeight="1">
      <c r="I169" s="4743"/>
      <c r="J169" s="284"/>
      <c r="K169" s="284"/>
      <c r="L169" s="284"/>
      <c r="M169" s="284"/>
      <c r="N169" s="284"/>
      <c r="O169" s="303"/>
      <c r="P169" s="237"/>
      <c r="Q169" s="330" t="s">
        <v>1421</v>
      </c>
      <c r="R169" s="330"/>
      <c r="S169" s="330"/>
      <c r="T169" s="330"/>
      <c r="U169" s="331"/>
      <c r="V169" s="237"/>
      <c r="W169" s="237"/>
      <c r="X169" s="237"/>
      <c r="Y169" s="352"/>
      <c r="Z169" s="353"/>
      <c r="AA169" s="353"/>
      <c r="AB169" s="352"/>
      <c r="AC169" s="353"/>
      <c r="AD169" s="354"/>
      <c r="AE169" s="355"/>
      <c r="AF169" s="356"/>
      <c r="AG169" s="70"/>
      <c r="AH169" s="70"/>
      <c r="AI169" s="70"/>
      <c r="AJ169" s="70"/>
    </row>
    <row r="170" spans="9:36" ht="14.25" customHeight="1">
      <c r="I170" s="4743"/>
      <c r="J170" s="287" t="s">
        <v>1422</v>
      </c>
      <c r="K170" s="287"/>
      <c r="L170" s="287"/>
      <c r="M170" s="1722"/>
      <c r="N170" s="287"/>
      <c r="O170" s="308"/>
      <c r="P170" s="237"/>
      <c r="Q170" s="3808" t="s">
        <v>1408</v>
      </c>
      <c r="R170" s="3809"/>
      <c r="S170" s="2596">
        <f>S160</f>
        <v>100</v>
      </c>
      <c r="T170" s="2590" t="s">
        <v>82</v>
      </c>
      <c r="U170" s="2591" t="s">
        <v>271</v>
      </c>
      <c r="V170" s="237"/>
      <c r="W170" s="237"/>
      <c r="X170" s="237"/>
      <c r="Y170" s="352"/>
      <c r="Z170" s="353"/>
      <c r="AA170" s="353"/>
      <c r="AB170" s="352"/>
      <c r="AC170" s="353"/>
      <c r="AD170" s="354"/>
      <c r="AE170" s="355"/>
      <c r="AF170" s="356"/>
      <c r="AG170" s="70"/>
      <c r="AH170" s="70"/>
      <c r="AI170" s="70"/>
      <c r="AJ170" s="70"/>
    </row>
    <row r="171" spans="9:36" ht="14.25" customHeight="1">
      <c r="I171" s="4743"/>
      <c r="J171" s="218" t="s">
        <v>909</v>
      </c>
      <c r="K171" s="218">
        <v>319</v>
      </c>
      <c r="L171" s="218">
        <v>1</v>
      </c>
      <c r="M171" s="219">
        <v>24</v>
      </c>
      <c r="N171" s="287">
        <v>100</v>
      </c>
      <c r="O171" s="309">
        <f>(N171*M171)/100</f>
        <v>24</v>
      </c>
      <c r="P171" s="237"/>
      <c r="Q171" s="3795" t="s">
        <v>1423</v>
      </c>
      <c r="R171" s="3796"/>
      <c r="S171" s="2592" t="s">
        <v>1410</v>
      </c>
      <c r="T171" s="2597" t="s">
        <v>1424</v>
      </c>
      <c r="U171" s="4745" t="s">
        <v>270</v>
      </c>
      <c r="V171" s="237"/>
      <c r="W171" s="237"/>
      <c r="X171" s="237"/>
      <c r="Y171" s="352"/>
      <c r="Z171" s="353"/>
      <c r="AA171" s="353"/>
      <c r="AB171" s="352"/>
      <c r="AC171" s="353"/>
      <c r="AD171" s="354"/>
      <c r="AE171" s="355"/>
      <c r="AF171" s="356"/>
      <c r="AG171" s="70"/>
      <c r="AH171" s="70"/>
      <c r="AI171" s="70"/>
      <c r="AJ171" s="70"/>
    </row>
    <row r="172" spans="9:36" ht="14.25" customHeight="1">
      <c r="I172" s="4743"/>
      <c r="J172" s="218" t="s">
        <v>910</v>
      </c>
      <c r="K172" s="218">
        <v>319</v>
      </c>
      <c r="L172" s="218">
        <v>1</v>
      </c>
      <c r="M172" s="219">
        <v>53</v>
      </c>
      <c r="N172" s="287">
        <v>100</v>
      </c>
      <c r="O172" s="309">
        <f>(N172*M172)/100</f>
        <v>53</v>
      </c>
      <c r="P172" s="237"/>
      <c r="Q172" s="3797" t="s">
        <v>1411</v>
      </c>
      <c r="R172" s="3798"/>
      <c r="S172" s="323">
        <f>S$170/100*V172</f>
        <v>0</v>
      </c>
      <c r="T172" s="2598">
        <f>S$170-S172</f>
        <v>100</v>
      </c>
      <c r="U172" s="2599">
        <f>(30*T172+S172*3250)/S$170</f>
        <v>30</v>
      </c>
      <c r="V172" s="332">
        <v>0</v>
      </c>
      <c r="W172" s="237"/>
      <c r="X172" s="237"/>
      <c r="Y172" s="352"/>
      <c r="Z172" s="353"/>
      <c r="AA172" s="353"/>
      <c r="AB172" s="352"/>
      <c r="AC172" s="353"/>
      <c r="AD172" s="354"/>
      <c r="AE172" s="355"/>
      <c r="AF172" s="356"/>
      <c r="AG172" s="70"/>
      <c r="AH172" s="70"/>
      <c r="AI172" s="70"/>
      <c r="AJ172" s="70"/>
    </row>
    <row r="173" spans="9:36" ht="14.25" customHeight="1">
      <c r="I173" s="4743"/>
      <c r="J173" s="218" t="s">
        <v>911</v>
      </c>
      <c r="K173" s="218">
        <v>319</v>
      </c>
      <c r="L173" s="218">
        <v>1</v>
      </c>
      <c r="M173" s="219">
        <v>105</v>
      </c>
      <c r="N173" s="287">
        <v>100</v>
      </c>
      <c r="O173" s="309">
        <f>(N173*M173)/100</f>
        <v>105</v>
      </c>
      <c r="P173" s="237"/>
      <c r="Q173" s="4747" t="s">
        <v>1416</v>
      </c>
      <c r="R173" s="3799"/>
      <c r="S173" s="323">
        <f>S$170/100*V173</f>
        <v>1.08</v>
      </c>
      <c r="T173" s="4750">
        <f>S$170-S173</f>
        <v>98.92</v>
      </c>
      <c r="U173" s="4746">
        <f>(T$172*S$181+S173*S$180)/S$170</f>
        <v>65.099999999999994</v>
      </c>
      <c r="V173" s="324">
        <v>1.08</v>
      </c>
      <c r="W173" s="237"/>
      <c r="X173" s="237"/>
      <c r="Y173" s="352"/>
      <c r="Z173" s="353"/>
      <c r="AA173" s="353"/>
      <c r="AB173" s="352"/>
      <c r="AC173" s="353"/>
      <c r="AD173" s="354"/>
      <c r="AE173" s="355"/>
      <c r="AF173" s="356"/>
      <c r="AG173" s="70"/>
      <c r="AH173" s="70"/>
      <c r="AI173" s="70"/>
      <c r="AJ173" s="70"/>
    </row>
    <row r="174" spans="9:36" ht="14.25" customHeight="1">
      <c r="I174" s="4743"/>
      <c r="J174" s="218" t="s">
        <v>912</v>
      </c>
      <c r="K174" s="218">
        <v>319</v>
      </c>
      <c r="L174" s="218">
        <v>1</v>
      </c>
      <c r="M174" s="219">
        <v>483</v>
      </c>
      <c r="N174" s="287">
        <v>100</v>
      </c>
      <c r="O174" s="309">
        <f>(N174*M174)/100</f>
        <v>483</v>
      </c>
      <c r="P174" s="237"/>
      <c r="Q174" s="4747" t="s">
        <v>1417</v>
      </c>
      <c r="R174" s="3799"/>
      <c r="S174" s="323">
        <f>S$170/100*V174</f>
        <v>3.1</v>
      </c>
      <c r="T174" s="4750">
        <f>S$170-S174</f>
        <v>96.9</v>
      </c>
      <c r="U174" s="4746">
        <f>(T$172*S$181+S174*S$180)/S$170</f>
        <v>130.75</v>
      </c>
      <c r="V174" s="324">
        <v>3.1</v>
      </c>
      <c r="W174" s="237"/>
      <c r="X174" s="237"/>
      <c r="Y174" s="352"/>
      <c r="Z174" s="353"/>
      <c r="AA174" s="353"/>
      <c r="AB174" s="352"/>
      <c r="AC174" s="353"/>
      <c r="AD174" s="354"/>
      <c r="AE174" s="355"/>
      <c r="AF174" s="356"/>
      <c r="AG174" s="70"/>
      <c r="AH174" s="70"/>
      <c r="AI174" s="70"/>
      <c r="AJ174" s="70"/>
    </row>
    <row r="175" spans="9:36" ht="14.25" customHeight="1">
      <c r="I175" s="4728"/>
      <c r="J175" s="310"/>
      <c r="K175" s="310"/>
      <c r="L175" s="310"/>
      <c r="M175" s="310"/>
      <c r="N175" s="311"/>
      <c r="O175" s="311"/>
      <c r="P175" s="237"/>
      <c r="Q175" s="4749" t="s">
        <v>1418</v>
      </c>
      <c r="R175" s="3800"/>
      <c r="S175" s="323">
        <f>S$170/100*V175</f>
        <v>9.85</v>
      </c>
      <c r="T175" s="4750">
        <f>S$170-S175</f>
        <v>90.15</v>
      </c>
      <c r="U175" s="4746">
        <f>(T$172*S$181+S175*S$180)/S$170</f>
        <v>350.125</v>
      </c>
      <c r="V175" s="324">
        <v>9.85</v>
      </c>
      <c r="W175" s="237"/>
      <c r="X175" s="237"/>
      <c r="Y175" s="352"/>
      <c r="Z175" s="353"/>
      <c r="AA175" s="353"/>
      <c r="AB175" s="352"/>
      <c r="AC175" s="353"/>
      <c r="AD175" s="354"/>
      <c r="AE175" s="355"/>
      <c r="AF175" s="356"/>
      <c r="AG175" s="70"/>
      <c r="AH175" s="70"/>
      <c r="AI175" s="70"/>
      <c r="AJ175" s="70"/>
    </row>
    <row r="176" spans="9:36" ht="14.25" customHeight="1">
      <c r="I176" s="4728"/>
      <c r="J176" s="312" t="s">
        <v>1425</v>
      </c>
      <c r="K176" s="312"/>
      <c r="L176" s="312"/>
      <c r="M176" s="312"/>
      <c r="N176" s="312"/>
      <c r="O176" s="312"/>
      <c r="P176" s="1940"/>
      <c r="Q176" s="3801" t="s">
        <v>1419</v>
      </c>
      <c r="R176" s="3802"/>
      <c r="S176" s="323">
        <f>S$170/100*V176</f>
        <v>17.600000000000001</v>
      </c>
      <c r="T176" s="4751">
        <f>S$170-S176</f>
        <v>82.4</v>
      </c>
      <c r="U176" s="4752">
        <f>(T$172*S$181+S176*S$180)/S$170</f>
        <v>602.00000000000011</v>
      </c>
      <c r="V176" s="324">
        <v>17.600000000000001</v>
      </c>
      <c r="W176" s="237"/>
      <c r="X176" s="237"/>
      <c r="Y176" s="352"/>
      <c r="Z176" s="353"/>
      <c r="AA176" s="353"/>
      <c r="AB176" s="352"/>
      <c r="AC176" s="353"/>
      <c r="AD176" s="354"/>
      <c r="AE176" s="355"/>
      <c r="AF176" s="356"/>
      <c r="AG176" s="70"/>
      <c r="AH176" s="70"/>
      <c r="AI176" s="70"/>
      <c r="AJ176" s="70"/>
    </row>
    <row r="177" spans="9:36" ht="14.25" customHeight="1">
      <c r="I177" s="4728"/>
      <c r="J177" s="313" t="s">
        <v>1426</v>
      </c>
      <c r="K177" s="313"/>
      <c r="L177" s="313"/>
      <c r="M177" s="313"/>
      <c r="N177" s="313"/>
      <c r="O177" s="313"/>
      <c r="P177" s="314"/>
      <c r="Q177" s="3803" t="str">
        <f>"Invert  ("&amp;1*FIXED((U177),1)&amp;"EBC)"</f>
        <v>Invert  (416.4EBC)</v>
      </c>
      <c r="R177" s="3804"/>
      <c r="S177" s="2600">
        <v>12</v>
      </c>
      <c r="T177" s="2601">
        <f>S$170*(100-S177)/V$178</f>
        <v>88</v>
      </c>
      <c r="U177" s="2414">
        <f>(T177*S181+S177*S180)/S170</f>
        <v>416.4</v>
      </c>
      <c r="V177" s="333"/>
      <c r="W177" s="237"/>
      <c r="X177" s="237"/>
      <c r="Y177" s="352"/>
      <c r="Z177" s="353"/>
      <c r="AA177" s="353"/>
      <c r="AB177" s="352"/>
      <c r="AC177" s="353"/>
      <c r="AD177" s="354"/>
      <c r="AE177" s="355"/>
      <c r="AF177" s="356"/>
      <c r="AG177" s="70"/>
      <c r="AH177" s="70"/>
      <c r="AI177" s="70"/>
      <c r="AJ177" s="70"/>
    </row>
    <row r="178" spans="9:36" ht="14.25" customHeight="1">
      <c r="I178" s="4728"/>
      <c r="P178" s="237"/>
      <c r="Q178" s="334"/>
      <c r="R178" s="334"/>
      <c r="S178" s="334"/>
      <c r="T178" s="334"/>
      <c r="U178" s="335"/>
      <c r="V178" s="336">
        <v>100</v>
      </c>
      <c r="W178" s="237"/>
      <c r="X178" s="237"/>
      <c r="Y178" s="352"/>
      <c r="Z178" s="353"/>
      <c r="AA178" s="353"/>
      <c r="AB178" s="352"/>
      <c r="AC178" s="353"/>
      <c r="AD178" s="354"/>
      <c r="AE178" s="355"/>
      <c r="AF178" s="356"/>
      <c r="AG178" s="70"/>
      <c r="AH178" s="70"/>
      <c r="AI178" s="70"/>
      <c r="AJ178" s="70"/>
    </row>
    <row r="179" spans="9:36" ht="14.25" customHeight="1">
      <c r="I179" s="4728"/>
      <c r="P179" s="237"/>
      <c r="Q179" s="3805" t="s">
        <v>1427</v>
      </c>
      <c r="R179" s="3805"/>
      <c r="S179" s="2603">
        <v>3.3</v>
      </c>
      <c r="T179" s="2602" t="s">
        <v>1428</v>
      </c>
      <c r="U179" s="2602"/>
      <c r="V179" s="337" t="s">
        <v>82</v>
      </c>
      <c r="W179" s="237"/>
      <c r="X179" s="237"/>
      <c r="Y179" s="352"/>
      <c r="Z179" s="353"/>
      <c r="AA179" s="353"/>
      <c r="AB179" s="352"/>
      <c r="AC179" s="353"/>
      <c r="AD179" s="354"/>
      <c r="AE179" s="355"/>
      <c r="AF179" s="356"/>
      <c r="AG179" s="70"/>
      <c r="AH179" s="70"/>
      <c r="AI179" s="70"/>
      <c r="AJ179" s="70"/>
    </row>
    <row r="180" spans="9:36" ht="14.25" customHeight="1">
      <c r="I180" s="4728"/>
      <c r="P180" s="237"/>
      <c r="Q180" s="4753" t="s">
        <v>1429</v>
      </c>
      <c r="R180" s="4753"/>
      <c r="S180" s="4754">
        <v>3250</v>
      </c>
      <c r="T180" s="4755" t="s">
        <v>1430</v>
      </c>
      <c r="U180" s="4755"/>
      <c r="V180" s="237"/>
      <c r="W180" s="237"/>
      <c r="X180" s="237"/>
      <c r="Y180" s="352"/>
      <c r="Z180" s="353"/>
      <c r="AA180" s="353"/>
      <c r="AB180" s="352"/>
      <c r="AC180" s="353"/>
      <c r="AD180" s="354"/>
      <c r="AE180" s="355"/>
      <c r="AF180" s="356"/>
      <c r="AG180" s="70"/>
      <c r="AH180" s="70"/>
      <c r="AI180" s="70"/>
      <c r="AJ180" s="70"/>
    </row>
    <row r="181" spans="9:36" ht="14.25" customHeight="1">
      <c r="I181" s="4728"/>
      <c r="P181" s="237"/>
      <c r="Q181" s="4756" t="s">
        <v>1431</v>
      </c>
      <c r="R181" s="4756"/>
      <c r="S181" s="4757">
        <v>30</v>
      </c>
      <c r="T181" s="4758" t="s">
        <v>1432</v>
      </c>
      <c r="U181" s="4758"/>
      <c r="V181" s="338"/>
      <c r="W181" s="237"/>
      <c r="X181" s="237"/>
      <c r="Y181" s="352"/>
      <c r="Z181" s="353"/>
      <c r="AA181" s="353"/>
      <c r="AB181" s="352"/>
      <c r="AC181" s="353"/>
      <c r="AD181" s="354"/>
      <c r="AE181" s="355"/>
      <c r="AF181" s="356"/>
      <c r="AG181" s="70"/>
      <c r="AH181" s="70"/>
      <c r="AI181" s="70"/>
      <c r="AJ181" s="70"/>
    </row>
    <row r="182" spans="9:36" ht="14.25" customHeight="1">
      <c r="I182" s="315"/>
      <c r="J182" s="316"/>
      <c r="K182" s="316"/>
      <c r="L182" s="316"/>
      <c r="M182" s="316"/>
      <c r="N182" s="316"/>
      <c r="O182" s="316"/>
      <c r="P182" s="317"/>
      <c r="Q182" s="339"/>
      <c r="R182" s="339"/>
      <c r="S182" s="339"/>
      <c r="T182" s="339"/>
      <c r="U182" s="340"/>
      <c r="V182" s="341"/>
      <c r="W182" s="237"/>
      <c r="X182" s="237"/>
      <c r="Y182" s="352"/>
      <c r="Z182" s="353"/>
      <c r="AA182" s="353"/>
      <c r="AB182" s="352"/>
      <c r="AC182" s="353"/>
      <c r="AD182" s="354"/>
      <c r="AE182" s="355"/>
      <c r="AF182" s="356"/>
      <c r="AG182" s="70"/>
      <c r="AH182" s="70"/>
      <c r="AI182" s="70"/>
      <c r="AJ182" s="70"/>
    </row>
    <row r="183" spans="9:36" ht="14.25" customHeight="1">
      <c r="P183" s="237"/>
      <c r="Q183" s="237"/>
      <c r="R183" s="237"/>
      <c r="S183" s="237"/>
      <c r="T183" s="237"/>
      <c r="U183" s="237"/>
      <c r="V183" s="237"/>
      <c r="W183" s="237"/>
      <c r="X183" s="237"/>
    </row>
    <row r="184" spans="9:36">
      <c r="P184" s="237"/>
      <c r="Q184" s="237"/>
      <c r="R184" s="237"/>
      <c r="S184" s="237"/>
      <c r="T184" s="237"/>
      <c r="U184" s="237"/>
    </row>
    <row r="185" spans="9:36">
      <c r="P185" s="237"/>
      <c r="Q185" s="237"/>
      <c r="R185" s="237"/>
      <c r="S185" s="237"/>
      <c r="T185" s="237"/>
      <c r="U185" s="237"/>
    </row>
    <row r="186" spans="9:36">
      <c r="P186" s="237"/>
      <c r="Q186" s="237"/>
      <c r="R186" s="237"/>
      <c r="S186" s="237"/>
      <c r="T186" s="237"/>
      <c r="U186" s="237"/>
    </row>
  </sheetData>
  <sheetProtection password="FA80" sheet="1" objects="1" scenarios="1"/>
  <mergeCells count="115">
    <mergeCell ref="AI1:AJ1"/>
    <mergeCell ref="AH2:AJ2"/>
    <mergeCell ref="AB3:AD3"/>
    <mergeCell ref="A4:B4"/>
    <mergeCell ref="I4:J4"/>
    <mergeCell ref="AC4:AE4"/>
    <mergeCell ref="AG4:AH4"/>
    <mergeCell ref="AI4:AJ4"/>
    <mergeCell ref="P1:T1"/>
    <mergeCell ref="L5:P5"/>
    <mergeCell ref="AC5:AE5"/>
    <mergeCell ref="AG5:AH5"/>
    <mergeCell ref="AI5:AJ5"/>
    <mergeCell ref="AG6:AH6"/>
    <mergeCell ref="AI6:AJ6"/>
    <mergeCell ref="D7:G7"/>
    <mergeCell ref="I7:J7"/>
    <mergeCell ref="M16:N16"/>
    <mergeCell ref="A5:G6"/>
    <mergeCell ref="M17:N17"/>
    <mergeCell ref="P17:Q17"/>
    <mergeCell ref="M18:U18"/>
    <mergeCell ref="M21:O21"/>
    <mergeCell ref="Q21:R21"/>
    <mergeCell ref="Q29:T29"/>
    <mergeCell ref="M30:O30"/>
    <mergeCell ref="Q30:R30"/>
    <mergeCell ref="S30:T30"/>
    <mergeCell ref="M28:P28"/>
    <mergeCell ref="M29:O29"/>
    <mergeCell ref="M31:O31"/>
    <mergeCell ref="Q31:R31"/>
    <mergeCell ref="S31:T31"/>
    <mergeCell ref="M32:O32"/>
    <mergeCell ref="Q32:R32"/>
    <mergeCell ref="S32:T32"/>
    <mergeCell ref="M33:O33"/>
    <mergeCell ref="Q33:T33"/>
    <mergeCell ref="M34:O34"/>
    <mergeCell ref="Q34:T34"/>
    <mergeCell ref="M35:O35"/>
    <mergeCell ref="Q35:T35"/>
    <mergeCell ref="M36:O36"/>
    <mergeCell ref="Q36:T36"/>
    <mergeCell ref="M39:O39"/>
    <mergeCell ref="M40:O40"/>
    <mergeCell ref="M41:O41"/>
    <mergeCell ref="M42:O42"/>
    <mergeCell ref="M43:O43"/>
    <mergeCell ref="P37:P38"/>
    <mergeCell ref="M37:O38"/>
    <mergeCell ref="M44:O44"/>
    <mergeCell ref="P50:T50"/>
    <mergeCell ref="A52:D52"/>
    <mergeCell ref="I52:L52"/>
    <mergeCell ref="I53:R53"/>
    <mergeCell ref="I54:M54"/>
    <mergeCell ref="N55:O55"/>
    <mergeCell ref="A90:B90"/>
    <mergeCell ref="P106:S106"/>
    <mergeCell ref="L56:L57"/>
    <mergeCell ref="M56:M57"/>
    <mergeCell ref="N56:N57"/>
    <mergeCell ref="O56:O57"/>
    <mergeCell ref="A53:G54"/>
    <mergeCell ref="A91:B91"/>
    <mergeCell ref="Q157:U158"/>
    <mergeCell ref="Q167:R167"/>
    <mergeCell ref="Q170:R170"/>
    <mergeCell ref="P107:S107"/>
    <mergeCell ref="P122:R122"/>
    <mergeCell ref="P123:R123"/>
    <mergeCell ref="P124:R124"/>
    <mergeCell ref="Y142:AE142"/>
    <mergeCell ref="AF143:AH143"/>
    <mergeCell ref="P152:S152"/>
    <mergeCell ref="P153:S153"/>
    <mergeCell ref="Q160:R160"/>
    <mergeCell ref="Q173:R173"/>
    <mergeCell ref="Q174:R174"/>
    <mergeCell ref="Q175:R175"/>
    <mergeCell ref="Q176:R176"/>
    <mergeCell ref="Q177:R177"/>
    <mergeCell ref="Q179:R179"/>
    <mergeCell ref="Q180:R180"/>
    <mergeCell ref="Q161:R161"/>
    <mergeCell ref="Q162:R162"/>
    <mergeCell ref="Q163:R163"/>
    <mergeCell ref="Q164:R164"/>
    <mergeCell ref="Q165:R165"/>
    <mergeCell ref="Q166:R166"/>
    <mergeCell ref="Q181:R181"/>
    <mergeCell ref="A56:A57"/>
    <mergeCell ref="A58:A71"/>
    <mergeCell ref="A72:A80"/>
    <mergeCell ref="A81:A83"/>
    <mergeCell ref="A84:A88"/>
    <mergeCell ref="B56:B57"/>
    <mergeCell ref="C56:C57"/>
    <mergeCell ref="D56:D57"/>
    <mergeCell ref="E56:E57"/>
    <mergeCell ref="F56:F57"/>
    <mergeCell ref="G56:G57"/>
    <mergeCell ref="I56:I57"/>
    <mergeCell ref="I58:I82"/>
    <mergeCell ref="I84:I99"/>
    <mergeCell ref="I101:I113"/>
    <mergeCell ref="I115:I130"/>
    <mergeCell ref="I132:I152"/>
    <mergeCell ref="I154:I161"/>
    <mergeCell ref="I163:I174"/>
    <mergeCell ref="J56:J57"/>
    <mergeCell ref="K56:K57"/>
    <mergeCell ref="Q171:R171"/>
    <mergeCell ref="Q172:R172"/>
  </mergeCells>
  <conditionalFormatting sqref="S52">
    <cfRule type="cellIs" dxfId="8" priority="1" stopIfTrue="1" operator="lessThan">
      <formula>0</formula>
    </cfRule>
  </conditionalFormatting>
  <hyperlinks>
    <hyperlink ref="D7" location="'Beer Data Sheet'!J6" display="COPIED from the &quot;Master hop list&quot; as required." xr:uid="{00000000-0004-0000-0600-000000000000}"/>
    <hyperlink ref="F4" location="'Extract Calc'!AO20" display="'Extract Calc'!AO20" xr:uid="{00000000-0004-0000-0600-000001000000}"/>
    <hyperlink ref="H4" location="'Extract Calc'!B79" display="'Extract Calc'!B79" xr:uid="{00000000-0004-0000-0600-000002000000}"/>
    <hyperlink ref="F9" location="'Primer'!D1" display="'Primer'!D1" xr:uid="{00000000-0004-0000-0600-000003000000}"/>
    <hyperlink ref="L9" location="'Gluten-Free Calc'!J100" display="'Gluten-Free Calc'!J100" xr:uid="{00000000-0004-0000-0600-000004000000}"/>
    <hyperlink ref="L13" location="'Gluten-Free Calc'!J94" display="'Gluten-Free Calc'!J94" xr:uid="{00000000-0004-0000-0600-000005000000}"/>
    <hyperlink ref="S54" r:id="rId1" display="http://www.yobrew.co.uk/" xr:uid="{00000000-0004-0000-0600-000006000000}"/>
    <hyperlink ref="C10" location="'Extract Calc'!I66" display="9.5" xr:uid="{00000000-0004-0000-0600-000007000000}"/>
    <hyperlink ref="M9" location="'Gluten-Free Calc'!J100" display="'Gluten-Free Calc'!J100" xr:uid="{00000000-0004-0000-0600-000008000000}"/>
    <hyperlink ref="N9" location="'Gluten-Free Calc'!J100" display="'Gluten-Free Calc'!J100" xr:uid="{00000000-0004-0000-0600-000009000000}"/>
    <hyperlink ref="O9" location="'Gluten-Free Calc'!J100" display="'Gluten-Free Calc'!J100" xr:uid="{00000000-0004-0000-0600-00000A000000}"/>
    <hyperlink ref="P9" location="'Gluten-Free Calc'!J100" display="'Gluten-Free Calc'!J100" xr:uid="{00000000-0004-0000-0600-00000B000000}"/>
    <hyperlink ref="Q9" location="'Gluten-Free Calc'!J100" display="'Gluten-Free Calc'!J100" xr:uid="{00000000-0004-0000-0600-00000C000000}"/>
    <hyperlink ref="R9" location="'Gluten-Free Calc'!J100" display="'Gluten-Free Calc'!J100" xr:uid="{00000000-0004-0000-0600-00000D000000}"/>
    <hyperlink ref="K10" location="'Extract Calc'!I66" display="9.5" xr:uid="{00000000-0004-0000-0600-00000E000000}"/>
    <hyperlink ref="D7:G7" location="'Beer Data Sheet'!J7" display="COPIED from the &quot;Master hop list&quot; as required." xr:uid="{00000000-0004-0000-0600-00000F000000}"/>
  </hyperlinks>
  <printOptions horizontalCentered="1"/>
  <pageMargins left="0.43307086614173201" right="0.43307086614173201" top="0.43307086614173201" bottom="0.511811023622047" header="0.511811023622047" footer="0.511811023622047"/>
  <pageSetup paperSize="9" scale="35" fitToHeight="3" orientation="landscape" horizontalDpi="30066" verticalDpi="26478"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pageSetUpPr fitToPage="1"/>
  </sheetPr>
  <dimension ref="A1:AS155"/>
  <sheetViews>
    <sheetView zoomScale="86" zoomScaleNormal="86" zoomScaleSheetLayoutView="39" workbookViewId="0">
      <pane ySplit="16" topLeftCell="A17" activePane="bottomLeft" state="frozen"/>
      <selection pane="bottomLeft" activeCell="A100" sqref="A100:G100"/>
    </sheetView>
  </sheetViews>
  <sheetFormatPr defaultColWidth="10.140625" defaultRowHeight="13.9"/>
  <cols>
    <col min="1" max="1" width="2.42578125" style="359" customWidth="1"/>
    <col min="2" max="2" width="35.42578125" style="359" customWidth="1"/>
    <col min="3" max="3" width="10.28515625" style="359" customWidth="1"/>
    <col min="4" max="4" width="11.140625" style="359" customWidth="1"/>
    <col min="5" max="6" width="10.42578125" style="359" customWidth="1"/>
    <col min="7" max="7" width="27" style="359" customWidth="1"/>
    <col min="8" max="8" width="11.5703125" style="359" customWidth="1"/>
    <col min="9" max="10" width="12.7109375" style="359" customWidth="1"/>
    <col min="11" max="11" width="12.5703125" style="359" customWidth="1"/>
    <col min="12" max="17" width="11.85546875" style="359" customWidth="1"/>
    <col min="18" max="18" width="3.28515625" style="359" customWidth="1"/>
    <col min="19" max="19" width="6.85546875" style="359" hidden="1" customWidth="1"/>
    <col min="20" max="20" width="7.42578125" style="359" hidden="1" customWidth="1"/>
    <col min="21" max="21" width="6.85546875" style="359" hidden="1" customWidth="1"/>
    <col min="22" max="22" width="10" style="359" hidden="1" customWidth="1"/>
    <col min="23" max="23" width="7.42578125" style="359" hidden="1" customWidth="1"/>
    <col min="24" max="35" width="6.85546875" style="359" hidden="1" customWidth="1"/>
    <col min="36" max="36" width="5.42578125" style="359" customWidth="1"/>
    <col min="37" max="41" width="8.85546875" style="359" customWidth="1"/>
    <col min="42" max="42" width="4.42578125" style="359" customWidth="1"/>
    <col min="43" max="44" width="10.140625" style="359" customWidth="1"/>
    <col min="45" max="45" width="6.140625" style="359" customWidth="1"/>
    <col min="46" max="16384" width="10.140625" style="359"/>
  </cols>
  <sheetData>
    <row r="1" spans="1:45" s="358" customFormat="1" ht="42" customHeight="1">
      <c r="A1" s="2164"/>
      <c r="B1" s="2164"/>
      <c r="C1" s="81"/>
      <c r="D1" s="81"/>
      <c r="F1" s="3964" t="s">
        <v>1433</v>
      </c>
      <c r="G1" s="3964"/>
      <c r="H1" s="3964"/>
      <c r="I1" s="3964"/>
      <c r="J1" s="3964"/>
      <c r="K1" s="3964"/>
      <c r="L1" s="430"/>
      <c r="M1" s="229"/>
      <c r="N1" s="431"/>
      <c r="O1" s="431"/>
      <c r="P1" s="3341" t="s">
        <v>1</v>
      </c>
      <c r="Q1" s="3341"/>
      <c r="R1" s="482"/>
      <c r="S1" s="3958" t="s">
        <v>506</v>
      </c>
      <c r="T1" s="3958"/>
      <c r="U1" s="3958"/>
      <c r="V1" s="3958"/>
      <c r="W1" s="3958"/>
      <c r="X1" s="3958"/>
      <c r="Y1" s="3958"/>
      <c r="Z1" s="3958"/>
      <c r="AA1" s="3958"/>
      <c r="AB1" s="3958"/>
      <c r="AC1" s="3958"/>
      <c r="AD1" s="3958"/>
      <c r="AE1" s="3958"/>
      <c r="AF1" s="3958"/>
      <c r="AG1" s="3958"/>
      <c r="AH1" s="3958"/>
      <c r="AI1" s="3958"/>
      <c r="AJ1" s="368"/>
      <c r="AK1" s="368"/>
      <c r="AL1" s="368"/>
      <c r="AM1" s="368"/>
      <c r="AN1" s="368"/>
      <c r="AO1" s="368"/>
      <c r="AP1" s="368"/>
      <c r="AQ1" s="368"/>
      <c r="AR1" s="368"/>
      <c r="AS1" s="368"/>
    </row>
    <row r="2" spans="1:45" s="358" customFormat="1" ht="19.5" customHeight="1">
      <c r="A2" s="360"/>
      <c r="B2" s="360"/>
      <c r="C2" s="361"/>
      <c r="D2" s="361"/>
      <c r="E2" s="362"/>
      <c r="F2" s="362"/>
      <c r="G2" s="3959" t="s">
        <v>504</v>
      </c>
      <c r="H2" s="3959"/>
      <c r="I2" s="3959"/>
      <c r="J2" s="362"/>
      <c r="K2" s="362"/>
      <c r="L2" s="114"/>
      <c r="M2" s="114"/>
      <c r="N2" s="114"/>
      <c r="P2" s="3960"/>
      <c r="Q2" s="3960"/>
      <c r="R2" s="483"/>
      <c r="S2" s="484"/>
      <c r="T2" s="484"/>
      <c r="U2" s="484"/>
      <c r="V2" s="484"/>
      <c r="W2" s="484"/>
      <c r="X2" s="484"/>
      <c r="Y2" s="484"/>
      <c r="Z2" s="484"/>
      <c r="AA2" s="484"/>
      <c r="AB2" s="484"/>
      <c r="AC2" s="484"/>
      <c r="AD2" s="484"/>
      <c r="AE2" s="484"/>
      <c r="AF2" s="484"/>
      <c r="AG2" s="484"/>
      <c r="AH2" s="484"/>
      <c r="AI2" s="484"/>
      <c r="AJ2" s="3894" t="s">
        <v>636</v>
      </c>
      <c r="AK2" s="368"/>
      <c r="AL2" s="368"/>
      <c r="AM2" s="368"/>
      <c r="AN2" s="368"/>
      <c r="AO2" s="368"/>
      <c r="AP2" s="368"/>
      <c r="AQ2" s="368"/>
      <c r="AR2" s="3863"/>
      <c r="AS2" s="547"/>
    </row>
    <row r="3" spans="1:45" s="358" customFormat="1" ht="15" customHeight="1">
      <c r="A3" s="360"/>
      <c r="B3" s="360"/>
      <c r="C3" s="361"/>
      <c r="D3" s="361"/>
      <c r="E3" s="361"/>
      <c r="F3" s="361"/>
      <c r="G3" s="363"/>
      <c r="H3" s="364"/>
      <c r="I3" s="432"/>
      <c r="J3" s="433"/>
      <c r="K3" s="114"/>
      <c r="L3" s="113"/>
      <c r="M3" s="114"/>
      <c r="N3" s="114"/>
      <c r="O3" s="114"/>
      <c r="P3" s="114"/>
      <c r="R3" s="121"/>
      <c r="S3" s="485"/>
      <c r="T3" s="485"/>
      <c r="U3" s="485"/>
      <c r="V3" s="485"/>
      <c r="W3" s="485"/>
      <c r="X3" s="485"/>
      <c r="Y3" s="485"/>
      <c r="Z3" s="533"/>
      <c r="AA3" s="533"/>
      <c r="AB3" s="533"/>
      <c r="AC3" s="533"/>
      <c r="AD3" s="533"/>
      <c r="AE3" s="533"/>
      <c r="AF3" s="533"/>
      <c r="AG3" s="533"/>
      <c r="AH3" s="533"/>
      <c r="AI3" s="533"/>
      <c r="AJ3" s="3894"/>
      <c r="AK3" s="368"/>
      <c r="AL3" s="368"/>
      <c r="AM3" s="368"/>
      <c r="AN3" s="368"/>
      <c r="AO3" s="368"/>
      <c r="AP3" s="368"/>
      <c r="AQ3" s="368"/>
      <c r="AR3" s="3863"/>
      <c r="AS3" s="547"/>
    </row>
    <row r="4" spans="1:45" s="358" customFormat="1" ht="15" customHeight="1">
      <c r="A4" s="4446" t="s">
        <v>638</v>
      </c>
      <c r="B4" s="4446"/>
      <c r="C4" s="4446"/>
      <c r="D4" s="4446"/>
      <c r="E4" s="4446"/>
      <c r="F4" s="365"/>
      <c r="G4" s="366" t="s">
        <v>639</v>
      </c>
      <c r="H4" s="367">
        <v>23</v>
      </c>
      <c r="I4" s="4759" t="str">
        <f>"litres ≈ "&amp;FIXED(H4*1.76)&amp;" UK ̸ "&amp;FIXED(H4*2.1134)&amp;" US pt."</f>
        <v>litres ≈ 40.48 UK ̸ 48.61 US pt.</v>
      </c>
      <c r="J4" s="4759"/>
      <c r="K4" s="4759"/>
      <c r="L4" s="2334"/>
      <c r="M4" s="3344" t="s">
        <v>640</v>
      </c>
      <c r="N4" s="3344"/>
      <c r="O4" s="3344"/>
      <c r="P4" s="3344"/>
      <c r="Q4" s="3344"/>
      <c r="R4" s="365"/>
      <c r="S4" s="485"/>
      <c r="T4" s="485"/>
      <c r="U4" s="485"/>
      <c r="V4" s="485" t="s">
        <v>920</v>
      </c>
      <c r="W4" s="485"/>
      <c r="X4" s="485"/>
      <c r="Y4" s="485"/>
      <c r="Z4" s="533"/>
      <c r="AA4" s="533"/>
      <c r="AB4" s="533"/>
      <c r="AC4" s="533"/>
      <c r="AD4" s="533"/>
      <c r="AE4" s="533"/>
      <c r="AF4" s="533"/>
      <c r="AG4" s="533"/>
      <c r="AH4" s="533"/>
      <c r="AI4" s="533"/>
      <c r="AJ4" s="3894"/>
      <c r="AK4" s="368"/>
      <c r="AL4" s="368"/>
      <c r="AM4" s="368"/>
      <c r="AN4" s="368"/>
      <c r="AO4" s="368"/>
      <c r="AP4" s="368"/>
      <c r="AQ4" s="368"/>
      <c r="AR4" s="3863"/>
      <c r="AS4" s="547"/>
    </row>
    <row r="5" spans="1:45" s="358" customFormat="1" ht="15" customHeight="1">
      <c r="A5" s="360"/>
      <c r="B5" s="368"/>
      <c r="C5" s="368"/>
      <c r="D5" s="368"/>
      <c r="E5" s="368"/>
      <c r="G5" s="369" t="s">
        <v>641</v>
      </c>
      <c r="H5" s="370">
        <v>20</v>
      </c>
      <c r="I5" s="114" t="s">
        <v>1434</v>
      </c>
      <c r="K5" s="434"/>
      <c r="L5" s="2604" t="s">
        <v>942</v>
      </c>
      <c r="M5" s="3344"/>
      <c r="N5" s="3344"/>
      <c r="O5" s="3344"/>
      <c r="P5" s="3344"/>
      <c r="Q5" s="3344"/>
      <c r="R5" s="365"/>
      <c r="S5" s="485"/>
      <c r="T5" s="485"/>
      <c r="U5" s="485"/>
      <c r="V5" s="485"/>
      <c r="W5" s="485"/>
      <c r="X5" s="485"/>
      <c r="Y5" s="485"/>
      <c r="Z5" s="533"/>
      <c r="AA5" s="533"/>
      <c r="AB5" s="533"/>
      <c r="AC5" s="533"/>
      <c r="AD5" s="533"/>
      <c r="AE5" s="533"/>
      <c r="AF5" s="533"/>
      <c r="AG5" s="533"/>
      <c r="AH5" s="533"/>
      <c r="AI5" s="533"/>
      <c r="AJ5" s="3894"/>
      <c r="AK5" s="368"/>
      <c r="AL5" s="368"/>
      <c r="AM5" s="368"/>
      <c r="AN5" s="368"/>
      <c r="AO5" s="368"/>
      <c r="AP5" s="368"/>
      <c r="AQ5" s="368"/>
      <c r="AR5" s="3863"/>
      <c r="AS5" s="547"/>
    </row>
    <row r="6" spans="1:45" s="358" customFormat="1" ht="15" customHeight="1">
      <c r="A6" s="371"/>
      <c r="B6" s="372"/>
      <c r="C6" s="372"/>
      <c r="D6" s="372"/>
      <c r="E6" s="372"/>
      <c r="F6" s="371"/>
      <c r="G6" s="371"/>
      <c r="H6" s="371"/>
      <c r="I6" s="371"/>
      <c r="J6" s="371"/>
      <c r="K6" s="371"/>
      <c r="L6" s="371"/>
      <c r="M6" s="371"/>
      <c r="N6" s="371"/>
      <c r="O6" s="371"/>
      <c r="P6" s="371"/>
      <c r="Q6" s="371"/>
      <c r="R6" s="486"/>
      <c r="S6" s="485"/>
      <c r="T6" s="485"/>
      <c r="U6" s="485"/>
      <c r="V6" s="485"/>
      <c r="W6" s="485"/>
      <c r="X6" s="485"/>
      <c r="Y6" s="485"/>
      <c r="Z6" s="533"/>
      <c r="AA6" s="533"/>
      <c r="AB6" s="533"/>
      <c r="AC6" s="533"/>
      <c r="AD6" s="533"/>
      <c r="AE6" s="533"/>
      <c r="AF6" s="533"/>
      <c r="AG6" s="533"/>
      <c r="AH6" s="533"/>
      <c r="AI6" s="533"/>
      <c r="AJ6" s="3894"/>
      <c r="AK6" s="368"/>
      <c r="AL6" s="368"/>
      <c r="AM6" s="368"/>
      <c r="AN6" s="368"/>
      <c r="AO6" s="368"/>
      <c r="AP6" s="368"/>
      <c r="AQ6" s="368"/>
      <c r="AR6" s="3863"/>
      <c r="AS6" s="547"/>
    </row>
    <row r="7" spans="1:45" s="358" customFormat="1" ht="15" customHeight="1">
      <c r="A7" s="3961" t="s">
        <v>645</v>
      </c>
      <c r="B7" s="3961"/>
      <c r="C7" s="3961"/>
      <c r="D7" s="4760" t="s">
        <v>1435</v>
      </c>
      <c r="E7" s="4760"/>
      <c r="F7" s="4760"/>
      <c r="G7" s="4761"/>
      <c r="H7" s="2605" t="s">
        <v>646</v>
      </c>
      <c r="I7" s="3962" t="s">
        <v>647</v>
      </c>
      <c r="J7" s="3963"/>
      <c r="K7" s="3963"/>
      <c r="L7" s="3963"/>
      <c r="M7" s="3963"/>
      <c r="N7" s="3963"/>
      <c r="O7" s="3963"/>
      <c r="P7" s="3963"/>
      <c r="Q7" s="3963"/>
      <c r="R7" s="487"/>
      <c r="S7" s="488"/>
      <c r="T7" s="488"/>
      <c r="U7" s="488"/>
      <c r="V7" s="489"/>
      <c r="W7" s="489"/>
      <c r="X7" s="489"/>
      <c r="Y7" s="489"/>
      <c r="Z7" s="534"/>
      <c r="AA7" s="534"/>
      <c r="AB7" s="534"/>
      <c r="AC7" s="534"/>
      <c r="AD7" s="534"/>
      <c r="AE7" s="534"/>
      <c r="AF7" s="534"/>
      <c r="AG7" s="534"/>
      <c r="AH7" s="534"/>
      <c r="AI7" s="534"/>
      <c r="AJ7" s="3894"/>
      <c r="AK7" s="368"/>
      <c r="AL7" s="368"/>
      <c r="AM7" s="368"/>
      <c r="AN7" s="368"/>
      <c r="AO7" s="368"/>
      <c r="AP7" s="368"/>
      <c r="AQ7" s="368"/>
      <c r="AR7" s="3863"/>
      <c r="AS7" s="547"/>
    </row>
    <row r="8" spans="1:45" s="358" customFormat="1" ht="15" customHeight="1">
      <c r="A8" s="4406" t="s">
        <v>1436</v>
      </c>
      <c r="B8" s="4406"/>
      <c r="C8" s="373">
        <f>1000+W45</f>
        <v>1030.3260869565217</v>
      </c>
      <c r="D8" s="4762" t="s">
        <v>1437</v>
      </c>
      <c r="E8" s="4763"/>
      <c r="F8" s="4764"/>
      <c r="G8" s="374">
        <f>1000+W44</f>
        <v>1031.5073369565218</v>
      </c>
      <c r="H8" s="2606">
        <f>G8</f>
        <v>1031.5073369565218</v>
      </c>
      <c r="I8" s="3950" t="s">
        <v>650</v>
      </c>
      <c r="J8" s="3950"/>
      <c r="K8" s="3950"/>
      <c r="L8" s="3950"/>
      <c r="M8" s="3950"/>
      <c r="N8" s="3950"/>
      <c r="O8" s="3950"/>
      <c r="P8" s="3950"/>
      <c r="Q8" s="3950"/>
      <c r="R8" s="490"/>
      <c r="S8" s="83"/>
      <c r="T8" s="83"/>
      <c r="U8" s="83"/>
      <c r="V8" s="489"/>
      <c r="W8" s="489"/>
      <c r="X8" s="489"/>
      <c r="Y8" s="489"/>
      <c r="Z8" s="534"/>
      <c r="AA8" s="534"/>
      <c r="AB8" s="534"/>
      <c r="AC8" s="534"/>
      <c r="AD8" s="534"/>
      <c r="AE8" s="534"/>
      <c r="AF8" s="534"/>
      <c r="AG8" s="534"/>
      <c r="AH8" s="534"/>
      <c r="AI8" s="534"/>
      <c r="AJ8" s="3894"/>
      <c r="AK8" s="368"/>
      <c r="AL8" s="368"/>
      <c r="AM8" s="368"/>
      <c r="AN8" s="368"/>
      <c r="AO8" s="368"/>
      <c r="AP8" s="368"/>
      <c r="AQ8" s="368"/>
      <c r="AR8" s="3863"/>
      <c r="AS8" s="547"/>
    </row>
    <row r="9" spans="1:45" s="358" customFormat="1" ht="15" customHeight="1">
      <c r="A9" s="4406" t="s">
        <v>1438</v>
      </c>
      <c r="B9" s="4406"/>
      <c r="C9" s="375">
        <f>1000+W46</f>
        <v>1003.739402173913</v>
      </c>
      <c r="D9" s="3951" t="s">
        <v>1439</v>
      </c>
      <c r="E9" s="3952"/>
      <c r="F9" s="3953"/>
      <c r="G9" s="376">
        <f>1000+W47</f>
        <v>1003.6460834239131</v>
      </c>
      <c r="H9" s="4765">
        <f>G9</f>
        <v>1003.6460834239131</v>
      </c>
      <c r="I9" s="3954"/>
      <c r="J9" s="3955"/>
      <c r="K9" s="3955"/>
      <c r="L9" s="3310" t="s">
        <v>654</v>
      </c>
      <c r="M9" s="3956"/>
      <c r="N9" s="3535" t="s">
        <v>655</v>
      </c>
      <c r="O9" s="3535"/>
      <c r="P9" s="3312" t="s">
        <v>656</v>
      </c>
      <c r="Q9" s="3957"/>
      <c r="R9" s="490"/>
      <c r="S9" s="409" t="s">
        <v>580</v>
      </c>
      <c r="T9" s="409" t="s">
        <v>581</v>
      </c>
      <c r="U9" s="409" t="s">
        <v>582</v>
      </c>
      <c r="V9" s="489"/>
      <c r="W9" s="489"/>
      <c r="X9" s="489"/>
      <c r="Y9" s="489"/>
      <c r="Z9" s="534"/>
      <c r="AA9" s="534"/>
      <c r="AB9" s="534"/>
      <c r="AC9" s="534"/>
      <c r="AD9" s="534"/>
      <c r="AE9" s="534"/>
      <c r="AF9" s="534"/>
      <c r="AG9" s="534"/>
      <c r="AH9" s="534"/>
      <c r="AI9" s="534"/>
      <c r="AJ9" s="3894"/>
      <c r="AK9" s="368"/>
      <c r="AL9" s="368"/>
      <c r="AM9" s="368"/>
      <c r="AN9" s="368"/>
      <c r="AO9" s="368"/>
      <c r="AP9" s="368"/>
      <c r="AQ9" s="368"/>
      <c r="AR9" s="3863"/>
      <c r="AS9" s="547"/>
    </row>
    <row r="10" spans="1:45" s="358" customFormat="1" ht="15" customHeight="1">
      <c r="A10" s="4406" t="s">
        <v>657</v>
      </c>
      <c r="B10" s="4406"/>
      <c r="C10" s="377">
        <f>(C8-C9)/(7.75-(3*(C8-1000)/800))</f>
        <v>3.4816290945323209</v>
      </c>
      <c r="D10" s="4766" t="s">
        <v>658</v>
      </c>
      <c r="E10" s="4767"/>
      <c r="F10" s="4768"/>
      <c r="G10" s="378">
        <f>(G8-G9)/(7.75-(3*(G8-1000)/800))</f>
        <v>3.6506564868087423</v>
      </c>
      <c r="H10" s="4765">
        <f>G10</f>
        <v>3.6506564868087423</v>
      </c>
      <c r="I10" s="3327" t="s">
        <v>660</v>
      </c>
      <c r="J10" s="3327"/>
      <c r="K10" s="3327"/>
      <c r="L10" s="2607">
        <v>500</v>
      </c>
      <c r="M10" s="2338" t="s">
        <v>100</v>
      </c>
      <c r="N10" s="2339">
        <v>1</v>
      </c>
      <c r="O10" s="2340" t="s">
        <v>661</v>
      </c>
      <c r="P10" s="2608">
        <v>12</v>
      </c>
      <c r="Q10" s="2341" t="s">
        <v>110</v>
      </c>
      <c r="R10" s="491"/>
      <c r="S10" s="418">
        <v>789.4</v>
      </c>
      <c r="T10" s="418">
        <v>7.01</v>
      </c>
      <c r="U10" s="418">
        <v>3.85</v>
      </c>
      <c r="V10" s="489"/>
      <c r="W10" s="489"/>
      <c r="X10" s="489"/>
      <c r="Y10" s="489"/>
      <c r="Z10" s="534"/>
      <c r="AA10" s="534"/>
      <c r="AB10" s="534"/>
      <c r="AC10" s="534"/>
      <c r="AD10" s="534"/>
      <c r="AE10" s="534"/>
      <c r="AF10" s="534"/>
      <c r="AG10" s="534"/>
      <c r="AH10" s="534"/>
      <c r="AI10" s="534"/>
      <c r="AJ10" s="3894"/>
      <c r="AK10" s="368"/>
      <c r="AL10" s="368"/>
      <c r="AM10" s="368"/>
      <c r="AN10" s="368"/>
      <c r="AO10" s="368"/>
      <c r="AP10" s="368"/>
      <c r="AQ10" s="368"/>
      <c r="AR10" s="547"/>
      <c r="AS10" s="547"/>
    </row>
    <row r="11" spans="1:45" s="358" customFormat="1" ht="15" customHeight="1">
      <c r="A11" s="4769" t="s">
        <v>664</v>
      </c>
      <c r="B11" s="4769"/>
      <c r="C11" s="379">
        <f>C39*T39+VLOOKUP($H$5,$S$42:$T$85,2)</f>
        <v>1.7022631578947367</v>
      </c>
      <c r="D11" s="4770" t="s">
        <v>1440</v>
      </c>
      <c r="E11" s="4771"/>
      <c r="F11" s="4772"/>
      <c r="G11" s="380">
        <f>C43</f>
        <v>1.7022631578947367</v>
      </c>
      <c r="H11" s="4765">
        <f>G11</f>
        <v>1.7022631578947367</v>
      </c>
      <c r="I11" s="4773" t="s">
        <v>583</v>
      </c>
      <c r="J11" s="4773"/>
      <c r="K11" s="4773"/>
      <c r="L11" s="435">
        <f>T11*L10</f>
        <v>101.00807948557308</v>
      </c>
      <c r="M11" s="436"/>
      <c r="N11" s="437">
        <f>568*T11*N10</f>
        <v>114.74517829561103</v>
      </c>
      <c r="O11" s="438"/>
      <c r="P11" s="435">
        <f>29.57*T11*P10</f>
        <v>71.683413849321511</v>
      </c>
      <c r="Q11" s="492"/>
      <c r="R11" s="493"/>
      <c r="S11" s="83"/>
      <c r="T11" s="494">
        <f>0.01*S12*(G8-G9)/(7.75-(3*(G8-1000)/800))</f>
        <v>0.20201615897114616</v>
      </c>
      <c r="U11" s="494" t="s">
        <v>587</v>
      </c>
      <c r="V11" s="489"/>
      <c r="W11" s="489"/>
      <c r="X11" s="489"/>
      <c r="Y11" s="489"/>
      <c r="Z11" s="534"/>
      <c r="AA11" s="534"/>
      <c r="AB11" s="534"/>
      <c r="AC11" s="534"/>
      <c r="AD11" s="534"/>
      <c r="AE11" s="534"/>
      <c r="AF11" s="534"/>
      <c r="AG11" s="534"/>
      <c r="AH11" s="534"/>
      <c r="AI11" s="534"/>
      <c r="AJ11" s="3894"/>
      <c r="AK11" s="368"/>
      <c r="AL11" s="368"/>
      <c r="AM11" s="368"/>
      <c r="AN11" s="368"/>
      <c r="AO11" s="368"/>
      <c r="AP11" s="368"/>
      <c r="AQ11" s="368"/>
      <c r="AR11" s="547"/>
      <c r="AS11" s="547"/>
    </row>
    <row r="12" spans="1:45" s="358" customFormat="1" ht="15" customHeight="1">
      <c r="A12" s="3946" t="s">
        <v>1441</v>
      </c>
      <c r="B12" s="3947"/>
      <c r="C12" s="1951" t="str">
        <f>J58</f>
        <v>30.2 EBU</v>
      </c>
      <c r="D12" s="3948" t="str">
        <f>"the actual BU ̸ GU ratio is "&amp;FIXED(W13)&amp;" ("&amp;IF(W13&gt;0.81,"Too Hoppy?",IF(W13&gt;0.65,"Very Hoppy",IF(W13&gt;0.55,"Slightly Hoppy",IF(W13&gt;0.45,"Balanced",IF(W13&gt;0.35,"Slightly Malty",IF(W13&gt;0.25,"Very Malty",IF((W13+0.001)&gt;0,"Too Malty?")))))))&amp;")"</f>
        <v>the actual BU ̸ GU ratio is 0.96 (Too Hoppy?)</v>
      </c>
      <c r="E12" s="3948"/>
      <c r="F12" s="3948"/>
      <c r="G12" s="3949"/>
      <c r="H12" s="381">
        <v>30</v>
      </c>
      <c r="I12" s="4422" t="s">
        <v>585</v>
      </c>
      <c r="J12" s="4422"/>
      <c r="K12" s="4422"/>
      <c r="L12" s="435">
        <f>T12*L10</f>
        <v>41.107889019567793</v>
      </c>
      <c r="M12" s="436"/>
      <c r="N12" s="437">
        <f>568*T12*N10</f>
        <v>46.698561926229011</v>
      </c>
      <c r="O12" s="438"/>
      <c r="P12" s="435">
        <f>29.57*T12*P10</f>
        <v>29.173446679406872</v>
      </c>
      <c r="Q12" s="492"/>
      <c r="R12" s="493"/>
      <c r="S12" s="418">
        <f>T10*S10/1000</f>
        <v>5.5336939999999997</v>
      </c>
      <c r="T12" s="494">
        <f>0.00000001*G9*((1000*G8)/S12+(819.2*G9)-1000400)</f>
        <v>8.2215778039135587E-2</v>
      </c>
      <c r="U12" s="494" t="s">
        <v>587</v>
      </c>
      <c r="V12" s="489"/>
      <c r="X12" s="489"/>
      <c r="Y12" s="489"/>
      <c r="Z12" s="534"/>
      <c r="AA12" s="534"/>
      <c r="AB12" s="534"/>
      <c r="AC12" s="534"/>
      <c r="AD12" s="534"/>
      <c r="AE12" s="534"/>
      <c r="AF12" s="534"/>
      <c r="AG12" s="534"/>
      <c r="AH12" s="534"/>
      <c r="AI12" s="534"/>
      <c r="AJ12" s="3894"/>
      <c r="AK12" s="368"/>
      <c r="AL12" s="368"/>
      <c r="AM12" s="368"/>
      <c r="AN12" s="368"/>
      <c r="AO12" s="368"/>
      <c r="AP12" s="368"/>
      <c r="AQ12" s="368"/>
      <c r="AR12" s="547"/>
      <c r="AS12" s="547"/>
    </row>
    <row r="13" spans="1:45" s="358" customFormat="1" ht="15" customHeight="1">
      <c r="A13" s="4774" t="s">
        <v>1442</v>
      </c>
      <c r="B13" s="3935"/>
      <c r="C13" s="1951" t="str">
        <f>M58</f>
        <v>29.3 EBU</v>
      </c>
      <c r="D13" s="3936" t="str">
        <f>"the actual BU ̸ GU ratio is "&amp;FIXED(W14)&amp;" ("&amp;IF(W14&gt;0.81,"Too Hoppy?",IF(W14&gt;0.65,"Very Hoppy",IF(W14&gt;0.55,"Slightly Hoppy",IF(W14&gt;0.45,"Balanced",IF(W14&gt;0.35,"Slightly Malty",IF(W14&gt;0.25,"Very Malty",IF((W14+0.001)&gt;0,"Too Malty?")))))))&amp;")"</f>
        <v>the actual BU ̸ GU ratio is 0.93 (Too Hoppy?)</v>
      </c>
      <c r="E13" s="3936"/>
      <c r="F13" s="3936"/>
      <c r="G13" s="3937"/>
      <c r="H13" s="4775" t="str">
        <f>"("&amp;IF(H12/((H8-1000)+0.001)&gt;0.81,"Too Hoppy?",IF(H12/(H8-1000)&gt;0.65,"Very Hoppy",IF(H12/(H8-1000)&gt;0.55,"Slightly Hoppy",IF(H12/(H8-1000)&gt;0.45,"Balanced",IF(H12/(H8-1000)&gt;0.35,"Slightly Malty",IF(H12/(H8-1000)&gt;0.25,"Very Malty",IF((H12+0.001)/(H8-1000)&gt;0,"Too Malty?")))))))&amp;")"</f>
        <v>(Too Hoppy?)</v>
      </c>
      <c r="I13" s="3501" t="s">
        <v>588</v>
      </c>
      <c r="J13" s="3501"/>
      <c r="K13" s="3501"/>
      <c r="L13" s="439">
        <f>SUM(L11:L12)</f>
        <v>142.11596850514087</v>
      </c>
      <c r="M13" s="440"/>
      <c r="N13" s="441">
        <f>SUM(N11:N12)</f>
        <v>161.44374022184005</v>
      </c>
      <c r="O13" s="442"/>
      <c r="P13" s="439">
        <f>SUM(P11:P12)</f>
        <v>100.85686052872839</v>
      </c>
      <c r="Q13" s="495"/>
      <c r="R13" s="496"/>
      <c r="S13" s="83"/>
      <c r="T13" s="494"/>
      <c r="U13" s="494"/>
      <c r="V13" s="497"/>
      <c r="W13" s="83">
        <f>((SUM(I56:K56)+FIXED((I49*'Beer Data Sheet'!$T$17/$H$4)))/W44)</f>
        <v>0.95930817403711077</v>
      </c>
      <c r="X13" s="489"/>
      <c r="Y13" s="497"/>
      <c r="Z13" s="534"/>
      <c r="AA13" s="534"/>
      <c r="AB13" s="534"/>
      <c r="AC13" s="534"/>
      <c r="AD13" s="534"/>
      <c r="AE13" s="534"/>
      <c r="AF13" s="534"/>
      <c r="AG13" s="534"/>
      <c r="AH13" s="534"/>
      <c r="AI13" s="534"/>
      <c r="AJ13" s="3894"/>
      <c r="AK13" s="368"/>
      <c r="AL13" s="368"/>
      <c r="AM13" s="368"/>
      <c r="AN13" s="368"/>
      <c r="AO13" s="368"/>
      <c r="AP13" s="368"/>
      <c r="AQ13" s="368"/>
      <c r="AR13" s="547"/>
      <c r="AS13" s="547"/>
    </row>
    <row r="14" spans="1:45" s="358" customFormat="1" ht="15" customHeight="1">
      <c r="A14" s="3938" t="s">
        <v>1443</v>
      </c>
      <c r="B14" s="3939"/>
      <c r="C14" s="382" t="str">
        <f>P58</f>
        <v>29.9 EBU</v>
      </c>
      <c r="D14" s="3940" t="str">
        <f>"the actual BU ̸ GU ratio is "&amp;FIXED(W15)&amp;" ("&amp;IF(W15&gt;0.81,"Too Hoppy?",IF(W15&gt;0.65,"Very Hoppy",IF(W15&gt;0.55,"Slightly Hoppy",IF(W15&gt;0.45,"Balanced",IF(W15&gt;0.35,"Slightly Malty",IF(W15&gt;0.25,"Very Malty",IF((W15+0.001)&gt;0,"Too Malty?")))))))&amp;")"</f>
        <v>the actual BU ̸ GU ratio is 0.95 (Too Hoppy?)</v>
      </c>
      <c r="E14" s="3940"/>
      <c r="F14" s="3940"/>
      <c r="G14" s="3941"/>
      <c r="H14" s="3945"/>
      <c r="I14" s="4422" t="s">
        <v>590</v>
      </c>
      <c r="J14" s="4422"/>
      <c r="K14" s="4422"/>
      <c r="L14" s="443">
        <f>L12/U10</f>
        <v>10.67737377131631</v>
      </c>
      <c r="M14" s="444" t="s">
        <v>82</v>
      </c>
      <c r="N14" s="445">
        <f>N12/U10</f>
        <v>12.129496604215328</v>
      </c>
      <c r="O14" s="446" t="s">
        <v>82</v>
      </c>
      <c r="P14" s="443">
        <f>P12/U10</f>
        <v>7.5775186180277592</v>
      </c>
      <c r="Q14" s="498" t="s">
        <v>82</v>
      </c>
      <c r="R14" s="437"/>
      <c r="S14" s="497"/>
      <c r="T14" s="497"/>
      <c r="U14" s="497"/>
      <c r="V14" s="497"/>
      <c r="W14" s="83">
        <f>((SUM(L56:N56)+FIXED((L49*'Beer Data Sheet'!$T$17/$H$4)))/W44)</f>
        <v>0.92915838923469452</v>
      </c>
      <c r="X14" s="489"/>
      <c r="Y14" s="497"/>
      <c r="Z14" s="534"/>
      <c r="AA14" s="534"/>
      <c r="AB14" s="534"/>
      <c r="AC14" s="534"/>
      <c r="AD14" s="534"/>
      <c r="AE14" s="534"/>
      <c r="AF14" s="534"/>
      <c r="AG14" s="534"/>
      <c r="AH14" s="534"/>
      <c r="AI14" s="534"/>
      <c r="AJ14" s="3894"/>
      <c r="AK14" s="368"/>
      <c r="AL14" s="368"/>
      <c r="AM14" s="368"/>
      <c r="AN14" s="368"/>
      <c r="AO14" s="368"/>
      <c r="AP14" s="368"/>
      <c r="AQ14" s="368"/>
      <c r="AR14" s="547"/>
      <c r="AS14" s="547"/>
    </row>
    <row r="15" spans="1:45" s="358" customFormat="1" ht="15" customHeight="1">
      <c r="A15" s="4776" t="s">
        <v>271</v>
      </c>
      <c r="B15" s="4777"/>
      <c r="C15" s="383" t="str">
        <f>FIXED(Y37,1)&amp;" EBC "</f>
        <v xml:space="preserve">4.2 EBC </v>
      </c>
      <c r="D15" s="3942" t="str">
        <f>"≈  "&amp;FIXED(0.508*Y37,1)&amp;" SRM"</f>
        <v>≈  2.2 SRM</v>
      </c>
      <c r="E15" s="3943"/>
      <c r="F15" s="3944"/>
      <c r="G15" s="384" t="s">
        <v>939</v>
      </c>
      <c r="H15" s="2119">
        <v>5</v>
      </c>
      <c r="I15" s="3300" t="s">
        <v>675</v>
      </c>
      <c r="J15" s="3300"/>
      <c r="K15" s="3300"/>
      <c r="L15" s="447">
        <f>G10*L10/1000</f>
        <v>1.8253282434043714</v>
      </c>
      <c r="M15" s="448"/>
      <c r="N15" s="1185">
        <f>G10*N10*568.26/1000</f>
        <v>2.0745220551939361</v>
      </c>
      <c r="O15" s="449"/>
      <c r="P15" s="447">
        <f>G10*P10*29.574/1000</f>
        <v>1.2955741792905811</v>
      </c>
      <c r="Q15" s="499"/>
      <c r="R15" s="500"/>
      <c r="T15" s="497"/>
      <c r="U15" s="497"/>
      <c r="V15" s="497"/>
      <c r="W15" s="83">
        <f>((SUM(O56:Q56)+FIXED((O49*'Beer Data Sheet'!$T$17/$H$4)))/W44)</f>
        <v>0.94879862631684009</v>
      </c>
      <c r="X15" s="489"/>
      <c r="Y15" s="489"/>
      <c r="Z15" s="534"/>
      <c r="AA15" s="534"/>
      <c r="AB15" s="534"/>
      <c r="AC15" s="534"/>
      <c r="AD15" s="534"/>
      <c r="AE15" s="534"/>
      <c r="AF15" s="534"/>
      <c r="AG15" s="534"/>
      <c r="AH15" s="534"/>
      <c r="AI15" s="534"/>
      <c r="AJ15" s="3894"/>
      <c r="AK15" s="368"/>
      <c r="AL15" s="368"/>
      <c r="AM15" s="368"/>
      <c r="AN15" s="368"/>
      <c r="AO15" s="368"/>
      <c r="AP15" s="368"/>
      <c r="AQ15" s="368"/>
      <c r="AR15" s="547"/>
      <c r="AS15" s="547"/>
    </row>
    <row r="16" spans="1:45" s="358" customFormat="1" ht="6" customHeight="1">
      <c r="A16" s="385"/>
      <c r="B16" s="385"/>
      <c r="C16" s="386"/>
      <c r="D16" s="387"/>
      <c r="E16" s="387"/>
      <c r="F16" s="387"/>
      <c r="G16" s="388"/>
      <c r="H16" s="389"/>
      <c r="I16" s="1917"/>
      <c r="J16" s="1917"/>
      <c r="K16" s="1917"/>
      <c r="L16" s="450"/>
      <c r="M16" s="451"/>
      <c r="N16" s="450"/>
      <c r="O16" s="451"/>
      <c r="P16" s="450"/>
      <c r="Q16" s="500"/>
      <c r="R16" s="500"/>
      <c r="T16" s="497"/>
      <c r="U16" s="497"/>
      <c r="V16" s="497"/>
      <c r="W16" s="83"/>
      <c r="X16" s="489"/>
      <c r="Y16" s="489"/>
      <c r="Z16" s="534"/>
      <c r="AA16" s="534"/>
      <c r="AB16" s="534"/>
      <c r="AC16" s="534"/>
      <c r="AD16" s="534"/>
      <c r="AE16" s="534"/>
      <c r="AF16" s="534"/>
      <c r="AG16" s="534"/>
      <c r="AH16" s="534"/>
      <c r="AI16" s="534"/>
      <c r="AJ16" s="368"/>
      <c r="AK16" s="368"/>
      <c r="AL16" s="368"/>
      <c r="AM16" s="368"/>
      <c r="AN16" s="368"/>
      <c r="AO16" s="368"/>
      <c r="AP16" s="368"/>
      <c r="AQ16" s="368"/>
      <c r="AR16" s="368"/>
      <c r="AS16" s="368"/>
    </row>
    <row r="17" spans="1:45" s="358" customFormat="1" ht="15" customHeight="1">
      <c r="A17" s="3068" t="s">
        <v>1444</v>
      </c>
      <c r="B17" s="3056"/>
      <c r="C17" s="3056"/>
      <c r="D17" s="3056"/>
      <c r="E17" s="3056"/>
      <c r="F17" s="3057"/>
      <c r="G17" s="2952"/>
      <c r="H17" s="2953"/>
      <c r="I17" s="3931" t="s">
        <v>983</v>
      </c>
      <c r="J17" s="3931"/>
      <c r="K17" s="3931"/>
      <c r="L17" s="3931"/>
      <c r="M17" s="3931"/>
      <c r="N17" s="3932"/>
      <c r="O17" s="3877" t="s">
        <v>792</v>
      </c>
      <c r="P17" s="3878"/>
      <c r="Q17" s="3879"/>
      <c r="R17" s="501"/>
      <c r="S17" s="502"/>
      <c r="T17" s="502"/>
      <c r="U17" s="502"/>
      <c r="V17" s="502"/>
      <c r="W17" s="503"/>
      <c r="X17" s="502"/>
      <c r="Y17" s="502"/>
      <c r="Z17" s="511"/>
      <c r="AA17" s="505"/>
      <c r="AB17" s="505"/>
      <c r="AC17" s="505"/>
      <c r="AD17" s="505"/>
      <c r="AE17" s="505"/>
      <c r="AF17" s="505"/>
      <c r="AG17" s="505"/>
      <c r="AH17" s="511"/>
      <c r="AI17" s="511"/>
      <c r="AJ17" s="368"/>
      <c r="AK17" s="368"/>
      <c r="AL17" s="368"/>
      <c r="AM17" s="368"/>
      <c r="AN17" s="368"/>
      <c r="AO17" s="368"/>
      <c r="AP17" s="368"/>
      <c r="AQ17" s="368"/>
      <c r="AR17" s="368"/>
      <c r="AS17" s="368"/>
    </row>
    <row r="18" spans="1:45" s="358" customFormat="1" ht="15" customHeight="1">
      <c r="A18" s="4778" t="s">
        <v>1445</v>
      </c>
      <c r="B18" s="4778"/>
      <c r="C18" s="2609" t="s">
        <v>683</v>
      </c>
      <c r="D18" s="2610" t="s">
        <v>352</v>
      </c>
      <c r="E18" s="2611" t="s">
        <v>684</v>
      </c>
      <c r="F18" s="2612" t="s">
        <v>685</v>
      </c>
      <c r="G18" s="4520"/>
      <c r="H18" s="3484"/>
      <c r="I18" s="3933" t="s">
        <v>1446</v>
      </c>
      <c r="J18" s="4427"/>
      <c r="K18" s="4427"/>
      <c r="L18" s="4427"/>
      <c r="M18" s="4427"/>
      <c r="N18" s="4427"/>
      <c r="O18" s="4779" t="s">
        <v>1447</v>
      </c>
      <c r="P18" s="3865"/>
      <c r="Q18" s="3866"/>
      <c r="R18" s="504"/>
      <c r="S18" s="505" t="s">
        <v>697</v>
      </c>
      <c r="T18" s="506"/>
      <c r="U18" s="505" t="s">
        <v>270</v>
      </c>
      <c r="V18" s="506"/>
      <c r="W18" s="503"/>
      <c r="X18" s="502" t="s">
        <v>699</v>
      </c>
      <c r="Y18" s="485"/>
      <c r="Z18" s="535"/>
      <c r="AA18" s="511"/>
      <c r="AB18" s="511"/>
      <c r="AC18" s="511"/>
      <c r="AD18" s="511"/>
      <c r="AE18" s="511"/>
      <c r="AF18" s="511"/>
      <c r="AG18" s="511"/>
      <c r="AH18" s="83"/>
      <c r="AI18" s="83"/>
      <c r="AJ18" s="368"/>
      <c r="AK18" s="368"/>
      <c r="AL18" s="368"/>
      <c r="AM18" s="368"/>
      <c r="AN18" s="368"/>
      <c r="AO18" s="368"/>
      <c r="AP18" s="368"/>
      <c r="AQ18" s="368"/>
      <c r="AR18" s="368"/>
      <c r="AS18" s="368"/>
    </row>
    <row r="19" spans="1:45" s="358" customFormat="1" ht="15" customHeight="1">
      <c r="A19" s="4780"/>
      <c r="B19" s="390" t="str">
        <f t="shared" ref="B19:B27" si="0">B106</f>
        <v>White Sorghum Syrup</v>
      </c>
      <c r="C19" s="391">
        <v>1500</v>
      </c>
      <c r="D19" s="390" t="s">
        <v>82</v>
      </c>
      <c r="E19" s="392">
        <f t="shared" ref="E19:E27" si="1">100*IF(C19=0,0,C19/$E$43)</f>
        <v>64.586966350190536</v>
      </c>
      <c r="F19" s="392">
        <f t="shared" ref="F19:F27" si="2">IF(W19=0,0,W19*100/$W$39)</f>
        <v>57.44003725840254</v>
      </c>
      <c r="G19" s="2954"/>
      <c r="H19" s="3485"/>
      <c r="I19" s="3286" t="s">
        <v>1448</v>
      </c>
      <c r="J19" s="3556"/>
      <c r="K19" s="3934"/>
      <c r="L19" s="3287" t="s">
        <v>1449</v>
      </c>
      <c r="M19" s="3557"/>
      <c r="N19" s="3558"/>
      <c r="O19" s="3867"/>
      <c r="P19" s="3868"/>
      <c r="Q19" s="3869"/>
      <c r="R19" s="504"/>
      <c r="S19" s="507">
        <f t="shared" ref="S19:S27" si="3">C106</f>
        <v>277.5</v>
      </c>
      <c r="T19" s="506"/>
      <c r="U19" s="502">
        <f t="shared" ref="U19:U27" si="4">E106</f>
        <v>6.5</v>
      </c>
      <c r="V19" s="506"/>
      <c r="W19" s="503">
        <f>0.001*C19*S19</f>
        <v>416.25</v>
      </c>
      <c r="X19" s="503">
        <f t="shared" ref="X19:X27" si="5">W19*D106/100</f>
        <v>308.02499999999998</v>
      </c>
      <c r="Y19" s="502">
        <f t="shared" ref="Y19" si="6">0.01*C19*U19</f>
        <v>97.5</v>
      </c>
      <c r="Z19" s="535"/>
      <c r="AA19" s="502"/>
      <c r="AB19" s="505"/>
      <c r="AC19" s="505"/>
      <c r="AD19" s="505"/>
      <c r="AE19" s="505"/>
      <c r="AF19" s="505"/>
      <c r="AG19" s="4432" t="s">
        <v>700</v>
      </c>
      <c r="AH19" s="4432"/>
      <c r="AI19" s="4432"/>
      <c r="AK19" s="1656"/>
      <c r="AL19" s="1656"/>
      <c r="AM19" s="1656"/>
      <c r="AN19" s="1656"/>
      <c r="AO19" s="1656"/>
      <c r="AP19" s="1656"/>
      <c r="AQ19" s="1656"/>
      <c r="AR19" s="1656"/>
      <c r="AS19" s="1656"/>
    </row>
    <row r="20" spans="1:45" s="358" customFormat="1" ht="15" customHeight="1">
      <c r="A20" s="4780"/>
      <c r="B20" s="390" t="str">
        <f t="shared" si="0"/>
        <v>Clarified Brown Rice Syrup</v>
      </c>
      <c r="C20" s="393"/>
      <c r="D20" s="390" t="s">
        <v>82</v>
      </c>
      <c r="E20" s="392">
        <f t="shared" si="1"/>
        <v>0</v>
      </c>
      <c r="F20" s="392">
        <f t="shared" si="2"/>
        <v>0</v>
      </c>
      <c r="G20" s="2613" t="s">
        <v>701</v>
      </c>
      <c r="H20" s="2614" t="s">
        <v>1096</v>
      </c>
      <c r="I20" s="2615" t="s">
        <v>703</v>
      </c>
      <c r="J20" s="2616" t="s">
        <v>704</v>
      </c>
      <c r="K20" s="2614" t="s">
        <v>705</v>
      </c>
      <c r="L20" s="2617" t="s">
        <v>703</v>
      </c>
      <c r="M20" s="2616" t="s">
        <v>704</v>
      </c>
      <c r="N20" s="2614" t="s">
        <v>705</v>
      </c>
      <c r="O20" s="2618" t="s">
        <v>703</v>
      </c>
      <c r="P20" s="2616" t="s">
        <v>704</v>
      </c>
      <c r="Q20" s="2614" t="s">
        <v>705</v>
      </c>
      <c r="R20" s="508"/>
      <c r="S20" s="507">
        <f t="shared" si="3"/>
        <v>262.5</v>
      </c>
      <c r="T20" s="506"/>
      <c r="U20" s="502">
        <f t="shared" si="4"/>
        <v>4</v>
      </c>
      <c r="V20" s="506"/>
      <c r="W20" s="503">
        <f t="shared" ref="W20:W27" si="7">0.001*C20*S20</f>
        <v>0</v>
      </c>
      <c r="X20" s="503">
        <f t="shared" si="5"/>
        <v>0</v>
      </c>
      <c r="Y20" s="502">
        <f t="shared" ref="Y20:Y27" si="8">0.01*C20*U20</f>
        <v>0</v>
      </c>
      <c r="Z20" s="536"/>
      <c r="AA20" s="4781" t="s">
        <v>709</v>
      </c>
      <c r="AB20" s="4781"/>
      <c r="AC20" s="4781"/>
      <c r="AD20" s="3288" t="s">
        <v>710</v>
      </c>
      <c r="AE20" s="3288"/>
      <c r="AF20" s="3288"/>
      <c r="AG20" s="4432" t="s">
        <v>711</v>
      </c>
      <c r="AH20" s="4432"/>
      <c r="AI20" s="4432"/>
      <c r="AJ20" s="368"/>
      <c r="AK20" s="3864" t="s">
        <v>953</v>
      </c>
      <c r="AL20" s="3864"/>
      <c r="AM20" s="3864"/>
      <c r="AN20" s="3864"/>
      <c r="AO20" s="3864"/>
      <c r="AP20" s="3864"/>
      <c r="AQ20" s="3864"/>
      <c r="AR20" s="3864"/>
      <c r="AS20" s="3864"/>
    </row>
    <row r="21" spans="1:45" s="358" customFormat="1" ht="15" customHeight="1">
      <c r="A21" s="4780"/>
      <c r="B21" s="390" t="str">
        <f t="shared" si="0"/>
        <v>Corn Syrup (10% max.)</v>
      </c>
      <c r="C21" s="393"/>
      <c r="D21" s="390" t="s">
        <v>82</v>
      </c>
      <c r="E21" s="392">
        <f t="shared" si="1"/>
        <v>0</v>
      </c>
      <c r="F21" s="394">
        <f t="shared" si="2"/>
        <v>0</v>
      </c>
      <c r="G21" s="4782"/>
      <c r="H21" s="395" t="s">
        <v>721</v>
      </c>
      <c r="I21" s="4783" t="s">
        <v>713</v>
      </c>
      <c r="J21" s="452" t="s">
        <v>713</v>
      </c>
      <c r="K21" s="453" t="s">
        <v>713</v>
      </c>
      <c r="L21" s="4784" t="s">
        <v>713</v>
      </c>
      <c r="M21" s="452" t="s">
        <v>713</v>
      </c>
      <c r="N21" s="453" t="s">
        <v>713</v>
      </c>
      <c r="O21" s="4785" t="s">
        <v>713</v>
      </c>
      <c r="P21" s="452" t="s">
        <v>713</v>
      </c>
      <c r="Q21" s="453" t="s">
        <v>713</v>
      </c>
      <c r="R21" s="508"/>
      <c r="S21" s="507">
        <f t="shared" si="3"/>
        <v>293.625</v>
      </c>
      <c r="T21" s="509"/>
      <c r="U21" s="502">
        <f t="shared" si="4"/>
        <v>2</v>
      </c>
      <c r="V21" s="506"/>
      <c r="W21" s="503">
        <f t="shared" si="7"/>
        <v>0</v>
      </c>
      <c r="X21" s="503">
        <f t="shared" si="5"/>
        <v>0</v>
      </c>
      <c r="Y21" s="502">
        <f t="shared" si="8"/>
        <v>0</v>
      </c>
      <c r="Z21" s="536"/>
      <c r="AA21" s="4438" t="s">
        <v>703</v>
      </c>
      <c r="AB21" s="537" t="s">
        <v>704</v>
      </c>
      <c r="AC21" s="537" t="s">
        <v>705</v>
      </c>
      <c r="AD21" s="4438" t="s">
        <v>703</v>
      </c>
      <c r="AE21" s="537" t="s">
        <v>704</v>
      </c>
      <c r="AF21" s="537" t="s">
        <v>705</v>
      </c>
      <c r="AG21" s="4438" t="s">
        <v>703</v>
      </c>
      <c r="AH21" s="537" t="s">
        <v>704</v>
      </c>
      <c r="AI21" s="537" t="s">
        <v>705</v>
      </c>
      <c r="AJ21" s="368"/>
      <c r="AK21" s="368"/>
      <c r="AL21" s="368"/>
      <c r="AM21" s="368"/>
      <c r="AN21" s="368"/>
      <c r="AO21" s="368"/>
      <c r="AP21" s="368"/>
      <c r="AQ21" s="368"/>
      <c r="AR21" s="368"/>
      <c r="AS21" s="368"/>
    </row>
    <row r="22" spans="1:45" s="358" customFormat="1" ht="15" customHeight="1">
      <c r="A22" s="4780"/>
      <c r="B22" s="390" t="str">
        <f t="shared" si="0"/>
        <v>-</v>
      </c>
      <c r="C22" s="393"/>
      <c r="D22" s="390" t="s">
        <v>82</v>
      </c>
      <c r="E22" s="392">
        <f t="shared" si="1"/>
        <v>0</v>
      </c>
      <c r="F22" s="392">
        <f t="shared" si="2"/>
        <v>0</v>
      </c>
      <c r="G22" s="2619" t="s">
        <v>1450</v>
      </c>
      <c r="H22" s="2620">
        <v>14.5</v>
      </c>
      <c r="I22" s="2621"/>
      <c r="J22" s="2622"/>
      <c r="K22" s="2623"/>
      <c r="L22" s="4786">
        <f>I22</f>
        <v>0</v>
      </c>
      <c r="M22" s="454">
        <f>J22</f>
        <v>0</v>
      </c>
      <c r="N22" s="455">
        <f>K22</f>
        <v>0</v>
      </c>
      <c r="O22" s="2624"/>
      <c r="P22" s="2625"/>
      <c r="Q22" s="2626"/>
      <c r="R22" s="508"/>
      <c r="S22" s="507">
        <f t="shared" si="3"/>
        <v>0</v>
      </c>
      <c r="T22" s="509"/>
      <c r="U22" s="502">
        <f t="shared" si="4"/>
        <v>0</v>
      </c>
      <c r="V22" s="506"/>
      <c r="W22" s="503">
        <f t="shared" si="7"/>
        <v>0</v>
      </c>
      <c r="X22" s="503">
        <f t="shared" si="5"/>
        <v>0</v>
      </c>
      <c r="Y22" s="502">
        <f t="shared" si="8"/>
        <v>0</v>
      </c>
      <c r="Z22" s="536"/>
      <c r="AA22" s="4439">
        <f t="shared" ref="AA22:AI22" si="9">$H22*I22</f>
        <v>0</v>
      </c>
      <c r="AB22" s="502">
        <f t="shared" si="9"/>
        <v>0</v>
      </c>
      <c r="AC22" s="502">
        <f t="shared" si="9"/>
        <v>0</v>
      </c>
      <c r="AD22" s="4439">
        <f t="shared" si="9"/>
        <v>0</v>
      </c>
      <c r="AE22" s="502">
        <f t="shared" si="9"/>
        <v>0</v>
      </c>
      <c r="AF22" s="502">
        <f t="shared" si="9"/>
        <v>0</v>
      </c>
      <c r="AG22" s="4439">
        <f t="shared" si="9"/>
        <v>0</v>
      </c>
      <c r="AH22" s="502">
        <f t="shared" si="9"/>
        <v>0</v>
      </c>
      <c r="AI22" s="502">
        <f t="shared" si="9"/>
        <v>0</v>
      </c>
      <c r="AJ22" s="368"/>
      <c r="AK22" s="3876" t="s">
        <v>680</v>
      </c>
      <c r="AL22" s="3876"/>
      <c r="AM22" s="3876"/>
      <c r="AN22" s="3876"/>
      <c r="AO22" s="368"/>
      <c r="AP22" s="368"/>
      <c r="AQ22" s="368"/>
      <c r="AR22" s="368"/>
      <c r="AS22" s="368"/>
    </row>
    <row r="23" spans="1:45" s="358" customFormat="1" ht="15" customHeight="1">
      <c r="A23" s="4780"/>
      <c r="B23" s="390" t="str">
        <f t="shared" si="0"/>
        <v>-</v>
      </c>
      <c r="C23" s="396"/>
      <c r="D23" s="390" t="s">
        <v>82</v>
      </c>
      <c r="E23" s="392">
        <f t="shared" si="1"/>
        <v>0</v>
      </c>
      <c r="F23" s="392">
        <f t="shared" si="2"/>
        <v>0</v>
      </c>
      <c r="G23" s="1970" t="s">
        <v>1451</v>
      </c>
      <c r="H23" s="397">
        <v>6.2</v>
      </c>
      <c r="I23" s="456"/>
      <c r="J23" s="457"/>
      <c r="K23" s="458"/>
      <c r="L23" s="459">
        <f t="shared" ref="L23:N38" si="10">I23</f>
        <v>0</v>
      </c>
      <c r="M23" s="460">
        <f>J23</f>
        <v>0</v>
      </c>
      <c r="N23" s="461">
        <f>K23</f>
        <v>0</v>
      </c>
      <c r="O23" s="462"/>
      <c r="P23" s="463"/>
      <c r="Q23" s="510"/>
      <c r="R23" s="508"/>
      <c r="S23" s="507">
        <f t="shared" si="3"/>
        <v>0</v>
      </c>
      <c r="T23" s="509"/>
      <c r="U23" s="502">
        <f t="shared" si="4"/>
        <v>0</v>
      </c>
      <c r="V23" s="506"/>
      <c r="W23" s="503">
        <f t="shared" si="7"/>
        <v>0</v>
      </c>
      <c r="X23" s="503">
        <f t="shared" si="5"/>
        <v>0</v>
      </c>
      <c r="Y23" s="502">
        <f t="shared" si="8"/>
        <v>0</v>
      </c>
      <c r="Z23" s="536"/>
      <c r="AA23" s="4439">
        <f t="shared" ref="AA23:AA41" si="11">$H23*I23</f>
        <v>0</v>
      </c>
      <c r="AB23" s="502">
        <f t="shared" ref="AB23:AB41" si="12">$H23*J23</f>
        <v>0</v>
      </c>
      <c r="AC23" s="502">
        <f t="shared" ref="AC23:AC41" si="13">$H23*K23</f>
        <v>0</v>
      </c>
      <c r="AD23" s="4439">
        <f t="shared" ref="AD23:AD41" si="14">$H23*L23</f>
        <v>0</v>
      </c>
      <c r="AE23" s="502">
        <f t="shared" ref="AE23:AE41" si="15">$H23*M23</f>
        <v>0</v>
      </c>
      <c r="AF23" s="502">
        <f t="shared" ref="AF23:AF41" si="16">$H23*N23</f>
        <v>0</v>
      </c>
      <c r="AG23" s="4439">
        <f t="shared" ref="AG23:AG41" si="17">$H23*O23</f>
        <v>0</v>
      </c>
      <c r="AH23" s="502">
        <f t="shared" ref="AH23:AH41" si="18">$H23*P23</f>
        <v>0</v>
      </c>
      <c r="AI23" s="502">
        <f t="shared" ref="AI23:AI41" si="19">$H23*Q23</f>
        <v>0</v>
      </c>
      <c r="AJ23" s="368"/>
      <c r="AK23" s="1729" t="s">
        <v>956</v>
      </c>
      <c r="AL23" s="2353" t="s">
        <v>957</v>
      </c>
      <c r="AM23" s="2355" t="s">
        <v>693</v>
      </c>
      <c r="AN23" s="368"/>
      <c r="AO23" s="368"/>
      <c r="AP23" s="368"/>
      <c r="AQ23" s="368"/>
      <c r="AR23" s="368"/>
      <c r="AS23" s="368"/>
    </row>
    <row r="24" spans="1:45" s="358" customFormat="1" ht="15" customHeight="1">
      <c r="A24" s="4780"/>
      <c r="B24" s="390" t="str">
        <f t="shared" si="0"/>
        <v>-</v>
      </c>
      <c r="C24" s="396"/>
      <c r="D24" s="390" t="s">
        <v>82</v>
      </c>
      <c r="E24" s="392">
        <f t="shared" si="1"/>
        <v>0</v>
      </c>
      <c r="F24" s="392">
        <f t="shared" si="2"/>
        <v>0</v>
      </c>
      <c r="G24" s="1970" t="s">
        <v>722</v>
      </c>
      <c r="H24" s="397">
        <v>8</v>
      </c>
      <c r="I24" s="456"/>
      <c r="J24" s="457"/>
      <c r="K24" s="458"/>
      <c r="L24" s="459">
        <f t="shared" si="10"/>
        <v>0</v>
      </c>
      <c r="M24" s="460">
        <f t="shared" si="10"/>
        <v>0</v>
      </c>
      <c r="N24" s="461">
        <f t="shared" si="10"/>
        <v>0</v>
      </c>
      <c r="O24" s="462"/>
      <c r="P24" s="463"/>
      <c r="Q24" s="510"/>
      <c r="R24" s="508"/>
      <c r="S24" s="507">
        <f t="shared" si="3"/>
        <v>0</v>
      </c>
      <c r="T24" s="509"/>
      <c r="U24" s="502">
        <f t="shared" si="4"/>
        <v>0</v>
      </c>
      <c r="V24" s="506"/>
      <c r="W24" s="503">
        <f t="shared" si="7"/>
        <v>0</v>
      </c>
      <c r="X24" s="503">
        <f t="shared" si="5"/>
        <v>0</v>
      </c>
      <c r="Y24" s="502">
        <f t="shared" si="8"/>
        <v>0</v>
      </c>
      <c r="Z24" s="536"/>
      <c r="AA24" s="4439">
        <f t="shared" si="11"/>
        <v>0</v>
      </c>
      <c r="AB24" s="502">
        <f t="shared" si="12"/>
        <v>0</v>
      </c>
      <c r="AC24" s="502">
        <f t="shared" si="13"/>
        <v>0</v>
      </c>
      <c r="AD24" s="4439">
        <f t="shared" si="14"/>
        <v>0</v>
      </c>
      <c r="AE24" s="502">
        <f t="shared" si="15"/>
        <v>0</v>
      </c>
      <c r="AF24" s="502">
        <f t="shared" si="16"/>
        <v>0</v>
      </c>
      <c r="AG24" s="4439">
        <f t="shared" si="17"/>
        <v>0</v>
      </c>
      <c r="AH24" s="502">
        <f t="shared" si="18"/>
        <v>0</v>
      </c>
      <c r="AI24" s="502">
        <f t="shared" si="19"/>
        <v>0</v>
      </c>
      <c r="AJ24" s="368"/>
      <c r="AK24" s="2198">
        <v>1</v>
      </c>
      <c r="AL24" s="2288">
        <f>AK24*6/5</f>
        <v>1.2</v>
      </c>
      <c r="AM24" s="2358">
        <f t="shared" ref="AM24:AM30" si="20">3.7854*AL24/8</f>
        <v>0.56781000000000004</v>
      </c>
      <c r="AN24" s="368"/>
      <c r="AO24" s="368"/>
      <c r="AP24" s="368"/>
      <c r="AQ24" s="368"/>
      <c r="AR24" s="368"/>
      <c r="AS24" s="368"/>
    </row>
    <row r="25" spans="1:45" s="358" customFormat="1" ht="15" customHeight="1">
      <c r="A25" s="4787"/>
      <c r="B25" s="390" t="str">
        <f t="shared" si="0"/>
        <v>-</v>
      </c>
      <c r="C25" s="396"/>
      <c r="D25" s="390" t="s">
        <v>82</v>
      </c>
      <c r="E25" s="392">
        <f t="shared" si="1"/>
        <v>0</v>
      </c>
      <c r="F25" s="392">
        <f t="shared" si="2"/>
        <v>0</v>
      </c>
      <c r="G25" s="1970" t="s">
        <v>754</v>
      </c>
      <c r="H25" s="397">
        <v>7.6</v>
      </c>
      <c r="I25" s="456"/>
      <c r="J25" s="457"/>
      <c r="K25" s="458"/>
      <c r="L25" s="459">
        <f t="shared" si="10"/>
        <v>0</v>
      </c>
      <c r="M25" s="460">
        <f t="shared" si="10"/>
        <v>0</v>
      </c>
      <c r="N25" s="461">
        <f t="shared" si="10"/>
        <v>0</v>
      </c>
      <c r="O25" s="462"/>
      <c r="P25" s="463"/>
      <c r="Q25" s="510"/>
      <c r="R25" s="508"/>
      <c r="S25" s="507">
        <f t="shared" si="3"/>
        <v>0</v>
      </c>
      <c r="T25" s="509"/>
      <c r="U25" s="502">
        <f t="shared" si="4"/>
        <v>0</v>
      </c>
      <c r="V25" s="506"/>
      <c r="W25" s="503">
        <f t="shared" si="7"/>
        <v>0</v>
      </c>
      <c r="X25" s="503">
        <f t="shared" si="5"/>
        <v>0</v>
      </c>
      <c r="Y25" s="502">
        <f t="shared" si="8"/>
        <v>0</v>
      </c>
      <c r="Z25" s="536"/>
      <c r="AA25" s="4439">
        <f t="shared" si="11"/>
        <v>0</v>
      </c>
      <c r="AB25" s="502">
        <f t="shared" si="12"/>
        <v>0</v>
      </c>
      <c r="AC25" s="502">
        <f t="shared" si="13"/>
        <v>0</v>
      </c>
      <c r="AD25" s="4439">
        <f t="shared" si="14"/>
        <v>0</v>
      </c>
      <c r="AE25" s="502">
        <f t="shared" si="15"/>
        <v>0</v>
      </c>
      <c r="AF25" s="502">
        <f t="shared" si="16"/>
        <v>0</v>
      </c>
      <c r="AG25" s="4439">
        <f t="shared" si="17"/>
        <v>0</v>
      </c>
      <c r="AH25" s="502">
        <f t="shared" si="18"/>
        <v>0</v>
      </c>
      <c r="AI25" s="502">
        <f t="shared" si="19"/>
        <v>0</v>
      </c>
      <c r="AJ25" s="368"/>
      <c r="AK25" s="2198">
        <v>2</v>
      </c>
      <c r="AL25" s="2288">
        <f t="shared" ref="AL25:AL30" si="21">AK25*6/5</f>
        <v>2.4</v>
      </c>
      <c r="AM25" s="2358">
        <f t="shared" si="20"/>
        <v>1.1356200000000001</v>
      </c>
      <c r="AN25" s="368"/>
      <c r="AO25" s="368"/>
      <c r="AP25" s="368"/>
      <c r="AQ25" s="368"/>
      <c r="AR25" s="368"/>
      <c r="AS25" s="368"/>
    </row>
    <row r="26" spans="1:45" s="358" customFormat="1" ht="15" customHeight="1">
      <c r="A26" s="4787"/>
      <c r="B26" s="390" t="str">
        <f t="shared" si="0"/>
        <v>-</v>
      </c>
      <c r="C26" s="396"/>
      <c r="D26" s="390" t="s">
        <v>82</v>
      </c>
      <c r="E26" s="392">
        <f t="shared" si="1"/>
        <v>0</v>
      </c>
      <c r="F26" s="392">
        <f t="shared" si="2"/>
        <v>0</v>
      </c>
      <c r="G26" s="1970" t="s">
        <v>724</v>
      </c>
      <c r="H26" s="397">
        <v>7.5</v>
      </c>
      <c r="I26" s="456"/>
      <c r="J26" s="457"/>
      <c r="K26" s="458"/>
      <c r="L26" s="459">
        <f t="shared" si="10"/>
        <v>0</v>
      </c>
      <c r="M26" s="460">
        <f t="shared" si="10"/>
        <v>0</v>
      </c>
      <c r="N26" s="461">
        <f t="shared" si="10"/>
        <v>0</v>
      </c>
      <c r="O26" s="462"/>
      <c r="P26" s="463"/>
      <c r="Q26" s="510"/>
      <c r="R26" s="508"/>
      <c r="S26" s="507">
        <f t="shared" si="3"/>
        <v>0</v>
      </c>
      <c r="T26" s="509"/>
      <c r="U26" s="502">
        <f t="shared" si="4"/>
        <v>0</v>
      </c>
      <c r="V26" s="506"/>
      <c r="W26" s="503">
        <f t="shared" si="7"/>
        <v>0</v>
      </c>
      <c r="X26" s="503">
        <f t="shared" si="5"/>
        <v>0</v>
      </c>
      <c r="Y26" s="502">
        <f t="shared" si="8"/>
        <v>0</v>
      </c>
      <c r="Z26" s="536"/>
      <c r="AA26" s="4439">
        <f t="shared" si="11"/>
        <v>0</v>
      </c>
      <c r="AB26" s="502">
        <f t="shared" si="12"/>
        <v>0</v>
      </c>
      <c r="AC26" s="502">
        <f t="shared" si="13"/>
        <v>0</v>
      </c>
      <c r="AD26" s="4439">
        <f t="shared" si="14"/>
        <v>0</v>
      </c>
      <c r="AE26" s="502">
        <f t="shared" si="15"/>
        <v>0</v>
      </c>
      <c r="AF26" s="502">
        <f t="shared" si="16"/>
        <v>0</v>
      </c>
      <c r="AG26" s="4439">
        <f t="shared" si="17"/>
        <v>0</v>
      </c>
      <c r="AH26" s="502">
        <f t="shared" si="18"/>
        <v>0</v>
      </c>
      <c r="AI26" s="502">
        <f t="shared" si="19"/>
        <v>0</v>
      </c>
      <c r="AJ26" s="368"/>
      <c r="AK26" s="2198">
        <v>3</v>
      </c>
      <c r="AL26" s="2288">
        <f t="shared" si="21"/>
        <v>3.6</v>
      </c>
      <c r="AM26" s="2358">
        <f t="shared" si="20"/>
        <v>1.70343</v>
      </c>
      <c r="AN26" s="368"/>
      <c r="AO26" s="368"/>
      <c r="AP26" s="368"/>
      <c r="AQ26" s="368"/>
      <c r="AR26" s="368"/>
      <c r="AS26" s="368"/>
    </row>
    <row r="27" spans="1:45" s="358" customFormat="1" ht="15" customHeight="1">
      <c r="A27" s="4787"/>
      <c r="B27" s="390" t="str">
        <f t="shared" si="0"/>
        <v>-</v>
      </c>
      <c r="C27" s="396"/>
      <c r="D27" s="390" t="s">
        <v>82</v>
      </c>
      <c r="E27" s="392">
        <f t="shared" si="1"/>
        <v>0</v>
      </c>
      <c r="F27" s="392">
        <f t="shared" si="2"/>
        <v>0</v>
      </c>
      <c r="G27" s="1970" t="s">
        <v>726</v>
      </c>
      <c r="H27" s="397">
        <v>5.5</v>
      </c>
      <c r="I27" s="456"/>
      <c r="J27" s="457"/>
      <c r="K27" s="458"/>
      <c r="L27" s="459">
        <f t="shared" si="10"/>
        <v>0</v>
      </c>
      <c r="M27" s="460">
        <f t="shared" si="10"/>
        <v>0</v>
      </c>
      <c r="N27" s="461">
        <f t="shared" si="10"/>
        <v>0</v>
      </c>
      <c r="O27" s="462"/>
      <c r="P27" s="463"/>
      <c r="Q27" s="510"/>
      <c r="R27" s="508"/>
      <c r="S27" s="507">
        <f t="shared" si="3"/>
        <v>0</v>
      </c>
      <c r="T27" s="509"/>
      <c r="U27" s="502">
        <f t="shared" si="4"/>
        <v>0</v>
      </c>
      <c r="V27" s="506"/>
      <c r="W27" s="503">
        <f t="shared" si="7"/>
        <v>0</v>
      </c>
      <c r="X27" s="503">
        <f t="shared" si="5"/>
        <v>0</v>
      </c>
      <c r="Y27" s="502">
        <f t="shared" si="8"/>
        <v>0</v>
      </c>
      <c r="Z27" s="536"/>
      <c r="AA27" s="4439">
        <f t="shared" si="11"/>
        <v>0</v>
      </c>
      <c r="AB27" s="502">
        <f t="shared" si="12"/>
        <v>0</v>
      </c>
      <c r="AC27" s="502">
        <f t="shared" si="13"/>
        <v>0</v>
      </c>
      <c r="AD27" s="4439">
        <f t="shared" si="14"/>
        <v>0</v>
      </c>
      <c r="AE27" s="502">
        <f t="shared" si="15"/>
        <v>0</v>
      </c>
      <c r="AF27" s="502">
        <f t="shared" si="16"/>
        <v>0</v>
      </c>
      <c r="AG27" s="4439">
        <f t="shared" si="17"/>
        <v>0</v>
      </c>
      <c r="AH27" s="502">
        <f t="shared" si="18"/>
        <v>0</v>
      </c>
      <c r="AI27" s="502">
        <f t="shared" si="19"/>
        <v>0</v>
      </c>
      <c r="AJ27" s="368"/>
      <c r="AK27" s="2198">
        <v>4</v>
      </c>
      <c r="AL27" s="2288">
        <f t="shared" si="21"/>
        <v>4.8</v>
      </c>
      <c r="AM27" s="2358">
        <f t="shared" si="20"/>
        <v>2.2712400000000001</v>
      </c>
      <c r="AN27" s="368"/>
      <c r="AO27" s="368"/>
      <c r="AP27" s="368"/>
      <c r="AQ27" s="368"/>
      <c r="AR27" s="368"/>
      <c r="AS27" s="368"/>
    </row>
    <row r="28" spans="1:45" s="358" customFormat="1" ht="15" customHeight="1">
      <c r="A28" s="4426"/>
      <c r="C28" s="398"/>
      <c r="E28" s="399"/>
      <c r="F28" s="400"/>
      <c r="G28" s="1970" t="s">
        <v>1175</v>
      </c>
      <c r="H28" s="397">
        <v>7.5</v>
      </c>
      <c r="I28" s="456"/>
      <c r="J28" s="457"/>
      <c r="K28" s="458"/>
      <c r="L28" s="459">
        <f t="shared" si="10"/>
        <v>0</v>
      </c>
      <c r="M28" s="460">
        <f t="shared" si="10"/>
        <v>0</v>
      </c>
      <c r="N28" s="461">
        <f t="shared" si="10"/>
        <v>0</v>
      </c>
      <c r="O28" s="462"/>
      <c r="P28" s="463"/>
      <c r="Q28" s="510"/>
      <c r="R28" s="508"/>
      <c r="S28" s="83"/>
      <c r="T28" s="83"/>
      <c r="U28" s="83"/>
      <c r="V28" s="83"/>
      <c r="W28" s="83"/>
      <c r="X28" s="83"/>
      <c r="Y28" s="83"/>
      <c r="Z28" s="83"/>
      <c r="AA28" s="4439">
        <f t="shared" si="11"/>
        <v>0</v>
      </c>
      <c r="AB28" s="502">
        <f t="shared" si="12"/>
        <v>0</v>
      </c>
      <c r="AC28" s="502">
        <f t="shared" si="13"/>
        <v>0</v>
      </c>
      <c r="AD28" s="4439">
        <f t="shared" si="14"/>
        <v>0</v>
      </c>
      <c r="AE28" s="502">
        <f t="shared" si="15"/>
        <v>0</v>
      </c>
      <c r="AF28" s="502">
        <f t="shared" si="16"/>
        <v>0</v>
      </c>
      <c r="AG28" s="4439">
        <f t="shared" si="17"/>
        <v>0</v>
      </c>
      <c r="AH28" s="502">
        <f t="shared" si="18"/>
        <v>0</v>
      </c>
      <c r="AI28" s="502">
        <f t="shared" si="19"/>
        <v>0</v>
      </c>
      <c r="AJ28" s="368"/>
      <c r="AK28" s="2198">
        <v>5</v>
      </c>
      <c r="AL28" s="2288">
        <f t="shared" si="21"/>
        <v>6</v>
      </c>
      <c r="AM28" s="2358">
        <f t="shared" si="20"/>
        <v>2.8390500000000003</v>
      </c>
      <c r="AN28" s="368"/>
      <c r="AO28" s="368"/>
      <c r="AP28" s="368"/>
      <c r="AQ28" s="368"/>
      <c r="AR28" s="368"/>
      <c r="AS28" s="368"/>
    </row>
    <row r="29" spans="1:45" s="358" customFormat="1" ht="15" customHeight="1">
      <c r="A29" s="4788" t="s">
        <v>1452</v>
      </c>
      <c r="B29" s="4789"/>
      <c r="C29" s="2609" t="s">
        <v>683</v>
      </c>
      <c r="D29" s="2610" t="s">
        <v>352</v>
      </c>
      <c r="E29" s="2611" t="s">
        <v>684</v>
      </c>
      <c r="F29" s="2612" t="s">
        <v>685</v>
      </c>
      <c r="G29" s="1970" t="s">
        <v>728</v>
      </c>
      <c r="H29" s="397">
        <v>4.5</v>
      </c>
      <c r="I29" s="456"/>
      <c r="J29" s="457"/>
      <c r="K29" s="458"/>
      <c r="L29" s="459">
        <f t="shared" si="10"/>
        <v>0</v>
      </c>
      <c r="M29" s="460">
        <f t="shared" si="10"/>
        <v>0</v>
      </c>
      <c r="N29" s="461">
        <f t="shared" si="10"/>
        <v>0</v>
      </c>
      <c r="O29" s="462"/>
      <c r="P29" s="463"/>
      <c r="Q29" s="510"/>
      <c r="R29" s="508"/>
      <c r="S29" s="83"/>
      <c r="T29" s="83"/>
      <c r="U29" s="83"/>
      <c r="V29" s="83"/>
      <c r="W29" s="83"/>
      <c r="X29" s="83"/>
      <c r="Y29" s="83"/>
      <c r="Z29" s="83"/>
      <c r="AA29" s="4439">
        <f t="shared" si="11"/>
        <v>0</v>
      </c>
      <c r="AB29" s="502">
        <f t="shared" si="12"/>
        <v>0</v>
      </c>
      <c r="AC29" s="502">
        <f t="shared" si="13"/>
        <v>0</v>
      </c>
      <c r="AD29" s="4439">
        <f t="shared" si="14"/>
        <v>0</v>
      </c>
      <c r="AE29" s="502">
        <f t="shared" si="15"/>
        <v>0</v>
      </c>
      <c r="AF29" s="502">
        <f t="shared" si="16"/>
        <v>0</v>
      </c>
      <c r="AG29" s="4439">
        <f t="shared" si="17"/>
        <v>0</v>
      </c>
      <c r="AH29" s="502">
        <f t="shared" si="18"/>
        <v>0</v>
      </c>
      <c r="AI29" s="502">
        <f t="shared" si="19"/>
        <v>0</v>
      </c>
      <c r="AJ29" s="368"/>
      <c r="AK29" s="2198">
        <v>6</v>
      </c>
      <c r="AL29" s="2288">
        <f t="shared" si="21"/>
        <v>7.2</v>
      </c>
      <c r="AM29" s="2358">
        <f t="shared" si="20"/>
        <v>3.40686</v>
      </c>
      <c r="AN29" s="368"/>
      <c r="AO29" s="368"/>
      <c r="AP29" s="368"/>
      <c r="AQ29" s="368"/>
      <c r="AR29" s="368"/>
      <c r="AS29" s="368"/>
    </row>
    <row r="30" spans="1:45" s="358" customFormat="1" ht="15" customHeight="1">
      <c r="A30" s="4790"/>
      <c r="B30" s="401" t="str">
        <f>B117</f>
        <v>Cane ̸ beet sugar (sucrose)</v>
      </c>
      <c r="C30" s="402">
        <v>750</v>
      </c>
      <c r="D30" s="401" t="s">
        <v>82</v>
      </c>
      <c r="E30" s="392">
        <f t="shared" ref="E30:E35" si="22">100*IF(C30=0,0,C30/$E$43)</f>
        <v>32.293483175095268</v>
      </c>
      <c r="F30" s="392">
        <f t="shared" ref="F30:F35" si="23">IF(W30=0,0,W30*100/$W$39)</f>
        <v>38.810835985407124</v>
      </c>
      <c r="G30" s="1970" t="s">
        <v>729</v>
      </c>
      <c r="H30" s="397">
        <v>5</v>
      </c>
      <c r="I30" s="456">
        <v>70</v>
      </c>
      <c r="J30" s="457"/>
      <c r="K30" s="458"/>
      <c r="L30" s="459">
        <f t="shared" si="10"/>
        <v>70</v>
      </c>
      <c r="M30" s="460">
        <f t="shared" si="10"/>
        <v>0</v>
      </c>
      <c r="N30" s="461">
        <f t="shared" si="10"/>
        <v>0</v>
      </c>
      <c r="O30" s="462">
        <v>40</v>
      </c>
      <c r="P30" s="463"/>
      <c r="Q30" s="510"/>
      <c r="R30" s="508"/>
      <c r="S30" s="507">
        <f t="shared" ref="S30:U35" si="24">C117</f>
        <v>375</v>
      </c>
      <c r="T30" s="502">
        <f t="shared" si="24"/>
        <v>1</v>
      </c>
      <c r="U30" s="502">
        <f t="shared" si="24"/>
        <v>0</v>
      </c>
      <c r="V30" s="511"/>
      <c r="W30" s="503">
        <f t="shared" ref="W30" si="25">0.001*C30*S30</f>
        <v>281.25</v>
      </c>
      <c r="X30" s="502">
        <f t="shared" ref="X30" si="26">W30*T30</f>
        <v>281.25</v>
      </c>
      <c r="Y30" s="502">
        <f t="shared" ref="Y30" si="27">0.01*C30*U30</f>
        <v>0</v>
      </c>
      <c r="Z30" s="83"/>
      <c r="AA30" s="4439">
        <f t="shared" si="11"/>
        <v>350</v>
      </c>
      <c r="AB30" s="502">
        <f t="shared" si="12"/>
        <v>0</v>
      </c>
      <c r="AC30" s="502">
        <f t="shared" si="13"/>
        <v>0</v>
      </c>
      <c r="AD30" s="4439">
        <f t="shared" si="14"/>
        <v>350</v>
      </c>
      <c r="AE30" s="502">
        <f t="shared" si="15"/>
        <v>0</v>
      </c>
      <c r="AF30" s="502">
        <f t="shared" si="16"/>
        <v>0</v>
      </c>
      <c r="AG30" s="4439">
        <f t="shared" si="17"/>
        <v>200</v>
      </c>
      <c r="AH30" s="502">
        <f t="shared" si="18"/>
        <v>0</v>
      </c>
      <c r="AI30" s="502">
        <f t="shared" si="19"/>
        <v>0</v>
      </c>
      <c r="AJ30" s="368"/>
      <c r="AK30" s="2198">
        <v>7</v>
      </c>
      <c r="AL30" s="2288">
        <f t="shared" si="21"/>
        <v>8.4</v>
      </c>
      <c r="AM30" s="2358">
        <f t="shared" si="20"/>
        <v>3.9746700000000001</v>
      </c>
      <c r="AN30" s="368"/>
      <c r="AO30" s="368"/>
      <c r="AP30" s="368"/>
      <c r="AQ30" s="368"/>
      <c r="AR30" s="368"/>
      <c r="AS30" s="368"/>
    </row>
    <row r="31" spans="1:45" s="358" customFormat="1" ht="15" customHeight="1">
      <c r="A31" s="4791"/>
      <c r="B31" s="401" t="str">
        <f t="shared" ref="B31:B35" si="28">B118</f>
        <v>Brown sugar (light)</v>
      </c>
      <c r="C31" s="396"/>
      <c r="D31" s="401" t="s">
        <v>82</v>
      </c>
      <c r="E31" s="392">
        <f t="shared" si="22"/>
        <v>0</v>
      </c>
      <c r="F31" s="392">
        <f t="shared" si="23"/>
        <v>0</v>
      </c>
      <c r="G31" s="1970" t="s">
        <v>1453</v>
      </c>
      <c r="H31" s="397">
        <v>3.25</v>
      </c>
      <c r="I31" s="456"/>
      <c r="J31" s="457"/>
      <c r="K31" s="458"/>
      <c r="L31" s="459">
        <f t="shared" si="10"/>
        <v>0</v>
      </c>
      <c r="M31" s="460">
        <f t="shared" si="10"/>
        <v>0</v>
      </c>
      <c r="N31" s="461">
        <f t="shared" si="10"/>
        <v>0</v>
      </c>
      <c r="O31" s="462"/>
      <c r="P31" s="463"/>
      <c r="Q31" s="510"/>
      <c r="R31" s="508"/>
      <c r="S31" s="507">
        <f t="shared" si="24"/>
        <v>370</v>
      </c>
      <c r="T31" s="502">
        <f t="shared" si="24"/>
        <v>1</v>
      </c>
      <c r="U31" s="502">
        <f t="shared" si="24"/>
        <v>16</v>
      </c>
      <c r="V31" s="511"/>
      <c r="W31" s="503">
        <f t="shared" ref="W31:W35" si="29">0.001*C31*S31</f>
        <v>0</v>
      </c>
      <c r="X31" s="502">
        <f t="shared" ref="X31:X35" si="30">W31*T31</f>
        <v>0</v>
      </c>
      <c r="Y31" s="502">
        <f t="shared" ref="Y31:Y35" si="31">0.01*C31*U31</f>
        <v>0</v>
      </c>
      <c r="Z31" s="536"/>
      <c r="AA31" s="4439">
        <f t="shared" si="11"/>
        <v>0</v>
      </c>
      <c r="AB31" s="502">
        <f t="shared" si="12"/>
        <v>0</v>
      </c>
      <c r="AC31" s="502">
        <f t="shared" si="13"/>
        <v>0</v>
      </c>
      <c r="AD31" s="4439">
        <f t="shared" si="14"/>
        <v>0</v>
      </c>
      <c r="AE31" s="502">
        <f t="shared" si="15"/>
        <v>0</v>
      </c>
      <c r="AF31" s="502">
        <f t="shared" si="16"/>
        <v>0</v>
      </c>
      <c r="AG31" s="4439">
        <f t="shared" si="17"/>
        <v>0</v>
      </c>
      <c r="AH31" s="502">
        <f t="shared" si="18"/>
        <v>0</v>
      </c>
      <c r="AI31" s="502">
        <f t="shared" si="19"/>
        <v>0</v>
      </c>
      <c r="AJ31" s="368"/>
      <c r="AK31" s="2198">
        <v>8</v>
      </c>
      <c r="AL31" s="2288">
        <f t="shared" ref="AL31:AL33" si="32">AK31*6/5</f>
        <v>9.6</v>
      </c>
      <c r="AM31" s="2358">
        <f t="shared" ref="AM31:AM33" si="33">3.7854*AL31/8</f>
        <v>4.5424800000000003</v>
      </c>
      <c r="AN31" s="368"/>
      <c r="AO31" s="368"/>
      <c r="AP31" s="368"/>
      <c r="AQ31" s="368"/>
      <c r="AR31" s="368"/>
      <c r="AS31" s="368"/>
    </row>
    <row r="32" spans="1:45" s="358" customFormat="1" ht="15" customHeight="1">
      <c r="A32" s="4791"/>
      <c r="B32" s="401" t="str">
        <f t="shared" si="28"/>
        <v>Brown sugar (medium)</v>
      </c>
      <c r="C32" s="396"/>
      <c r="D32" s="401" t="s">
        <v>82</v>
      </c>
      <c r="E32" s="392">
        <f t="shared" si="22"/>
        <v>0</v>
      </c>
      <c r="F32" s="392">
        <f t="shared" si="23"/>
        <v>0</v>
      </c>
      <c r="G32" s="1970" t="s">
        <v>1454</v>
      </c>
      <c r="H32" s="397">
        <v>6.7</v>
      </c>
      <c r="I32" s="456"/>
      <c r="J32" s="457"/>
      <c r="K32" s="458"/>
      <c r="L32" s="459">
        <f t="shared" si="10"/>
        <v>0</v>
      </c>
      <c r="M32" s="460">
        <f t="shared" si="10"/>
        <v>0</v>
      </c>
      <c r="N32" s="461">
        <f t="shared" si="10"/>
        <v>0</v>
      </c>
      <c r="O32" s="462"/>
      <c r="P32" s="463"/>
      <c r="Q32" s="510"/>
      <c r="R32" s="508"/>
      <c r="S32" s="507">
        <f t="shared" si="24"/>
        <v>370</v>
      </c>
      <c r="T32" s="502">
        <f t="shared" si="24"/>
        <v>1</v>
      </c>
      <c r="U32" s="502">
        <f t="shared" si="24"/>
        <v>45</v>
      </c>
      <c r="V32" s="511"/>
      <c r="W32" s="503">
        <f t="shared" si="29"/>
        <v>0</v>
      </c>
      <c r="X32" s="502">
        <f t="shared" si="30"/>
        <v>0</v>
      </c>
      <c r="Y32" s="502">
        <f t="shared" si="31"/>
        <v>0</v>
      </c>
      <c r="Z32" s="536"/>
      <c r="AA32" s="4439">
        <f t="shared" si="11"/>
        <v>0</v>
      </c>
      <c r="AB32" s="502">
        <f t="shared" si="12"/>
        <v>0</v>
      </c>
      <c r="AC32" s="502">
        <f t="shared" si="13"/>
        <v>0</v>
      </c>
      <c r="AD32" s="4439">
        <f t="shared" si="14"/>
        <v>0</v>
      </c>
      <c r="AE32" s="502">
        <f t="shared" si="15"/>
        <v>0</v>
      </c>
      <c r="AF32" s="502">
        <f t="shared" si="16"/>
        <v>0</v>
      </c>
      <c r="AG32" s="4439">
        <f t="shared" si="17"/>
        <v>0</v>
      </c>
      <c r="AH32" s="502">
        <f t="shared" si="18"/>
        <v>0</v>
      </c>
      <c r="AI32" s="502">
        <f t="shared" si="19"/>
        <v>0</v>
      </c>
      <c r="AJ32" s="368"/>
      <c r="AK32" s="2198">
        <v>9</v>
      </c>
      <c r="AL32" s="2288">
        <f t="shared" si="32"/>
        <v>10.8</v>
      </c>
      <c r="AM32" s="2358">
        <f t="shared" si="33"/>
        <v>5.1102900000000009</v>
      </c>
      <c r="AN32" s="368"/>
      <c r="AO32" s="3862" t="s">
        <v>153</v>
      </c>
      <c r="AP32" s="3862"/>
      <c r="AQ32" s="3862"/>
      <c r="AR32" s="3862"/>
      <c r="AS32" s="368"/>
    </row>
    <row r="33" spans="1:45" s="358" customFormat="1" ht="15" customHeight="1">
      <c r="A33" s="4791"/>
      <c r="B33" s="401" t="str">
        <f t="shared" si="28"/>
        <v>Brown sugar (dark)</v>
      </c>
      <c r="C33" s="396"/>
      <c r="D33" s="401" t="s">
        <v>82</v>
      </c>
      <c r="E33" s="392">
        <f t="shared" si="22"/>
        <v>0</v>
      </c>
      <c r="F33" s="392">
        <f t="shared" si="23"/>
        <v>0</v>
      </c>
      <c r="G33" s="1970" t="s">
        <v>1191</v>
      </c>
      <c r="H33" s="397">
        <v>13.5</v>
      </c>
      <c r="I33" s="456"/>
      <c r="J33" s="457"/>
      <c r="K33" s="458"/>
      <c r="L33" s="459">
        <f t="shared" si="10"/>
        <v>0</v>
      </c>
      <c r="M33" s="460">
        <f t="shared" si="10"/>
        <v>0</v>
      </c>
      <c r="N33" s="461">
        <f t="shared" si="10"/>
        <v>0</v>
      </c>
      <c r="O33" s="462"/>
      <c r="P33" s="463"/>
      <c r="Q33" s="510"/>
      <c r="R33" s="508"/>
      <c r="S33" s="507">
        <f t="shared" si="24"/>
        <v>370</v>
      </c>
      <c r="T33" s="502">
        <f t="shared" si="24"/>
        <v>1</v>
      </c>
      <c r="U33" s="502">
        <f t="shared" si="24"/>
        <v>90</v>
      </c>
      <c r="V33" s="502"/>
      <c r="W33" s="503">
        <f t="shared" si="29"/>
        <v>0</v>
      </c>
      <c r="X33" s="502">
        <f t="shared" si="30"/>
        <v>0</v>
      </c>
      <c r="Y33" s="502">
        <f t="shared" si="31"/>
        <v>0</v>
      </c>
      <c r="Z33" s="536"/>
      <c r="AA33" s="4439">
        <f t="shared" si="11"/>
        <v>0</v>
      </c>
      <c r="AB33" s="502">
        <f t="shared" si="12"/>
        <v>0</v>
      </c>
      <c r="AC33" s="502">
        <f t="shared" si="13"/>
        <v>0</v>
      </c>
      <c r="AD33" s="4439">
        <f t="shared" si="14"/>
        <v>0</v>
      </c>
      <c r="AE33" s="502">
        <f t="shared" si="15"/>
        <v>0</v>
      </c>
      <c r="AF33" s="502">
        <f t="shared" si="16"/>
        <v>0</v>
      </c>
      <c r="AG33" s="4439">
        <f t="shared" si="17"/>
        <v>0</v>
      </c>
      <c r="AH33" s="502">
        <f t="shared" si="18"/>
        <v>0</v>
      </c>
      <c r="AI33" s="502">
        <f t="shared" si="19"/>
        <v>0</v>
      </c>
      <c r="AJ33" s="368"/>
      <c r="AK33" s="2198">
        <v>10</v>
      </c>
      <c r="AL33" s="2288">
        <f t="shared" si="32"/>
        <v>12</v>
      </c>
      <c r="AM33" s="2358">
        <f t="shared" si="33"/>
        <v>5.6781000000000006</v>
      </c>
      <c r="AN33" s="368"/>
      <c r="AO33" s="3862"/>
      <c r="AP33" s="3862"/>
      <c r="AQ33" s="3862"/>
      <c r="AR33" s="3862"/>
      <c r="AS33" s="368"/>
    </row>
    <row r="34" spans="1:45" s="358" customFormat="1" ht="15" customHeight="1">
      <c r="A34" s="4791"/>
      <c r="B34" s="401" t="str">
        <f t="shared" si="28"/>
        <v>Honey (1 lb = 454g)</v>
      </c>
      <c r="C34" s="396"/>
      <c r="D34" s="401" t="s">
        <v>82</v>
      </c>
      <c r="E34" s="392">
        <f t="shared" si="22"/>
        <v>0</v>
      </c>
      <c r="F34" s="392">
        <f t="shared" si="23"/>
        <v>0</v>
      </c>
      <c r="G34" s="1970" t="s">
        <v>1455</v>
      </c>
      <c r="H34" s="397">
        <v>7.5</v>
      </c>
      <c r="I34" s="456"/>
      <c r="J34" s="457"/>
      <c r="K34" s="458"/>
      <c r="L34" s="459">
        <f t="shared" si="10"/>
        <v>0</v>
      </c>
      <c r="M34" s="460">
        <f t="shared" si="10"/>
        <v>0</v>
      </c>
      <c r="N34" s="461">
        <f t="shared" si="10"/>
        <v>0</v>
      </c>
      <c r="O34" s="462"/>
      <c r="P34" s="463"/>
      <c r="Q34" s="510"/>
      <c r="R34" s="508"/>
      <c r="S34" s="507">
        <f t="shared" si="24"/>
        <v>300</v>
      </c>
      <c r="T34" s="502">
        <f t="shared" si="24"/>
        <v>0.95</v>
      </c>
      <c r="U34" s="502">
        <f t="shared" si="24"/>
        <v>10</v>
      </c>
      <c r="V34" s="502"/>
      <c r="W34" s="503">
        <f t="shared" si="29"/>
        <v>0</v>
      </c>
      <c r="X34" s="502">
        <f t="shared" si="30"/>
        <v>0</v>
      </c>
      <c r="Y34" s="502">
        <f t="shared" si="31"/>
        <v>0</v>
      </c>
      <c r="Z34" s="536"/>
      <c r="AA34" s="4439">
        <f t="shared" si="11"/>
        <v>0</v>
      </c>
      <c r="AB34" s="502">
        <f t="shared" si="12"/>
        <v>0</v>
      </c>
      <c r="AC34" s="502">
        <f t="shared" si="13"/>
        <v>0</v>
      </c>
      <c r="AD34" s="4439">
        <f t="shared" si="14"/>
        <v>0</v>
      </c>
      <c r="AE34" s="502">
        <f t="shared" si="15"/>
        <v>0</v>
      </c>
      <c r="AF34" s="502">
        <f t="shared" si="16"/>
        <v>0</v>
      </c>
      <c r="AG34" s="4439">
        <f t="shared" si="17"/>
        <v>0</v>
      </c>
      <c r="AH34" s="502">
        <f t="shared" si="18"/>
        <v>0</v>
      </c>
      <c r="AI34" s="502">
        <f t="shared" si="19"/>
        <v>0</v>
      </c>
      <c r="AJ34" s="368"/>
      <c r="AK34" s="368"/>
      <c r="AL34" s="368"/>
      <c r="AM34" s="368"/>
      <c r="AN34" s="368"/>
      <c r="AO34" s="3862"/>
      <c r="AP34" s="3862"/>
      <c r="AQ34" s="3862"/>
      <c r="AR34" s="3862"/>
      <c r="AS34" s="368"/>
    </row>
    <row r="35" spans="1:45" s="358" customFormat="1" ht="15" customHeight="1">
      <c r="A35" s="4792"/>
      <c r="B35" s="1981" t="str">
        <f t="shared" si="28"/>
        <v>Lactose (non-fermentable sugar)</v>
      </c>
      <c r="C35" s="403"/>
      <c r="D35" s="401" t="s">
        <v>82</v>
      </c>
      <c r="E35" s="392">
        <f t="shared" si="22"/>
        <v>0</v>
      </c>
      <c r="F35" s="392">
        <f t="shared" si="23"/>
        <v>0</v>
      </c>
      <c r="G35" s="1970" t="s">
        <v>1198</v>
      </c>
      <c r="H35" s="397">
        <v>9.25</v>
      </c>
      <c r="I35" s="456"/>
      <c r="J35" s="457"/>
      <c r="K35" s="458"/>
      <c r="L35" s="459">
        <f t="shared" si="10"/>
        <v>0</v>
      </c>
      <c r="M35" s="460">
        <f t="shared" si="10"/>
        <v>0</v>
      </c>
      <c r="N35" s="461">
        <f t="shared" si="10"/>
        <v>0</v>
      </c>
      <c r="O35" s="462"/>
      <c r="P35" s="463"/>
      <c r="Q35" s="510"/>
      <c r="R35" s="508"/>
      <c r="S35" s="507">
        <f t="shared" si="24"/>
        <v>380</v>
      </c>
      <c r="T35" s="502">
        <f t="shared" si="24"/>
        <v>0</v>
      </c>
      <c r="U35" s="502">
        <f t="shared" si="24"/>
        <v>30</v>
      </c>
      <c r="W35" s="503">
        <f t="shared" si="29"/>
        <v>0</v>
      </c>
      <c r="X35" s="502">
        <f t="shared" si="30"/>
        <v>0</v>
      </c>
      <c r="Y35" s="502">
        <f t="shared" si="31"/>
        <v>0</v>
      </c>
      <c r="Z35" s="536"/>
      <c r="AA35" s="4439">
        <f t="shared" si="11"/>
        <v>0</v>
      </c>
      <c r="AB35" s="502">
        <f t="shared" si="12"/>
        <v>0</v>
      </c>
      <c r="AC35" s="502">
        <f t="shared" si="13"/>
        <v>0</v>
      </c>
      <c r="AD35" s="4439">
        <f t="shared" si="14"/>
        <v>0</v>
      </c>
      <c r="AE35" s="502">
        <f t="shared" si="15"/>
        <v>0</v>
      </c>
      <c r="AF35" s="502">
        <f t="shared" si="16"/>
        <v>0</v>
      </c>
      <c r="AG35" s="4439">
        <f t="shared" si="17"/>
        <v>0</v>
      </c>
      <c r="AH35" s="502">
        <f t="shared" si="18"/>
        <v>0</v>
      </c>
      <c r="AI35" s="502">
        <f t="shared" si="19"/>
        <v>0</v>
      </c>
      <c r="AJ35" s="368"/>
      <c r="AK35" s="368"/>
      <c r="AL35" s="368"/>
      <c r="AM35" s="368"/>
      <c r="AN35" s="368"/>
      <c r="AO35" s="3862"/>
      <c r="AP35" s="3862"/>
      <c r="AQ35" s="3862"/>
      <c r="AR35" s="3862"/>
      <c r="AS35" s="368"/>
    </row>
    <row r="36" spans="1:45" s="358" customFormat="1" ht="15" customHeight="1">
      <c r="A36" s="4792"/>
      <c r="B36" s="404" t="s">
        <v>1456</v>
      </c>
      <c r="C36" s="405">
        <f>C39*H4+(S30*C30*T30+S31*C31*T31+S32*C32*T32+S33*C33*T33+S34*C34*T34+S35*C35*T35)/375</f>
        <v>822.45</v>
      </c>
      <c r="D36" s="4793" t="str">
        <f>"g = "&amp;FIXED(100*(W38+SUM(W30:W35))/(W38+SUM(W19:W35)),0)&amp;"% of the fermentable sugars."</f>
        <v>g = 43% of the fermentable sugars.</v>
      </c>
      <c r="E36" s="4793"/>
      <c r="F36" s="4794"/>
      <c r="G36" s="1970" t="s">
        <v>733</v>
      </c>
      <c r="H36" s="397">
        <v>6.5</v>
      </c>
      <c r="I36" s="456"/>
      <c r="J36" s="457"/>
      <c r="K36" s="458"/>
      <c r="L36" s="459">
        <f t="shared" si="10"/>
        <v>0</v>
      </c>
      <c r="M36" s="460">
        <f t="shared" si="10"/>
        <v>0</v>
      </c>
      <c r="N36" s="461">
        <f t="shared" si="10"/>
        <v>0</v>
      </c>
      <c r="O36" s="462"/>
      <c r="P36" s="463"/>
      <c r="Q36" s="510"/>
      <c r="R36" s="508"/>
      <c r="S36" s="409"/>
      <c r="T36" s="409"/>
      <c r="U36" s="409"/>
      <c r="V36" s="409"/>
      <c r="W36" s="409"/>
      <c r="X36" s="409"/>
      <c r="Y36" s="409"/>
      <c r="Z36" s="409"/>
      <c r="AA36" s="4439">
        <f t="shared" si="11"/>
        <v>0</v>
      </c>
      <c r="AB36" s="502">
        <f t="shared" si="12"/>
        <v>0</v>
      </c>
      <c r="AC36" s="502">
        <f t="shared" si="13"/>
        <v>0</v>
      </c>
      <c r="AD36" s="4439">
        <f t="shared" si="14"/>
        <v>0</v>
      </c>
      <c r="AE36" s="502">
        <f t="shared" si="15"/>
        <v>0</v>
      </c>
      <c r="AF36" s="502">
        <f t="shared" si="16"/>
        <v>0</v>
      </c>
      <c r="AG36" s="4439">
        <f t="shared" si="17"/>
        <v>0</v>
      </c>
      <c r="AH36" s="502">
        <f t="shared" si="18"/>
        <v>0</v>
      </c>
      <c r="AI36" s="502">
        <f t="shared" si="19"/>
        <v>0</v>
      </c>
      <c r="AJ36" s="386"/>
      <c r="AK36" s="1729" t="s">
        <v>957</v>
      </c>
      <c r="AL36" s="2353" t="s">
        <v>956</v>
      </c>
      <c r="AM36" s="2302" t="s">
        <v>693</v>
      </c>
      <c r="AN36" s="368"/>
      <c r="AO36" s="3862"/>
      <c r="AP36" s="3862"/>
      <c r="AQ36" s="3862"/>
      <c r="AR36" s="3862"/>
      <c r="AS36" s="368"/>
    </row>
    <row r="37" spans="1:45" s="358" customFormat="1" ht="15" customHeight="1">
      <c r="A37" s="4792"/>
      <c r="B37" s="4795" t="s">
        <v>1457</v>
      </c>
      <c r="C37" s="4795"/>
      <c r="D37" s="4795"/>
      <c r="E37" s="4795"/>
      <c r="F37" s="4795"/>
      <c r="G37" s="1970" t="s">
        <v>736</v>
      </c>
      <c r="H37" s="397">
        <v>11</v>
      </c>
      <c r="I37" s="456"/>
      <c r="J37" s="457"/>
      <c r="K37" s="458"/>
      <c r="L37" s="459">
        <f t="shared" si="10"/>
        <v>0</v>
      </c>
      <c r="M37" s="460">
        <f t="shared" si="10"/>
        <v>0</v>
      </c>
      <c r="N37" s="461">
        <f t="shared" si="10"/>
        <v>0</v>
      </c>
      <c r="O37" s="462"/>
      <c r="P37" s="463"/>
      <c r="Q37" s="510"/>
      <c r="R37" s="508"/>
      <c r="S37" s="83"/>
      <c r="T37" s="83"/>
      <c r="U37" s="503"/>
      <c r="X37" s="83"/>
      <c r="Y37" s="503">
        <f>SUM(Y19:Y35)/H4</f>
        <v>4.2391304347826084</v>
      </c>
      <c r="Z37" s="502" t="s">
        <v>780</v>
      </c>
      <c r="AA37" s="4439">
        <f t="shared" si="11"/>
        <v>0</v>
      </c>
      <c r="AB37" s="502">
        <f t="shared" si="12"/>
        <v>0</v>
      </c>
      <c r="AC37" s="502">
        <f t="shared" si="13"/>
        <v>0</v>
      </c>
      <c r="AD37" s="4439">
        <f t="shared" si="14"/>
        <v>0</v>
      </c>
      <c r="AE37" s="502">
        <f t="shared" si="15"/>
        <v>0</v>
      </c>
      <c r="AF37" s="502">
        <f t="shared" si="16"/>
        <v>0</v>
      </c>
      <c r="AG37" s="4439">
        <f t="shared" si="17"/>
        <v>0</v>
      </c>
      <c r="AH37" s="502">
        <f t="shared" si="18"/>
        <v>0</v>
      </c>
      <c r="AI37" s="502">
        <f t="shared" si="19"/>
        <v>0</v>
      </c>
      <c r="AJ37" s="368"/>
      <c r="AK37" s="2198">
        <v>1</v>
      </c>
      <c r="AL37" s="2357">
        <f t="shared" ref="AL37:AL43" si="34">AK37*(5/6)</f>
        <v>0.83333333333333337</v>
      </c>
      <c r="AM37" s="2358">
        <f t="shared" ref="AM37:AM43" si="35">3.7854*AK37/8</f>
        <v>0.47317500000000001</v>
      </c>
      <c r="AN37" s="368"/>
      <c r="AO37" s="3862"/>
      <c r="AP37" s="3862"/>
      <c r="AQ37" s="3862"/>
      <c r="AR37" s="3862"/>
      <c r="AS37" s="368"/>
    </row>
    <row r="38" spans="1:45" s="358" customFormat="1" ht="15" customHeight="1">
      <c r="A38" s="4792"/>
      <c r="B38" s="406"/>
      <c r="C38" s="406"/>
      <c r="D38" s="406"/>
      <c r="E38" s="407" t="s">
        <v>684</v>
      </c>
      <c r="F38" s="407" t="s">
        <v>685</v>
      </c>
      <c r="G38" s="1970" t="s">
        <v>741</v>
      </c>
      <c r="H38" s="397">
        <v>6.2</v>
      </c>
      <c r="I38" s="456"/>
      <c r="J38" s="457"/>
      <c r="K38" s="458"/>
      <c r="L38" s="459">
        <f t="shared" si="10"/>
        <v>0</v>
      </c>
      <c r="M38" s="460">
        <f t="shared" si="10"/>
        <v>0</v>
      </c>
      <c r="N38" s="461">
        <f t="shared" si="10"/>
        <v>0</v>
      </c>
      <c r="O38" s="462"/>
      <c r="P38" s="463"/>
      <c r="Q38" s="510"/>
      <c r="R38" s="508"/>
      <c r="S38" s="83"/>
      <c r="T38" s="83"/>
      <c r="U38" s="503"/>
      <c r="V38" s="512" t="s">
        <v>560</v>
      </c>
      <c r="W38" s="513">
        <f>0.001*C39*375*H$4</f>
        <v>27.168749999999999</v>
      </c>
      <c r="X38" s="503"/>
      <c r="Y38" s="503"/>
      <c r="Z38" s="502"/>
      <c r="AA38" s="4439">
        <f t="shared" si="11"/>
        <v>0</v>
      </c>
      <c r="AB38" s="502">
        <f t="shared" si="12"/>
        <v>0</v>
      </c>
      <c r="AC38" s="502">
        <f t="shared" si="13"/>
        <v>0</v>
      </c>
      <c r="AD38" s="4439">
        <f t="shared" si="14"/>
        <v>0</v>
      </c>
      <c r="AE38" s="502">
        <f t="shared" si="15"/>
        <v>0</v>
      </c>
      <c r="AF38" s="502">
        <f t="shared" si="16"/>
        <v>0</v>
      </c>
      <c r="AG38" s="4439">
        <f t="shared" si="17"/>
        <v>0</v>
      </c>
      <c r="AH38" s="502">
        <f t="shared" si="18"/>
        <v>0</v>
      </c>
      <c r="AI38" s="502">
        <f t="shared" si="19"/>
        <v>0</v>
      </c>
      <c r="AJ38" s="368"/>
      <c r="AK38" s="2198">
        <v>2</v>
      </c>
      <c r="AL38" s="2357">
        <f t="shared" si="34"/>
        <v>1.6666666666666667</v>
      </c>
      <c r="AM38" s="2358">
        <f t="shared" si="35"/>
        <v>0.94635000000000002</v>
      </c>
      <c r="AN38" s="368"/>
      <c r="AO38" s="368"/>
      <c r="AP38" s="368"/>
      <c r="AQ38" s="368"/>
      <c r="AR38" s="368"/>
      <c r="AS38" s="368"/>
    </row>
    <row r="39" spans="1:45" s="358" customFormat="1" ht="15" customHeight="1">
      <c r="A39" s="4792"/>
      <c r="B39" s="1981" t="str">
        <f>"Priming sugar (1 level tsp = "&amp;N$93&amp;"g)"</f>
        <v>Priming sugar (1 level tsp = 3.15g)</v>
      </c>
      <c r="C39" s="408">
        <v>3.15</v>
      </c>
      <c r="D39" s="1982" t="s">
        <v>779</v>
      </c>
      <c r="E39" s="392">
        <f>100*IF(C39=0,0,C39*H4/$E$43)</f>
        <v>3.1195504747142033</v>
      </c>
      <c r="F39" s="392">
        <f>IF(W38=0,0,W38*100/$W$39)</f>
        <v>3.7491267561903281</v>
      </c>
      <c r="G39" s="1970" t="s">
        <v>742</v>
      </c>
      <c r="H39" s="397">
        <v>2.2000000000000002</v>
      </c>
      <c r="I39" s="456"/>
      <c r="J39" s="457"/>
      <c r="K39" s="458"/>
      <c r="L39" s="459">
        <f t="shared" ref="L39:N48" si="36">I39</f>
        <v>0</v>
      </c>
      <c r="M39" s="460">
        <f t="shared" si="36"/>
        <v>0</v>
      </c>
      <c r="N39" s="461">
        <f t="shared" si="36"/>
        <v>0</v>
      </c>
      <c r="O39" s="462"/>
      <c r="P39" s="463"/>
      <c r="Q39" s="510"/>
      <c r="R39" s="508"/>
      <c r="S39" s="514" t="s">
        <v>534</v>
      </c>
      <c r="T39" s="515">
        <f>89.6/342</f>
        <v>0.26198830409356721</v>
      </c>
      <c r="U39" s="503"/>
      <c r="V39" s="516" t="s">
        <v>785</v>
      </c>
      <c r="W39" s="517">
        <f>W38+SUM(W19:W35)</f>
        <v>724.66875000000005</v>
      </c>
      <c r="X39" s="503"/>
      <c r="Y39" s="503"/>
      <c r="Z39" s="511"/>
      <c r="AA39" s="4439">
        <f t="shared" si="11"/>
        <v>0</v>
      </c>
      <c r="AB39" s="502">
        <f t="shared" si="12"/>
        <v>0</v>
      </c>
      <c r="AC39" s="502">
        <f t="shared" si="13"/>
        <v>0</v>
      </c>
      <c r="AD39" s="4439">
        <f t="shared" si="14"/>
        <v>0</v>
      </c>
      <c r="AE39" s="502">
        <f t="shared" si="15"/>
        <v>0</v>
      </c>
      <c r="AF39" s="502">
        <f t="shared" si="16"/>
        <v>0</v>
      </c>
      <c r="AG39" s="4439">
        <f t="shared" si="17"/>
        <v>0</v>
      </c>
      <c r="AH39" s="502">
        <f t="shared" si="18"/>
        <v>0</v>
      </c>
      <c r="AI39" s="502">
        <f t="shared" si="19"/>
        <v>0</v>
      </c>
      <c r="AJ39" s="368"/>
      <c r="AK39" s="2198">
        <v>3</v>
      </c>
      <c r="AL39" s="2357">
        <f t="shared" si="34"/>
        <v>2.5</v>
      </c>
      <c r="AM39" s="2358">
        <f t="shared" si="35"/>
        <v>1.4195250000000001</v>
      </c>
      <c r="AN39" s="368"/>
      <c r="AO39" s="368"/>
      <c r="AP39" s="368"/>
      <c r="AQ39" s="368"/>
      <c r="AR39" s="368"/>
      <c r="AS39" s="368"/>
    </row>
    <row r="40" spans="1:45" s="358" customFormat="1" ht="15.75" customHeight="1">
      <c r="A40" s="4792"/>
      <c r="B40" s="409" t="s">
        <v>1458</v>
      </c>
      <c r="C40" s="410">
        <f>C39/N93</f>
        <v>1</v>
      </c>
      <c r="D40" s="4796" t="s">
        <v>782</v>
      </c>
      <c r="E40" s="4796"/>
      <c r="F40" s="4796"/>
      <c r="G40" s="1970" t="s">
        <v>1459</v>
      </c>
      <c r="H40" s="397">
        <v>4.7</v>
      </c>
      <c r="I40" s="456"/>
      <c r="J40" s="457"/>
      <c r="K40" s="458"/>
      <c r="L40" s="459">
        <f t="shared" si="36"/>
        <v>0</v>
      </c>
      <c r="M40" s="460">
        <f t="shared" si="36"/>
        <v>0</v>
      </c>
      <c r="N40" s="461">
        <f t="shared" si="36"/>
        <v>0</v>
      </c>
      <c r="O40" s="462"/>
      <c r="P40" s="463"/>
      <c r="Q40" s="510"/>
      <c r="R40" s="508"/>
      <c r="S40" s="518" t="s">
        <v>538</v>
      </c>
      <c r="T40" s="519" t="s">
        <v>539</v>
      </c>
      <c r="U40" s="520"/>
      <c r="V40" s="521" t="s">
        <v>535</v>
      </c>
      <c r="W40" s="513">
        <f>SUM(X19:X27)/H4</f>
        <v>13.392391304347825</v>
      </c>
      <c r="X40" s="502" t="s">
        <v>797</v>
      </c>
      <c r="Y40" s="502" t="s">
        <v>798</v>
      </c>
      <c r="Z40" s="511"/>
      <c r="AA40" s="4439">
        <f t="shared" si="11"/>
        <v>0</v>
      </c>
      <c r="AB40" s="502">
        <f t="shared" si="12"/>
        <v>0</v>
      </c>
      <c r="AC40" s="502">
        <f t="shared" si="13"/>
        <v>0</v>
      </c>
      <c r="AD40" s="4439">
        <f t="shared" si="14"/>
        <v>0</v>
      </c>
      <c r="AE40" s="502">
        <f t="shared" si="15"/>
        <v>0</v>
      </c>
      <c r="AF40" s="502">
        <f t="shared" si="16"/>
        <v>0</v>
      </c>
      <c r="AG40" s="4439">
        <f t="shared" si="17"/>
        <v>0</v>
      </c>
      <c r="AH40" s="502">
        <f t="shared" si="18"/>
        <v>0</v>
      </c>
      <c r="AI40" s="502">
        <f t="shared" si="19"/>
        <v>0</v>
      </c>
      <c r="AJ40" s="368"/>
      <c r="AK40" s="2198">
        <v>4</v>
      </c>
      <c r="AL40" s="2357">
        <f t="shared" si="34"/>
        <v>3.3333333333333335</v>
      </c>
      <c r="AM40" s="2358">
        <f t="shared" si="35"/>
        <v>1.8927</v>
      </c>
      <c r="AN40" s="368"/>
      <c r="AO40" s="368"/>
      <c r="AP40" s="368"/>
      <c r="AQ40" s="368"/>
      <c r="AR40" s="368"/>
      <c r="AS40" s="368"/>
    </row>
    <row r="41" spans="1:45" s="358" customFormat="1" ht="15.75" customHeight="1">
      <c r="A41" s="4792"/>
      <c r="B41" s="409" t="s">
        <v>786</v>
      </c>
      <c r="C41" s="411">
        <v>500</v>
      </c>
      <c r="D41" s="4796" t="s">
        <v>787</v>
      </c>
      <c r="E41" s="4796"/>
      <c r="F41" s="4797"/>
      <c r="G41" s="1970" t="s">
        <v>745</v>
      </c>
      <c r="H41" s="397">
        <v>4.5</v>
      </c>
      <c r="I41" s="456"/>
      <c r="J41" s="457"/>
      <c r="K41" s="458"/>
      <c r="L41" s="459">
        <f t="shared" si="36"/>
        <v>0</v>
      </c>
      <c r="M41" s="464">
        <f t="shared" si="36"/>
        <v>0</v>
      </c>
      <c r="N41" s="461">
        <f t="shared" si="36"/>
        <v>0</v>
      </c>
      <c r="O41" s="462"/>
      <c r="P41" s="463"/>
      <c r="Q41" s="510"/>
      <c r="R41" s="508"/>
      <c r="S41" s="2320" t="s">
        <v>544</v>
      </c>
      <c r="T41" s="2321" t="s">
        <v>545</v>
      </c>
      <c r="U41" s="485"/>
      <c r="V41" s="521" t="s">
        <v>540</v>
      </c>
      <c r="W41" s="410">
        <f>(1.079*(X30+X31+X32+X33+X34+C39*(0.375*H4))/H4)</f>
        <v>14.468862228260869</v>
      </c>
      <c r="X41" s="83" t="s">
        <v>802</v>
      </c>
      <c r="Y41" s="524"/>
      <c r="Z41" s="511"/>
      <c r="AA41" s="4439">
        <f t="shared" si="11"/>
        <v>0</v>
      </c>
      <c r="AB41" s="502">
        <f t="shared" si="12"/>
        <v>0</v>
      </c>
      <c r="AC41" s="502">
        <f t="shared" si="13"/>
        <v>0</v>
      </c>
      <c r="AD41" s="4439">
        <f t="shared" si="14"/>
        <v>0</v>
      </c>
      <c r="AE41" s="502">
        <f t="shared" si="15"/>
        <v>0</v>
      </c>
      <c r="AF41" s="502">
        <f t="shared" si="16"/>
        <v>0</v>
      </c>
      <c r="AG41" s="4439">
        <f t="shared" si="17"/>
        <v>0</v>
      </c>
      <c r="AH41" s="502">
        <f t="shared" si="18"/>
        <v>0</v>
      </c>
      <c r="AI41" s="502">
        <f t="shared" si="19"/>
        <v>0</v>
      </c>
      <c r="AJ41" s="368"/>
      <c r="AK41" s="2198">
        <v>5</v>
      </c>
      <c r="AL41" s="2357">
        <f t="shared" si="34"/>
        <v>4.166666666666667</v>
      </c>
      <c r="AM41" s="2358">
        <f t="shared" si="35"/>
        <v>2.365875</v>
      </c>
      <c r="AN41" s="368"/>
      <c r="AO41" s="368"/>
      <c r="AP41" s="368"/>
      <c r="AQ41" s="368"/>
      <c r="AR41" s="368"/>
      <c r="AS41" s="368"/>
    </row>
    <row r="42" spans="1:45" s="358" customFormat="1" ht="15.75" customHeight="1">
      <c r="A42" s="4792"/>
      <c r="B42" s="412" t="s">
        <v>793</v>
      </c>
      <c r="C42" s="4798" t="str">
        <f>FIXED(C39*C41/1000)&amp;"g or "&amp;FIXED(C39*C41/(1000*N93))&amp;" level 5ml tsp."</f>
        <v>1.58g or 0.50 level 5ml tsp.</v>
      </c>
      <c r="D42" s="4798"/>
      <c r="E42" s="4798"/>
      <c r="F42" s="4799"/>
      <c r="G42" s="1970" t="s">
        <v>746</v>
      </c>
      <c r="H42" s="397">
        <v>11.5</v>
      </c>
      <c r="I42" s="456"/>
      <c r="J42" s="457"/>
      <c r="K42" s="458"/>
      <c r="L42" s="459">
        <f t="shared" si="36"/>
        <v>0</v>
      </c>
      <c r="M42" s="460">
        <f t="shared" si="36"/>
        <v>0</v>
      </c>
      <c r="N42" s="461">
        <f t="shared" si="36"/>
        <v>0</v>
      </c>
      <c r="O42" s="462"/>
      <c r="P42" s="463"/>
      <c r="Q42" s="510"/>
      <c r="R42" s="508"/>
      <c r="S42" s="4345">
        <v>0</v>
      </c>
      <c r="T42" s="4346">
        <v>1.7130000000000001</v>
      </c>
      <c r="U42" s="485"/>
      <c r="V42" s="521" t="s">
        <v>1460</v>
      </c>
      <c r="W42" s="522">
        <f>(1.079*(X30+X31+X32+X33+X34)/H4)</f>
        <v>13.194293478260869</v>
      </c>
      <c r="X42" s="83" t="s">
        <v>809</v>
      </c>
      <c r="Y42" s="83"/>
      <c r="Z42" s="511"/>
      <c r="AA42" s="4439">
        <f t="shared" ref="AA42:AA48" si="37">$H42*I42</f>
        <v>0</v>
      </c>
      <c r="AB42" s="502">
        <f t="shared" ref="AB42:AB48" si="38">$H42*J42</f>
        <v>0</v>
      </c>
      <c r="AC42" s="502">
        <f t="shared" ref="AC42:AC48" si="39">$H42*K42</f>
        <v>0</v>
      </c>
      <c r="AD42" s="4439">
        <f t="shared" ref="AD42:AD48" si="40">$H42*L42</f>
        <v>0</v>
      </c>
      <c r="AE42" s="502">
        <f t="shared" ref="AE42:AE48" si="41">$H42*M42</f>
        <v>0</v>
      </c>
      <c r="AF42" s="502">
        <f t="shared" ref="AF42:AF48" si="42">$H42*N42</f>
        <v>0</v>
      </c>
      <c r="AG42" s="4439">
        <f t="shared" ref="AG42:AG48" si="43">$H42*O42</f>
        <v>0</v>
      </c>
      <c r="AH42" s="502">
        <f t="shared" ref="AH42:AH48" si="44">$H42*P42</f>
        <v>0</v>
      </c>
      <c r="AI42" s="502">
        <f t="shared" ref="AI42:AI48" si="45">$H42*Q42</f>
        <v>0</v>
      </c>
      <c r="AJ42" s="368"/>
      <c r="AK42" s="2198">
        <v>6</v>
      </c>
      <c r="AL42" s="2357">
        <f t="shared" si="34"/>
        <v>5</v>
      </c>
      <c r="AM42" s="2358">
        <f t="shared" si="35"/>
        <v>2.8390500000000003</v>
      </c>
      <c r="AN42" s="368"/>
      <c r="AO42" s="368"/>
      <c r="AP42" s="368"/>
      <c r="AQ42" s="368"/>
      <c r="AR42" s="368"/>
      <c r="AS42" s="368"/>
    </row>
    <row r="43" spans="1:45" s="358" customFormat="1" ht="15.75" customHeight="1">
      <c r="A43" s="4792"/>
      <c r="B43" s="413" t="s">
        <v>1461</v>
      </c>
      <c r="C43" s="414">
        <f>C39*$T$39+VLOOKUP($H$5,$S$42:$T$85,2)</f>
        <v>1.7022631578947367</v>
      </c>
      <c r="D43" s="415" t="s">
        <v>783</v>
      </c>
      <c r="E43" s="416">
        <f>(SUM(C19:C35)+C39*H4)</f>
        <v>2322.4499999999998</v>
      </c>
      <c r="F43" s="417">
        <f>W39</f>
        <v>724.66875000000005</v>
      </c>
      <c r="G43" s="1970" t="s">
        <v>1462</v>
      </c>
      <c r="H43" s="397">
        <v>5</v>
      </c>
      <c r="I43" s="456"/>
      <c r="J43" s="457"/>
      <c r="K43" s="458"/>
      <c r="L43" s="459">
        <f t="shared" si="36"/>
        <v>0</v>
      </c>
      <c r="M43" s="460">
        <f t="shared" si="36"/>
        <v>0</v>
      </c>
      <c r="N43" s="461">
        <f t="shared" si="36"/>
        <v>0</v>
      </c>
      <c r="O43" s="462"/>
      <c r="P43" s="463"/>
      <c r="Q43" s="510"/>
      <c r="R43" s="508"/>
      <c r="S43" s="4345">
        <v>1</v>
      </c>
      <c r="T43" s="4346">
        <v>1.6459999999999999</v>
      </c>
      <c r="U43" s="485"/>
      <c r="V43" s="485"/>
      <c r="W43" s="522" t="s">
        <v>570</v>
      </c>
      <c r="X43" s="83"/>
      <c r="Y43" s="83"/>
      <c r="Z43" s="511"/>
      <c r="AA43" s="4439">
        <f t="shared" si="37"/>
        <v>0</v>
      </c>
      <c r="AB43" s="502">
        <f t="shared" si="38"/>
        <v>0</v>
      </c>
      <c r="AC43" s="502">
        <f t="shared" si="39"/>
        <v>0</v>
      </c>
      <c r="AD43" s="4439">
        <f t="shared" si="40"/>
        <v>0</v>
      </c>
      <c r="AE43" s="502">
        <f t="shared" si="41"/>
        <v>0</v>
      </c>
      <c r="AF43" s="502">
        <f t="shared" si="42"/>
        <v>0</v>
      </c>
      <c r="AG43" s="4439">
        <f t="shared" si="43"/>
        <v>0</v>
      </c>
      <c r="AH43" s="502">
        <f t="shared" si="44"/>
        <v>0</v>
      </c>
      <c r="AI43" s="502">
        <f t="shared" si="45"/>
        <v>0</v>
      </c>
      <c r="AJ43" s="368"/>
      <c r="AK43" s="2198">
        <v>7</v>
      </c>
      <c r="AL43" s="2357">
        <f t="shared" si="34"/>
        <v>5.8333333333333339</v>
      </c>
      <c r="AM43" s="2358">
        <f t="shared" si="35"/>
        <v>3.3122250000000002</v>
      </c>
      <c r="AN43" s="368"/>
      <c r="AO43" s="368"/>
      <c r="AP43" s="368"/>
      <c r="AQ43" s="368"/>
      <c r="AR43" s="368"/>
      <c r="AS43" s="368"/>
    </row>
    <row r="44" spans="1:45" s="358" customFormat="1" ht="15.75" customHeight="1">
      <c r="A44" s="4792"/>
      <c r="B44" s="3346" t="s">
        <v>1463</v>
      </c>
      <c r="C44" s="3346"/>
      <c r="D44" s="3928"/>
      <c r="E44" s="3929" t="s">
        <v>794</v>
      </c>
      <c r="F44" s="3930"/>
      <c r="G44" s="1970" t="s">
        <v>748</v>
      </c>
      <c r="H44" s="397">
        <v>6.3</v>
      </c>
      <c r="I44" s="456"/>
      <c r="J44" s="457"/>
      <c r="K44" s="458"/>
      <c r="L44" s="459">
        <f t="shared" si="36"/>
        <v>0</v>
      </c>
      <c r="M44" s="460">
        <f t="shared" si="36"/>
        <v>0</v>
      </c>
      <c r="N44" s="461">
        <f t="shared" si="36"/>
        <v>0</v>
      </c>
      <c r="O44" s="462"/>
      <c r="P44" s="463"/>
      <c r="Q44" s="510"/>
      <c r="R44" s="508"/>
      <c r="S44" s="4345">
        <v>2</v>
      </c>
      <c r="T44" s="4352">
        <v>1.5840000000000001</v>
      </c>
      <c r="U44" s="485"/>
      <c r="V44" s="412" t="s">
        <v>1078</v>
      </c>
      <c r="W44" s="513">
        <f>(W38+(SUM(W19:W35)))/H4</f>
        <v>31.50733695652174</v>
      </c>
      <c r="X44" s="523" t="s">
        <v>797</v>
      </c>
      <c r="Y44" s="502" t="s">
        <v>528</v>
      </c>
      <c r="Z44" s="83"/>
      <c r="AA44" s="4439">
        <f t="shared" si="37"/>
        <v>0</v>
      </c>
      <c r="AB44" s="502">
        <f t="shared" si="38"/>
        <v>0</v>
      </c>
      <c r="AC44" s="502">
        <f t="shared" si="39"/>
        <v>0</v>
      </c>
      <c r="AD44" s="4439">
        <f t="shared" si="40"/>
        <v>0</v>
      </c>
      <c r="AE44" s="502">
        <f t="shared" si="41"/>
        <v>0</v>
      </c>
      <c r="AF44" s="502">
        <f t="shared" si="42"/>
        <v>0</v>
      </c>
      <c r="AG44" s="4439">
        <f t="shared" si="43"/>
        <v>0</v>
      </c>
      <c r="AH44" s="502">
        <f t="shared" si="44"/>
        <v>0</v>
      </c>
      <c r="AI44" s="502">
        <f t="shared" si="45"/>
        <v>0</v>
      </c>
      <c r="AJ44" s="368"/>
      <c r="AK44" s="2198">
        <v>8</v>
      </c>
      <c r="AL44" s="2357">
        <f t="shared" ref="AL44:AL45" si="46">AK44*(5/6)</f>
        <v>6.666666666666667</v>
      </c>
      <c r="AM44" s="2358">
        <f t="shared" ref="AM44:AM45" si="47">3.7854*AK44/8</f>
        <v>3.7854000000000001</v>
      </c>
      <c r="AN44" s="368"/>
      <c r="AO44" s="368"/>
      <c r="AP44" s="368"/>
      <c r="AQ44" s="368"/>
      <c r="AR44" s="368"/>
      <c r="AS44" s="368"/>
    </row>
    <row r="45" spans="1:45" s="358" customFormat="1" ht="15.75" customHeight="1">
      <c r="A45" s="4792"/>
      <c r="B45" s="418" t="s">
        <v>803</v>
      </c>
      <c r="C45" s="419" t="s">
        <v>1068</v>
      </c>
      <c r="D45" s="1969" t="s">
        <v>805</v>
      </c>
      <c r="E45" s="420">
        <f>SUM(E19:E39)/100</f>
        <v>1</v>
      </c>
      <c r="F45" s="421">
        <f>SUM(F19:F39)/100</f>
        <v>0.99999999999999989</v>
      </c>
      <c r="G45" s="1970" t="s">
        <v>1464</v>
      </c>
      <c r="H45" s="397"/>
      <c r="I45" s="456"/>
      <c r="J45" s="457"/>
      <c r="K45" s="458"/>
      <c r="L45" s="459">
        <f t="shared" si="36"/>
        <v>0</v>
      </c>
      <c r="M45" s="460">
        <f t="shared" si="36"/>
        <v>0</v>
      </c>
      <c r="N45" s="461">
        <f t="shared" si="36"/>
        <v>0</v>
      </c>
      <c r="O45" s="462"/>
      <c r="P45" s="463"/>
      <c r="Q45" s="510"/>
      <c r="R45" s="508"/>
      <c r="S45" s="4345">
        <v>3</v>
      </c>
      <c r="T45" s="4352">
        <v>1.53</v>
      </c>
      <c r="U45" s="520"/>
      <c r="V45" s="412" t="s">
        <v>1080</v>
      </c>
      <c r="W45" s="513">
        <f>(SUM(W19:W35))/H4</f>
        <v>30.326086956521738</v>
      </c>
      <c r="X45" s="523" t="s">
        <v>797</v>
      </c>
      <c r="Y45" s="502" t="s">
        <v>798</v>
      </c>
      <c r="Z45" s="70"/>
      <c r="AA45" s="4439">
        <f t="shared" si="37"/>
        <v>0</v>
      </c>
      <c r="AB45" s="502">
        <f t="shared" si="38"/>
        <v>0</v>
      </c>
      <c r="AC45" s="502">
        <f t="shared" si="39"/>
        <v>0</v>
      </c>
      <c r="AD45" s="4439">
        <f t="shared" si="40"/>
        <v>0</v>
      </c>
      <c r="AE45" s="502">
        <f t="shared" si="41"/>
        <v>0</v>
      </c>
      <c r="AF45" s="502">
        <f t="shared" si="42"/>
        <v>0</v>
      </c>
      <c r="AG45" s="4439">
        <f t="shared" si="43"/>
        <v>0</v>
      </c>
      <c r="AH45" s="502">
        <f t="shared" si="44"/>
        <v>0</v>
      </c>
      <c r="AI45" s="502">
        <f t="shared" si="45"/>
        <v>0</v>
      </c>
      <c r="AJ45" s="368"/>
      <c r="AK45" s="2198">
        <v>10</v>
      </c>
      <c r="AL45" s="2357">
        <f t="shared" si="46"/>
        <v>8.3333333333333339</v>
      </c>
      <c r="AM45" s="2358">
        <f t="shared" si="47"/>
        <v>4.7317499999999999</v>
      </c>
      <c r="AN45" s="368"/>
      <c r="AO45" s="368"/>
      <c r="AP45" s="368"/>
      <c r="AQ45" s="368"/>
      <c r="AR45" s="368"/>
      <c r="AS45" s="368"/>
    </row>
    <row r="46" spans="1:45" s="358" customFormat="1" ht="15.75" customHeight="1">
      <c r="A46" s="3920" t="s">
        <v>814</v>
      </c>
      <c r="B46" s="3920"/>
      <c r="C46" s="2514" t="str">
        <f>FIXED((100*(1-(W46/W45))),1)&amp;"%"</f>
        <v>87.7%</v>
      </c>
      <c r="D46" s="3921" t="s">
        <v>227</v>
      </c>
      <c r="E46" s="3921"/>
      <c r="F46" s="2514" t="str">
        <f>FIXED(100*(1-(((0.1808*W45)+(0.8192*W46))/W45)),1)&amp;"%"</f>
        <v>71.8%</v>
      </c>
      <c r="G46" s="1970" t="s">
        <v>1465</v>
      </c>
      <c r="H46" s="397"/>
      <c r="I46" s="456"/>
      <c r="J46" s="457"/>
      <c r="K46" s="458"/>
      <c r="L46" s="459">
        <f t="shared" si="36"/>
        <v>0</v>
      </c>
      <c r="M46" s="460">
        <f t="shared" si="36"/>
        <v>0</v>
      </c>
      <c r="N46" s="461">
        <f t="shared" si="36"/>
        <v>0</v>
      </c>
      <c r="O46" s="462"/>
      <c r="P46" s="463"/>
      <c r="Q46" s="510"/>
      <c r="R46" s="508"/>
      <c r="S46" s="4345">
        <v>4</v>
      </c>
      <c r="T46" s="4352">
        <v>1.4730000000000001</v>
      </c>
      <c r="U46" s="524"/>
      <c r="V46" s="412" t="s">
        <v>1084</v>
      </c>
      <c r="W46" s="513">
        <f>(W44-W38/H4-W40-W42)</f>
        <v>3.7394021739130476</v>
      </c>
      <c r="X46" s="523" t="s">
        <v>824</v>
      </c>
      <c r="Y46" s="502" t="s">
        <v>798</v>
      </c>
      <c r="Z46" s="511"/>
      <c r="AA46" s="4439">
        <f t="shared" si="37"/>
        <v>0</v>
      </c>
      <c r="AB46" s="502">
        <f t="shared" si="38"/>
        <v>0</v>
      </c>
      <c r="AC46" s="502">
        <f t="shared" si="39"/>
        <v>0</v>
      </c>
      <c r="AD46" s="4439">
        <f t="shared" si="40"/>
        <v>0</v>
      </c>
      <c r="AE46" s="502">
        <f t="shared" si="41"/>
        <v>0</v>
      </c>
      <c r="AF46" s="502">
        <f t="shared" si="42"/>
        <v>0</v>
      </c>
      <c r="AG46" s="4439">
        <f t="shared" si="43"/>
        <v>0</v>
      </c>
      <c r="AH46" s="502">
        <f t="shared" si="44"/>
        <v>0</v>
      </c>
      <c r="AI46" s="502">
        <f t="shared" si="45"/>
        <v>0</v>
      </c>
      <c r="AJ46" s="368"/>
      <c r="AK46" s="368"/>
      <c r="AL46" s="368"/>
      <c r="AM46" s="368"/>
      <c r="AN46" s="368"/>
      <c r="AO46" s="368"/>
      <c r="AP46" s="368"/>
      <c r="AQ46" s="368"/>
      <c r="AR46" s="368"/>
      <c r="AS46" s="368"/>
    </row>
    <row r="47" spans="1:45" s="358" customFormat="1" ht="15.75" customHeight="1">
      <c r="A47" s="422"/>
      <c r="B47" s="422"/>
      <c r="C47" s="422"/>
      <c r="D47" s="422"/>
      <c r="E47" s="422"/>
      <c r="F47" s="422"/>
      <c r="G47" s="1970" t="s">
        <v>1466</v>
      </c>
      <c r="H47" s="397"/>
      <c r="I47" s="456"/>
      <c r="J47" s="457"/>
      <c r="K47" s="458"/>
      <c r="L47" s="459">
        <f>I47</f>
        <v>0</v>
      </c>
      <c r="M47" s="460">
        <f t="shared" si="36"/>
        <v>0</v>
      </c>
      <c r="N47" s="461">
        <f t="shared" si="36"/>
        <v>0</v>
      </c>
      <c r="O47" s="462"/>
      <c r="P47" s="463"/>
      <c r="Q47" s="510"/>
      <c r="R47" s="508"/>
      <c r="S47" s="4345">
        <v>5</v>
      </c>
      <c r="T47" s="4352">
        <v>1.4239999999999999</v>
      </c>
      <c r="U47" s="83"/>
      <c r="V47" s="412" t="s">
        <v>1086</v>
      </c>
      <c r="W47" s="513">
        <f>(W44-W40-W41)</f>
        <v>3.646083423913046</v>
      </c>
      <c r="X47" s="523" t="s">
        <v>824</v>
      </c>
      <c r="Y47" s="502" t="s">
        <v>528</v>
      </c>
      <c r="Z47" s="83"/>
      <c r="AA47" s="4439">
        <f t="shared" si="37"/>
        <v>0</v>
      </c>
      <c r="AB47" s="502">
        <f t="shared" si="38"/>
        <v>0</v>
      </c>
      <c r="AC47" s="502">
        <f t="shared" si="39"/>
        <v>0</v>
      </c>
      <c r="AD47" s="4439">
        <f t="shared" si="40"/>
        <v>0</v>
      </c>
      <c r="AE47" s="502">
        <f t="shared" si="41"/>
        <v>0</v>
      </c>
      <c r="AF47" s="502">
        <f t="shared" si="42"/>
        <v>0</v>
      </c>
      <c r="AG47" s="4439">
        <f t="shared" si="43"/>
        <v>0</v>
      </c>
      <c r="AH47" s="502">
        <f t="shared" si="44"/>
        <v>0</v>
      </c>
      <c r="AI47" s="502">
        <f t="shared" si="45"/>
        <v>0</v>
      </c>
      <c r="AJ47" s="368"/>
      <c r="AK47" s="368"/>
      <c r="AL47" s="368"/>
      <c r="AM47" s="368"/>
      <c r="AN47" s="368"/>
      <c r="AO47" s="368"/>
      <c r="AP47" s="368"/>
      <c r="AQ47" s="368"/>
      <c r="AR47" s="368"/>
      <c r="AS47" s="368"/>
    </row>
    <row r="48" spans="1:45" s="358" customFormat="1" ht="15.75" customHeight="1">
      <c r="A48" s="3922" t="s">
        <v>832</v>
      </c>
      <c r="B48" s="3922"/>
      <c r="C48" s="1764"/>
      <c r="D48" s="423"/>
      <c r="E48" s="114"/>
      <c r="F48" s="424"/>
      <c r="G48" s="1971" t="s">
        <v>1467</v>
      </c>
      <c r="H48" s="425"/>
      <c r="I48" s="4800"/>
      <c r="J48" s="465"/>
      <c r="K48" s="466"/>
      <c r="L48" s="4801">
        <f t="shared" si="36"/>
        <v>0</v>
      </c>
      <c r="M48" s="467">
        <f t="shared" si="36"/>
        <v>0</v>
      </c>
      <c r="N48" s="468">
        <f t="shared" si="36"/>
        <v>0</v>
      </c>
      <c r="O48" s="4802"/>
      <c r="P48" s="469"/>
      <c r="Q48" s="525"/>
      <c r="R48" s="508"/>
      <c r="S48" s="4345">
        <v>6</v>
      </c>
      <c r="T48" s="4352">
        <v>1.377</v>
      </c>
      <c r="AA48" s="4439">
        <f t="shared" si="37"/>
        <v>0</v>
      </c>
      <c r="AB48" s="502">
        <f t="shared" si="38"/>
        <v>0</v>
      </c>
      <c r="AC48" s="502">
        <f t="shared" si="39"/>
        <v>0</v>
      </c>
      <c r="AD48" s="4439">
        <f t="shared" si="40"/>
        <v>0</v>
      </c>
      <c r="AE48" s="502">
        <f t="shared" si="41"/>
        <v>0</v>
      </c>
      <c r="AF48" s="502">
        <f t="shared" si="42"/>
        <v>0</v>
      </c>
      <c r="AG48" s="4439">
        <f t="shared" si="43"/>
        <v>0</v>
      </c>
      <c r="AH48" s="502">
        <f t="shared" si="44"/>
        <v>0</v>
      </c>
      <c r="AI48" s="502">
        <f t="shared" si="45"/>
        <v>0</v>
      </c>
      <c r="AJ48" s="368"/>
      <c r="AK48" s="2302" t="s">
        <v>693</v>
      </c>
      <c r="AL48" s="1729" t="s">
        <v>956</v>
      </c>
      <c r="AM48" s="1729" t="s">
        <v>957</v>
      </c>
      <c r="AN48" s="368"/>
      <c r="AO48" s="368"/>
      <c r="AP48" s="368"/>
      <c r="AQ48" s="368"/>
      <c r="AR48" s="368"/>
      <c r="AS48" s="368"/>
    </row>
    <row r="49" spans="1:45" s="358" customFormat="1" ht="15.75" customHeight="1">
      <c r="A49" s="426"/>
      <c r="B49" s="423"/>
      <c r="C49" s="423"/>
      <c r="D49" s="427"/>
      <c r="E49" s="427"/>
      <c r="F49" s="428"/>
      <c r="G49" s="4803" t="s">
        <v>756</v>
      </c>
      <c r="H49" s="4804"/>
      <c r="I49" s="2759">
        <v>0</v>
      </c>
      <c r="J49" s="4805" t="str">
        <f>"ml = "&amp;FIXED(I49/5)&amp;" tsp (5ml)"</f>
        <v>ml = 0.00 tsp (5ml)</v>
      </c>
      <c r="K49" s="4806"/>
      <c r="L49" s="2627">
        <f>I49</f>
        <v>0</v>
      </c>
      <c r="M49" s="4807" t="str">
        <f>"ml = "&amp;FIXED(L49/5)&amp;" tsp (5ml)"</f>
        <v>ml = 0.00 tsp (5ml)</v>
      </c>
      <c r="N49" s="4808"/>
      <c r="O49" s="2628"/>
      <c r="P49" s="4807" t="str">
        <f>"ml = "&amp;FIXED(L49/5)&amp;" tsp (5ml)"</f>
        <v>ml = 0.00 tsp (5ml)</v>
      </c>
      <c r="Q49" s="4809"/>
      <c r="R49" s="386"/>
      <c r="S49" s="4345">
        <v>7</v>
      </c>
      <c r="T49" s="4352">
        <v>1.331</v>
      </c>
      <c r="U49" s="507"/>
      <c r="V49" s="502"/>
      <c r="W49" s="503"/>
      <c r="X49" s="502"/>
      <c r="Y49" s="502"/>
      <c r="Z49" s="538" t="s">
        <v>757</v>
      </c>
      <c r="AA49" s="4439">
        <f t="shared" ref="AA49:AI49" si="48">SUM(AA22:AA48)</f>
        <v>350</v>
      </c>
      <c r="AB49" s="502">
        <f t="shared" si="48"/>
        <v>0</v>
      </c>
      <c r="AC49" s="502">
        <f t="shared" si="48"/>
        <v>0</v>
      </c>
      <c r="AD49" s="4439">
        <f t="shared" si="48"/>
        <v>350</v>
      </c>
      <c r="AE49" s="502">
        <f t="shared" si="48"/>
        <v>0</v>
      </c>
      <c r="AF49" s="502">
        <f t="shared" si="48"/>
        <v>0</v>
      </c>
      <c r="AG49" s="4439">
        <f t="shared" si="48"/>
        <v>200</v>
      </c>
      <c r="AH49" s="502">
        <f t="shared" si="48"/>
        <v>0</v>
      </c>
      <c r="AI49" s="502">
        <f t="shared" si="48"/>
        <v>0</v>
      </c>
      <c r="AJ49" s="368"/>
      <c r="AK49" s="2198">
        <v>1</v>
      </c>
      <c r="AL49" s="2357">
        <f t="shared" ref="AL49:AL55" si="49">AM49*(5/6)</f>
        <v>1.7611524981948188</v>
      </c>
      <c r="AM49" s="2197">
        <f t="shared" ref="AM49:AM57" si="50">8*AK49/3.7854</f>
        <v>2.1133829978337824</v>
      </c>
      <c r="AN49" s="368"/>
      <c r="AO49" s="368"/>
      <c r="AP49" s="368"/>
      <c r="AQ49" s="368"/>
      <c r="AR49" s="368"/>
      <c r="AS49" s="368"/>
    </row>
    <row r="50" spans="1:45" s="358" customFormat="1" ht="15.75" customHeight="1">
      <c r="A50" s="114"/>
      <c r="B50" s="548"/>
      <c r="C50" s="548"/>
      <c r="D50" s="548"/>
      <c r="E50" s="548"/>
      <c r="F50" s="428"/>
      <c r="G50" s="3923" t="s">
        <v>758</v>
      </c>
      <c r="H50" s="3924"/>
      <c r="I50" s="3925" t="s">
        <v>1468</v>
      </c>
      <c r="J50" s="3926"/>
      <c r="K50" s="3926"/>
      <c r="L50" s="3926"/>
      <c r="M50" s="3926"/>
      <c r="N50" s="3926"/>
      <c r="O50" s="3926"/>
      <c r="P50" s="3926"/>
      <c r="Q50" s="3927"/>
      <c r="R50" s="386"/>
      <c r="S50" s="4345">
        <v>8</v>
      </c>
      <c r="T50" s="4352">
        <v>1.282</v>
      </c>
      <c r="U50" s="507"/>
      <c r="V50" s="502"/>
      <c r="W50" s="503"/>
      <c r="X50" s="502"/>
      <c r="Y50" s="502"/>
      <c r="Z50" s="412" t="s">
        <v>760</v>
      </c>
      <c r="AA50" s="4439">
        <f>SUM(I22:K48)</f>
        <v>70</v>
      </c>
      <c r="AB50" s="502"/>
      <c r="AC50" s="502"/>
      <c r="AD50" s="4439">
        <f>SUM(L22:N48)</f>
        <v>70</v>
      </c>
      <c r="AE50" s="511"/>
      <c r="AF50" s="511"/>
      <c r="AG50" s="4439">
        <f>SUM(O22:Q48)</f>
        <v>40</v>
      </c>
      <c r="AH50" s="83"/>
      <c r="AI50" s="83"/>
      <c r="AJ50" s="368"/>
      <c r="AK50" s="2198">
        <v>2</v>
      </c>
      <c r="AL50" s="2357">
        <f t="shared" si="49"/>
        <v>3.5223049963896376</v>
      </c>
      <c r="AM50" s="2197">
        <f t="shared" si="50"/>
        <v>4.2267659956675647</v>
      </c>
      <c r="AN50" s="368"/>
      <c r="AO50" s="368"/>
      <c r="AP50" s="368"/>
      <c r="AQ50" s="368"/>
      <c r="AR50" s="368"/>
      <c r="AS50" s="368"/>
    </row>
    <row r="51" spans="1:45" s="358" customFormat="1" ht="18" customHeight="1">
      <c r="B51" s="548"/>
      <c r="C51" s="548"/>
      <c r="D51" s="548"/>
      <c r="E51" s="548"/>
      <c r="F51" s="428"/>
      <c r="G51" s="4810" t="s">
        <v>762</v>
      </c>
      <c r="H51" s="4811"/>
      <c r="I51" s="470">
        <v>10</v>
      </c>
      <c r="J51" s="3870" t="s">
        <v>1469</v>
      </c>
      <c r="K51" s="3871"/>
      <c r="L51" s="2629">
        <v>6</v>
      </c>
      <c r="M51" s="3915" t="s">
        <v>1470</v>
      </c>
      <c r="N51" s="3916"/>
      <c r="O51" s="2630">
        <v>5</v>
      </c>
      <c r="P51" s="3873" t="s">
        <v>1471</v>
      </c>
      <c r="Q51" s="3874"/>
      <c r="R51" s="386"/>
      <c r="S51" s="4345">
        <v>9</v>
      </c>
      <c r="T51" s="4352">
        <v>1.2370000000000001</v>
      </c>
      <c r="U51" s="507"/>
      <c r="V51" s="502"/>
      <c r="W51" s="503"/>
      <c r="X51" s="502"/>
      <c r="Y51" s="502"/>
      <c r="Z51" s="83"/>
      <c r="AA51" s="2002">
        <f>I51+0.0001</f>
        <v>10.0001</v>
      </c>
      <c r="AB51" s="83"/>
      <c r="AC51" s="83"/>
      <c r="AD51" s="2003">
        <f>L51+0.0001</f>
        <v>6.0000999999999998</v>
      </c>
      <c r="AE51" s="83"/>
      <c r="AF51" s="83"/>
      <c r="AG51" s="2002">
        <f>O51+0.0001</f>
        <v>5.0000999999999998</v>
      </c>
      <c r="AH51" s="83"/>
      <c r="AI51" s="83"/>
      <c r="AJ51" s="368"/>
      <c r="AK51" s="2198">
        <v>3</v>
      </c>
      <c r="AL51" s="2357">
        <f t="shared" si="49"/>
        <v>5.2834574945844563</v>
      </c>
      <c r="AM51" s="2197">
        <f t="shared" si="50"/>
        <v>6.3401489935013471</v>
      </c>
      <c r="AN51" s="368"/>
      <c r="AO51" s="368"/>
      <c r="AP51" s="368"/>
      <c r="AQ51" s="368"/>
      <c r="AR51" s="368"/>
      <c r="AS51" s="368"/>
    </row>
    <row r="52" spans="1:45" s="358" customFormat="1" ht="18" customHeight="1">
      <c r="B52" s="548"/>
      <c r="C52" s="548"/>
      <c r="D52" s="548"/>
      <c r="E52" s="548"/>
      <c r="F52" s="428"/>
      <c r="G52" s="4799" t="s">
        <v>767</v>
      </c>
      <c r="H52" s="4812"/>
      <c r="I52" s="471">
        <f>1000+SUM($W19:$W34)/$I58</f>
        <v>1070.2416918429003</v>
      </c>
      <c r="J52" s="4813"/>
      <c r="K52" s="3872"/>
      <c r="L52" s="471">
        <f>1000+SUM($W19:$W27)/$L58</f>
        <v>1070.193929173693</v>
      </c>
      <c r="M52" s="4814"/>
      <c r="N52" s="3917"/>
      <c r="O52" s="472">
        <v>1000</v>
      </c>
      <c r="P52" s="4815"/>
      <c r="Q52" s="3875"/>
      <c r="R52" s="386"/>
      <c r="S52" s="4345">
        <v>10</v>
      </c>
      <c r="T52" s="4352">
        <v>1.194</v>
      </c>
      <c r="U52" s="507"/>
      <c r="V52" s="502"/>
      <c r="W52" s="503"/>
      <c r="X52" s="502"/>
      <c r="Y52" s="502"/>
      <c r="Z52" s="511"/>
      <c r="AA52" s="539"/>
      <c r="AC52" s="540"/>
      <c r="AD52" s="541"/>
      <c r="AJ52" s="368"/>
      <c r="AK52" s="2198">
        <v>4</v>
      </c>
      <c r="AL52" s="2357">
        <f t="shared" si="49"/>
        <v>7.0446099927792751</v>
      </c>
      <c r="AM52" s="2197">
        <f t="shared" si="50"/>
        <v>8.4535319913351294</v>
      </c>
      <c r="AN52" s="368"/>
      <c r="AO52" s="368"/>
      <c r="AP52" s="368"/>
      <c r="AQ52" s="368"/>
      <c r="AR52" s="368"/>
      <c r="AS52" s="368"/>
    </row>
    <row r="53" spans="1:45" s="358" customFormat="1" ht="15.75" customHeight="1">
      <c r="A53" s="114"/>
      <c r="B53" s="548"/>
      <c r="C53" s="548"/>
      <c r="D53" s="548"/>
      <c r="E53" s="548"/>
      <c r="F53" s="429"/>
      <c r="G53" s="4816" t="s">
        <v>769</v>
      </c>
      <c r="H53" s="4817"/>
      <c r="I53" s="2382">
        <v>70</v>
      </c>
      <c r="J53" s="2631">
        <v>30</v>
      </c>
      <c r="K53" s="2631">
        <v>15</v>
      </c>
      <c r="L53" s="2632">
        <v>60</v>
      </c>
      <c r="M53" s="2633">
        <f t="shared" ref="M53:Q53" si="51">J53</f>
        <v>30</v>
      </c>
      <c r="N53" s="2634">
        <f t="shared" si="51"/>
        <v>15</v>
      </c>
      <c r="O53" s="2635">
        <v>50</v>
      </c>
      <c r="P53" s="2631">
        <f t="shared" si="51"/>
        <v>30</v>
      </c>
      <c r="Q53" s="2631">
        <f t="shared" si="51"/>
        <v>15</v>
      </c>
      <c r="R53" s="386"/>
      <c r="S53" s="4345">
        <v>11</v>
      </c>
      <c r="T53" s="4352">
        <v>1.1539999999999999</v>
      </c>
      <c r="U53" s="507"/>
      <c r="V53" s="502"/>
      <c r="W53" s="503"/>
      <c r="X53" s="502"/>
      <c r="Y53" s="502"/>
      <c r="Z53" s="511"/>
      <c r="AA53" s="539"/>
      <c r="AC53" s="540"/>
      <c r="AD53" s="541"/>
      <c r="AJ53" s="368"/>
      <c r="AK53" s="2198">
        <v>5</v>
      </c>
      <c r="AL53" s="2357">
        <f t="shared" si="49"/>
        <v>8.8057624909740948</v>
      </c>
      <c r="AM53" s="2197">
        <f t="shared" si="50"/>
        <v>10.566914989168913</v>
      </c>
      <c r="AN53" s="368"/>
      <c r="AO53" s="368"/>
      <c r="AP53" s="368"/>
      <c r="AQ53" s="368"/>
      <c r="AR53" s="368"/>
      <c r="AS53" s="368"/>
    </row>
    <row r="54" spans="1:45" s="358" customFormat="1" ht="15.75" customHeight="1">
      <c r="A54" s="114"/>
      <c r="B54" s="548"/>
      <c r="C54" s="548"/>
      <c r="D54" s="548"/>
      <c r="E54" s="548"/>
      <c r="F54" s="429"/>
      <c r="G54" s="3914" t="s">
        <v>770</v>
      </c>
      <c r="H54" s="4818"/>
      <c r="I54" s="4455">
        <f>I55*AA49/($I58*10)</f>
        <v>70.00812239116371</v>
      </c>
      <c r="J54" s="473">
        <f>J55*AB49/($I58*10)</f>
        <v>0</v>
      </c>
      <c r="K54" s="474">
        <f>K55*AC49/($I58*10)</f>
        <v>0</v>
      </c>
      <c r="L54" s="4819">
        <f>L55*AD49/($L58*10)</f>
        <v>113.54671981091393</v>
      </c>
      <c r="M54" s="473">
        <f>M55*AE49/($L58*10)</f>
        <v>0</v>
      </c>
      <c r="N54" s="475">
        <f>N55*AF49/($L58*10)</f>
        <v>0</v>
      </c>
      <c r="O54" s="4820">
        <f>O55*AG49/($O58*10)</f>
        <v>136.41886362071023</v>
      </c>
      <c r="P54" s="473">
        <f>P55*AH49/($O58*10)</f>
        <v>0</v>
      </c>
      <c r="Q54" s="475">
        <f>Q55*AI49/($O58*10)</f>
        <v>0</v>
      </c>
      <c r="R54" s="386"/>
      <c r="S54" s="4345">
        <v>12</v>
      </c>
      <c r="T54" s="4352">
        <v>1.117</v>
      </c>
      <c r="U54" s="511"/>
      <c r="V54" s="511"/>
      <c r="W54" s="526"/>
      <c r="X54" s="526"/>
      <c r="Y54" s="511"/>
      <c r="Z54" s="511"/>
      <c r="AA54" s="540"/>
      <c r="AC54" s="540"/>
      <c r="AD54" s="541"/>
      <c r="AJ54" s="368"/>
      <c r="AK54" s="2198">
        <v>6</v>
      </c>
      <c r="AL54" s="2357">
        <f t="shared" si="49"/>
        <v>10.566914989168913</v>
      </c>
      <c r="AM54" s="2197">
        <f t="shared" si="50"/>
        <v>12.680297987002694</v>
      </c>
      <c r="AN54" s="368"/>
      <c r="AO54" s="368"/>
      <c r="AP54" s="368"/>
      <c r="AQ54" s="368"/>
      <c r="AR54" s="368"/>
      <c r="AS54" s="368"/>
    </row>
    <row r="55" spans="1:45" s="358" customFormat="1" ht="15.75" customHeight="1">
      <c r="A55" s="114"/>
      <c r="B55" s="548"/>
      <c r="C55" s="548"/>
      <c r="D55" s="548"/>
      <c r="E55" s="548"/>
      <c r="F55" s="429"/>
      <c r="G55" s="3267" t="s">
        <v>771</v>
      </c>
      <c r="H55" s="3268"/>
      <c r="I55" s="4458">
        <f>165*POWER(0.000125,0.001*($I52-1000))*(1-EXP(-$H77*$I53))/$I77</f>
        <v>19.862304438407303</v>
      </c>
      <c r="J55" s="476">
        <f>165*POWER(0.000125,0.001*($I52-1000))*(1-EXP(-$H77*$J53))/$I77</f>
        <v>14.778579661019338</v>
      </c>
      <c r="K55" s="477">
        <f>165*POWER(0.000125,0.001*($I52-1000))*(1-EXP(-$H77*$K53))/$I77</f>
        <v>9.5418831551974161</v>
      </c>
      <c r="L55" s="478">
        <f>165*POWER(0.000125,0.001*($L52-1000))*(1-EXP(-$H77*$L53))/$I77</f>
        <v>19.238058527963418</v>
      </c>
      <c r="M55" s="476">
        <f>165*POWER(0.000125,0.001*($L52-1000))*(1-EXP(-$H77*$M53))/$I77</f>
        <v>14.784924765144511</v>
      </c>
      <c r="N55" s="477">
        <f>165*POWER(0.000125,0.001*($L52-1000))*(1-EXP(-$H77*$N53))/$I77</f>
        <v>9.5459799116894946</v>
      </c>
      <c r="O55" s="4459">
        <f>165*POWER(0.000125,0.001*($O52-1000))*(1-EXP(-$H77*$O53))/$I77</f>
        <v>34.378235726737081</v>
      </c>
      <c r="P55" s="476">
        <f>165*POWER(0.000125,0.001*($O52-1000))*(1-EXP(-$H77*$P53))/$I77</f>
        <v>27.783844586623285</v>
      </c>
      <c r="Q55" s="527">
        <f>165*POWER(0.000125,0.001*($O52-1000))*(1-EXP(-$H77*$Q53))/$I77</f>
        <v>17.938814468550756</v>
      </c>
      <c r="R55" s="386"/>
      <c r="S55" s="4345">
        <v>13</v>
      </c>
      <c r="T55" s="4352">
        <v>1.083</v>
      </c>
      <c r="U55" s="83"/>
      <c r="V55" s="83"/>
      <c r="W55" s="83"/>
      <c r="X55" s="83"/>
      <c r="Y55" s="83"/>
      <c r="Z55" s="511"/>
      <c r="AA55" s="539"/>
      <c r="AC55" s="540"/>
      <c r="AD55" s="541"/>
      <c r="AE55" s="418"/>
      <c r="AJ55" s="368"/>
      <c r="AK55" s="2198">
        <v>7</v>
      </c>
      <c r="AL55" s="2357">
        <f t="shared" si="49"/>
        <v>12.328067487363732</v>
      </c>
      <c r="AM55" s="2197">
        <f t="shared" si="50"/>
        <v>14.793680984836477</v>
      </c>
      <c r="AN55" s="368"/>
      <c r="AO55" s="368"/>
      <c r="AP55" s="368"/>
      <c r="AQ55" s="368"/>
      <c r="AR55" s="368"/>
      <c r="AS55" s="368"/>
    </row>
    <row r="56" spans="1:45" s="358" customFormat="1" ht="15.75" customHeight="1">
      <c r="A56" s="114"/>
      <c r="B56" s="548"/>
      <c r="C56" s="548"/>
      <c r="D56" s="548"/>
      <c r="E56" s="548"/>
      <c r="F56" s="429"/>
      <c r="G56" s="4821" t="s">
        <v>772</v>
      </c>
      <c r="H56" s="4822"/>
      <c r="I56" s="479">
        <f>I54*$I58/$H$4</f>
        <v>30.22524588453285</v>
      </c>
      <c r="J56" s="2385">
        <f>J54*$I58/$H$4</f>
        <v>0</v>
      </c>
      <c r="K56" s="480">
        <f>K54*$I58/$H$4</f>
        <v>0</v>
      </c>
      <c r="L56" s="479">
        <f>L54*$L58/$H$4</f>
        <v>29.275306455596503</v>
      </c>
      <c r="M56" s="2385">
        <f>M54*$L58/$H$4</f>
        <v>0</v>
      </c>
      <c r="N56" s="481">
        <f>N54*$L58/$H$4</f>
        <v>0</v>
      </c>
      <c r="O56" s="479">
        <f>O54*$O58/$H$4</f>
        <v>29.894118023249636</v>
      </c>
      <c r="P56" s="2385">
        <f>P54*$O58/$H$4</f>
        <v>0</v>
      </c>
      <c r="Q56" s="481">
        <f>Q54*$O58/$H$4</f>
        <v>0</v>
      </c>
      <c r="R56" s="528"/>
      <c r="S56" s="4345">
        <f>(S55+S57)/2</f>
        <v>13.5</v>
      </c>
      <c r="T56" s="4345">
        <f>(T55+T57)/2</f>
        <v>1.0665</v>
      </c>
      <c r="U56" s="83"/>
      <c r="V56" s="83"/>
      <c r="W56" s="83"/>
      <c r="X56" s="83"/>
      <c r="Y56" s="83"/>
      <c r="Z56" s="511"/>
      <c r="AA56" s="539"/>
      <c r="AD56" s="418"/>
      <c r="AE56" s="418"/>
      <c r="AJ56" s="368"/>
      <c r="AK56" s="2198">
        <v>8</v>
      </c>
      <c r="AL56" s="2357">
        <f t="shared" ref="AL56:AL57" si="52">AM56*(5/6)</f>
        <v>14.08921998555855</v>
      </c>
      <c r="AM56" s="2197">
        <f t="shared" si="50"/>
        <v>16.907063982670259</v>
      </c>
      <c r="AN56" s="368"/>
      <c r="AO56" s="368"/>
      <c r="AP56" s="368"/>
      <c r="AQ56" s="368"/>
      <c r="AR56" s="368"/>
      <c r="AS56" s="368"/>
    </row>
    <row r="57" spans="1:45" s="358" customFormat="1" ht="15.75" customHeight="1">
      <c r="A57" s="114"/>
      <c r="B57" s="548"/>
      <c r="C57" s="548"/>
      <c r="D57" s="548"/>
      <c r="E57" s="548"/>
      <c r="F57" s="429"/>
      <c r="G57" s="4823" t="s">
        <v>1472</v>
      </c>
      <c r="H57" s="4824"/>
      <c r="I57" s="4825" t="str">
        <f>I49*'Beer Data Sheet'!$T$17/$H$4&amp;" EBU"</f>
        <v>0 EBU</v>
      </c>
      <c r="J57" s="4825"/>
      <c r="K57" s="4825"/>
      <c r="L57" s="4825" t="str">
        <f>L49*'Beer Data Sheet'!$T$17/$H$4&amp;" EBU"</f>
        <v>0 EBU</v>
      </c>
      <c r="M57" s="4825"/>
      <c r="N57" s="4825"/>
      <c r="O57" s="4825" t="str">
        <f>O49*'Beer Data Sheet'!$T$17/$H$4&amp;" EBU"</f>
        <v>0 EBU</v>
      </c>
      <c r="P57" s="4825"/>
      <c r="Q57" s="4826"/>
      <c r="R57" s="529"/>
      <c r="S57" s="4345">
        <v>14</v>
      </c>
      <c r="T57" s="4352">
        <v>1.05</v>
      </c>
      <c r="U57" s="83"/>
      <c r="V57" s="83"/>
      <c r="W57" s="83"/>
      <c r="X57" s="83"/>
      <c r="Y57" s="83"/>
      <c r="Z57" s="511"/>
      <c r="AA57" s="539"/>
      <c r="AC57" s="540"/>
      <c r="AD57" s="541"/>
      <c r="AE57" s="418"/>
      <c r="AJ57" s="368"/>
      <c r="AK57" s="2198">
        <v>10</v>
      </c>
      <c r="AL57" s="2357">
        <f t="shared" si="52"/>
        <v>17.61152498194819</v>
      </c>
      <c r="AM57" s="2197">
        <f t="shared" si="50"/>
        <v>21.133829978337825</v>
      </c>
      <c r="AN57" s="368"/>
      <c r="AO57" s="368"/>
      <c r="AP57" s="368"/>
      <c r="AQ57" s="368"/>
      <c r="AR57" s="368"/>
      <c r="AS57" s="368"/>
    </row>
    <row r="58" spans="1:45" s="358" customFormat="1" ht="15.75" customHeight="1">
      <c r="A58" s="114"/>
      <c r="B58" s="548"/>
      <c r="C58" s="548"/>
      <c r="D58" s="548"/>
      <c r="E58" s="548"/>
      <c r="F58" s="429"/>
      <c r="G58" s="3918" t="s">
        <v>774</v>
      </c>
      <c r="H58" s="3919"/>
      <c r="I58" s="2636">
        <f>I51-0.001*$AA$50</f>
        <v>9.93</v>
      </c>
      <c r="J58" s="2637" t="str">
        <f>FIXED((SUM(I56:K56)+FIXED((I49*'Beer Data Sheet'!$T$17/$H$4))),1)&amp;" EBU"</f>
        <v>30.2 EBU</v>
      </c>
      <c r="K58" s="2638"/>
      <c r="L58" s="2636">
        <f>L51-0.001*$AD$50</f>
        <v>5.93</v>
      </c>
      <c r="M58" s="2639" t="str">
        <f>FIXED((SUM(L56:N56)+FIXED((L49*'Beer Data Sheet'!$T$17/$H$4))),1)&amp;" EBU"</f>
        <v>29.3 EBU</v>
      </c>
      <c r="N58" s="2640"/>
      <c r="O58" s="2004">
        <f>AG51+0.001*$AG$50</f>
        <v>5.0400999999999998</v>
      </c>
      <c r="P58" s="2641" t="str">
        <f>FIXED((SUM(O56:Q56)+FIXED((O49*'Beer Data Sheet'!$T$17/$H$4))),1)&amp;" EBU"</f>
        <v>29.9 EBU</v>
      </c>
      <c r="Q58" s="2642"/>
      <c r="R58" s="530"/>
      <c r="S58" s="4345">
        <f>(S57+S59)/2</f>
        <v>14.5</v>
      </c>
      <c r="T58" s="4345">
        <f>(T57+T59)/2</f>
        <v>1.034</v>
      </c>
      <c r="U58" s="83"/>
      <c r="V58" s="83"/>
      <c r="W58" s="83"/>
      <c r="X58" s="83"/>
      <c r="Y58" s="83"/>
      <c r="Z58" s="511"/>
      <c r="AA58" s="539"/>
      <c r="AD58" s="418"/>
      <c r="AE58" s="418"/>
      <c r="AJ58" s="530"/>
      <c r="AK58" s="530"/>
      <c r="AL58" s="530"/>
      <c r="AM58" s="530"/>
      <c r="AN58" s="530"/>
      <c r="AO58" s="530"/>
      <c r="AP58" s="530"/>
      <c r="AQ58" s="368"/>
      <c r="AR58" s="368"/>
      <c r="AS58" s="368"/>
    </row>
    <row r="59" spans="1:45" s="358" customFormat="1" ht="15.75" customHeight="1">
      <c r="A59" s="114"/>
      <c r="B59" s="548"/>
      <c r="C59" s="548"/>
      <c r="D59" s="548"/>
      <c r="E59" s="548"/>
      <c r="F59" s="429"/>
      <c r="G59" s="4827" t="s">
        <v>368</v>
      </c>
      <c r="H59" s="4828"/>
      <c r="I59" s="3895" t="str">
        <f>"The boil vol. for Method 1A (any sugars included in the boil) is "&amp;I51&amp;" litres (cell I51) for "&amp;I53&amp;" minutes (cell I53) to give a bitterness of "&amp;J58&amp;" (cell J58)."</f>
        <v>The boil vol. for Method 1A (any sugars included in the boil) is 10 litres (cell I51) for 70 minutes (cell I53) to give a bitterness of 30.2 EBU (cell J58).</v>
      </c>
      <c r="J59" s="3895"/>
      <c r="K59" s="3895"/>
      <c r="L59" s="3896" t="str">
        <f>"The boil vol. for Method 1B is "&amp;(L51)&amp;" litres (cell L51) for "&amp;L53&amp;" minutes (cell L53) to give a bitterness of "&amp;M58&amp;" (cell M58).  Any sugars are then added directly to the fermenting vessel &amp; stirred in."</f>
        <v>The boil vol. for Method 1B is 6 litres (cell L51) for 60 minutes (cell L53) to give a bitterness of 29.3 EBU (cell M58).  Any sugars are then added directly to the fermenting vessel &amp; stirred in.</v>
      </c>
      <c r="M59" s="3896"/>
      <c r="N59" s="3896"/>
      <c r="O59" s="3897" t="str">
        <f>"Add the hops to "&amp;O51&amp;" litres (cell O51) of boiling water (suggested minimum vol. of "&amp;FIXED(AG50/13,1)&amp;" litres). After the "&amp;O53&amp;" minutes boil (cell O53). Use a sieve ̸ colander capacity of "&amp;FIXED(0.1+AG50/17,1)&amp;" litres minimum to sparge ̸ collect the spent hops."</f>
        <v>Add the hops to 5 litres (cell O51) of boiling water (suggested minimum vol. of 3.1 litres). After the 50 minutes boil (cell O53). Use a sieve ̸ colander capacity of 2.5 litres minimum to sparge ̸ collect the spent hops.</v>
      </c>
      <c r="P59" s="4829"/>
      <c r="Q59" s="4829"/>
      <c r="R59" s="531"/>
      <c r="S59" s="4345">
        <v>15</v>
      </c>
      <c r="T59" s="4352">
        <v>1.018</v>
      </c>
      <c r="U59" s="83"/>
      <c r="V59" s="83"/>
      <c r="W59" s="83"/>
      <c r="X59" s="83"/>
      <c r="Y59" s="83"/>
      <c r="Z59" s="511"/>
      <c r="AA59" s="539"/>
      <c r="AC59" s="540"/>
      <c r="AD59" s="541"/>
      <c r="AE59" s="418"/>
      <c r="AJ59" s="531"/>
      <c r="AK59" s="531"/>
      <c r="AL59" s="531"/>
      <c r="AM59" s="531"/>
      <c r="AN59" s="531"/>
      <c r="AO59" s="531"/>
      <c r="AP59" s="531"/>
      <c r="AQ59" s="368"/>
      <c r="AR59" s="368"/>
      <c r="AS59" s="368"/>
    </row>
    <row r="60" spans="1:45" s="358" customFormat="1" ht="15.75" customHeight="1">
      <c r="A60" s="114"/>
      <c r="B60" s="548"/>
      <c r="C60" s="548"/>
      <c r="D60" s="548"/>
      <c r="E60" s="548"/>
      <c r="F60" s="429"/>
      <c r="G60" s="4830"/>
      <c r="H60" s="4831"/>
      <c r="I60" s="4832"/>
      <c r="J60" s="4832"/>
      <c r="K60" s="4832"/>
      <c r="L60" s="4833"/>
      <c r="M60" s="4833"/>
      <c r="N60" s="4833"/>
      <c r="O60" s="4834"/>
      <c r="P60" s="4834"/>
      <c r="Q60" s="4834"/>
      <c r="R60" s="531"/>
      <c r="S60" s="4345">
        <f>(S59+S61)/2</f>
        <v>15.5</v>
      </c>
      <c r="T60" s="4345">
        <f>(T59+T61)/2</f>
        <v>1.0015000000000001</v>
      </c>
      <c r="U60" s="83"/>
      <c r="V60" s="83"/>
      <c r="W60" s="83"/>
      <c r="X60" s="83"/>
      <c r="Y60" s="83"/>
      <c r="Z60" s="511"/>
      <c r="AA60" s="539"/>
      <c r="AD60" s="418"/>
      <c r="AE60" s="418"/>
      <c r="AJ60" s="368"/>
      <c r="AK60" s="3913" t="s">
        <v>735</v>
      </c>
      <c r="AL60" s="3913"/>
      <c r="AM60" s="3913"/>
      <c r="AN60" s="3913"/>
      <c r="AO60" s="1946"/>
      <c r="AP60" s="531"/>
      <c r="AQ60" s="368"/>
      <c r="AR60" s="368"/>
      <c r="AS60" s="368"/>
    </row>
    <row r="61" spans="1:45" s="358" customFormat="1" ht="15.75" customHeight="1">
      <c r="A61" s="114"/>
      <c r="B61" s="548"/>
      <c r="C61" s="548"/>
      <c r="D61" s="548"/>
      <c r="E61" s="548"/>
      <c r="F61" s="429"/>
      <c r="G61" s="4830"/>
      <c r="H61" s="4831"/>
      <c r="I61" s="4832"/>
      <c r="J61" s="4832"/>
      <c r="K61" s="4832"/>
      <c r="L61" s="4833"/>
      <c r="M61" s="4833"/>
      <c r="N61" s="4833"/>
      <c r="O61" s="4834"/>
      <c r="P61" s="4834"/>
      <c r="Q61" s="4834"/>
      <c r="R61" s="531"/>
      <c r="S61" s="4345">
        <v>16</v>
      </c>
      <c r="T61" s="4352">
        <v>0.98499999999999999</v>
      </c>
      <c r="U61" s="83"/>
      <c r="W61" s="83"/>
      <c r="X61" s="83"/>
      <c r="Y61" s="83"/>
      <c r="Z61" s="83"/>
      <c r="AA61" s="544"/>
      <c r="AB61" s="544"/>
      <c r="AC61" s="544"/>
      <c r="AD61" s="544"/>
      <c r="AE61" s="544"/>
      <c r="AF61" s="544"/>
      <c r="AG61" s="544"/>
      <c r="AH61" s="544"/>
      <c r="AI61" s="83"/>
      <c r="AJ61" s="368"/>
      <c r="AK61" s="1729" t="s">
        <v>91</v>
      </c>
      <c r="AL61" s="2199" t="s">
        <v>737</v>
      </c>
      <c r="AM61" s="3283" t="s">
        <v>1473</v>
      </c>
      <c r="AN61" s="3284"/>
      <c r="AO61" s="2643" t="s">
        <v>84</v>
      </c>
      <c r="AP61" s="531"/>
      <c r="AQ61" s="368"/>
      <c r="AR61" s="368"/>
      <c r="AS61" s="368"/>
    </row>
    <row r="62" spans="1:45" s="358" customFormat="1" ht="15.75" customHeight="1">
      <c r="A62" s="114"/>
      <c r="B62" s="548"/>
      <c r="C62" s="548"/>
      <c r="D62" s="548"/>
      <c r="E62" s="548"/>
      <c r="F62" s="429"/>
      <c r="G62" s="4830"/>
      <c r="H62" s="4831"/>
      <c r="I62" s="4832"/>
      <c r="J62" s="4832"/>
      <c r="K62" s="4832"/>
      <c r="L62" s="4833"/>
      <c r="M62" s="4833"/>
      <c r="N62" s="4833"/>
      <c r="O62" s="4834"/>
      <c r="P62" s="4834"/>
      <c r="Q62" s="4834"/>
      <c r="R62" s="531"/>
      <c r="S62" s="4345">
        <f>(S61+S63)/2</f>
        <v>16.5</v>
      </c>
      <c r="T62" s="4345">
        <f>(T61+T63)/2</f>
        <v>0.97049999999999992</v>
      </c>
      <c r="U62" s="83"/>
      <c r="W62" s="83"/>
      <c r="X62" s="83"/>
      <c r="Y62" s="83"/>
      <c r="Z62" s="83"/>
      <c r="AA62" s="545"/>
      <c r="AB62" s="545"/>
      <c r="AC62" s="545"/>
      <c r="AD62" s="503"/>
      <c r="AE62" s="503"/>
      <c r="AF62" s="503"/>
      <c r="AG62" s="503"/>
      <c r="AH62" s="503"/>
      <c r="AI62" s="83"/>
      <c r="AJ62" s="368"/>
      <c r="AK62" s="1727">
        <v>1</v>
      </c>
      <c r="AL62" s="2375">
        <f t="shared" ref="AL62:AL68" si="53">16*AO62</f>
        <v>3.5273368606701938E-2</v>
      </c>
      <c r="AM62" s="3280" t="str">
        <f t="shared" ref="AM62" si="54">INT(AL62/16)&amp;"  lb   "&amp;FIXED(AL62-16*INT(AL62/16),2)&amp;"  oz"</f>
        <v>0  lb   0.04  oz</v>
      </c>
      <c r="AN62" s="3281"/>
      <c r="AO62" s="2644">
        <f t="shared" ref="AO62:AO68" si="55">AK62/(1000*0.4536)</f>
        <v>2.2045855379188711E-3</v>
      </c>
      <c r="AP62" s="531"/>
      <c r="AQ62" s="368"/>
      <c r="AR62" s="368"/>
      <c r="AS62" s="368"/>
    </row>
    <row r="63" spans="1:45" s="358" customFormat="1" ht="15.75" customHeight="1">
      <c r="A63" s="114"/>
      <c r="B63" s="548"/>
      <c r="C63" s="548"/>
      <c r="D63" s="548"/>
      <c r="E63" s="548"/>
      <c r="F63" s="429"/>
      <c r="G63" s="4830"/>
      <c r="H63" s="4831"/>
      <c r="I63" s="4832"/>
      <c r="J63" s="4832"/>
      <c r="K63" s="4832"/>
      <c r="L63" s="4833"/>
      <c r="M63" s="4833"/>
      <c r="N63" s="4833"/>
      <c r="O63" s="4834"/>
      <c r="P63" s="4834"/>
      <c r="Q63" s="4834"/>
      <c r="R63" s="532"/>
      <c r="S63" s="4345">
        <v>17</v>
      </c>
      <c r="T63" s="4352">
        <v>0.95599999999999996</v>
      </c>
      <c r="U63" s="83"/>
      <c r="W63" s="83"/>
      <c r="X63" s="83"/>
      <c r="Y63" s="83"/>
      <c r="Z63" s="83"/>
      <c r="AA63" s="545"/>
      <c r="AB63" s="545"/>
      <c r="AC63" s="545"/>
      <c r="AD63" s="503"/>
      <c r="AE63" s="503"/>
      <c r="AF63" s="503"/>
      <c r="AG63" s="503"/>
      <c r="AH63" s="503"/>
      <c r="AI63" s="83"/>
      <c r="AJ63" s="368"/>
      <c r="AK63" s="1727">
        <v>2</v>
      </c>
      <c r="AL63" s="2375">
        <f t="shared" si="53"/>
        <v>7.0546737213403876E-2</v>
      </c>
      <c r="AM63" s="3280" t="str">
        <f t="shared" ref="AM63:AM68" si="56">INT(AL63/16)&amp;"  lb   "&amp;FIXED(AL63-16*INT(AL63/16),2)&amp;"  oz"</f>
        <v>0  lb   0.07  oz</v>
      </c>
      <c r="AN63" s="3281"/>
      <c r="AO63" s="2644">
        <f t="shared" si="55"/>
        <v>4.4091710758377423E-3</v>
      </c>
      <c r="AP63" s="531"/>
      <c r="AQ63" s="368"/>
      <c r="AR63" s="368"/>
      <c r="AS63" s="368"/>
    </row>
    <row r="64" spans="1:45" s="358" customFormat="1" ht="15.75" customHeight="1">
      <c r="A64" s="114"/>
      <c r="B64" s="548"/>
      <c r="C64" s="548"/>
      <c r="D64" s="548"/>
      <c r="E64" s="548"/>
      <c r="F64" s="429"/>
      <c r="G64" s="4830"/>
      <c r="H64" s="4831"/>
      <c r="I64" s="4832"/>
      <c r="J64" s="4832"/>
      <c r="K64" s="4832"/>
      <c r="L64" s="4833"/>
      <c r="M64" s="4833"/>
      <c r="N64" s="4833"/>
      <c r="O64" s="4834"/>
      <c r="P64" s="4834"/>
      <c r="Q64" s="4834"/>
      <c r="R64" s="532"/>
      <c r="S64" s="4345">
        <f>(S63+S65)/2</f>
        <v>17.5</v>
      </c>
      <c r="T64" s="4345">
        <f>(T63+T65)/2</f>
        <v>0.94199999999999995</v>
      </c>
      <c r="U64" s="83"/>
      <c r="W64" s="83"/>
      <c r="X64" s="83"/>
      <c r="Y64" s="83"/>
      <c r="Z64" s="83"/>
      <c r="AA64" s="545"/>
      <c r="AB64" s="545"/>
      <c r="AC64" s="545"/>
      <c r="AD64" s="503"/>
      <c r="AE64" s="503"/>
      <c r="AF64" s="503"/>
      <c r="AG64" s="503"/>
      <c r="AH64" s="503"/>
      <c r="AI64" s="83"/>
      <c r="AJ64" s="368"/>
      <c r="AK64" s="1727">
        <v>3</v>
      </c>
      <c r="AL64" s="2375">
        <f t="shared" si="53"/>
        <v>0.10582010582010581</v>
      </c>
      <c r="AM64" s="3280" t="str">
        <f t="shared" si="56"/>
        <v>0  lb   0.11  oz</v>
      </c>
      <c r="AN64" s="3281"/>
      <c r="AO64" s="2644">
        <f t="shared" si="55"/>
        <v>6.6137566137566134E-3</v>
      </c>
      <c r="AP64" s="531"/>
      <c r="AQ64" s="368"/>
      <c r="AR64" s="368"/>
      <c r="AS64" s="368"/>
    </row>
    <row r="65" spans="1:45" s="358" customFormat="1" ht="15.75" customHeight="1">
      <c r="A65" s="114"/>
      <c r="B65" s="548"/>
      <c r="C65" s="548"/>
      <c r="D65" s="548"/>
      <c r="E65" s="548"/>
      <c r="F65" s="429"/>
      <c r="G65" s="4835"/>
      <c r="H65" s="4836"/>
      <c r="I65" s="3883" t="s">
        <v>1474</v>
      </c>
      <c r="J65" s="3883"/>
      <c r="K65" s="3883"/>
      <c r="L65" s="3883"/>
      <c r="M65" s="3883"/>
      <c r="N65" s="3883"/>
      <c r="O65" s="3883"/>
      <c r="P65" s="3883"/>
      <c r="Q65" s="3883"/>
      <c r="R65" s="532"/>
      <c r="S65" s="4345">
        <v>18</v>
      </c>
      <c r="T65" s="4352">
        <v>0.92800000000000005</v>
      </c>
      <c r="U65" s="83"/>
      <c r="W65" s="83"/>
      <c r="X65" s="83"/>
      <c r="Y65" s="83"/>
      <c r="Z65" s="83"/>
      <c r="AA65" s="545"/>
      <c r="AB65" s="545"/>
      <c r="AC65" s="545"/>
      <c r="AD65" s="503"/>
      <c r="AE65" s="503"/>
      <c r="AF65" s="503"/>
      <c r="AG65" s="503"/>
      <c r="AH65" s="503"/>
      <c r="AI65" s="83"/>
      <c r="AJ65" s="368"/>
      <c r="AK65" s="1727">
        <v>4</v>
      </c>
      <c r="AL65" s="2375">
        <f t="shared" si="53"/>
        <v>0.14109347442680775</v>
      </c>
      <c r="AM65" s="3280" t="str">
        <f t="shared" si="56"/>
        <v>0  lb   0.14  oz</v>
      </c>
      <c r="AN65" s="3281"/>
      <c r="AO65" s="2644">
        <f t="shared" si="55"/>
        <v>8.8183421516754845E-3</v>
      </c>
      <c r="AP65" s="531"/>
      <c r="AQ65" s="368"/>
      <c r="AR65" s="368"/>
      <c r="AS65" s="368"/>
    </row>
    <row r="66" spans="1:45" s="358" customFormat="1" ht="15.75" customHeight="1">
      <c r="A66" s="114"/>
      <c r="B66" s="548"/>
      <c r="C66" s="548"/>
      <c r="D66" s="548"/>
      <c r="E66" s="548"/>
      <c r="F66" s="548"/>
      <c r="G66" s="548"/>
      <c r="H66" s="548"/>
      <c r="I66" s="548"/>
      <c r="J66" s="548"/>
      <c r="K66" s="548"/>
      <c r="L66" s="548"/>
      <c r="M66" s="548"/>
      <c r="N66" s="548"/>
      <c r="O66" s="548"/>
      <c r="P66" s="548"/>
      <c r="Q66" s="368"/>
      <c r="S66" s="4345">
        <f>(S65+S67)/2</f>
        <v>18.5</v>
      </c>
      <c r="T66" s="4345">
        <f>(T65+T67)/2</f>
        <v>0.91500000000000004</v>
      </c>
      <c r="U66" s="83"/>
      <c r="W66" s="83"/>
      <c r="X66" s="83"/>
      <c r="Y66" s="83"/>
      <c r="Z66" s="83"/>
      <c r="AA66" s="545"/>
      <c r="AB66" s="545"/>
      <c r="AC66" s="545"/>
      <c r="AD66" s="503"/>
      <c r="AE66" s="503"/>
      <c r="AF66" s="503"/>
      <c r="AG66" s="503"/>
      <c r="AH66" s="503"/>
      <c r="AI66" s="83"/>
      <c r="AJ66" s="368"/>
      <c r="AK66" s="1727">
        <v>5</v>
      </c>
      <c r="AL66" s="2375">
        <f t="shared" si="53"/>
        <v>0.17636684303350969</v>
      </c>
      <c r="AM66" s="3280" t="str">
        <f t="shared" si="56"/>
        <v>0  lb   0.18  oz</v>
      </c>
      <c r="AN66" s="3281"/>
      <c r="AO66" s="2644">
        <f t="shared" si="55"/>
        <v>1.1022927689594356E-2</v>
      </c>
      <c r="AP66" s="531"/>
      <c r="AQ66" s="368"/>
      <c r="AR66" s="368"/>
      <c r="AS66" s="368"/>
    </row>
    <row r="67" spans="1:45" s="358" customFormat="1" ht="15" customHeight="1">
      <c r="A67" s="114"/>
      <c r="B67" s="548"/>
      <c r="C67" s="548"/>
      <c r="D67" s="548"/>
      <c r="E67" s="548"/>
      <c r="F67" s="548"/>
      <c r="G67" s="549"/>
      <c r="H67" s="3449" t="s">
        <v>789</v>
      </c>
      <c r="I67" s="3450"/>
      <c r="J67" s="3884" t="s">
        <v>1475</v>
      </c>
      <c r="K67" s="3884"/>
      <c r="L67" s="3885" t="s">
        <v>1476</v>
      </c>
      <c r="M67" s="3885"/>
      <c r="N67" s="3886" t="s">
        <v>792</v>
      </c>
      <c r="O67" s="3886"/>
      <c r="P67" s="591"/>
      <c r="Q67" s="591"/>
      <c r="R67" s="532"/>
      <c r="S67" s="4345">
        <v>19</v>
      </c>
      <c r="T67" s="4352">
        <v>0.90200000000000002</v>
      </c>
      <c r="U67" s="83"/>
      <c r="Y67" s="83"/>
      <c r="Z67" s="83"/>
      <c r="AA67" s="545"/>
      <c r="AB67" s="545"/>
      <c r="AC67" s="545"/>
      <c r="AD67" s="503"/>
      <c r="AE67" s="503"/>
      <c r="AF67" s="503"/>
      <c r="AG67" s="503"/>
      <c r="AH67" s="503"/>
      <c r="AI67" s="83"/>
      <c r="AJ67" s="629"/>
      <c r="AK67" s="1727">
        <v>6</v>
      </c>
      <c r="AL67" s="2375">
        <f t="shared" si="53"/>
        <v>0.21164021164021163</v>
      </c>
      <c r="AM67" s="3280" t="str">
        <f t="shared" si="56"/>
        <v>0  lb   0.21  oz</v>
      </c>
      <c r="AN67" s="3281"/>
      <c r="AO67" s="2644">
        <f t="shared" si="55"/>
        <v>1.3227513227513227E-2</v>
      </c>
      <c r="AP67" s="531"/>
      <c r="AQ67" s="368"/>
      <c r="AR67" s="368"/>
      <c r="AS67" s="368"/>
    </row>
    <row r="68" spans="1:45" s="358" customFormat="1" ht="15" customHeight="1">
      <c r="A68" s="114"/>
      <c r="B68" s="548"/>
      <c r="C68" s="548"/>
      <c r="D68" s="548"/>
      <c r="E68" s="548"/>
      <c r="F68" s="548"/>
      <c r="G68" s="368"/>
      <c r="H68" s="550"/>
      <c r="I68" s="592"/>
      <c r="J68" s="4579" t="s">
        <v>795</v>
      </c>
      <c r="K68" s="593" t="s">
        <v>796</v>
      </c>
      <c r="L68" s="594" t="s">
        <v>795</v>
      </c>
      <c r="M68" s="595" t="s">
        <v>796</v>
      </c>
      <c r="N68" s="4579" t="s">
        <v>795</v>
      </c>
      <c r="O68" s="596" t="s">
        <v>796</v>
      </c>
      <c r="P68" s="368"/>
      <c r="Q68" s="368"/>
      <c r="R68" s="617"/>
      <c r="S68" s="4345">
        <v>19.5</v>
      </c>
      <c r="T68" s="4345">
        <f>(T67+T69)/2</f>
        <v>0.88949999999999996</v>
      </c>
      <c r="U68" s="83"/>
      <c r="W68" s="83"/>
      <c r="X68" s="83"/>
      <c r="Y68" s="83"/>
      <c r="Z68" s="83"/>
      <c r="AA68" s="545"/>
      <c r="AB68" s="545"/>
      <c r="AC68" s="545"/>
      <c r="AD68" s="503"/>
      <c r="AE68" s="503"/>
      <c r="AF68" s="503"/>
      <c r="AG68" s="503"/>
      <c r="AH68" s="503"/>
      <c r="AI68" s="83"/>
      <c r="AJ68" s="610"/>
      <c r="AK68" s="1727">
        <v>7</v>
      </c>
      <c r="AL68" s="2199">
        <f t="shared" si="53"/>
        <v>0.24691358024691357</v>
      </c>
      <c r="AM68" s="3280" t="str">
        <f t="shared" si="56"/>
        <v>0  lb   0.25  oz</v>
      </c>
      <c r="AN68" s="3281"/>
      <c r="AO68" s="2644">
        <f t="shared" si="55"/>
        <v>1.5432098765432098E-2</v>
      </c>
      <c r="AP68" s="531"/>
      <c r="AQ68" s="368"/>
      <c r="AR68" s="368"/>
      <c r="AS68" s="368"/>
    </row>
    <row r="69" spans="1:45" s="358" customFormat="1" ht="15" customHeight="1">
      <c r="A69" s="114"/>
      <c r="B69" s="548"/>
      <c r="C69" s="548"/>
      <c r="D69" s="548"/>
      <c r="E69" s="548"/>
      <c r="F69" s="548"/>
      <c r="G69" s="368"/>
      <c r="H69" s="3910" t="s">
        <v>1477</v>
      </c>
      <c r="I69" s="3911"/>
      <c r="J69" s="597">
        <v>10</v>
      </c>
      <c r="K69" s="2645">
        <v>0</v>
      </c>
      <c r="L69" s="2646">
        <f>J69</f>
        <v>10</v>
      </c>
      <c r="M69" s="598">
        <f>K69</f>
        <v>0</v>
      </c>
      <c r="N69" s="2647">
        <f>J69</f>
        <v>10</v>
      </c>
      <c r="O69" s="2645">
        <f>K69</f>
        <v>0</v>
      </c>
      <c r="P69" s="368"/>
      <c r="Q69" s="368"/>
      <c r="R69" s="610"/>
      <c r="S69" s="4345">
        <v>20</v>
      </c>
      <c r="T69" s="4352">
        <v>0.877</v>
      </c>
      <c r="U69" s="83"/>
      <c r="V69" s="618">
        <f>J69*60+K69</f>
        <v>600</v>
      </c>
      <c r="W69" s="619">
        <f>L69*60+M69</f>
        <v>600</v>
      </c>
      <c r="X69" s="620">
        <f>N69*60+O69</f>
        <v>600</v>
      </c>
      <c r="Y69" s="83"/>
      <c r="Z69" s="83"/>
      <c r="AA69" s="545"/>
      <c r="AB69" s="545"/>
      <c r="AC69" s="545"/>
      <c r="AD69" s="503"/>
      <c r="AE69" s="503"/>
      <c r="AF69" s="503"/>
      <c r="AG69" s="503"/>
      <c r="AH69" s="503"/>
      <c r="AI69" s="83"/>
      <c r="AJ69" s="610"/>
      <c r="AK69" s="1727">
        <v>8</v>
      </c>
      <c r="AL69" s="2199">
        <f t="shared" ref="AL69:AL71" si="57">16*AO69</f>
        <v>0.2821869488536155</v>
      </c>
      <c r="AM69" s="3280" t="str">
        <f t="shared" ref="AM69:AM71" si="58">INT(AL69/16)&amp;"  lb   "&amp;FIXED(AL69-16*INT(AL69/16),2)&amp;"  oz"</f>
        <v>0  lb   0.28  oz</v>
      </c>
      <c r="AN69" s="3281"/>
      <c r="AO69" s="2644">
        <f t="shared" ref="AO69:AO71" si="59">AK69/(1000*0.4536)</f>
        <v>1.7636684303350969E-2</v>
      </c>
      <c r="AP69" s="531"/>
      <c r="AQ69" s="368"/>
      <c r="AR69" s="368"/>
      <c r="AS69" s="368"/>
    </row>
    <row r="70" spans="1:45" s="358" customFormat="1" ht="15" customHeight="1">
      <c r="A70" s="114"/>
      <c r="B70" s="548"/>
      <c r="C70" s="548"/>
      <c r="D70" s="548"/>
      <c r="E70" s="548"/>
      <c r="F70" s="548"/>
      <c r="G70" s="368"/>
      <c r="H70" s="4837" t="s">
        <v>1478</v>
      </c>
      <c r="I70" s="3912"/>
      <c r="J70" s="599">
        <f>INT(V70/60)</f>
        <v>10</v>
      </c>
      <c r="K70" s="600">
        <f>60*(MOD(V70/60,60)-J70)</f>
        <v>39.999999999999964</v>
      </c>
      <c r="L70" s="601">
        <f>INT(W70/60)</f>
        <v>10</v>
      </c>
      <c r="M70" s="602">
        <f>60*(MOD(W70/60,60)-L70)</f>
        <v>30</v>
      </c>
      <c r="N70" s="601">
        <f>INT(X70/60)</f>
        <v>10</v>
      </c>
      <c r="O70" s="600">
        <f>60*(MOD(X70/60,60)-N70)</f>
        <v>20.000000000000036</v>
      </c>
      <c r="P70" s="368"/>
      <c r="Q70" s="368"/>
      <c r="R70" s="617"/>
      <c r="S70" s="4345">
        <f>(S69+S71)/2</f>
        <v>20.5</v>
      </c>
      <c r="T70" s="4345">
        <f>(T69+T71)/2</f>
        <v>0.86450000000000005</v>
      </c>
      <c r="U70" s="83"/>
      <c r="V70" s="4838">
        <f>V72-J53</f>
        <v>640</v>
      </c>
      <c r="W70" s="540">
        <f>W72-M53</f>
        <v>630</v>
      </c>
      <c r="X70" s="621">
        <f>X72-P53</f>
        <v>620</v>
      </c>
      <c r="Y70" s="83"/>
      <c r="Z70" s="83"/>
      <c r="AA70" s="545"/>
      <c r="AB70" s="545"/>
      <c r="AC70" s="545"/>
      <c r="AD70" s="503"/>
      <c r="AE70" s="503"/>
      <c r="AF70" s="503"/>
      <c r="AG70" s="503"/>
      <c r="AH70" s="503"/>
      <c r="AI70" s="83"/>
      <c r="AJ70" s="610"/>
      <c r="AK70" s="1727">
        <v>9</v>
      </c>
      <c r="AL70" s="2199">
        <f t="shared" si="57"/>
        <v>0.31746031746031744</v>
      </c>
      <c r="AM70" s="3280" t="str">
        <f t="shared" si="58"/>
        <v>0  lb   0.32  oz</v>
      </c>
      <c r="AN70" s="3281"/>
      <c r="AO70" s="2644">
        <f t="shared" si="59"/>
        <v>1.984126984126984E-2</v>
      </c>
      <c r="AP70" s="531"/>
      <c r="AQ70" s="368"/>
      <c r="AR70" s="368"/>
      <c r="AS70" s="368"/>
    </row>
    <row r="71" spans="1:45" s="358" customFormat="1" ht="15" customHeight="1">
      <c r="A71" s="114"/>
      <c r="B71" s="548"/>
      <c r="C71" s="548"/>
      <c r="D71" s="548"/>
      <c r="E71" s="548"/>
      <c r="F71" s="548"/>
      <c r="G71" s="368"/>
      <c r="H71" s="4837" t="s">
        <v>1479</v>
      </c>
      <c r="I71" s="3912"/>
      <c r="J71" s="4584">
        <f>INT(V71/60)</f>
        <v>10</v>
      </c>
      <c r="K71" s="603">
        <f>60*(MOD(V71/60,60)-J71)</f>
        <v>54.999999999999964</v>
      </c>
      <c r="L71" s="4839">
        <f>INT(W71/60)</f>
        <v>10</v>
      </c>
      <c r="M71" s="604">
        <f>60*(MOD(W71/60,60)-L71)</f>
        <v>45</v>
      </c>
      <c r="N71" s="4839">
        <f>INT(X71/60)</f>
        <v>10</v>
      </c>
      <c r="O71" s="603">
        <f>60*(MOD(X71/60,60)-N71)</f>
        <v>35.000000000000036</v>
      </c>
      <c r="P71" s="368"/>
      <c r="Q71" s="368"/>
      <c r="R71" s="368"/>
      <c r="S71" s="4345">
        <v>21</v>
      </c>
      <c r="T71" s="4352">
        <v>0.85199999999999998</v>
      </c>
      <c r="U71" s="83"/>
      <c r="V71" s="4838">
        <f>V72-K53</f>
        <v>655</v>
      </c>
      <c r="W71" s="540">
        <f>W72-N53</f>
        <v>645</v>
      </c>
      <c r="X71" s="621">
        <f>X72-Q53</f>
        <v>635</v>
      </c>
      <c r="Y71" s="83"/>
      <c r="Z71" s="83"/>
      <c r="AA71" s="545"/>
      <c r="AB71" s="545"/>
      <c r="AC71" s="545"/>
      <c r="AD71" s="503"/>
      <c r="AE71" s="503"/>
      <c r="AF71" s="503"/>
      <c r="AG71" s="503"/>
      <c r="AH71" s="503"/>
      <c r="AI71" s="83"/>
      <c r="AJ71" s="610"/>
      <c r="AK71" s="1727">
        <v>10</v>
      </c>
      <c r="AL71" s="2199">
        <f t="shared" si="57"/>
        <v>0.35273368606701938</v>
      </c>
      <c r="AM71" s="3280" t="str">
        <f t="shared" si="58"/>
        <v>0  lb   0.35  oz</v>
      </c>
      <c r="AN71" s="3281"/>
      <c r="AO71" s="2644">
        <f t="shared" si="59"/>
        <v>2.2045855379188711E-2</v>
      </c>
      <c r="AP71" s="531"/>
      <c r="AQ71" s="368"/>
      <c r="AR71" s="368"/>
      <c r="AS71" s="368"/>
    </row>
    <row r="72" spans="1:45" s="358" customFormat="1" ht="15" customHeight="1">
      <c r="A72" s="114"/>
      <c r="B72" s="548"/>
      <c r="C72" s="548"/>
      <c r="D72" s="548"/>
      <c r="E72" s="548"/>
      <c r="F72" s="548"/>
      <c r="G72" s="368"/>
      <c r="H72" s="3901" t="s">
        <v>826</v>
      </c>
      <c r="I72" s="3902"/>
      <c r="J72" s="2648">
        <f>INT(V72/60)</f>
        <v>11</v>
      </c>
      <c r="K72" s="2649">
        <f>60*(MOD(V72/60,60)-J72)</f>
        <v>9.9999999999999645</v>
      </c>
      <c r="L72" s="2650">
        <f>INT(W72/60)</f>
        <v>11</v>
      </c>
      <c r="M72" s="2651">
        <f>60*(MOD(W72/60,60)-L72)</f>
        <v>0</v>
      </c>
      <c r="N72" s="2650">
        <f>INT(X72/60)</f>
        <v>10</v>
      </c>
      <c r="O72" s="2649">
        <f>60*(MOD(X72/60,60)-N72)</f>
        <v>50.000000000000036</v>
      </c>
      <c r="P72" s="368"/>
      <c r="Q72" s="368"/>
      <c r="R72" s="617"/>
      <c r="S72" s="4345">
        <f>(S71+S73)/2</f>
        <v>21.5</v>
      </c>
      <c r="T72" s="4345">
        <f>(T71+T73)/2</f>
        <v>0.83949999999999991</v>
      </c>
      <c r="U72" s="83"/>
      <c r="V72" s="4838">
        <f>V69+I53</f>
        <v>670</v>
      </c>
      <c r="W72" s="540">
        <f>W69+L53</f>
        <v>660</v>
      </c>
      <c r="X72" s="621">
        <f>X69+O53</f>
        <v>650</v>
      </c>
      <c r="Y72" s="83"/>
      <c r="Z72" s="83"/>
      <c r="AA72" s="545"/>
      <c r="AB72" s="545"/>
      <c r="AC72" s="545"/>
      <c r="AD72" s="503"/>
      <c r="AE72" s="503"/>
      <c r="AF72" s="503"/>
      <c r="AG72" s="503"/>
      <c r="AH72" s="503"/>
      <c r="AI72" s="83"/>
      <c r="AJ72" s="610"/>
      <c r="AK72" s="610"/>
      <c r="AL72" s="610"/>
      <c r="AM72" s="610"/>
      <c r="AN72" s="610"/>
      <c r="AO72" s="610"/>
      <c r="AP72" s="610"/>
      <c r="AQ72" s="368"/>
      <c r="AR72" s="368"/>
      <c r="AS72" s="368"/>
    </row>
    <row r="73" spans="1:45" s="358" customFormat="1" ht="15" customHeight="1">
      <c r="A73" s="114"/>
      <c r="B73" s="548"/>
      <c r="C73" s="548"/>
      <c r="D73" s="548"/>
      <c r="E73" s="548"/>
      <c r="F73" s="548"/>
      <c r="G73" s="368"/>
      <c r="H73" s="3903" t="s">
        <v>830</v>
      </c>
      <c r="I73" s="3904"/>
      <c r="J73" s="605">
        <f>L53</f>
        <v>60</v>
      </c>
      <c r="K73" s="606" t="s">
        <v>831</v>
      </c>
      <c r="L73" s="605">
        <f>I53</f>
        <v>70</v>
      </c>
      <c r="M73" s="607" t="s">
        <v>831</v>
      </c>
      <c r="N73" s="605">
        <f>O53</f>
        <v>50</v>
      </c>
      <c r="O73" s="608" t="s">
        <v>831</v>
      </c>
      <c r="P73" s="368"/>
      <c r="Q73" s="368"/>
      <c r="R73" s="73"/>
      <c r="S73" s="4345">
        <v>22</v>
      </c>
      <c r="T73" s="4352">
        <v>0.82699999999999996</v>
      </c>
      <c r="U73" s="83"/>
      <c r="V73" s="3880" t="s">
        <v>1480</v>
      </c>
      <c r="W73" s="3881"/>
      <c r="X73" s="3882"/>
      <c r="Y73" s="83"/>
      <c r="Z73" s="83"/>
      <c r="AA73" s="545"/>
      <c r="AB73" s="545"/>
      <c r="AC73" s="545"/>
      <c r="AD73" s="503"/>
      <c r="AE73" s="503"/>
      <c r="AF73" s="503"/>
      <c r="AG73" s="503"/>
      <c r="AH73" s="503"/>
      <c r="AI73" s="83"/>
      <c r="AJ73" s="610"/>
      <c r="AK73" s="610"/>
      <c r="AL73" s="610"/>
      <c r="AM73" s="610"/>
      <c r="AN73" s="610"/>
      <c r="AO73" s="610"/>
      <c r="AP73" s="610"/>
      <c r="AQ73" s="368"/>
      <c r="AR73" s="368"/>
      <c r="AS73" s="368"/>
    </row>
    <row r="74" spans="1:45" s="358" customFormat="1" ht="15" customHeight="1">
      <c r="A74" s="114"/>
      <c r="B74" s="548"/>
      <c r="C74" s="548"/>
      <c r="D74" s="548"/>
      <c r="E74" s="548"/>
      <c r="F74" s="548"/>
      <c r="G74" s="368"/>
      <c r="H74" s="551" t="s">
        <v>1481</v>
      </c>
      <c r="I74" s="609"/>
      <c r="J74" s="368"/>
      <c r="K74" s="368"/>
      <c r="L74" s="368"/>
      <c r="M74" s="368"/>
      <c r="N74" s="368"/>
      <c r="O74" s="368"/>
      <c r="P74" s="368"/>
      <c r="Q74" s="368"/>
      <c r="R74" s="622"/>
      <c r="S74" s="4345">
        <f>(S73+S75)/2</f>
        <v>22.5</v>
      </c>
      <c r="T74" s="4345">
        <f>(T73+T75)/2</f>
        <v>0.8145</v>
      </c>
      <c r="U74" s="83"/>
      <c r="AH74" s="503"/>
      <c r="AI74" s="83"/>
      <c r="AJ74" s="610"/>
      <c r="AK74" s="2796" t="s">
        <v>85</v>
      </c>
      <c r="AL74" s="2652" t="s">
        <v>86</v>
      </c>
      <c r="AM74" s="2199" t="s">
        <v>737</v>
      </c>
      <c r="AN74" s="2302" t="s">
        <v>91</v>
      </c>
      <c r="AO74" s="610"/>
      <c r="AP74" s="610"/>
      <c r="AQ74" s="368"/>
      <c r="AR74" s="368"/>
      <c r="AS74" s="368"/>
    </row>
    <row r="75" spans="1:45" s="358" customFormat="1" ht="15" customHeight="1">
      <c r="A75" s="114"/>
      <c r="B75" s="548"/>
      <c r="C75" s="548"/>
      <c r="D75" s="548"/>
      <c r="E75" s="548"/>
      <c r="F75" s="548"/>
      <c r="G75" s="368"/>
      <c r="H75" s="368"/>
      <c r="I75" s="368"/>
      <c r="J75" s="368"/>
      <c r="K75" s="368"/>
      <c r="L75" s="368"/>
      <c r="M75" s="368"/>
      <c r="N75" s="368"/>
      <c r="O75" s="368"/>
      <c r="P75" s="368"/>
      <c r="Q75" s="368"/>
      <c r="R75" s="368"/>
      <c r="S75" s="4345">
        <v>23</v>
      </c>
      <c r="T75" s="4352">
        <v>0.80200000000000005</v>
      </c>
      <c r="U75" s="83"/>
      <c r="AH75" s="503"/>
      <c r="AI75" s="83"/>
      <c r="AJ75" s="610"/>
      <c r="AK75" s="2356">
        <v>1</v>
      </c>
      <c r="AL75" s="2653">
        <v>0.111</v>
      </c>
      <c r="AM75" s="2654">
        <f t="shared" ref="AM75:AM81" si="60">AK75*16+AL75</f>
        <v>16.111000000000001</v>
      </c>
      <c r="AN75" s="2380">
        <f t="shared" ref="AN75:AN81" si="61">1000*(AK75+AL75/16)*0.4536</f>
        <v>456.74684999999999</v>
      </c>
      <c r="AO75" s="368"/>
      <c r="AP75" s="368"/>
      <c r="AQ75" s="368"/>
      <c r="AR75" s="368"/>
      <c r="AS75" s="368"/>
    </row>
    <row r="76" spans="1:45" s="358" customFormat="1" ht="15" customHeight="1">
      <c r="A76" s="114"/>
      <c r="B76" s="548"/>
      <c r="C76" s="548"/>
      <c r="D76" s="548"/>
      <c r="E76" s="548"/>
      <c r="F76" s="548"/>
      <c r="G76" s="552" t="s">
        <v>806</v>
      </c>
      <c r="H76" s="2655">
        <v>0.04</v>
      </c>
      <c r="I76" s="2655">
        <v>4.1500000000000004</v>
      </c>
      <c r="J76" s="3905" t="s">
        <v>812</v>
      </c>
      <c r="K76" s="3906"/>
      <c r="L76" s="4840" t="s">
        <v>800</v>
      </c>
      <c r="M76" s="3891"/>
      <c r="N76" s="3891"/>
      <c r="O76" s="3891"/>
      <c r="P76" s="610"/>
      <c r="Q76" s="610"/>
      <c r="R76" s="622"/>
      <c r="S76" s="4345">
        <f>(S75+S77)/2</f>
        <v>23.5</v>
      </c>
      <c r="T76" s="4345">
        <f>(T75+T77)/2</f>
        <v>0.79150000000000009</v>
      </c>
      <c r="U76" s="83"/>
      <c r="AH76" s="503"/>
      <c r="AI76" s="83"/>
      <c r="AJ76" s="610"/>
      <c r="AK76" s="2356">
        <v>2</v>
      </c>
      <c r="AL76" s="2653">
        <v>1.111</v>
      </c>
      <c r="AM76" s="2654">
        <f t="shared" si="60"/>
        <v>33.110999999999997</v>
      </c>
      <c r="AN76" s="2380">
        <f t="shared" si="61"/>
        <v>938.69685000000004</v>
      </c>
      <c r="AO76" s="368"/>
      <c r="AP76" s="368"/>
      <c r="AQ76" s="368"/>
      <c r="AR76" s="368"/>
      <c r="AS76" s="368"/>
    </row>
    <row r="77" spans="1:45" s="358" customFormat="1" ht="15" customHeight="1">
      <c r="A77" s="114"/>
      <c r="B77" s="548"/>
      <c r="C77" s="548"/>
      <c r="D77" s="548"/>
      <c r="E77" s="548"/>
      <c r="F77" s="548"/>
      <c r="G77" s="368"/>
      <c r="H77" s="2656">
        <v>0.04</v>
      </c>
      <c r="I77" s="2656">
        <v>4.1500000000000004</v>
      </c>
      <c r="J77" s="3907" t="s">
        <v>816</v>
      </c>
      <c r="K77" s="3908"/>
      <c r="L77" s="4840"/>
      <c r="M77" s="3891"/>
      <c r="N77" s="3891"/>
      <c r="O77" s="3891"/>
      <c r="P77" s="368"/>
      <c r="Q77" s="368"/>
      <c r="R77" s="623"/>
      <c r="S77" s="4345">
        <v>24</v>
      </c>
      <c r="T77" s="4352">
        <v>0.78100000000000003</v>
      </c>
      <c r="U77" s="83"/>
      <c r="AH77" s="503"/>
      <c r="AI77" s="83"/>
      <c r="AJ77" s="610"/>
      <c r="AK77" s="2356">
        <v>3</v>
      </c>
      <c r="AL77" s="2653">
        <v>2.1110000000000002</v>
      </c>
      <c r="AM77" s="2654">
        <f t="shared" si="60"/>
        <v>50.110999999999997</v>
      </c>
      <c r="AN77" s="2380">
        <f t="shared" si="61"/>
        <v>1420.6468500000001</v>
      </c>
      <c r="AO77" s="368"/>
      <c r="AP77" s="368"/>
      <c r="AQ77" s="368"/>
      <c r="AR77" s="368"/>
      <c r="AS77" s="368"/>
    </row>
    <row r="78" spans="1:45" s="358" customFormat="1" ht="15" customHeight="1">
      <c r="A78" s="114"/>
      <c r="B78" s="548"/>
      <c r="C78" s="548"/>
      <c r="D78" s="548"/>
      <c r="E78" s="548"/>
      <c r="F78" s="548"/>
      <c r="G78" s="368"/>
      <c r="H78" s="368"/>
      <c r="I78" s="368"/>
      <c r="J78" s="368"/>
      <c r="K78" s="368"/>
      <c r="L78" s="368"/>
      <c r="M78" s="368"/>
      <c r="N78" s="368"/>
      <c r="O78" s="368"/>
      <c r="P78" s="368"/>
      <c r="Q78" s="368"/>
      <c r="R78" s="623"/>
      <c r="S78" s="4345">
        <f>(S77+S79)/2</f>
        <v>24.5</v>
      </c>
      <c r="T78" s="4345">
        <f>(T77+T79)/2</f>
        <v>0.77</v>
      </c>
      <c r="U78" s="83"/>
      <c r="AH78" s="503"/>
      <c r="AI78" s="83"/>
      <c r="AJ78" s="610"/>
      <c r="AK78" s="2356">
        <v>4</v>
      </c>
      <c r="AL78" s="2653">
        <v>3.1110000000000002</v>
      </c>
      <c r="AM78" s="2654">
        <f t="shared" si="60"/>
        <v>67.111000000000004</v>
      </c>
      <c r="AN78" s="2380">
        <f t="shared" si="61"/>
        <v>1902.5968499999999</v>
      </c>
      <c r="AO78" s="368"/>
      <c r="AP78" s="368"/>
      <c r="AQ78" s="368"/>
      <c r="AR78" s="368"/>
      <c r="AS78" s="368"/>
    </row>
    <row r="79" spans="1:45" s="358" customFormat="1" ht="15" customHeight="1">
      <c r="A79" s="114"/>
      <c r="B79" s="548"/>
      <c r="C79" s="548"/>
      <c r="D79" s="548"/>
      <c r="E79" s="548"/>
      <c r="F79" s="548"/>
      <c r="G79" s="368"/>
      <c r="H79" s="2402">
        <v>1</v>
      </c>
      <c r="I79" s="3081" t="s">
        <v>255</v>
      </c>
      <c r="J79" s="3082"/>
      <c r="K79" s="2403">
        <v>23</v>
      </c>
      <c r="L79" s="3183" t="s">
        <v>825</v>
      </c>
      <c r="M79" s="3184"/>
      <c r="N79" s="2405" t="str">
        <f>FIXED((H79*'Beer Data Sheet'!$T$17/K79),1)&amp;" EBU"</f>
        <v>3.0 EBU</v>
      </c>
      <c r="O79" s="368"/>
      <c r="P79" s="368"/>
      <c r="Q79" s="368"/>
      <c r="R79" s="624"/>
      <c r="S79" s="4345">
        <v>25</v>
      </c>
      <c r="T79" s="4352">
        <v>0.75900000000000001</v>
      </c>
      <c r="U79" s="83"/>
      <c r="AH79" s="503"/>
      <c r="AI79" s="83"/>
      <c r="AJ79" s="610"/>
      <c r="AK79" s="2356">
        <v>5</v>
      </c>
      <c r="AL79" s="2653">
        <v>4.1109999999999998</v>
      </c>
      <c r="AM79" s="2654">
        <f t="shared" si="60"/>
        <v>84.111000000000004</v>
      </c>
      <c r="AN79" s="2380">
        <f t="shared" si="61"/>
        <v>2384.5468500000002</v>
      </c>
      <c r="AO79" s="368"/>
      <c r="AP79" s="368"/>
      <c r="AQ79" s="368"/>
      <c r="AR79" s="368"/>
      <c r="AS79" s="368"/>
    </row>
    <row r="80" spans="1:45" s="358" customFormat="1" ht="15" customHeight="1">
      <c r="A80" s="114"/>
      <c r="B80" s="548"/>
      <c r="C80" s="548"/>
      <c r="D80" s="548"/>
      <c r="E80" s="548"/>
      <c r="F80" s="548"/>
      <c r="G80" s="368"/>
      <c r="H80" s="118"/>
      <c r="I80" s="368"/>
      <c r="J80" s="368"/>
      <c r="K80" s="368"/>
      <c r="L80" s="368"/>
      <c r="M80" s="611"/>
      <c r="N80" s="368"/>
      <c r="O80" s="368"/>
      <c r="P80" s="368"/>
      <c r="Q80" s="368"/>
      <c r="R80" s="114"/>
      <c r="S80" s="4345">
        <f>(S79+S81)/2</f>
        <v>25.5</v>
      </c>
      <c r="T80" s="4345">
        <f>(T79+T81)/2</f>
        <v>0.74849999999999994</v>
      </c>
      <c r="U80" s="83"/>
      <c r="AH80" s="533"/>
      <c r="AI80" s="83"/>
      <c r="AJ80" s="610"/>
      <c r="AK80" s="2356">
        <v>6</v>
      </c>
      <c r="AL80" s="2653">
        <v>5.1109999999999998</v>
      </c>
      <c r="AM80" s="2654">
        <f t="shared" si="60"/>
        <v>101.111</v>
      </c>
      <c r="AN80" s="2380">
        <f t="shared" si="61"/>
        <v>2866.49685</v>
      </c>
      <c r="AO80" s="368"/>
      <c r="AP80" s="368"/>
      <c r="AQ80" s="368"/>
      <c r="AR80" s="368"/>
      <c r="AS80" s="368"/>
    </row>
    <row r="81" spans="1:45" s="358" customFormat="1" ht="15" customHeight="1">
      <c r="A81" s="114"/>
      <c r="B81" s="548"/>
      <c r="C81" s="548"/>
      <c r="D81" s="548"/>
      <c r="E81" s="548"/>
      <c r="F81" s="548"/>
      <c r="G81" s="3892" t="s">
        <v>1482</v>
      </c>
      <c r="H81" s="3892"/>
      <c r="I81" s="3892"/>
      <c r="J81" s="3892"/>
      <c r="K81" s="3892"/>
      <c r="L81" s="3892"/>
      <c r="M81" s="3892"/>
      <c r="N81" s="3892"/>
      <c r="O81" s="3892"/>
      <c r="P81" s="3892"/>
      <c r="Q81" s="3892"/>
      <c r="R81" s="114"/>
      <c r="S81" s="4345">
        <v>26</v>
      </c>
      <c r="T81" s="4352">
        <v>0.73799999999999999</v>
      </c>
      <c r="U81" s="83"/>
      <c r="AH81" s="511"/>
      <c r="AI81" s="83"/>
      <c r="AJ81" s="610"/>
      <c r="AK81" s="2356">
        <v>7</v>
      </c>
      <c r="AL81" s="2653">
        <v>6.1109999999999998</v>
      </c>
      <c r="AM81" s="2654">
        <f t="shared" si="60"/>
        <v>118.111</v>
      </c>
      <c r="AN81" s="2380">
        <f t="shared" si="61"/>
        <v>3348.4468499999998</v>
      </c>
      <c r="AO81" s="368"/>
      <c r="AP81" s="368"/>
      <c r="AQ81" s="368"/>
      <c r="AR81" s="368"/>
      <c r="AS81" s="368"/>
    </row>
    <row r="82" spans="1:45" s="358" customFormat="1" ht="15" customHeight="1">
      <c r="A82" s="114"/>
      <c r="B82" s="548"/>
      <c r="C82" s="548"/>
      <c r="D82" s="548"/>
      <c r="E82" s="548"/>
      <c r="F82" s="548"/>
      <c r="G82" s="3892"/>
      <c r="H82" s="3892"/>
      <c r="I82" s="3892"/>
      <c r="J82" s="3892"/>
      <c r="K82" s="3892"/>
      <c r="L82" s="3892"/>
      <c r="M82" s="3892"/>
      <c r="N82" s="3892"/>
      <c r="O82" s="3892"/>
      <c r="P82" s="3892"/>
      <c r="Q82" s="3892"/>
      <c r="R82" s="364"/>
      <c r="S82" s="4345">
        <v>27</v>
      </c>
      <c r="T82" s="4352">
        <v>0.71799999999999997</v>
      </c>
      <c r="U82" s="83"/>
      <c r="AH82" s="511"/>
      <c r="AI82" s="83"/>
      <c r="AJ82" s="610"/>
      <c r="AK82" s="2356">
        <v>8</v>
      </c>
      <c r="AL82" s="2653">
        <v>7.1109999999999998</v>
      </c>
      <c r="AM82" s="2654">
        <f t="shared" ref="AM82:AM84" si="62">AK82*16+AL82</f>
        <v>135.11099999999999</v>
      </c>
      <c r="AN82" s="2380">
        <f t="shared" ref="AN82:AN84" si="63">1000*(AK82+AL82/16)*0.4536</f>
        <v>3830.3968500000001</v>
      </c>
      <c r="AO82" s="368"/>
      <c r="AP82" s="368"/>
      <c r="AQ82" s="368"/>
      <c r="AR82" s="368"/>
      <c r="AS82" s="368"/>
    </row>
    <row r="83" spans="1:45" s="358" customFormat="1" ht="15" customHeight="1">
      <c r="A83" s="114"/>
      <c r="B83" s="548"/>
      <c r="C83" s="548"/>
      <c r="D83" s="548"/>
      <c r="E83" s="548"/>
      <c r="F83" s="548"/>
      <c r="G83" s="3893" t="s">
        <v>1483</v>
      </c>
      <c r="H83" s="3893"/>
      <c r="I83" s="3893"/>
      <c r="J83" s="3893"/>
      <c r="K83" s="3893"/>
      <c r="L83" s="3893"/>
      <c r="M83" s="3893"/>
      <c r="N83" s="3893"/>
      <c r="O83" s="3893"/>
      <c r="P83" s="3893"/>
      <c r="Q83" s="3893"/>
      <c r="R83" s="3893"/>
      <c r="S83" s="4345">
        <v>28</v>
      </c>
      <c r="T83" s="4352">
        <v>0.69899999999999995</v>
      </c>
      <c r="U83" s="83"/>
      <c r="AH83" s="511"/>
      <c r="AI83" s="83"/>
      <c r="AJ83" s="610"/>
      <c r="AK83" s="2356">
        <v>9</v>
      </c>
      <c r="AL83" s="2653">
        <v>8.1110000000000007</v>
      </c>
      <c r="AM83" s="2654">
        <f t="shared" si="62"/>
        <v>152.11099999999999</v>
      </c>
      <c r="AN83" s="2380">
        <f t="shared" si="63"/>
        <v>4312.3468499999999</v>
      </c>
      <c r="AO83" s="368"/>
      <c r="AP83" s="368"/>
      <c r="AQ83" s="368"/>
      <c r="AR83" s="368"/>
      <c r="AS83" s="368"/>
    </row>
    <row r="84" spans="1:45" s="358" customFormat="1" ht="15" customHeight="1">
      <c r="A84" s="114"/>
      <c r="B84" s="548"/>
      <c r="C84" s="548"/>
      <c r="D84" s="548"/>
      <c r="E84" s="548"/>
      <c r="F84" s="548"/>
      <c r="G84" s="3893"/>
      <c r="H84" s="3893"/>
      <c r="I84" s="3893"/>
      <c r="J84" s="3893"/>
      <c r="K84" s="3893"/>
      <c r="L84" s="3893"/>
      <c r="M84" s="3893"/>
      <c r="N84" s="3893"/>
      <c r="O84" s="3893"/>
      <c r="P84" s="3893"/>
      <c r="Q84" s="3893"/>
      <c r="R84" s="3893"/>
      <c r="S84" s="4345">
        <v>29</v>
      </c>
      <c r="T84" s="4346">
        <v>0.68200000000000005</v>
      </c>
      <c r="U84" s="83"/>
      <c r="AH84" s="511"/>
      <c r="AI84" s="83"/>
      <c r="AJ84" s="610"/>
      <c r="AK84" s="2356">
        <v>10</v>
      </c>
      <c r="AL84" s="2653">
        <v>9.1110000000000007</v>
      </c>
      <c r="AM84" s="2654">
        <f t="shared" si="62"/>
        <v>169.11099999999999</v>
      </c>
      <c r="AN84" s="2380">
        <f t="shared" si="63"/>
        <v>4794.2968499999997</v>
      </c>
      <c r="AO84" s="368"/>
      <c r="AP84" s="368"/>
      <c r="AQ84" s="368"/>
      <c r="AR84" s="368"/>
      <c r="AS84" s="368"/>
    </row>
    <row r="85" spans="1:45" s="358" customFormat="1" ht="15" customHeight="1">
      <c r="A85" s="1937"/>
      <c r="B85" s="548"/>
      <c r="C85" s="548"/>
      <c r="D85" s="548"/>
      <c r="E85" s="548"/>
      <c r="F85" s="548"/>
      <c r="G85" s="368"/>
      <c r="H85" s="368"/>
      <c r="I85" s="368"/>
      <c r="J85" s="368"/>
      <c r="K85" s="368"/>
      <c r="L85" s="368"/>
      <c r="M85" s="368"/>
      <c r="N85" s="368"/>
      <c r="O85" s="368"/>
      <c r="P85" s="368"/>
      <c r="Q85" s="368"/>
      <c r="R85" s="1114"/>
      <c r="S85" s="4395">
        <v>30</v>
      </c>
      <c r="T85" s="4396">
        <v>0.66500000000000004</v>
      </c>
      <c r="U85" s="625"/>
      <c r="AH85" s="511"/>
      <c r="AI85" s="83"/>
      <c r="AJ85" s="610"/>
      <c r="AK85" s="610"/>
      <c r="AL85" s="368"/>
      <c r="AM85" s="368"/>
      <c r="AN85" s="368"/>
      <c r="AO85" s="368"/>
      <c r="AP85" s="368"/>
      <c r="AQ85" s="368"/>
      <c r="AR85" s="368"/>
      <c r="AS85" s="368"/>
    </row>
    <row r="86" spans="1:45" s="358" customFormat="1" ht="15" customHeight="1">
      <c r="A86" s="1937"/>
      <c r="B86" s="548"/>
      <c r="C86" s="548"/>
      <c r="D86" s="548"/>
      <c r="E86" s="548"/>
      <c r="F86" s="548"/>
      <c r="G86" s="3909" t="s">
        <v>819</v>
      </c>
      <c r="H86" s="3909"/>
      <c r="I86" s="3909"/>
      <c r="J86" s="368"/>
      <c r="K86" s="368"/>
      <c r="L86" s="3890" t="s">
        <v>836</v>
      </c>
      <c r="M86" s="3890"/>
      <c r="N86" s="3570" t="s">
        <v>1484</v>
      </c>
      <c r="O86" s="3570"/>
      <c r="P86" s="3570"/>
      <c r="Q86" s="3570"/>
      <c r="R86" s="3570"/>
      <c r="U86" s="625"/>
      <c r="AH86" s="511"/>
      <c r="AI86" s="83"/>
      <c r="AJ86" s="610"/>
      <c r="AK86" s="610"/>
      <c r="AL86" s="368"/>
      <c r="AM86" s="368"/>
      <c r="AN86" s="368"/>
      <c r="AO86" s="368"/>
      <c r="AP86" s="368"/>
      <c r="AQ86" s="368"/>
      <c r="AR86" s="368"/>
      <c r="AS86" s="368"/>
    </row>
    <row r="87" spans="1:45" s="358" customFormat="1" ht="15" customHeight="1">
      <c r="A87" s="1937"/>
      <c r="B87" s="548"/>
      <c r="C87" s="548"/>
      <c r="D87" s="548"/>
      <c r="E87" s="548"/>
      <c r="F87" s="548"/>
      <c r="G87" s="553" t="s">
        <v>1485</v>
      </c>
      <c r="H87" s="3242" t="s">
        <v>333</v>
      </c>
      <c r="I87" s="3242"/>
      <c r="J87" s="3242"/>
      <c r="K87" s="3242"/>
      <c r="L87" s="3242"/>
      <c r="M87" s="3242"/>
      <c r="N87" s="3570"/>
      <c r="O87" s="3570"/>
      <c r="P87" s="3570"/>
      <c r="Q87" s="3570"/>
      <c r="R87" s="3570"/>
      <c r="S87" s="626"/>
      <c r="T87" s="627"/>
      <c r="U87" s="625"/>
      <c r="AH87" s="511"/>
      <c r="AI87" s="83"/>
      <c r="AJ87" s="610"/>
      <c r="AK87" s="610"/>
      <c r="AL87" s="368"/>
      <c r="AM87" s="368"/>
      <c r="AN87" s="368"/>
      <c r="AO87" s="368"/>
      <c r="AP87" s="368"/>
      <c r="AQ87" s="368"/>
      <c r="AR87" s="368"/>
      <c r="AS87" s="368"/>
    </row>
    <row r="88" spans="1:45" s="358" customFormat="1" ht="15" customHeight="1">
      <c r="A88" s="1937"/>
      <c r="B88" s="548"/>
      <c r="C88" s="548"/>
      <c r="D88" s="548"/>
      <c r="E88" s="548"/>
      <c r="F88" s="548"/>
      <c r="G88" s="368"/>
      <c r="H88" s="4841" t="s">
        <v>565</v>
      </c>
      <c r="I88" s="4841"/>
      <c r="J88" s="4841"/>
      <c r="K88" s="4841"/>
      <c r="L88" s="4841"/>
      <c r="M88" s="4841"/>
      <c r="N88" s="3570"/>
      <c r="O88" s="3570"/>
      <c r="P88" s="3570"/>
      <c r="Q88" s="3570"/>
      <c r="R88" s="3570"/>
      <c r="S88" s="626"/>
      <c r="T88" s="627"/>
      <c r="U88" s="625"/>
      <c r="AH88" s="511"/>
      <c r="AI88" s="83"/>
      <c r="AJ88" s="610"/>
      <c r="AK88" s="610"/>
      <c r="AL88" s="368"/>
      <c r="AM88" s="368"/>
      <c r="AN88" s="368"/>
      <c r="AO88" s="368"/>
      <c r="AP88" s="368"/>
      <c r="AQ88" s="368"/>
      <c r="AR88" s="368"/>
      <c r="AS88" s="368"/>
    </row>
    <row r="89" spans="1:45" s="358" customFormat="1" ht="15" customHeight="1">
      <c r="B89" s="548"/>
      <c r="C89" s="548"/>
      <c r="D89" s="548"/>
      <c r="E89" s="548"/>
      <c r="F89" s="548"/>
      <c r="G89" s="368"/>
      <c r="H89" s="4841" t="s">
        <v>567</v>
      </c>
      <c r="I89" s="4841"/>
      <c r="J89" s="4841"/>
      <c r="K89" s="4841"/>
      <c r="L89" s="4841"/>
      <c r="M89" s="4841"/>
      <c r="N89" s="3570"/>
      <c r="O89" s="3570"/>
      <c r="P89" s="3570"/>
      <c r="Q89" s="3570"/>
      <c r="R89" s="3570"/>
      <c r="S89" s="83"/>
      <c r="T89" s="83"/>
      <c r="U89" s="625"/>
      <c r="AH89" s="511"/>
      <c r="AI89" s="83"/>
      <c r="AJ89" s="610"/>
      <c r="AK89" s="610"/>
      <c r="AL89" s="368"/>
      <c r="AM89" s="368"/>
      <c r="AN89" s="368"/>
      <c r="AO89" s="368"/>
      <c r="AP89" s="368"/>
      <c r="AQ89" s="368"/>
      <c r="AR89" s="368"/>
      <c r="AS89" s="368"/>
    </row>
    <row r="90" spans="1:45" s="358" customFormat="1" ht="15" customHeight="1">
      <c r="A90" s="114"/>
      <c r="B90" s="548"/>
      <c r="C90" s="548"/>
      <c r="D90" s="548"/>
      <c r="E90" s="548"/>
      <c r="F90" s="548"/>
      <c r="G90" s="368"/>
      <c r="H90" s="368"/>
      <c r="I90" s="368"/>
      <c r="J90" s="368"/>
      <c r="K90" s="368"/>
      <c r="L90" s="368"/>
      <c r="M90" s="368"/>
      <c r="N90" s="368"/>
      <c r="O90" s="368"/>
      <c r="P90" s="368"/>
      <c r="Q90" s="368"/>
      <c r="R90" s="628"/>
      <c r="S90" s="83"/>
      <c r="T90" s="83"/>
      <c r="U90" s="625"/>
      <c r="AH90" s="511"/>
      <c r="AI90" s="83"/>
      <c r="AJ90" s="610"/>
      <c r="AK90" s="610"/>
      <c r="AL90" s="368"/>
      <c r="AM90" s="368"/>
      <c r="AN90" s="368"/>
      <c r="AO90" s="368"/>
      <c r="AP90" s="368"/>
      <c r="AQ90" s="368"/>
      <c r="AR90" s="368"/>
      <c r="AS90" s="368"/>
    </row>
    <row r="91" spans="1:45" s="358" customFormat="1" ht="15" customHeight="1">
      <c r="A91" s="114"/>
      <c r="B91" s="548"/>
      <c r="C91" s="548"/>
      <c r="D91" s="548"/>
      <c r="E91" s="548"/>
      <c r="F91" s="548"/>
      <c r="G91" s="554" t="s">
        <v>334</v>
      </c>
      <c r="H91" s="2287">
        <f>C39</f>
        <v>3.15</v>
      </c>
      <c r="I91" s="3081" t="str">
        <f>"g ̸ litre is equivalent to "&amp;FIXED(K91*H91,1)&amp;"g  in"</f>
        <v>g ̸ litre is equivalent to 66.2g  in</v>
      </c>
      <c r="J91" s="3082"/>
      <c r="K91" s="2287">
        <v>21</v>
      </c>
      <c r="L91" s="3078" t="s">
        <v>998</v>
      </c>
      <c r="M91" s="3096"/>
      <c r="N91" s="368"/>
      <c r="O91" s="368"/>
      <c r="P91" s="368"/>
      <c r="Q91" s="368"/>
      <c r="R91" s="628"/>
      <c r="S91" s="83"/>
      <c r="T91" s="83"/>
      <c r="U91" s="625"/>
      <c r="AH91" s="511"/>
      <c r="AI91" s="83"/>
      <c r="AJ91" s="610"/>
      <c r="AK91" s="610"/>
      <c r="AL91" s="368"/>
      <c r="AM91" s="368"/>
      <c r="AN91" s="368"/>
      <c r="AO91" s="368"/>
      <c r="AP91" s="368"/>
      <c r="AQ91" s="368"/>
      <c r="AR91" s="368"/>
      <c r="AS91" s="368"/>
    </row>
    <row r="92" spans="1:45" s="358" customFormat="1" ht="15" customHeight="1">
      <c r="A92" s="114"/>
      <c r="B92" s="548"/>
      <c r="C92" s="548"/>
      <c r="D92" s="548"/>
      <c r="E92" s="548"/>
      <c r="F92" s="548"/>
      <c r="G92" s="114"/>
      <c r="H92" s="368"/>
      <c r="I92" s="368"/>
      <c r="J92" s="368"/>
      <c r="K92" s="368"/>
      <c r="L92" s="368"/>
      <c r="M92" s="368"/>
      <c r="N92" s="368"/>
      <c r="O92" s="368"/>
      <c r="P92" s="368"/>
      <c r="Q92" s="368"/>
      <c r="R92" s="628"/>
      <c r="S92" s="83"/>
      <c r="T92" s="83"/>
      <c r="U92" s="625"/>
      <c r="AH92" s="511"/>
      <c r="AI92" s="83"/>
      <c r="AJ92" s="610"/>
      <c r="AK92" s="610"/>
      <c r="AL92" s="368"/>
      <c r="AM92" s="368"/>
      <c r="AN92" s="368"/>
      <c r="AO92" s="368"/>
      <c r="AP92" s="368"/>
      <c r="AQ92" s="368"/>
      <c r="AR92" s="368"/>
      <c r="AS92" s="368"/>
    </row>
    <row r="93" spans="1:45" s="358" customFormat="1" ht="15" customHeight="1">
      <c r="A93" s="114"/>
      <c r="B93" s="548"/>
      <c r="C93" s="548"/>
      <c r="D93" s="548"/>
      <c r="E93" s="548"/>
      <c r="F93" s="548"/>
      <c r="G93" s="114"/>
      <c r="H93" s="2199" t="s">
        <v>338</v>
      </c>
      <c r="I93" s="2199" t="s">
        <v>339</v>
      </c>
      <c r="J93" s="1729" t="s">
        <v>340</v>
      </c>
      <c r="K93" s="368"/>
      <c r="L93" s="3129" t="s">
        <v>833</v>
      </c>
      <c r="M93" s="3129"/>
      <c r="N93" s="612">
        <v>3.15</v>
      </c>
      <c r="O93" s="613" t="s">
        <v>82</v>
      </c>
      <c r="P93" s="368"/>
      <c r="Q93" s="368"/>
      <c r="R93" s="628"/>
      <c r="S93" s="83"/>
      <c r="T93" s="83"/>
      <c r="U93" s="625"/>
      <c r="AH93" s="511"/>
      <c r="AI93" s="83"/>
      <c r="AJ93" s="610"/>
      <c r="AK93" s="610"/>
      <c r="AL93" s="368"/>
      <c r="AM93" s="368"/>
      <c r="AN93" s="368"/>
      <c r="AO93" s="368"/>
      <c r="AP93" s="368"/>
      <c r="AQ93" s="368"/>
      <c r="AR93" s="368"/>
      <c r="AS93" s="368"/>
    </row>
    <row r="94" spans="1:45" s="358" customFormat="1" ht="15" customHeight="1">
      <c r="A94" s="114"/>
      <c r="B94" s="548"/>
      <c r="C94" s="548"/>
      <c r="D94" s="548"/>
      <c r="E94" s="548"/>
      <c r="F94" s="548"/>
      <c r="G94" s="114"/>
      <c r="H94" s="2413">
        <f>I94*0.2489/0.262</f>
        <v>0.95</v>
      </c>
      <c r="I94" s="2245">
        <v>1</v>
      </c>
      <c r="J94" s="2657">
        <f>I94*0.262/0.2489</f>
        <v>1.0526315789473684</v>
      </c>
      <c r="K94" s="368"/>
      <c r="L94" s="2410" t="s">
        <v>91</v>
      </c>
      <c r="M94" s="2410" t="s">
        <v>622</v>
      </c>
      <c r="N94" s="2201" t="s">
        <v>623</v>
      </c>
      <c r="O94" s="114"/>
      <c r="P94" s="368"/>
      <c r="Q94" s="368"/>
      <c r="R94" s="628"/>
      <c r="S94" s="83"/>
      <c r="T94" s="83"/>
      <c r="U94" s="625"/>
      <c r="AH94" s="511"/>
      <c r="AI94" s="83"/>
      <c r="AJ94" s="610"/>
      <c r="AK94" s="610"/>
      <c r="AL94" s="368"/>
      <c r="AM94" s="368"/>
      <c r="AN94" s="368"/>
      <c r="AO94" s="368"/>
      <c r="AP94" s="368"/>
      <c r="AQ94" s="368"/>
      <c r="AR94" s="368"/>
      <c r="AS94" s="368"/>
    </row>
    <row r="95" spans="1:45" s="358" customFormat="1" ht="15" customHeight="1">
      <c r="A95" s="114"/>
      <c r="B95" s="548"/>
      <c r="C95" s="548"/>
      <c r="D95" s="548"/>
      <c r="E95" s="548"/>
      <c r="F95" s="548"/>
      <c r="G95" s="114"/>
      <c r="H95" s="3899" t="str">
        <f>1*FIXED(I94)&amp;" unit(s) of sucrose = "&amp;1*FIXED(J94)&amp;" units of dextrose"</f>
        <v>1 unit(s) of sucrose = 1.05 units of dextrose</v>
      </c>
      <c r="I95" s="3899"/>
      <c r="J95" s="3899"/>
      <c r="K95" s="368"/>
      <c r="L95" s="2410">
        <f>M95*N93</f>
        <v>3.15</v>
      </c>
      <c r="M95" s="1727">
        <v>1</v>
      </c>
      <c r="N95" s="2411">
        <f>M95/N93</f>
        <v>0.31746031746031744</v>
      </c>
      <c r="O95" s="114"/>
      <c r="P95" s="368"/>
      <c r="Q95" s="368"/>
      <c r="R95" s="628"/>
      <c r="S95" s="83"/>
      <c r="T95" s="83"/>
      <c r="U95" s="625"/>
      <c r="AH95" s="511"/>
      <c r="AI95" s="83"/>
      <c r="AJ95" s="610"/>
      <c r="AK95" s="610"/>
      <c r="AL95" s="368"/>
      <c r="AM95" s="368"/>
      <c r="AN95" s="368"/>
      <c r="AO95" s="368"/>
      <c r="AP95" s="368"/>
      <c r="AQ95" s="368"/>
      <c r="AR95" s="368"/>
      <c r="AS95" s="368"/>
    </row>
    <row r="96" spans="1:45" s="358" customFormat="1" ht="15" customHeight="1">
      <c r="A96" s="114"/>
      <c r="B96" s="548"/>
      <c r="C96" s="548"/>
      <c r="D96" s="548"/>
      <c r="E96" s="548"/>
      <c r="F96" s="114"/>
      <c r="G96" s="114"/>
      <c r="H96" s="3900" t="str">
        <f>1*FIXED(I94)&amp;" unit(s) of dextrose = "&amp;1*FIXED(H94)&amp;" units of sucrose"</f>
        <v>1 unit(s) of dextrose = 0.95 units of sucrose</v>
      </c>
      <c r="I96" s="3900"/>
      <c r="J96" s="3900"/>
      <c r="K96" s="2118"/>
      <c r="L96" s="2118"/>
      <c r="M96" s="368"/>
      <c r="N96" s="554"/>
      <c r="O96" s="614"/>
      <c r="P96" s="73"/>
      <c r="Q96" s="114"/>
      <c r="R96" s="114"/>
      <c r="AH96" s="511"/>
      <c r="AI96" s="83"/>
      <c r="AJ96" s="610"/>
      <c r="AK96" s="610"/>
      <c r="AL96" s="368"/>
      <c r="AM96" s="368"/>
      <c r="AN96" s="368"/>
      <c r="AO96" s="368"/>
      <c r="AP96" s="368"/>
      <c r="AQ96" s="368"/>
      <c r="AR96" s="368"/>
      <c r="AS96" s="368"/>
    </row>
    <row r="97" spans="1:45" s="358" customFormat="1" ht="15" customHeight="1">
      <c r="A97" s="114"/>
      <c r="B97" s="548"/>
      <c r="C97" s="548"/>
      <c r="D97" s="548"/>
      <c r="E97" s="548"/>
      <c r="F97" s="114"/>
      <c r="G97" s="114"/>
      <c r="H97" s="546"/>
      <c r="I97" s="1936"/>
      <c r="J97" s="1936"/>
      <c r="K97" s="1936"/>
      <c r="L97" s="1936"/>
      <c r="M97" s="368"/>
      <c r="N97" s="554"/>
      <c r="O97" s="614"/>
      <c r="P97" s="73"/>
      <c r="Q97" s="114"/>
      <c r="R97" s="114"/>
      <c r="AH97" s="511"/>
      <c r="AI97" s="83"/>
      <c r="AJ97" s="610"/>
      <c r="AK97" s="610"/>
      <c r="AL97" s="368"/>
      <c r="AM97" s="368"/>
      <c r="AN97" s="368"/>
      <c r="AO97" s="368"/>
      <c r="AP97" s="368"/>
      <c r="AQ97" s="368"/>
      <c r="AR97" s="368"/>
      <c r="AS97" s="368"/>
    </row>
    <row r="98" spans="1:45" s="358" customFormat="1" ht="15" customHeight="1">
      <c r="A98" s="114"/>
      <c r="B98" s="548"/>
      <c r="C98" s="548"/>
      <c r="D98" s="548"/>
      <c r="E98" s="548"/>
      <c r="F98" s="114"/>
      <c r="G98" s="114"/>
      <c r="H98" s="368"/>
      <c r="I98" s="1936"/>
      <c r="J98" s="1936"/>
      <c r="K98" s="1936"/>
      <c r="L98" s="1936"/>
      <c r="M98" s="1936"/>
      <c r="N98" s="1936"/>
      <c r="O98" s="1936"/>
      <c r="P98" s="1936"/>
      <c r="Q98" s="1936"/>
      <c r="AH98" s="511"/>
      <c r="AI98" s="83"/>
      <c r="AJ98" s="610"/>
      <c r="AK98" s="610"/>
      <c r="AL98" s="368"/>
      <c r="AM98" s="368"/>
      <c r="AN98" s="368"/>
      <c r="AO98" s="368"/>
      <c r="AP98" s="368"/>
      <c r="AQ98" s="368"/>
      <c r="AR98" s="368"/>
      <c r="AS98" s="368"/>
    </row>
    <row r="99" spans="1:45" s="358" customFormat="1" ht="15" customHeight="1">
      <c r="A99" s="114"/>
      <c r="B99" s="114"/>
      <c r="C99" s="114"/>
      <c r="D99" s="114"/>
      <c r="E99" s="114"/>
      <c r="F99" s="114"/>
      <c r="G99" s="114"/>
      <c r="H99" s="368"/>
      <c r="I99" s="1936"/>
      <c r="J99" s="1936"/>
      <c r="K99" s="615"/>
      <c r="L99" s="1936"/>
      <c r="M99" s="3084" t="s">
        <v>1486</v>
      </c>
      <c r="N99" s="3084"/>
      <c r="O99" s="3084"/>
      <c r="P99" s="3898" t="s">
        <v>840</v>
      </c>
      <c r="Q99" s="3898"/>
      <c r="R99" s="3898"/>
      <c r="AH99" s="511"/>
      <c r="AI99" s="83"/>
      <c r="AJ99" s="610"/>
      <c r="AK99" s="610"/>
      <c r="AL99" s="368"/>
      <c r="AM99" s="368"/>
      <c r="AN99" s="368"/>
      <c r="AO99" s="368"/>
      <c r="AP99" s="368"/>
      <c r="AQ99" s="368"/>
      <c r="AR99" s="368"/>
      <c r="AS99" s="368"/>
    </row>
    <row r="100" spans="1:45" s="358" customFormat="1" ht="15" customHeight="1">
      <c r="H100" s="555"/>
      <c r="I100" s="368"/>
      <c r="J100" s="368"/>
      <c r="K100" s="616"/>
      <c r="L100" s="1936"/>
      <c r="M100" s="1936"/>
      <c r="N100" s="1936"/>
      <c r="P100" s="3674" t="s">
        <v>843</v>
      </c>
      <c r="Q100" s="3674"/>
      <c r="R100" s="3674"/>
      <c r="S100" s="2124"/>
      <c r="T100" s="2124"/>
      <c r="U100" s="2124"/>
      <c r="V100" s="2124"/>
      <c r="W100" s="2124"/>
      <c r="X100" s="2124"/>
      <c r="Y100" s="2124"/>
      <c r="Z100" s="2124"/>
      <c r="AA100" s="2124"/>
      <c r="AB100" s="2124"/>
      <c r="AC100" s="2124"/>
      <c r="AD100" s="2124"/>
      <c r="AE100" s="2124"/>
      <c r="AF100" s="2124"/>
      <c r="AG100" s="2124"/>
      <c r="AH100" s="2124"/>
      <c r="AI100" s="2124"/>
      <c r="AJ100" s="2124"/>
      <c r="AK100" s="610"/>
      <c r="AL100" s="368"/>
      <c r="AM100" s="368"/>
      <c r="AN100" s="368"/>
      <c r="AO100" s="368"/>
      <c r="AP100" s="368"/>
      <c r="AQ100" s="368"/>
      <c r="AR100" s="368"/>
      <c r="AS100" s="368"/>
    </row>
    <row r="101" spans="1:45" s="358" customFormat="1" ht="15" customHeight="1">
      <c r="A101" s="114"/>
      <c r="B101" s="114"/>
      <c r="C101" s="114"/>
      <c r="D101" s="114"/>
      <c r="E101" s="114"/>
      <c r="F101" s="114"/>
      <c r="G101" s="114"/>
      <c r="H101" s="368"/>
      <c r="I101" s="368"/>
      <c r="J101" s="368"/>
      <c r="K101" s="368"/>
      <c r="L101" s="368"/>
      <c r="M101" s="368"/>
      <c r="N101" s="368"/>
      <c r="O101" s="368"/>
      <c r="P101" s="368"/>
      <c r="Q101" s="368"/>
      <c r="R101" s="114"/>
      <c r="AH101" s="511"/>
      <c r="AI101" s="83"/>
      <c r="AJ101" s="610"/>
      <c r="AK101" s="610"/>
      <c r="AL101" s="368"/>
      <c r="AM101" s="368"/>
      <c r="AN101" s="368"/>
      <c r="AO101" s="368"/>
      <c r="AP101" s="368"/>
      <c r="AQ101" s="368"/>
      <c r="AR101" s="368"/>
      <c r="AS101" s="368"/>
    </row>
    <row r="102" spans="1:45" s="358" customFormat="1" ht="15" customHeight="1">
      <c r="A102" s="3889" t="s">
        <v>845</v>
      </c>
      <c r="B102" s="3889"/>
      <c r="C102" s="556"/>
      <c r="D102" s="114"/>
      <c r="E102" s="114"/>
      <c r="F102" s="114"/>
      <c r="G102" s="114"/>
      <c r="H102" s="73"/>
    </row>
    <row r="103" spans="1:45" s="358" customFormat="1" ht="15" customHeight="1">
      <c r="A103" s="557"/>
      <c r="B103" s="4842" t="s">
        <v>1487</v>
      </c>
      <c r="C103" s="4842"/>
      <c r="D103" s="4842"/>
      <c r="E103" s="4842"/>
      <c r="F103" s="558"/>
      <c r="G103" s="559"/>
      <c r="H103" s="73"/>
    </row>
    <row r="104" spans="1:45" s="358" customFormat="1" ht="15" customHeight="1">
      <c r="A104" s="4447" t="s">
        <v>1445</v>
      </c>
      <c r="B104" s="4798"/>
      <c r="C104" s="560" t="s">
        <v>123</v>
      </c>
      <c r="D104" s="560" t="s">
        <v>1488</v>
      </c>
      <c r="E104" s="560" t="s">
        <v>271</v>
      </c>
      <c r="F104" s="83"/>
      <c r="G104" s="318"/>
      <c r="H104" s="114"/>
    </row>
    <row r="105" spans="1:45" s="358" customFormat="1" ht="15" customHeight="1">
      <c r="A105" s="4439"/>
      <c r="B105" s="502"/>
      <c r="C105" s="560" t="s">
        <v>850</v>
      </c>
      <c r="D105" s="560" t="s">
        <v>1489</v>
      </c>
      <c r="E105" s="560" t="s">
        <v>270</v>
      </c>
      <c r="F105" s="83"/>
      <c r="G105" s="318"/>
      <c r="H105" s="114"/>
    </row>
    <row r="106" spans="1:45" s="358" customFormat="1" ht="15" customHeight="1">
      <c r="A106" s="4439"/>
      <c r="B106" s="561" t="s">
        <v>1490</v>
      </c>
      <c r="C106" s="411">
        <f>D106*375/100</f>
        <v>277.5</v>
      </c>
      <c r="D106" s="408">
        <v>74</v>
      </c>
      <c r="E106" s="408">
        <v>6.5</v>
      </c>
      <c r="F106" s="83"/>
      <c r="G106" s="562"/>
      <c r="H106" s="72"/>
    </row>
    <row r="107" spans="1:45" s="358" customFormat="1" ht="15" customHeight="1">
      <c r="A107" s="4439"/>
      <c r="B107" s="563" t="s">
        <v>1491</v>
      </c>
      <c r="C107" s="411">
        <f>D107*375/100</f>
        <v>262.5</v>
      </c>
      <c r="D107" s="408">
        <v>70</v>
      </c>
      <c r="E107" s="408">
        <v>4</v>
      </c>
      <c r="F107" s="83"/>
      <c r="G107" s="562"/>
      <c r="H107" s="72"/>
    </row>
    <row r="108" spans="1:45" s="358" customFormat="1" ht="15" customHeight="1">
      <c r="A108" s="4439"/>
      <c r="B108" s="564" t="s">
        <v>1492</v>
      </c>
      <c r="C108" s="411">
        <f>D108*375/100</f>
        <v>293.625</v>
      </c>
      <c r="D108" s="408">
        <v>78.3</v>
      </c>
      <c r="E108" s="408">
        <v>2</v>
      </c>
      <c r="F108" s="83"/>
      <c r="G108" s="562"/>
      <c r="H108" s="72"/>
    </row>
    <row r="109" spans="1:45" s="358" customFormat="1" ht="15" customHeight="1">
      <c r="A109" s="4439"/>
      <c r="B109" s="565" t="s">
        <v>674</v>
      </c>
      <c r="C109" s="566"/>
      <c r="D109" s="566"/>
      <c r="E109" s="566"/>
      <c r="F109" s="83"/>
      <c r="G109" s="318"/>
      <c r="H109" s="72"/>
    </row>
    <row r="110" spans="1:45" s="358" customFormat="1" ht="15" customHeight="1">
      <c r="A110" s="4439"/>
      <c r="B110" s="565" t="s">
        <v>674</v>
      </c>
      <c r="C110" s="567"/>
      <c r="D110" s="568"/>
      <c r="E110" s="408"/>
      <c r="F110" s="83"/>
      <c r="G110" s="318"/>
      <c r="H110" s="114"/>
    </row>
    <row r="111" spans="1:45" s="358" customFormat="1" ht="15" customHeight="1">
      <c r="A111" s="4439"/>
      <c r="B111" s="565" t="s">
        <v>674</v>
      </c>
      <c r="C111" s="567"/>
      <c r="D111" s="568"/>
      <c r="E111" s="408"/>
      <c r="F111" s="83"/>
      <c r="G111" s="318"/>
      <c r="H111" s="114"/>
    </row>
    <row r="112" spans="1:45" s="358" customFormat="1" ht="15" customHeight="1">
      <c r="A112" s="4439"/>
      <c r="B112" s="565" t="s">
        <v>674</v>
      </c>
      <c r="C112" s="408"/>
      <c r="D112" s="408"/>
      <c r="E112" s="408"/>
      <c r="F112" s="83"/>
      <c r="G112" s="318"/>
      <c r="H112" s="114"/>
    </row>
    <row r="113" spans="1:8" s="358" customFormat="1" ht="15" customHeight="1">
      <c r="A113" s="4439"/>
      <c r="B113" s="565" t="s">
        <v>674</v>
      </c>
      <c r="C113" s="408"/>
      <c r="D113" s="408"/>
      <c r="E113" s="408"/>
      <c r="F113" s="502"/>
      <c r="G113" s="569"/>
      <c r="H113" s="73"/>
    </row>
    <row r="114" spans="1:8" s="358" customFormat="1" ht="15" customHeight="1">
      <c r="A114" s="4329"/>
      <c r="B114" s="565" t="s">
        <v>674</v>
      </c>
      <c r="C114" s="408"/>
      <c r="D114" s="408"/>
      <c r="E114" s="408"/>
      <c r="F114" s="83"/>
      <c r="G114" s="318"/>
      <c r="H114" s="114"/>
    </row>
    <row r="115" spans="1:8" s="358" customFormat="1" ht="15" customHeight="1">
      <c r="A115" s="4439"/>
      <c r="B115" s="511"/>
      <c r="C115" s="560" t="s">
        <v>123</v>
      </c>
      <c r="D115" s="560" t="s">
        <v>1488</v>
      </c>
      <c r="E115" s="560" t="s">
        <v>271</v>
      </c>
      <c r="F115" s="570"/>
      <c r="G115" s="314"/>
      <c r="H115" s="114"/>
    </row>
    <row r="116" spans="1:8" s="358" customFormat="1" ht="15" customHeight="1">
      <c r="A116" s="4447" t="s">
        <v>723</v>
      </c>
      <c r="B116" s="4798"/>
      <c r="C116" s="560" t="s">
        <v>850</v>
      </c>
      <c r="D116" s="560" t="s">
        <v>1489</v>
      </c>
      <c r="E116" s="560" t="s">
        <v>270</v>
      </c>
      <c r="F116" s="570"/>
      <c r="G116" s="571"/>
      <c r="H116" s="114"/>
    </row>
    <row r="117" spans="1:8" s="358" customFormat="1" ht="15" customHeight="1">
      <c r="A117" s="4843"/>
      <c r="B117" s="572" t="s">
        <v>883</v>
      </c>
      <c r="C117" s="567">
        <v>375</v>
      </c>
      <c r="D117" s="408">
        <v>1</v>
      </c>
      <c r="E117" s="408"/>
      <c r="F117" s="573"/>
      <c r="G117" s="571"/>
      <c r="H117" s="114"/>
    </row>
    <row r="118" spans="1:8" s="358" customFormat="1" ht="15" customHeight="1">
      <c r="A118" s="4843"/>
      <c r="B118" s="572" t="s">
        <v>884</v>
      </c>
      <c r="C118" s="567">
        <v>370</v>
      </c>
      <c r="D118" s="408">
        <v>1</v>
      </c>
      <c r="E118" s="408">
        <v>16</v>
      </c>
      <c r="F118" s="574"/>
      <c r="G118" s="575"/>
      <c r="H118" s="114"/>
    </row>
    <row r="119" spans="1:8" s="358" customFormat="1" ht="15" customHeight="1">
      <c r="A119" s="4843"/>
      <c r="B119" s="566" t="s">
        <v>885</v>
      </c>
      <c r="C119" s="411">
        <v>370</v>
      </c>
      <c r="D119" s="576">
        <v>1</v>
      </c>
      <c r="E119" s="411">
        <v>45</v>
      </c>
      <c r="F119" s="574"/>
      <c r="G119" s="575"/>
      <c r="H119" s="114"/>
    </row>
    <row r="120" spans="1:8" s="358" customFormat="1" ht="15" customHeight="1">
      <c r="A120" s="4843"/>
      <c r="B120" s="566" t="s">
        <v>886</v>
      </c>
      <c r="C120" s="411">
        <v>370</v>
      </c>
      <c r="D120" s="576">
        <v>1</v>
      </c>
      <c r="E120" s="411">
        <v>90</v>
      </c>
      <c r="F120" s="574"/>
      <c r="G120" s="575"/>
      <c r="H120" s="114"/>
    </row>
    <row r="121" spans="1:8" s="358" customFormat="1" ht="15" customHeight="1">
      <c r="A121" s="4843"/>
      <c r="B121" s="565" t="s">
        <v>888</v>
      </c>
      <c r="C121" s="567">
        <f>0.8*375</f>
        <v>300</v>
      </c>
      <c r="D121" s="408">
        <v>0.95</v>
      </c>
      <c r="E121" s="567">
        <v>10</v>
      </c>
      <c r="F121" s="574"/>
      <c r="G121" s="575"/>
      <c r="H121" s="114"/>
    </row>
    <row r="122" spans="1:8" s="358" customFormat="1" ht="15" customHeight="1">
      <c r="A122" s="4843"/>
      <c r="B122" s="577" t="s">
        <v>1493</v>
      </c>
      <c r="C122" s="578">
        <v>380</v>
      </c>
      <c r="D122" s="579">
        <v>0</v>
      </c>
      <c r="E122" s="579">
        <v>30</v>
      </c>
      <c r="F122" s="3887" t="s">
        <v>900</v>
      </c>
      <c r="G122" s="3888"/>
      <c r="H122" s="114"/>
    </row>
    <row r="123" spans="1:8" s="358" customFormat="1" ht="15" customHeight="1">
      <c r="A123" s="580"/>
      <c r="B123" s="581"/>
      <c r="C123" s="582"/>
      <c r="D123" s="582"/>
      <c r="E123" s="583"/>
      <c r="F123" s="583"/>
      <c r="G123" s="584"/>
      <c r="H123" s="114"/>
    </row>
    <row r="124" spans="1:8" s="358" customFormat="1" ht="15" customHeight="1">
      <c r="A124" s="114"/>
      <c r="B124" s="114"/>
      <c r="C124" s="114"/>
      <c r="D124" s="114"/>
      <c r="E124" s="114"/>
      <c r="F124" s="114"/>
      <c r="G124" s="114"/>
      <c r="H124" s="114"/>
    </row>
    <row r="125" spans="1:8" s="358" customFormat="1" ht="15" customHeight="1">
      <c r="A125" s="585"/>
      <c r="B125" s="586" t="s">
        <v>1156</v>
      </c>
      <c r="C125" s="587" t="s">
        <v>123</v>
      </c>
      <c r="D125" s="587" t="s">
        <v>1488</v>
      </c>
      <c r="E125" s="587" t="s">
        <v>271</v>
      </c>
      <c r="F125" s="588"/>
      <c r="G125" s="589"/>
      <c r="H125" s="114"/>
    </row>
    <row r="126" spans="1:8" s="358" customFormat="1" ht="15" customHeight="1">
      <c r="A126" s="4447" t="s">
        <v>723</v>
      </c>
      <c r="B126" s="4798"/>
      <c r="C126" s="560" t="s">
        <v>850</v>
      </c>
      <c r="D126" s="560" t="s">
        <v>1489</v>
      </c>
      <c r="E126" s="560" t="s">
        <v>270</v>
      </c>
      <c r="F126" s="488"/>
      <c r="G126" s="590"/>
      <c r="H126" s="114"/>
    </row>
    <row r="127" spans="1:8" s="358" customFormat="1" ht="15" customHeight="1">
      <c r="A127" s="4843"/>
      <c r="B127" s="572" t="s">
        <v>883</v>
      </c>
      <c r="C127" s="567">
        <v>375</v>
      </c>
      <c r="D127" s="408">
        <v>1</v>
      </c>
      <c r="E127" s="408"/>
      <c r="F127" s="505"/>
      <c r="G127" s="590"/>
      <c r="H127" s="114"/>
    </row>
    <row r="128" spans="1:8" s="358" customFormat="1" ht="15" customHeight="1">
      <c r="A128" s="4843"/>
      <c r="B128" s="566" t="s">
        <v>1494</v>
      </c>
      <c r="C128" s="411">
        <v>319</v>
      </c>
      <c r="D128" s="576">
        <v>1</v>
      </c>
      <c r="E128" s="411"/>
      <c r="F128" s="488"/>
      <c r="G128" s="590"/>
      <c r="H128" s="114"/>
    </row>
    <row r="129" spans="1:8" s="358" customFormat="1" ht="15" customHeight="1">
      <c r="A129" s="4843"/>
      <c r="B129" s="572" t="s">
        <v>884</v>
      </c>
      <c r="C129" s="567">
        <v>370</v>
      </c>
      <c r="D129" s="408">
        <v>1</v>
      </c>
      <c r="E129" s="408">
        <v>16</v>
      </c>
      <c r="F129" s="488"/>
      <c r="G129" s="590"/>
      <c r="H129" s="114"/>
    </row>
    <row r="130" spans="1:8" s="358" customFormat="1" ht="15" customHeight="1">
      <c r="A130" s="4843"/>
      <c r="B130" s="566" t="s">
        <v>885</v>
      </c>
      <c r="C130" s="411">
        <v>370</v>
      </c>
      <c r="D130" s="576">
        <v>1</v>
      </c>
      <c r="E130" s="411">
        <v>45</v>
      </c>
      <c r="F130" s="488"/>
      <c r="G130" s="590"/>
      <c r="H130" s="114"/>
    </row>
    <row r="131" spans="1:8" s="358" customFormat="1" ht="15" customHeight="1">
      <c r="A131" s="4843"/>
      <c r="B131" s="566" t="s">
        <v>886</v>
      </c>
      <c r="C131" s="411">
        <v>370</v>
      </c>
      <c r="D131" s="576">
        <v>1</v>
      </c>
      <c r="E131" s="411">
        <v>90</v>
      </c>
      <c r="F131" s="488"/>
      <c r="G131" s="590"/>
      <c r="H131" s="114"/>
    </row>
    <row r="132" spans="1:8" s="358" customFormat="1" ht="15" customHeight="1">
      <c r="A132" s="4843"/>
      <c r="B132" s="572" t="s">
        <v>1386</v>
      </c>
      <c r="C132" s="567">
        <v>319</v>
      </c>
      <c r="D132" s="408">
        <v>1</v>
      </c>
      <c r="E132" s="408"/>
      <c r="F132" s="488"/>
      <c r="G132" s="590"/>
      <c r="H132" s="114"/>
    </row>
    <row r="133" spans="1:8" s="358" customFormat="1" ht="15" customHeight="1">
      <c r="A133" s="4843"/>
      <c r="B133" s="565" t="s">
        <v>888</v>
      </c>
      <c r="C133" s="567">
        <f>0.8*375</f>
        <v>300</v>
      </c>
      <c r="D133" s="408">
        <v>0.95</v>
      </c>
      <c r="E133" s="567">
        <v>10</v>
      </c>
      <c r="F133" s="488"/>
      <c r="G133" s="590"/>
      <c r="H133" s="114"/>
    </row>
    <row r="134" spans="1:8" s="358" customFormat="1" ht="15" customHeight="1">
      <c r="A134" s="4844"/>
      <c r="B134" s="630"/>
      <c r="C134" s="630"/>
      <c r="D134" s="630"/>
      <c r="E134" s="630"/>
      <c r="F134" s="418"/>
      <c r="G134" s="590"/>
      <c r="H134" s="114"/>
    </row>
    <row r="135" spans="1:8" s="358" customFormat="1" ht="15" customHeight="1">
      <c r="A135" s="4329"/>
      <c r="B135" s="566" t="s">
        <v>1389</v>
      </c>
      <c r="C135" s="411">
        <v>373</v>
      </c>
      <c r="D135" s="576">
        <v>1</v>
      </c>
      <c r="E135" s="576"/>
      <c r="F135" s="418" t="s">
        <v>890</v>
      </c>
      <c r="G135" s="590"/>
      <c r="H135" s="114"/>
    </row>
    <row r="136" spans="1:8" s="358" customFormat="1" ht="15" customHeight="1">
      <c r="A136" s="4844"/>
      <c r="B136" s="566" t="s">
        <v>1391</v>
      </c>
      <c r="C136" s="411">
        <v>373</v>
      </c>
      <c r="D136" s="576">
        <v>1</v>
      </c>
      <c r="E136" s="576">
        <v>13</v>
      </c>
      <c r="F136" s="418" t="s">
        <v>890</v>
      </c>
      <c r="G136" s="590"/>
      <c r="H136" s="114"/>
    </row>
    <row r="137" spans="1:8" s="358" customFormat="1" ht="15" customHeight="1">
      <c r="A137" s="4844"/>
      <c r="B137" s="566" t="s">
        <v>1392</v>
      </c>
      <c r="C137" s="411">
        <v>373</v>
      </c>
      <c r="D137" s="576">
        <v>1</v>
      </c>
      <c r="E137" s="576">
        <v>43</v>
      </c>
      <c r="F137" s="418" t="s">
        <v>890</v>
      </c>
      <c r="G137" s="590"/>
      <c r="H137" s="114"/>
    </row>
    <row r="138" spans="1:8" s="358" customFormat="1" ht="15" customHeight="1">
      <c r="A138" s="4844"/>
      <c r="B138" s="566"/>
      <c r="C138" s="411"/>
      <c r="D138" s="576"/>
      <c r="E138" s="576"/>
      <c r="F138" s="418"/>
      <c r="G138" s="590"/>
      <c r="H138" s="114"/>
    </row>
    <row r="139" spans="1:8" s="358" customFormat="1" ht="15" customHeight="1">
      <c r="A139" s="4844"/>
      <c r="B139" s="566" t="s">
        <v>1393</v>
      </c>
      <c r="C139" s="411">
        <v>300</v>
      </c>
      <c r="D139" s="576">
        <v>1</v>
      </c>
      <c r="E139" s="576">
        <v>2</v>
      </c>
      <c r="F139" s="418" t="s">
        <v>896</v>
      </c>
      <c r="G139" s="590"/>
      <c r="H139" s="114"/>
    </row>
    <row r="140" spans="1:8" s="358" customFormat="1" ht="15" customHeight="1">
      <c r="A140" s="4844"/>
      <c r="B140" s="566" t="s">
        <v>1394</v>
      </c>
      <c r="C140" s="411">
        <v>300</v>
      </c>
      <c r="D140" s="576">
        <v>1</v>
      </c>
      <c r="E140" s="576">
        <v>89</v>
      </c>
      <c r="F140" s="418" t="s">
        <v>896</v>
      </c>
      <c r="G140" s="590"/>
      <c r="H140" s="114"/>
    </row>
    <row r="141" spans="1:8" s="358" customFormat="1" ht="15" customHeight="1">
      <c r="A141" s="4844"/>
      <c r="B141" s="566" t="s">
        <v>1395</v>
      </c>
      <c r="C141" s="411">
        <v>300</v>
      </c>
      <c r="D141" s="576">
        <v>1</v>
      </c>
      <c r="E141" s="576">
        <v>178</v>
      </c>
      <c r="F141" s="418" t="s">
        <v>896</v>
      </c>
      <c r="G141" s="590"/>
      <c r="H141" s="114"/>
    </row>
    <row r="142" spans="1:8" s="358" customFormat="1" ht="15" customHeight="1">
      <c r="A142" s="4844"/>
      <c r="F142" s="418"/>
      <c r="G142" s="590"/>
      <c r="H142" s="114"/>
    </row>
    <row r="143" spans="1:8" s="358" customFormat="1" ht="15" customHeight="1">
      <c r="A143" s="4844"/>
      <c r="B143" s="83" t="s">
        <v>902</v>
      </c>
      <c r="C143" s="4845" t="s">
        <v>1495</v>
      </c>
      <c r="D143" s="4845"/>
      <c r="E143" s="4845"/>
      <c r="F143" s="4845"/>
      <c r="G143" s="4624"/>
      <c r="H143" s="114"/>
    </row>
    <row r="144" spans="1:8" s="358" customFormat="1" ht="15" customHeight="1">
      <c r="A144" s="4844"/>
      <c r="B144" s="566" t="s">
        <v>904</v>
      </c>
      <c r="C144" s="576">
        <v>360</v>
      </c>
      <c r="D144" s="576">
        <v>1</v>
      </c>
      <c r="E144" s="631">
        <v>30</v>
      </c>
      <c r="F144" s="418" t="s">
        <v>890</v>
      </c>
      <c r="G144" s="590"/>
      <c r="H144" s="114"/>
    </row>
    <row r="145" spans="1:8" s="358" customFormat="1" ht="15" customHeight="1">
      <c r="A145" s="4844"/>
      <c r="B145" s="566" t="s">
        <v>905</v>
      </c>
      <c r="C145" s="576">
        <v>360</v>
      </c>
      <c r="D145" s="576">
        <v>1</v>
      </c>
      <c r="E145" s="631">
        <v>65</v>
      </c>
      <c r="F145" s="418" t="s">
        <v>890</v>
      </c>
      <c r="G145" s="590"/>
      <c r="H145" s="114"/>
    </row>
    <row r="146" spans="1:8" s="358" customFormat="1" ht="15" customHeight="1">
      <c r="A146" s="4844"/>
      <c r="B146" s="566" t="s">
        <v>906</v>
      </c>
      <c r="C146" s="576">
        <v>360</v>
      </c>
      <c r="D146" s="576">
        <v>1</v>
      </c>
      <c r="E146" s="631">
        <v>130</v>
      </c>
      <c r="F146" s="418" t="s">
        <v>890</v>
      </c>
      <c r="G146" s="590"/>
      <c r="H146" s="114"/>
    </row>
    <row r="147" spans="1:8" s="358" customFormat="1" ht="15" customHeight="1">
      <c r="A147" s="4844"/>
      <c r="B147" s="566" t="s">
        <v>907</v>
      </c>
      <c r="C147" s="576">
        <v>360</v>
      </c>
      <c r="D147" s="576">
        <v>1</v>
      </c>
      <c r="E147" s="631">
        <v>600</v>
      </c>
      <c r="F147" s="418" t="s">
        <v>890</v>
      </c>
      <c r="G147" s="590"/>
      <c r="H147" s="114"/>
    </row>
    <row r="148" spans="1:8" s="358" customFormat="1" ht="15" customHeight="1">
      <c r="A148" s="4844"/>
      <c r="B148" s="632"/>
      <c r="C148" s="632"/>
      <c r="D148" s="632"/>
      <c r="E148" s="632"/>
      <c r="F148" s="418"/>
      <c r="G148" s="590"/>
      <c r="H148" s="114"/>
    </row>
    <row r="149" spans="1:8" s="358" customFormat="1" ht="15" customHeight="1">
      <c r="A149" s="4844"/>
      <c r="B149" s="632" t="s">
        <v>908</v>
      </c>
      <c r="C149" s="632"/>
      <c r="D149" s="632"/>
      <c r="E149" s="632"/>
      <c r="F149" s="418"/>
      <c r="G149" s="590"/>
      <c r="H149" s="114"/>
    </row>
    <row r="150" spans="1:8" s="358" customFormat="1" ht="15" customHeight="1">
      <c r="A150" s="4844"/>
      <c r="B150" s="566" t="s">
        <v>909</v>
      </c>
      <c r="C150" s="576">
        <v>319</v>
      </c>
      <c r="D150" s="576">
        <v>1</v>
      </c>
      <c r="E150" s="631">
        <v>24</v>
      </c>
      <c r="F150" s="418" t="s">
        <v>896</v>
      </c>
      <c r="G150" s="590"/>
      <c r="H150" s="114"/>
    </row>
    <row r="151" spans="1:8" s="358" customFormat="1" ht="15" customHeight="1">
      <c r="A151" s="4844"/>
      <c r="B151" s="566" t="s">
        <v>910</v>
      </c>
      <c r="C151" s="576">
        <v>319</v>
      </c>
      <c r="D151" s="576">
        <v>1</v>
      </c>
      <c r="E151" s="631">
        <v>53</v>
      </c>
      <c r="F151" s="418" t="s">
        <v>896</v>
      </c>
      <c r="G151" s="590"/>
      <c r="H151" s="114"/>
    </row>
    <row r="152" spans="1:8" s="358" customFormat="1" ht="15" customHeight="1">
      <c r="A152" s="4844"/>
      <c r="B152" s="566" t="s">
        <v>911</v>
      </c>
      <c r="C152" s="576">
        <v>319</v>
      </c>
      <c r="D152" s="576">
        <v>1</v>
      </c>
      <c r="E152" s="631">
        <v>105</v>
      </c>
      <c r="F152" s="418" t="s">
        <v>896</v>
      </c>
      <c r="G152" s="590"/>
      <c r="H152" s="114"/>
    </row>
    <row r="153" spans="1:8" s="358" customFormat="1" ht="15" customHeight="1">
      <c r="A153" s="4844"/>
      <c r="B153" s="566" t="s">
        <v>912</v>
      </c>
      <c r="C153" s="576">
        <v>319</v>
      </c>
      <c r="D153" s="576">
        <v>1</v>
      </c>
      <c r="E153" s="631">
        <v>530</v>
      </c>
      <c r="F153" s="418" t="s">
        <v>896</v>
      </c>
      <c r="G153" s="590"/>
      <c r="H153" s="114"/>
    </row>
    <row r="154" spans="1:8" s="358" customFormat="1" ht="15" customHeight="1">
      <c r="A154" s="633"/>
      <c r="B154" s="583"/>
      <c r="C154" s="583"/>
      <c r="D154" s="583"/>
      <c r="E154" s="583"/>
      <c r="F154" s="1947"/>
      <c r="G154" s="1948"/>
      <c r="H154" s="114"/>
    </row>
    <row r="155" spans="1:8" s="358" customFormat="1" ht="15" customHeight="1">
      <c r="A155" s="114"/>
      <c r="B155" s="114"/>
      <c r="C155" s="114"/>
      <c r="D155" s="114"/>
      <c r="E155" s="114"/>
      <c r="F155" s="114"/>
      <c r="G155" s="114"/>
      <c r="H155" s="114"/>
    </row>
  </sheetData>
  <sheetProtection password="FA80" sheet="1" objects="1" scenarios="1"/>
  <mergeCells count="143">
    <mergeCell ref="P1:Q1"/>
    <mergeCell ref="S1:AI1"/>
    <mergeCell ref="G2:I2"/>
    <mergeCell ref="P2:Q2"/>
    <mergeCell ref="A4:E4"/>
    <mergeCell ref="I4:K4"/>
    <mergeCell ref="A7:C7"/>
    <mergeCell ref="D7:G7"/>
    <mergeCell ref="I7:Q7"/>
    <mergeCell ref="M4:Q5"/>
    <mergeCell ref="F1:K1"/>
    <mergeCell ref="A8:B8"/>
    <mergeCell ref="D8:F8"/>
    <mergeCell ref="I8:Q8"/>
    <mergeCell ref="A9:B9"/>
    <mergeCell ref="D9:F9"/>
    <mergeCell ref="I9:K9"/>
    <mergeCell ref="L9:M9"/>
    <mergeCell ref="N9:O9"/>
    <mergeCell ref="P9:Q9"/>
    <mergeCell ref="A10:B10"/>
    <mergeCell ref="D10:F10"/>
    <mergeCell ref="I10:K10"/>
    <mergeCell ref="A11:B11"/>
    <mergeCell ref="D11:F11"/>
    <mergeCell ref="I11:K11"/>
    <mergeCell ref="A12:B12"/>
    <mergeCell ref="D12:G12"/>
    <mergeCell ref="I12:K12"/>
    <mergeCell ref="A13:B13"/>
    <mergeCell ref="D13:G13"/>
    <mergeCell ref="I13:K13"/>
    <mergeCell ref="A14:B14"/>
    <mergeCell ref="D14:G14"/>
    <mergeCell ref="I14:K14"/>
    <mergeCell ref="A15:B15"/>
    <mergeCell ref="D15:F15"/>
    <mergeCell ref="I15:K15"/>
    <mergeCell ref="H13:H14"/>
    <mergeCell ref="A29:B29"/>
    <mergeCell ref="D36:F36"/>
    <mergeCell ref="B37:F37"/>
    <mergeCell ref="D40:F40"/>
    <mergeCell ref="D41:F41"/>
    <mergeCell ref="C42:F42"/>
    <mergeCell ref="B44:D44"/>
    <mergeCell ref="E44:F44"/>
    <mergeCell ref="I17:N17"/>
    <mergeCell ref="A18:B18"/>
    <mergeCell ref="I18:N18"/>
    <mergeCell ref="I19:K19"/>
    <mergeCell ref="L19:N19"/>
    <mergeCell ref="A17:F17"/>
    <mergeCell ref="G17:H19"/>
    <mergeCell ref="A46:B46"/>
    <mergeCell ref="D46:E46"/>
    <mergeCell ref="A48:B48"/>
    <mergeCell ref="G49:H49"/>
    <mergeCell ref="J49:K49"/>
    <mergeCell ref="M49:N49"/>
    <mergeCell ref="P49:Q49"/>
    <mergeCell ref="G50:H50"/>
    <mergeCell ref="I50:Q50"/>
    <mergeCell ref="G51:H51"/>
    <mergeCell ref="AK60:AN60"/>
    <mergeCell ref="G52:H52"/>
    <mergeCell ref="AM61:AN61"/>
    <mergeCell ref="G53:H53"/>
    <mergeCell ref="AM62:AN62"/>
    <mergeCell ref="G54:H54"/>
    <mergeCell ref="AM63:AN63"/>
    <mergeCell ref="G55:H55"/>
    <mergeCell ref="G59:H65"/>
    <mergeCell ref="M51:N52"/>
    <mergeCell ref="G56:H56"/>
    <mergeCell ref="G57:H57"/>
    <mergeCell ref="I57:K57"/>
    <mergeCell ref="L57:N57"/>
    <mergeCell ref="O57:Q57"/>
    <mergeCell ref="G58:H58"/>
    <mergeCell ref="AM64:AN64"/>
    <mergeCell ref="AM65:AN65"/>
    <mergeCell ref="AJ2:AJ15"/>
    <mergeCell ref="I59:K64"/>
    <mergeCell ref="L59:N64"/>
    <mergeCell ref="O59:Q64"/>
    <mergeCell ref="P100:R100"/>
    <mergeCell ref="M99:O99"/>
    <mergeCell ref="P99:R99"/>
    <mergeCell ref="H87:M87"/>
    <mergeCell ref="H88:M88"/>
    <mergeCell ref="H89:M89"/>
    <mergeCell ref="I91:J91"/>
    <mergeCell ref="L93:M93"/>
    <mergeCell ref="H95:J95"/>
    <mergeCell ref="H96:J96"/>
    <mergeCell ref="H72:I72"/>
    <mergeCell ref="H73:I73"/>
    <mergeCell ref="J76:K76"/>
    <mergeCell ref="J77:K77"/>
    <mergeCell ref="I79:J79"/>
    <mergeCell ref="L79:M79"/>
    <mergeCell ref="G86:I86"/>
    <mergeCell ref="H69:I69"/>
    <mergeCell ref="H70:I70"/>
    <mergeCell ref="H71:I71"/>
    <mergeCell ref="AM67:AN67"/>
    <mergeCell ref="A116:B116"/>
    <mergeCell ref="F122:G122"/>
    <mergeCell ref="A126:B126"/>
    <mergeCell ref="C143:G143"/>
    <mergeCell ref="A102:B102"/>
    <mergeCell ref="B103:E103"/>
    <mergeCell ref="A104:B104"/>
    <mergeCell ref="L86:M86"/>
    <mergeCell ref="L91:M91"/>
    <mergeCell ref="L76:O77"/>
    <mergeCell ref="G81:Q82"/>
    <mergeCell ref="G83:R84"/>
    <mergeCell ref="AO32:AR37"/>
    <mergeCell ref="AR2:AR9"/>
    <mergeCell ref="AK20:AS20"/>
    <mergeCell ref="N86:R89"/>
    <mergeCell ref="O18:Q19"/>
    <mergeCell ref="J51:K52"/>
    <mergeCell ref="P51:Q52"/>
    <mergeCell ref="AK22:AN22"/>
    <mergeCell ref="O17:Q17"/>
    <mergeCell ref="AG19:AI19"/>
    <mergeCell ref="AA20:AC20"/>
    <mergeCell ref="AD20:AF20"/>
    <mergeCell ref="AG20:AI20"/>
    <mergeCell ref="V73:X73"/>
    <mergeCell ref="AM66:AN66"/>
    <mergeCell ref="AM69:AN69"/>
    <mergeCell ref="AM70:AN70"/>
    <mergeCell ref="AM71:AN71"/>
    <mergeCell ref="AM68:AN68"/>
    <mergeCell ref="I65:Q65"/>
    <mergeCell ref="H67:I67"/>
    <mergeCell ref="J67:K67"/>
    <mergeCell ref="L67:M67"/>
    <mergeCell ref="N67:O67"/>
  </mergeCells>
  <conditionalFormatting sqref="C43">
    <cfRule type="cellIs" dxfId="7" priority="4" stopIfTrue="1" operator="greaterThan">
      <formula>4</formula>
    </cfRule>
    <cfRule type="cellIs" dxfId="6" priority="5" stopIfTrue="1" operator="between">
      <formula>2.75</formula>
      <formula>4</formula>
    </cfRule>
  </conditionalFormatting>
  <conditionalFormatting sqref="J53:K53">
    <cfRule type="cellIs" dxfId="5" priority="3" operator="greaterThan">
      <formula>I53</formula>
    </cfRule>
  </conditionalFormatting>
  <conditionalFormatting sqref="M53:N53">
    <cfRule type="cellIs" dxfId="4" priority="1" operator="greaterThan">
      <formula>L53</formula>
    </cfRule>
  </conditionalFormatting>
  <conditionalFormatting sqref="P53:Q53">
    <cfRule type="cellIs" dxfId="3" priority="2" operator="greaterThan">
      <formula>O53</formula>
    </cfRule>
  </conditionalFormatting>
  <hyperlinks>
    <hyperlink ref="A4" location="'Extract Calc'!B98" display="To amend ̸ modify any data, please refer to the &quot;Technical Section&quot;." xr:uid="{00000000-0004-0000-0700-000000000000}"/>
    <hyperlink ref="B4" location="'Extract Calc'!B98" display="'Extract Calc'!B98" xr:uid="{00000000-0004-0000-0700-000001000000}"/>
    <hyperlink ref="C4" location="'Extract Calc'!B98" display="'Extract Calc'!B98" xr:uid="{00000000-0004-0000-0700-000002000000}"/>
    <hyperlink ref="D4" location="'Extract Calc'!B98" display="'Extract Calc'!B98" xr:uid="{00000000-0004-0000-0700-000003000000}"/>
    <hyperlink ref="C13" location="'Gluten-Free'!M58" display="=M58" xr:uid="{00000000-0004-0000-0700-000004000000}"/>
    <hyperlink ref="C12" location="'Gluten-Free'!J58" display="=J58" xr:uid="{00000000-0004-0000-0700-000005000000}"/>
    <hyperlink ref="D39" location="'Gluten-Free'!N93" display="g ̸ litre" xr:uid="{00000000-0004-0000-0700-000006000000}"/>
    <hyperlink ref="B44" location="'Primer'!D1" display="For more information about carbonation see &quot;Beer Primer&quot; page." xr:uid="{00000000-0004-0000-0700-000007000000}"/>
    <hyperlink ref="I50" location="'Gluten-Free Calc'!J100" display="See cells H78 etc. for the Isomerised hop extract settings." xr:uid="{00000000-0004-0000-0700-000008000000}"/>
    <hyperlink ref="B15" location="'Wine Calc'!B139" display="'Wine Calc'!B139" xr:uid="{00000000-0004-0000-0700-000009000000}"/>
    <hyperlink ref="O7" r:id="rId1" display="http://www.petespintpot.co.uk/" xr:uid="{00000000-0004-0000-0700-00000A000000}"/>
    <hyperlink ref="A37" location="'Gluten-Free Calc'!J100" display="'Gluten-Free Calc'!J100" xr:uid="{00000000-0004-0000-0700-00000B000000}"/>
    <hyperlink ref="B35" location="'Gluten-Free'!B122" display="'Gluten-Free'!B122" xr:uid="{00000000-0004-0000-0700-00000C000000}"/>
    <hyperlink ref="D17" location="'Wine Calc'!D7" display="'Wine Calc'!D7" xr:uid="{00000000-0004-0000-0700-00000D000000}"/>
    <hyperlink ref="E17" location="'Wine &amp; Cider Calc'!D7" display="'Wine &amp; Cider Calc'!D7" xr:uid="{00000000-0004-0000-0700-00000E000000}"/>
    <hyperlink ref="I50:Q50" location="'Gluten-Free'!H78" display="See cells H78 etc. for the Isomerised hop extract settings." xr:uid="{00000000-0004-0000-0700-00000F000000}"/>
    <hyperlink ref="A4:D4" location="'Gluten-Free'!A107" display="To amend ̸ modify any data, please refer to the &quot;Technical Section&quot;." xr:uid="{00000000-0004-0000-0700-000010000000}"/>
    <hyperlink ref="B44:D44" location="Primer!G1" display="For more information about carbonation see &quot;Beer Primer&quot; page." xr:uid="{00000000-0004-0000-0700-000011000000}"/>
    <hyperlink ref="A4:E4" location="'Gluten-Free'!A102" display="To amend ̸ modify any data, please refer to the &quot;Technical Section&quot;." xr:uid="{00000000-0004-0000-0700-000012000000}"/>
    <hyperlink ref="H13:H14" location="'Gluten-Free'!AR4" display="=&quot;(&quot;&amp;IF(H12/((H8-1000)+0.001)&gt;0.81,&quot;Too Hoppy?&quot;,IF(H12/(H8-1000)&gt;0.65,&quot;Very Hoppy&quot;,IF(H12/(H8-1000)&gt;0.55,&quot;Slightly Hoppy&quot;,IF(H12/(H8-1000)&gt;0.45,&quot;Balanced&quot;,IF(H12/(H8-1000)&gt;0.35,&quot;Slightly Malty&quot;,IF(H12/(H8-1000)&gt;0.25,&quot;Very Malty&quot;,IF((H12+0.001)/(H8-1000)&gt;0,&quot;Too Malty?&quot;)))))))&amp;&quot;)&quot;" xr:uid="{00000000-0004-0000-0700-000013000000}"/>
    <hyperlink ref="C14" location="'Gluten-Free'!P58" display="=P58" xr:uid="{00000000-0004-0000-0700-000014000000}"/>
    <hyperlink ref="P99" r:id="rId2" xr:uid="{00000000-0004-0000-0700-000015000000}"/>
    <hyperlink ref="B39" location="'Gluten-Free'!N93" display="'Gluten-Free'!N93" xr:uid="{00000000-0004-0000-0700-000016000000}"/>
  </hyperlinks>
  <printOptions horizontalCentered="1"/>
  <pageMargins left="0.15748031496063" right="0.15748031496063" top="0.39370078740157499" bottom="0.47244094488188998" header="0.31496062992126" footer="0.43307086614173201"/>
  <pageSetup paperSize="9" orientation="portrait" verticalDpi="3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pageSetUpPr fitToPage="1"/>
  </sheetPr>
  <dimension ref="A1:V248"/>
  <sheetViews>
    <sheetView tabSelected="1" zoomScale="75" zoomScaleNormal="75" zoomScaleSheetLayoutView="75" zoomScalePageLayoutView="75" workbookViewId="0">
      <selection activeCell="Q9" sqref="Q9"/>
    </sheetView>
  </sheetViews>
  <sheetFormatPr defaultColWidth="9" defaultRowHeight="13.9"/>
  <cols>
    <col min="1" max="1" width="5.42578125" style="132" customWidth="1"/>
    <col min="2" max="9" width="12.140625" style="132" customWidth="1"/>
    <col min="10" max="10" width="11.28515625" style="133" customWidth="1"/>
    <col min="11" max="14" width="10.5703125" style="133" customWidth="1"/>
    <col min="15" max="15" width="5" style="133" customWidth="1"/>
    <col min="16" max="16" width="27" style="132" customWidth="1"/>
    <col min="17" max="19" width="9.85546875" style="132" customWidth="1"/>
    <col min="20" max="20" width="4.42578125" style="132" customWidth="1"/>
    <col min="21" max="16384" width="9" style="132"/>
  </cols>
  <sheetData>
    <row r="1" spans="1:22" ht="39.75" customHeight="1">
      <c r="A1" s="2165"/>
      <c r="B1" s="2165"/>
      <c r="C1" s="134"/>
      <c r="D1" s="4045" t="s">
        <v>1496</v>
      </c>
      <c r="E1" s="4045"/>
      <c r="F1" s="4045"/>
      <c r="G1" s="4045"/>
      <c r="H1" s="4045"/>
      <c r="I1" s="4045"/>
      <c r="J1" s="4045"/>
      <c r="K1" s="4045"/>
      <c r="L1" s="4045"/>
      <c r="M1" s="4045"/>
      <c r="N1" s="4045"/>
      <c r="O1" s="4045"/>
      <c r="P1" s="4045"/>
      <c r="Q1" s="2187"/>
      <c r="R1" s="4039" t="s">
        <v>1</v>
      </c>
      <c r="S1" s="4039"/>
      <c r="T1" s="140"/>
      <c r="U1" s="134"/>
      <c r="V1" s="134"/>
    </row>
    <row r="2" spans="1:22" ht="15" customHeight="1">
      <c r="A2" s="135"/>
      <c r="B2" s="135"/>
      <c r="C2" s="136"/>
      <c r="D2" s="137"/>
      <c r="E2" s="138"/>
      <c r="F2" s="138"/>
      <c r="G2" s="139"/>
      <c r="H2" s="138"/>
      <c r="I2" s="140"/>
      <c r="J2" s="167"/>
      <c r="K2" s="167"/>
      <c r="L2" s="167"/>
      <c r="M2" s="167"/>
      <c r="N2" s="167"/>
      <c r="O2" s="167"/>
      <c r="P2" s="140"/>
      <c r="Q2" s="2187"/>
      <c r="R2" s="2187"/>
      <c r="S2" s="2187"/>
      <c r="T2" s="140"/>
      <c r="U2" s="134"/>
      <c r="V2" s="134"/>
    </row>
    <row r="3" spans="1:22" ht="15" customHeight="1">
      <c r="A3" s="4040" t="s">
        <v>1497</v>
      </c>
      <c r="B3" s="4040"/>
      <c r="C3" s="4040"/>
      <c r="D3" s="4040"/>
      <c r="E3" s="4040"/>
      <c r="F3" s="4040"/>
      <c r="G3" s="4040"/>
      <c r="H3" s="4040"/>
      <c r="I3" s="4040"/>
      <c r="J3" s="4041" t="s">
        <v>1498</v>
      </c>
      <c r="K3" s="4041"/>
      <c r="L3" s="4041"/>
      <c r="M3" s="4041"/>
      <c r="N3" s="4041"/>
      <c r="O3" s="4042" t="s">
        <v>1499</v>
      </c>
      <c r="P3" s="4042"/>
      <c r="Q3" s="134"/>
      <c r="R3" s="140"/>
      <c r="S3" s="140"/>
      <c r="T3" s="140"/>
      <c r="U3" s="134"/>
      <c r="V3" s="134"/>
    </row>
    <row r="4" spans="1:22" ht="14.25" customHeight="1">
      <c r="A4" s="4043" t="s">
        <v>1500</v>
      </c>
      <c r="B4" s="4043"/>
      <c r="C4" s="4043"/>
      <c r="D4" s="4043"/>
      <c r="E4" s="4043"/>
      <c r="F4" s="4043"/>
      <c r="G4" s="4043"/>
      <c r="H4" s="4043"/>
      <c r="I4" s="4043"/>
      <c r="J4" s="168"/>
      <c r="K4" s="168"/>
      <c r="L4" s="168"/>
      <c r="M4" s="168"/>
      <c r="N4" s="168"/>
      <c r="O4" s="168"/>
      <c r="P4" s="140"/>
      <c r="Q4" s="140"/>
      <c r="R4" s="140"/>
      <c r="S4" s="140"/>
      <c r="T4" s="140"/>
      <c r="U4" s="134"/>
      <c r="V4" s="134"/>
    </row>
    <row r="5" spans="1:22" ht="14.25" customHeight="1">
      <c r="A5" s="140"/>
      <c r="B5" s="140"/>
      <c r="C5" s="140"/>
      <c r="D5" s="140"/>
      <c r="E5" s="140"/>
      <c r="F5" s="141"/>
      <c r="G5" s="142"/>
      <c r="H5" s="142"/>
      <c r="I5" s="141"/>
      <c r="J5" s="167"/>
      <c r="K5" s="167"/>
      <c r="L5" s="167"/>
      <c r="M5" s="167"/>
      <c r="N5" s="167"/>
      <c r="O5" s="167"/>
      <c r="P5" s="4044" t="s">
        <v>1501</v>
      </c>
      <c r="Q5" s="4044"/>
      <c r="R5" s="4044"/>
      <c r="S5" s="4044"/>
      <c r="T5" s="182"/>
      <c r="U5" s="134"/>
      <c r="V5" s="134"/>
    </row>
    <row r="6" spans="1:22" ht="14.25" customHeight="1">
      <c r="A6" s="141"/>
      <c r="B6" s="4846" t="s">
        <v>1502</v>
      </c>
      <c r="C6" s="4846"/>
      <c r="D6" s="4846"/>
      <c r="E6" s="4846"/>
      <c r="F6" s="140"/>
      <c r="G6" s="140"/>
      <c r="H6" s="140"/>
      <c r="I6" s="134"/>
      <c r="J6" s="2658" t="s">
        <v>1503</v>
      </c>
      <c r="K6" s="4847" t="s">
        <v>1504</v>
      </c>
      <c r="L6" s="4046"/>
      <c r="M6" s="4046"/>
      <c r="N6" s="167"/>
      <c r="O6" s="167"/>
      <c r="P6" s="4038" t="s">
        <v>1505</v>
      </c>
      <c r="Q6" s="4047" t="s">
        <v>1506</v>
      </c>
      <c r="R6" s="4047"/>
      <c r="S6" s="2659" t="s">
        <v>594</v>
      </c>
      <c r="T6" s="140"/>
      <c r="U6" s="134"/>
      <c r="V6" s="134"/>
    </row>
    <row r="7" spans="1:22" ht="14.25" customHeight="1">
      <c r="A7" s="141"/>
      <c r="B7" s="1743"/>
      <c r="C7" s="2660">
        <v>23</v>
      </c>
      <c r="D7" s="4021" t="s">
        <v>1507</v>
      </c>
      <c r="E7" s="4022"/>
      <c r="F7" s="4021" t="s">
        <v>1508</v>
      </c>
      <c r="G7" s="4022"/>
      <c r="H7" s="2661">
        <v>20.2</v>
      </c>
      <c r="I7" s="169"/>
      <c r="J7" s="167"/>
      <c r="K7" s="167"/>
      <c r="L7" s="167"/>
      <c r="M7" s="167"/>
      <c r="N7" s="167"/>
      <c r="O7" s="167"/>
      <c r="P7" s="4848"/>
      <c r="Q7" s="4849" t="s">
        <v>596</v>
      </c>
      <c r="R7" s="4849" t="s">
        <v>597</v>
      </c>
      <c r="S7" s="4849" t="s">
        <v>598</v>
      </c>
      <c r="T7" s="140"/>
      <c r="U7" s="134"/>
      <c r="V7" s="134"/>
    </row>
    <row r="8" spans="1:22" ht="14.25" customHeight="1">
      <c r="A8" s="141"/>
      <c r="B8" s="144"/>
      <c r="C8" s="145" t="s">
        <v>1509</v>
      </c>
      <c r="D8" s="2662" t="s">
        <v>1510</v>
      </c>
      <c r="E8" s="4032" t="s">
        <v>1511</v>
      </c>
      <c r="F8" s="4032"/>
      <c r="G8" s="4027" t="s">
        <v>1512</v>
      </c>
      <c r="H8" s="4027"/>
      <c r="I8" s="142"/>
      <c r="J8" s="4035" t="s">
        <v>1513</v>
      </c>
      <c r="K8" s="4035"/>
      <c r="L8" s="4035"/>
      <c r="M8" s="4036" t="str">
        <f>"For ("&amp;M11&amp;" / "&amp;M12&amp;" litres)"</f>
        <v>For (20.2 / 25 litres)</v>
      </c>
      <c r="N8" s="4036"/>
      <c r="O8" s="167"/>
      <c r="P8" s="2663" t="s">
        <v>1514</v>
      </c>
      <c r="Q8" s="2664">
        <v>1.2</v>
      </c>
      <c r="R8" s="2664">
        <v>2.8</v>
      </c>
      <c r="S8" s="2665">
        <f t="shared" ref="S8:S65" si="0">(Q8+R8)/2</f>
        <v>2</v>
      </c>
      <c r="T8" s="140"/>
      <c r="U8" s="134"/>
      <c r="V8" s="134"/>
    </row>
    <row r="9" spans="1:22" ht="14.25" customHeight="1">
      <c r="A9" s="141"/>
      <c r="B9" s="144"/>
      <c r="C9" s="4850" t="s">
        <v>1515</v>
      </c>
      <c r="D9" s="4851" t="s">
        <v>1516</v>
      </c>
      <c r="E9" s="4032"/>
      <c r="F9" s="4032"/>
      <c r="G9" s="4027"/>
      <c r="H9" s="4027"/>
      <c r="I9" s="142"/>
      <c r="J9" s="4037" t="s">
        <v>1517</v>
      </c>
      <c r="K9" s="4037"/>
      <c r="L9" s="4037"/>
      <c r="M9" s="2666">
        <f>C11</f>
        <v>1.7</v>
      </c>
      <c r="N9" s="2667" t="s">
        <v>1518</v>
      </c>
      <c r="O9" s="167"/>
      <c r="P9" s="2663" t="s">
        <v>1519</v>
      </c>
      <c r="Q9" s="2664">
        <v>1.5</v>
      </c>
      <c r="R9" s="2664">
        <v>2.5</v>
      </c>
      <c r="S9" s="2665">
        <f t="shared" si="0"/>
        <v>2</v>
      </c>
      <c r="T9" s="140"/>
      <c r="U9" s="134"/>
      <c r="V9" s="134"/>
    </row>
    <row r="10" spans="1:22" ht="14.25" customHeight="1">
      <c r="A10" s="141"/>
      <c r="B10" s="144"/>
      <c r="C10" s="4852" t="s">
        <v>598</v>
      </c>
      <c r="D10" s="4851" t="s">
        <v>544</v>
      </c>
      <c r="E10" s="4853" t="s">
        <v>612</v>
      </c>
      <c r="F10" s="4853" t="str">
        <f>FIXED($H$7)&amp;" litre"</f>
        <v>20.20 litre</v>
      </c>
      <c r="G10" s="4854" t="s">
        <v>612</v>
      </c>
      <c r="H10" s="4854" t="str">
        <f>FIXED($H$7)&amp;" litre"</f>
        <v>20.20 litre</v>
      </c>
      <c r="I10" s="142"/>
      <c r="J10" s="4855" t="s">
        <v>1520</v>
      </c>
      <c r="K10" s="4855"/>
      <c r="L10" s="4855"/>
      <c r="M10" s="4856">
        <v>20</v>
      </c>
      <c r="N10" s="4857" t="s">
        <v>1521</v>
      </c>
      <c r="O10" s="167"/>
      <c r="P10" s="2663" t="s">
        <v>1522</v>
      </c>
      <c r="Q10" s="2664">
        <v>2.5</v>
      </c>
      <c r="R10" s="2664">
        <v>2.7</v>
      </c>
      <c r="S10" s="2665">
        <f t="shared" si="0"/>
        <v>2.6</v>
      </c>
      <c r="T10" s="140"/>
      <c r="U10" s="134"/>
      <c r="V10" s="134"/>
    </row>
    <row r="11" spans="1:22" ht="14.25" customHeight="1">
      <c r="A11" s="141"/>
      <c r="B11" s="144"/>
      <c r="C11" s="2668">
        <v>1.7</v>
      </c>
      <c r="D11" s="2669">
        <v>20</v>
      </c>
      <c r="E11" s="2670">
        <f>(C11-VLOOKUP(D11,B95:D138,3))/K72</f>
        <v>3.1412213740458013</v>
      </c>
      <c r="F11" s="146">
        <f>$H$7*E11</f>
        <v>63.452671755725184</v>
      </c>
      <c r="G11" s="2671">
        <f>($C$11-(VLOOKUP($D$11,$B95:$D138,3)))/K80</f>
        <v>3.3065488147850539</v>
      </c>
      <c r="H11" s="2672">
        <f>$H$7*G11</f>
        <v>66.792286058658092</v>
      </c>
      <c r="I11" s="142"/>
      <c r="J11" s="4858" t="s">
        <v>1523</v>
      </c>
      <c r="K11" s="4858"/>
      <c r="L11" s="4858"/>
      <c r="M11" s="4859">
        <f>H7</f>
        <v>20.2</v>
      </c>
      <c r="N11" s="4857" t="s">
        <v>319</v>
      </c>
      <c r="O11" s="167"/>
      <c r="P11" s="2663" t="s">
        <v>1524</v>
      </c>
      <c r="Q11" s="2664">
        <v>2.2000000000000002</v>
      </c>
      <c r="R11" s="2664">
        <v>2.8</v>
      </c>
      <c r="S11" s="2665">
        <f t="shared" si="0"/>
        <v>2.5</v>
      </c>
      <c r="T11" s="140"/>
      <c r="U11" s="134"/>
      <c r="V11" s="134"/>
    </row>
    <row r="12" spans="1:22" ht="14.25" customHeight="1">
      <c r="A12" s="141"/>
      <c r="B12" s="144"/>
      <c r="C12" s="4033" t="s">
        <v>1525</v>
      </c>
      <c r="D12" s="4033"/>
      <c r="E12" s="2673">
        <f>E11/$D$53</f>
        <v>0.99721313461771477</v>
      </c>
      <c r="F12" s="2674">
        <f>F11/$D$53</f>
        <v>20.143705319277839</v>
      </c>
      <c r="G12" s="2673">
        <f>G11/$D$53</f>
        <v>1.0496980364396997</v>
      </c>
      <c r="H12" s="2675">
        <f>H11/$D$53</f>
        <v>21.203900336081936</v>
      </c>
      <c r="I12" s="142"/>
      <c r="J12" s="4860" t="s">
        <v>1526</v>
      </c>
      <c r="K12" s="4860"/>
      <c r="L12" s="4860"/>
      <c r="M12" s="4856">
        <v>25</v>
      </c>
      <c r="N12" s="4857" t="s">
        <v>319</v>
      </c>
      <c r="O12" s="167"/>
      <c r="P12" s="2663" t="s">
        <v>1527</v>
      </c>
      <c r="Q12" s="2664">
        <v>2.6</v>
      </c>
      <c r="R12" s="2664">
        <v>2.7</v>
      </c>
      <c r="S12" s="2665">
        <f t="shared" si="0"/>
        <v>2.6500000000000004</v>
      </c>
      <c r="T12" s="140"/>
      <c r="U12" s="134"/>
      <c r="V12" s="134"/>
    </row>
    <row r="13" spans="1:22" ht="14.25" customHeight="1">
      <c r="A13" s="141"/>
      <c r="B13" s="147"/>
      <c r="C13" s="147"/>
      <c r="D13" s="147"/>
      <c r="E13" s="147"/>
      <c r="F13" s="147"/>
      <c r="G13" s="147"/>
      <c r="H13" s="147"/>
      <c r="I13" s="142"/>
      <c r="J13" s="4034" t="s">
        <v>1528</v>
      </c>
      <c r="K13" s="4034"/>
      <c r="L13" s="4034"/>
      <c r="M13" s="2676">
        <f>M15*7225/7605</f>
        <v>94.183348435792283</v>
      </c>
      <c r="N13" s="2677" t="s">
        <v>82</v>
      </c>
      <c r="O13" s="167"/>
      <c r="P13" s="2663" t="s">
        <v>1529</v>
      </c>
      <c r="Q13" s="2664">
        <v>2.2999999999999998</v>
      </c>
      <c r="R13" s="2664">
        <v>2.6</v>
      </c>
      <c r="S13" s="2665">
        <f t="shared" si="0"/>
        <v>2.4500000000000002</v>
      </c>
      <c r="T13" s="140"/>
      <c r="U13" s="134"/>
      <c r="V13" s="134"/>
    </row>
    <row r="14" spans="1:22" ht="14.25" customHeight="1">
      <c r="A14" s="141"/>
      <c r="B14" s="4861" t="s">
        <v>1530</v>
      </c>
      <c r="C14" s="4861"/>
      <c r="D14" s="4861"/>
      <c r="E14" s="4861"/>
      <c r="F14" s="4861"/>
      <c r="G14" s="148"/>
      <c r="H14" s="149"/>
      <c r="I14" s="142"/>
      <c r="J14" s="4862"/>
      <c r="K14" s="4862"/>
      <c r="L14" s="4862"/>
      <c r="M14" s="4863" t="str">
        <f>"= "&amp;FIXED((M13/D53),1)</f>
        <v>= 29.9</v>
      </c>
      <c r="N14" s="4864" t="s">
        <v>623</v>
      </c>
      <c r="O14" s="167"/>
      <c r="P14" s="2663" t="s">
        <v>1531</v>
      </c>
      <c r="Q14" s="2664">
        <v>2.2000000000000002</v>
      </c>
      <c r="R14" s="2664">
        <v>2.6</v>
      </c>
      <c r="S14" s="2665">
        <f t="shared" si="0"/>
        <v>2.4000000000000004</v>
      </c>
      <c r="T14" s="140"/>
      <c r="U14" s="134"/>
      <c r="V14" s="134"/>
    </row>
    <row r="15" spans="1:22" ht="14.25" customHeight="1">
      <c r="A15" s="141"/>
      <c r="B15" s="144"/>
      <c r="C15" s="2660">
        <v>5</v>
      </c>
      <c r="D15" s="4019" t="s">
        <v>1532</v>
      </c>
      <c r="E15" s="4020"/>
      <c r="F15" s="4021" t="s">
        <v>1508</v>
      </c>
      <c r="G15" s="4022"/>
      <c r="H15" s="2678">
        <v>4.41</v>
      </c>
      <c r="I15" s="1741"/>
      <c r="J15" s="4034" t="s">
        <v>1533</v>
      </c>
      <c r="K15" s="4034"/>
      <c r="L15" s="4034"/>
      <c r="M15" s="4865">
        <f>(M9-((3.0378-(0.050062*(((M10+40)*9/5)-40))+(0.00026555*(((M10+40)*9/5)-40)^2))*M11/M12))*3.95*M12</f>
        <v>99.136936312000046</v>
      </c>
      <c r="N15" s="4857" t="s">
        <v>82</v>
      </c>
      <c r="O15" s="167"/>
      <c r="P15" s="2663" t="s">
        <v>1534</v>
      </c>
      <c r="Q15" s="2664">
        <v>1.9</v>
      </c>
      <c r="R15" s="2664">
        <v>2.5</v>
      </c>
      <c r="S15" s="2665">
        <f t="shared" si="0"/>
        <v>2.2000000000000002</v>
      </c>
      <c r="T15" s="140"/>
      <c r="U15" s="134"/>
      <c r="V15" s="134"/>
    </row>
    <row r="16" spans="1:22" ht="14.25" customHeight="1">
      <c r="A16" s="141"/>
      <c r="B16" s="147"/>
      <c r="C16" s="145" t="s">
        <v>1509</v>
      </c>
      <c r="D16" s="2662" t="s">
        <v>1510</v>
      </c>
      <c r="E16" s="4032" t="s">
        <v>1535</v>
      </c>
      <c r="F16" s="4032"/>
      <c r="G16" s="4027" t="s">
        <v>1512</v>
      </c>
      <c r="H16" s="4027"/>
      <c r="I16" s="1742"/>
      <c r="J16" s="4862"/>
      <c r="K16" s="4862"/>
      <c r="L16" s="4862"/>
      <c r="M16" s="4863" t="str">
        <f>"= "&amp;FIXED((M15/D53),1)</f>
        <v>= 31.5</v>
      </c>
      <c r="N16" s="4864" t="s">
        <v>623</v>
      </c>
      <c r="O16" s="167"/>
      <c r="P16" s="2663" t="s">
        <v>1536</v>
      </c>
      <c r="Q16" s="2664">
        <v>1.9</v>
      </c>
      <c r="R16" s="2664">
        <v>2.4</v>
      </c>
      <c r="S16" s="2665">
        <f t="shared" si="0"/>
        <v>2.15</v>
      </c>
      <c r="T16" s="140"/>
      <c r="U16" s="134"/>
      <c r="V16" s="134"/>
    </row>
    <row r="17" spans="1:22" ht="14.25" customHeight="1">
      <c r="A17" s="141"/>
      <c r="B17" s="147"/>
      <c r="C17" s="4850" t="s">
        <v>1515</v>
      </c>
      <c r="D17" s="4851" t="s">
        <v>1516</v>
      </c>
      <c r="E17" s="4032"/>
      <c r="F17" s="4032"/>
      <c r="G17" s="4027"/>
      <c r="H17" s="4027"/>
      <c r="I17" s="1742"/>
      <c r="J17" s="167"/>
      <c r="K17" s="167"/>
      <c r="L17" s="167"/>
      <c r="M17" s="167"/>
      <c r="N17" s="167"/>
      <c r="O17" s="167"/>
      <c r="P17" s="2663" t="s">
        <v>1537</v>
      </c>
      <c r="Q17" s="2664">
        <v>2.6</v>
      </c>
      <c r="R17" s="2664">
        <v>4.5</v>
      </c>
      <c r="S17" s="2665">
        <f t="shared" si="0"/>
        <v>3.55</v>
      </c>
      <c r="T17" s="140"/>
      <c r="U17" s="134"/>
      <c r="V17" s="134"/>
    </row>
    <row r="18" spans="1:22" ht="14.25" customHeight="1">
      <c r="A18" s="141"/>
      <c r="B18" s="147"/>
      <c r="C18" s="4852" t="s">
        <v>598</v>
      </c>
      <c r="D18" s="4866" t="s">
        <v>1538</v>
      </c>
      <c r="E18" s="4853" t="s">
        <v>1539</v>
      </c>
      <c r="F18" s="4853" t="str">
        <f>$H$15&amp;" UK gall"</f>
        <v>4.41 UK gall</v>
      </c>
      <c r="G18" s="4854" t="s">
        <v>1539</v>
      </c>
      <c r="H18" s="4854" t="str">
        <f>$H$15&amp;" UK gall"</f>
        <v>4.41 UK gall</v>
      </c>
      <c r="I18" s="1742"/>
      <c r="J18" s="170"/>
      <c r="K18" s="170"/>
      <c r="L18" s="170"/>
      <c r="M18" s="167"/>
      <c r="N18" s="167"/>
      <c r="O18" s="171"/>
      <c r="P18" s="2663" t="s">
        <v>1540</v>
      </c>
      <c r="Q18" s="2664">
        <v>3</v>
      </c>
      <c r="R18" s="2664">
        <v>4.5</v>
      </c>
      <c r="S18" s="2665">
        <f t="shared" si="0"/>
        <v>3.75</v>
      </c>
      <c r="T18" s="140"/>
      <c r="U18" s="134"/>
      <c r="V18" s="134"/>
    </row>
    <row r="19" spans="1:22" ht="14.25" customHeight="1">
      <c r="A19" s="141"/>
      <c r="B19" s="150"/>
      <c r="C19" s="2679">
        <f>C11</f>
        <v>1.7</v>
      </c>
      <c r="D19" s="2669">
        <v>68</v>
      </c>
      <c r="E19" s="2680">
        <f>0.56825*(C19-VLOOKUP(D19,C95:D138,2))/(K72*28.35)</f>
        <v>6.2962929305168489E-2</v>
      </c>
      <c r="F19" s="151">
        <f>8*$H$15*E19</f>
        <v>2.2213321458863442</v>
      </c>
      <c r="G19" s="2680">
        <f>0.56825*($C19-(VLOOKUP($D$19,C95:D138,2)))/(K80*28.35)</f>
        <v>6.6276767689651031E-2</v>
      </c>
      <c r="H19" s="2681">
        <f>8*$H$15*G19</f>
        <v>2.3382443640908885</v>
      </c>
      <c r="I19" s="1742"/>
      <c r="J19" s="167"/>
      <c r="K19" s="4028" t="s">
        <v>1541</v>
      </c>
      <c r="L19" s="4028"/>
      <c r="M19" s="4028"/>
      <c r="N19" s="4028"/>
      <c r="O19" s="171"/>
      <c r="P19" s="2663" t="s">
        <v>1542</v>
      </c>
      <c r="Q19" s="2664">
        <v>1.9</v>
      </c>
      <c r="R19" s="2664">
        <v>2.4</v>
      </c>
      <c r="S19" s="2665">
        <f t="shared" si="0"/>
        <v>2.15</v>
      </c>
      <c r="T19" s="140"/>
      <c r="U19" s="134"/>
      <c r="V19" s="134"/>
    </row>
    <row r="20" spans="1:22" ht="14.25" customHeight="1">
      <c r="A20" s="141"/>
      <c r="B20" s="147"/>
      <c r="C20" s="4023" t="s">
        <v>1543</v>
      </c>
      <c r="D20" s="4023"/>
      <c r="E20" s="2682">
        <f>28.35*E19</f>
        <v>1.7849990458015268</v>
      </c>
      <c r="F20" s="2683">
        <f>28.35*F19</f>
        <v>62.97476633587786</v>
      </c>
      <c r="G20" s="2682">
        <f>28.35*G19</f>
        <v>1.8789463640016069</v>
      </c>
      <c r="H20" s="2683">
        <f>28.35*H19</f>
        <v>66.289227721976687</v>
      </c>
      <c r="I20" s="1742"/>
      <c r="J20" s="167"/>
      <c r="K20" s="4029" t="s">
        <v>1544</v>
      </c>
      <c r="L20" s="4030"/>
      <c r="M20" s="4030"/>
      <c r="N20" s="2684">
        <v>3.15</v>
      </c>
      <c r="O20" s="172">
        <v>100</v>
      </c>
      <c r="P20" s="2663" t="s">
        <v>1545</v>
      </c>
      <c r="Q20" s="2664">
        <v>2.1</v>
      </c>
      <c r="R20" s="2664">
        <v>2.6</v>
      </c>
      <c r="S20" s="2665">
        <f t="shared" si="0"/>
        <v>2.35</v>
      </c>
      <c r="T20" s="140"/>
      <c r="U20" s="134"/>
      <c r="V20" s="134"/>
    </row>
    <row r="21" spans="1:22" ht="14.25" customHeight="1">
      <c r="A21" s="141"/>
      <c r="B21" s="147"/>
      <c r="C21" s="4031" t="s">
        <v>1525</v>
      </c>
      <c r="D21" s="4031"/>
      <c r="E21" s="2685">
        <f>E20/$D$53</f>
        <v>0.56666636374651647</v>
      </c>
      <c r="F21" s="2686">
        <f>F20/$D$53</f>
        <v>19.9919893129771</v>
      </c>
      <c r="G21" s="2685">
        <f>G20/$D$53</f>
        <v>0.59649090920685932</v>
      </c>
      <c r="H21" s="2686">
        <f>H20/$D$53</f>
        <v>21.044199276817995</v>
      </c>
      <c r="I21" s="1742"/>
      <c r="J21" s="167"/>
      <c r="K21" s="4005" t="s">
        <v>1546</v>
      </c>
      <c r="L21" s="4005"/>
      <c r="M21" s="4005"/>
      <c r="N21" s="2687" t="str">
        <f t="shared" ref="N21:N39" si="1">FIXED((($N$20*$O21)/100),2)&amp;"g"</f>
        <v>3.18g</v>
      </c>
      <c r="O21" s="172">
        <v>101</v>
      </c>
      <c r="P21" s="2663" t="s">
        <v>1547</v>
      </c>
      <c r="Q21" s="2664">
        <v>3.5</v>
      </c>
      <c r="R21" s="2664">
        <v>3.5</v>
      </c>
      <c r="S21" s="2665">
        <f t="shared" si="0"/>
        <v>3.5</v>
      </c>
      <c r="T21" s="140"/>
      <c r="U21" s="134"/>
      <c r="V21" s="134"/>
    </row>
    <row r="22" spans="1:22" ht="14.25" customHeight="1">
      <c r="A22" s="141"/>
      <c r="B22" s="144"/>
      <c r="C22" s="144"/>
      <c r="D22" s="144"/>
      <c r="E22" s="144"/>
      <c r="F22" s="144"/>
      <c r="G22" s="144"/>
      <c r="H22" s="144"/>
      <c r="I22" s="170"/>
      <c r="J22" s="167"/>
      <c r="K22" s="4005" t="s">
        <v>1548</v>
      </c>
      <c r="L22" s="4005"/>
      <c r="M22" s="4005"/>
      <c r="N22" s="2687" t="str">
        <f t="shared" si="1"/>
        <v>3.94g</v>
      </c>
      <c r="O22" s="172">
        <v>125</v>
      </c>
      <c r="P22" s="2663" t="s">
        <v>1549</v>
      </c>
      <c r="Q22" s="2664">
        <v>1.9</v>
      </c>
      <c r="R22" s="2664">
        <v>2.5</v>
      </c>
      <c r="S22" s="2665">
        <f t="shared" si="0"/>
        <v>2.2000000000000002</v>
      </c>
      <c r="T22" s="140"/>
      <c r="U22" s="134"/>
      <c r="V22" s="134"/>
    </row>
    <row r="23" spans="1:22" ht="14.25" customHeight="1">
      <c r="A23" s="141"/>
      <c r="B23" s="4861" t="s">
        <v>1550</v>
      </c>
      <c r="C23" s="4861"/>
      <c r="D23" s="4861"/>
      <c r="E23" s="4861"/>
      <c r="F23" s="4861"/>
      <c r="G23" s="152"/>
      <c r="H23" s="148"/>
      <c r="I23" s="170"/>
      <c r="J23" s="167"/>
      <c r="K23" s="4005" t="s">
        <v>1551</v>
      </c>
      <c r="L23" s="4005"/>
      <c r="M23" s="4005"/>
      <c r="N23" s="2687" t="str">
        <f t="shared" si="1"/>
        <v>4.91g</v>
      </c>
      <c r="O23" s="172">
        <v>156</v>
      </c>
      <c r="P23" s="2663" t="s">
        <v>1552</v>
      </c>
      <c r="Q23" s="2664">
        <v>2.2000000000000002</v>
      </c>
      <c r="R23" s="2664">
        <v>2.7</v>
      </c>
      <c r="S23" s="2665">
        <f t="shared" si="0"/>
        <v>2.4500000000000002</v>
      </c>
      <c r="T23" s="140"/>
      <c r="U23" s="134"/>
      <c r="V23" s="134"/>
    </row>
    <row r="24" spans="1:22" ht="14.25" customHeight="1">
      <c r="A24" s="141"/>
      <c r="B24" s="144"/>
      <c r="C24" s="2660">
        <v>6</v>
      </c>
      <c r="D24" s="4019" t="s">
        <v>1553</v>
      </c>
      <c r="E24" s="4020"/>
      <c r="F24" s="4021" t="s">
        <v>1508</v>
      </c>
      <c r="G24" s="4022"/>
      <c r="H24" s="2661">
        <v>5.4</v>
      </c>
      <c r="I24" s="170"/>
      <c r="J24" s="167"/>
      <c r="K24" s="4005" t="s">
        <v>1554</v>
      </c>
      <c r="L24" s="4005"/>
      <c r="M24" s="4005"/>
      <c r="N24" s="2687" t="str">
        <f t="shared" si="1"/>
        <v>3.18g</v>
      </c>
      <c r="O24" s="172">
        <v>101</v>
      </c>
      <c r="P24" s="2663" t="s">
        <v>1555</v>
      </c>
      <c r="Q24" s="2664">
        <v>2.2999999999999998</v>
      </c>
      <c r="R24" s="2664">
        <v>2.5</v>
      </c>
      <c r="S24" s="2665">
        <f t="shared" si="0"/>
        <v>2.4</v>
      </c>
      <c r="T24" s="140"/>
      <c r="U24" s="134"/>
      <c r="V24" s="134"/>
    </row>
    <row r="25" spans="1:22" ht="14.25" customHeight="1">
      <c r="A25" s="141"/>
      <c r="B25" s="144"/>
      <c r="C25" s="145" t="s">
        <v>1509</v>
      </c>
      <c r="D25" s="2662" t="s">
        <v>1510</v>
      </c>
      <c r="E25" s="4024" t="s">
        <v>1535</v>
      </c>
      <c r="F25" s="4025"/>
      <c r="G25" s="4027" t="s">
        <v>1512</v>
      </c>
      <c r="H25" s="4027"/>
      <c r="I25" s="170"/>
      <c r="J25" s="167"/>
      <c r="K25" s="4005" t="s">
        <v>1556</v>
      </c>
      <c r="L25" s="4005"/>
      <c r="M25" s="4005"/>
      <c r="N25" s="2687" t="str">
        <f t="shared" si="1"/>
        <v>3.18g</v>
      </c>
      <c r="O25" s="172">
        <v>101</v>
      </c>
      <c r="P25" s="2663" t="s">
        <v>1557</v>
      </c>
      <c r="Q25" s="2664">
        <v>2.4</v>
      </c>
      <c r="R25" s="2664">
        <v>2.8</v>
      </c>
      <c r="S25" s="2665">
        <f t="shared" si="0"/>
        <v>2.5999999999999996</v>
      </c>
      <c r="T25" s="140"/>
      <c r="U25" s="134"/>
      <c r="V25" s="134"/>
    </row>
    <row r="26" spans="1:22" ht="14.25" customHeight="1">
      <c r="A26" s="141"/>
      <c r="B26" s="144"/>
      <c r="C26" s="4850" t="s">
        <v>1515</v>
      </c>
      <c r="D26" s="4851" t="s">
        <v>1516</v>
      </c>
      <c r="E26" s="4867"/>
      <c r="F26" s="4026"/>
      <c r="G26" s="4027"/>
      <c r="H26" s="4027"/>
      <c r="I26" s="170"/>
      <c r="J26" s="167"/>
      <c r="K26" s="4005" t="s">
        <v>1558</v>
      </c>
      <c r="L26" s="4005"/>
      <c r="M26" s="4005"/>
      <c r="N26" s="2687" t="str">
        <f t="shared" si="1"/>
        <v>3.31g</v>
      </c>
      <c r="O26" s="172">
        <v>105</v>
      </c>
      <c r="P26" s="2663" t="s">
        <v>1559</v>
      </c>
      <c r="Q26" s="2664">
        <v>2.6</v>
      </c>
      <c r="R26" s="2664">
        <v>2.7</v>
      </c>
      <c r="S26" s="2665">
        <f t="shared" si="0"/>
        <v>2.6500000000000004</v>
      </c>
      <c r="T26" s="140"/>
      <c r="U26" s="134"/>
      <c r="V26" s="134"/>
    </row>
    <row r="27" spans="1:22" ht="14.25" customHeight="1">
      <c r="A27" s="141"/>
      <c r="B27" s="144"/>
      <c r="C27" s="4852" t="s">
        <v>598</v>
      </c>
      <c r="D27" s="4866" t="s">
        <v>1538</v>
      </c>
      <c r="E27" s="4868" t="s">
        <v>1560</v>
      </c>
      <c r="F27" s="4869" t="str">
        <f>FIXED($H$24)&amp;" US gall"</f>
        <v>5.40 US gall</v>
      </c>
      <c r="G27" s="4870" t="s">
        <v>1560</v>
      </c>
      <c r="H27" s="4854" t="str">
        <f>FIXED($H$24)&amp;" US gall"</f>
        <v>5.40 US gall</v>
      </c>
      <c r="I27" s="170"/>
      <c r="J27" s="167"/>
      <c r="K27" s="4005" t="s">
        <v>1561</v>
      </c>
      <c r="L27" s="4005"/>
      <c r="M27" s="4005"/>
      <c r="N27" s="2687" t="str">
        <f t="shared" si="1"/>
        <v>4.06g</v>
      </c>
      <c r="O27" s="172">
        <v>129</v>
      </c>
      <c r="P27" s="2663" t="s">
        <v>1562</v>
      </c>
      <c r="Q27" s="2664">
        <v>2.2999999999999998</v>
      </c>
      <c r="R27" s="2664">
        <v>2.6</v>
      </c>
      <c r="S27" s="2665">
        <f t="shared" si="0"/>
        <v>2.4500000000000002</v>
      </c>
      <c r="T27" s="140"/>
      <c r="U27" s="134"/>
      <c r="V27" s="134"/>
    </row>
    <row r="28" spans="1:22" ht="14.25" customHeight="1">
      <c r="A28" s="141"/>
      <c r="B28" s="147"/>
      <c r="C28" s="2688">
        <f>C11</f>
        <v>1.7</v>
      </c>
      <c r="D28" s="2689">
        <f>D19</f>
        <v>68</v>
      </c>
      <c r="E28" s="2680">
        <f>0.47318*(C28-VLOOKUP(D28,C95:D138,2))/(K72*28.35)</f>
        <v>5.2429034559823354E-2</v>
      </c>
      <c r="F28" s="151">
        <f>8*$H$24*E28</f>
        <v>2.264934292984369</v>
      </c>
      <c r="G28" s="2680">
        <f>0.47318*($C28-(VLOOKUP($D$28,C95:D138,2)))/(K80*28.35)</f>
        <v>5.5188457431393001E-2</v>
      </c>
      <c r="H28" s="2681">
        <f>8*$H$24*G28</f>
        <v>2.3841413610361779</v>
      </c>
      <c r="I28" s="170"/>
      <c r="J28" s="167"/>
      <c r="K28" s="4005" t="s">
        <v>1563</v>
      </c>
      <c r="L28" s="4005"/>
      <c r="M28" s="4005"/>
      <c r="N28" s="2687" t="str">
        <f t="shared" si="1"/>
        <v>3.18g</v>
      </c>
      <c r="O28" s="172">
        <v>101</v>
      </c>
      <c r="P28" s="2663" t="s">
        <v>1564</v>
      </c>
      <c r="Q28" s="2664">
        <v>2.6</v>
      </c>
      <c r="R28" s="2664">
        <v>2.6</v>
      </c>
      <c r="S28" s="2665">
        <f t="shared" si="0"/>
        <v>2.6</v>
      </c>
      <c r="T28" s="140"/>
      <c r="U28" s="134"/>
      <c r="V28" s="134"/>
    </row>
    <row r="29" spans="1:22" ht="14.25" customHeight="1">
      <c r="A29" s="141"/>
      <c r="B29" s="147"/>
      <c r="C29" s="4023" t="s">
        <v>1543</v>
      </c>
      <c r="D29" s="4023"/>
      <c r="E29" s="2682">
        <f>28.35*E28</f>
        <v>1.4863631297709921</v>
      </c>
      <c r="F29" s="2683">
        <f>28.35*F28</f>
        <v>64.210887206106861</v>
      </c>
      <c r="G29" s="2682">
        <f>28.35*G28</f>
        <v>1.5645927681799916</v>
      </c>
      <c r="H29" s="2683">
        <f>28.35*H28</f>
        <v>67.590407585375644</v>
      </c>
      <c r="I29" s="170"/>
      <c r="J29" s="167"/>
      <c r="K29" s="4005" t="s">
        <v>1565</v>
      </c>
      <c r="L29" s="4005"/>
      <c r="M29" s="4005"/>
      <c r="N29" s="2687" t="str">
        <f t="shared" si="1"/>
        <v>4.60g</v>
      </c>
      <c r="O29" s="172">
        <v>146</v>
      </c>
      <c r="P29" s="2663" t="s">
        <v>1566</v>
      </c>
      <c r="Q29" s="2664">
        <v>3.6</v>
      </c>
      <c r="R29" s="2664">
        <v>4.5</v>
      </c>
      <c r="S29" s="2665">
        <f t="shared" si="0"/>
        <v>4.05</v>
      </c>
      <c r="T29" s="140"/>
      <c r="U29" s="134"/>
      <c r="V29" s="134"/>
    </row>
    <row r="30" spans="1:22" ht="14.25" customHeight="1">
      <c r="A30" s="141"/>
      <c r="B30" s="147"/>
      <c r="C30" s="4010" t="s">
        <v>1525</v>
      </c>
      <c r="D30" s="4010"/>
      <c r="E30" s="2690">
        <f>E29/$D$53</f>
        <v>0.47186131103841017</v>
      </c>
      <c r="F30" s="2691">
        <f>F29/$D$53</f>
        <v>20.384408636859323</v>
      </c>
      <c r="G30" s="2690">
        <f>G29/$D$53</f>
        <v>0.49669611688253701</v>
      </c>
      <c r="H30" s="2691">
        <f>H29/$D$53</f>
        <v>21.457272249325602</v>
      </c>
      <c r="I30" s="170"/>
      <c r="J30" s="167"/>
      <c r="K30" s="4011" t="s">
        <v>1567</v>
      </c>
      <c r="L30" s="4011"/>
      <c r="M30" s="4011"/>
      <c r="N30" s="2687" t="str">
        <f t="shared" si="1"/>
        <v>3.97g</v>
      </c>
      <c r="O30" s="172">
        <v>126</v>
      </c>
      <c r="P30" s="2663" t="s">
        <v>1568</v>
      </c>
      <c r="Q30" s="2664">
        <v>2.2000000000000002</v>
      </c>
      <c r="R30" s="2664">
        <v>3.1</v>
      </c>
      <c r="S30" s="2665">
        <f t="shared" si="0"/>
        <v>2.6500000000000004</v>
      </c>
      <c r="T30" s="140"/>
      <c r="U30" s="134"/>
      <c r="V30" s="134"/>
    </row>
    <row r="31" spans="1:22" ht="14.25" customHeight="1">
      <c r="A31" s="141"/>
      <c r="B31" s="140"/>
      <c r="C31" s="140"/>
      <c r="D31" s="140"/>
      <c r="E31" s="140"/>
      <c r="F31" s="140"/>
      <c r="G31" s="140"/>
      <c r="H31" s="140"/>
      <c r="I31" s="170"/>
      <c r="J31" s="167"/>
      <c r="K31" s="4005" t="s">
        <v>1569</v>
      </c>
      <c r="L31" s="4005"/>
      <c r="M31" s="4005"/>
      <c r="N31" s="2687" t="str">
        <f t="shared" si="1"/>
        <v>3.94g</v>
      </c>
      <c r="O31" s="172">
        <v>125</v>
      </c>
      <c r="P31" s="2692" t="s">
        <v>1570</v>
      </c>
      <c r="Q31" s="2664">
        <v>2.4</v>
      </c>
      <c r="R31" s="2664">
        <v>2.4</v>
      </c>
      <c r="S31" s="2665">
        <f t="shared" si="0"/>
        <v>2.4</v>
      </c>
      <c r="T31" s="140"/>
      <c r="U31" s="134"/>
      <c r="V31" s="134"/>
    </row>
    <row r="32" spans="1:22" ht="14.25" customHeight="1">
      <c r="A32" s="140"/>
      <c r="B32" s="140"/>
      <c r="C32" s="140"/>
      <c r="D32" s="140"/>
      <c r="E32" s="140"/>
      <c r="F32" s="140"/>
      <c r="G32" s="140"/>
      <c r="H32" s="140"/>
      <c r="I32" s="170"/>
      <c r="J32" s="167"/>
      <c r="K32" s="4005" t="s">
        <v>1571</v>
      </c>
      <c r="L32" s="4005"/>
      <c r="M32" s="4005"/>
      <c r="N32" s="2687" t="str">
        <f t="shared" si="1"/>
        <v>3.81g</v>
      </c>
      <c r="O32" s="172">
        <v>121</v>
      </c>
      <c r="P32" s="2663" t="s">
        <v>1572</v>
      </c>
      <c r="Q32" s="2664">
        <v>0.8</v>
      </c>
      <c r="R32" s="2664">
        <v>1.3</v>
      </c>
      <c r="S32" s="2665">
        <f t="shared" si="0"/>
        <v>1.05</v>
      </c>
      <c r="T32" s="140"/>
      <c r="U32" s="134"/>
      <c r="V32" s="134"/>
    </row>
    <row r="33" spans="1:22" ht="14.25" customHeight="1">
      <c r="A33" s="4012" t="s">
        <v>1573</v>
      </c>
      <c r="B33" s="4012"/>
      <c r="C33" s="4012"/>
      <c r="D33" s="141"/>
      <c r="E33" s="141"/>
      <c r="F33" s="141"/>
      <c r="G33" s="141"/>
      <c r="H33" s="141"/>
      <c r="I33" s="170"/>
      <c r="J33" s="167"/>
      <c r="K33" s="4013" t="s">
        <v>1574</v>
      </c>
      <c r="L33" s="4013"/>
      <c r="M33" s="4013"/>
      <c r="N33" s="2687" t="str">
        <f t="shared" si="1"/>
        <v>5.48g</v>
      </c>
      <c r="O33" s="172">
        <v>174</v>
      </c>
      <c r="P33" s="2663" t="s">
        <v>1575</v>
      </c>
      <c r="Q33" s="2664">
        <v>1.5</v>
      </c>
      <c r="R33" s="2664">
        <v>2.2999999999999998</v>
      </c>
      <c r="S33" s="2665">
        <f t="shared" si="0"/>
        <v>1.9</v>
      </c>
      <c r="T33" s="140"/>
      <c r="U33" s="134"/>
      <c r="V33" s="134"/>
    </row>
    <row r="34" spans="1:22" ht="14.25" customHeight="1">
      <c r="A34" s="2006"/>
      <c r="B34" s="153"/>
      <c r="C34" s="2693">
        <v>3.15</v>
      </c>
      <c r="D34" s="4014" t="str">
        <f>"g ̸ litre is equivalent to "&amp;1*FIXED((G34*C34),1)&amp;"g per"</f>
        <v>g ̸ litre is equivalent to 63.6g per</v>
      </c>
      <c r="E34" s="4015"/>
      <c r="F34" s="4016"/>
      <c r="G34" s="2694">
        <f>H7</f>
        <v>20.2</v>
      </c>
      <c r="H34" s="4017" t="s">
        <v>998</v>
      </c>
      <c r="I34" s="4018"/>
      <c r="J34" s="167"/>
      <c r="K34" s="4005" t="s">
        <v>1576</v>
      </c>
      <c r="L34" s="4005"/>
      <c r="M34" s="4005"/>
      <c r="N34" s="2687" t="str">
        <f t="shared" si="1"/>
        <v>4.06g</v>
      </c>
      <c r="O34" s="173">
        <v>129</v>
      </c>
      <c r="P34" s="2663" t="s">
        <v>1577</v>
      </c>
      <c r="Q34" s="2664">
        <v>1.3</v>
      </c>
      <c r="R34" s="2664">
        <v>2</v>
      </c>
      <c r="S34" s="2665">
        <f t="shared" si="0"/>
        <v>1.65</v>
      </c>
      <c r="T34" s="140"/>
      <c r="U34" s="134"/>
      <c r="V34" s="134"/>
    </row>
    <row r="35" spans="1:22" ht="14.25" customHeight="1">
      <c r="A35" s="140"/>
      <c r="B35" s="140"/>
      <c r="C35" s="140"/>
      <c r="D35" s="140"/>
      <c r="E35" s="140"/>
      <c r="F35" s="140"/>
      <c r="G35" s="140"/>
      <c r="H35" s="140"/>
      <c r="I35" s="140"/>
      <c r="J35" s="167"/>
      <c r="K35" s="4005" t="s">
        <v>1578</v>
      </c>
      <c r="L35" s="4005"/>
      <c r="M35" s="4005"/>
      <c r="N35" s="2687" t="str">
        <f t="shared" si="1"/>
        <v>6.30g</v>
      </c>
      <c r="O35" s="172">
        <v>200</v>
      </c>
      <c r="P35" s="2663" t="s">
        <v>1579</v>
      </c>
      <c r="Q35" s="2664">
        <v>1.5</v>
      </c>
      <c r="R35" s="2664">
        <v>2.2999999999999998</v>
      </c>
      <c r="S35" s="2665">
        <f t="shared" si="0"/>
        <v>1.9</v>
      </c>
      <c r="T35" s="140"/>
      <c r="U35" s="134"/>
      <c r="V35" s="134"/>
    </row>
    <row r="36" spans="1:22" ht="14.25" customHeight="1">
      <c r="A36" s="140"/>
      <c r="B36" s="140"/>
      <c r="C36" s="140"/>
      <c r="D36" s="140"/>
      <c r="E36" s="140"/>
      <c r="F36" s="140"/>
      <c r="G36" s="140"/>
      <c r="H36" s="140"/>
      <c r="I36" s="140"/>
      <c r="J36" s="167"/>
      <c r="K36" s="4005" t="s">
        <v>1580</v>
      </c>
      <c r="L36" s="4005"/>
      <c r="M36" s="4005"/>
      <c r="N36" s="2687" t="str">
        <f t="shared" si="1"/>
        <v>9.45g</v>
      </c>
      <c r="O36" s="172">
        <v>300</v>
      </c>
      <c r="P36" s="2663" t="s">
        <v>1581</v>
      </c>
      <c r="Q36" s="2664">
        <v>1.5</v>
      </c>
      <c r="R36" s="2664">
        <v>2.2999999999999998</v>
      </c>
      <c r="S36" s="2665">
        <f t="shared" si="0"/>
        <v>1.9</v>
      </c>
      <c r="T36" s="140"/>
      <c r="U36" s="134"/>
      <c r="V36" s="134"/>
    </row>
    <row r="37" spans="1:22" ht="14.25" customHeight="1">
      <c r="A37" s="141"/>
      <c r="B37" s="4006" t="s">
        <v>106</v>
      </c>
      <c r="C37" s="4006"/>
      <c r="D37" s="4006"/>
      <c r="E37" s="1857"/>
      <c r="F37" s="4006" t="s">
        <v>1582</v>
      </c>
      <c r="G37" s="4006"/>
      <c r="H37" s="4006"/>
      <c r="I37" s="142"/>
      <c r="J37" s="167"/>
      <c r="K37" s="4007" t="s">
        <v>1583</v>
      </c>
      <c r="L37" s="4007"/>
      <c r="M37" s="4007"/>
      <c r="N37" s="2687" t="str">
        <f t="shared" si="1"/>
        <v>4.00g</v>
      </c>
      <c r="O37" s="172">
        <v>127</v>
      </c>
      <c r="P37" s="2663" t="s">
        <v>1584</v>
      </c>
      <c r="Q37" s="2664">
        <v>1.9</v>
      </c>
      <c r="R37" s="2664">
        <v>2.5</v>
      </c>
      <c r="S37" s="2665">
        <f t="shared" si="0"/>
        <v>2.2000000000000002</v>
      </c>
      <c r="T37" s="140"/>
      <c r="U37" s="134"/>
      <c r="V37" s="134"/>
    </row>
    <row r="38" spans="1:22" ht="14.25" customHeight="1">
      <c r="A38" s="134"/>
      <c r="B38" s="2695" t="s">
        <v>1585</v>
      </c>
      <c r="C38" s="2695" t="s">
        <v>108</v>
      </c>
      <c r="D38" s="2695" t="s">
        <v>1586</v>
      </c>
      <c r="E38" s="1857"/>
      <c r="F38" s="2696" t="s">
        <v>1587</v>
      </c>
      <c r="G38" s="2695" t="s">
        <v>71</v>
      </c>
      <c r="H38" s="2697" t="s">
        <v>1588</v>
      </c>
      <c r="I38" s="174"/>
      <c r="J38" s="167"/>
      <c r="K38" s="4007" t="s">
        <v>1589</v>
      </c>
      <c r="L38" s="4007"/>
      <c r="M38" s="4007"/>
      <c r="N38" s="2687" t="str">
        <f t="shared" si="1"/>
        <v>4.57g</v>
      </c>
      <c r="O38" s="172">
        <v>145</v>
      </c>
      <c r="P38" s="2663" t="s">
        <v>1590</v>
      </c>
      <c r="Q38" s="2664">
        <v>2.2999999999999998</v>
      </c>
      <c r="R38" s="2664">
        <v>2.6</v>
      </c>
      <c r="S38" s="2665">
        <f t="shared" si="0"/>
        <v>2.4500000000000002</v>
      </c>
      <c r="T38" s="140"/>
      <c r="U38" s="134"/>
      <c r="V38" s="134"/>
    </row>
    <row r="39" spans="1:22" ht="14.25" customHeight="1">
      <c r="A39" s="143"/>
      <c r="B39" s="2698">
        <f>((C39+40)*5/9)-40</f>
        <v>-6.6666666666666643</v>
      </c>
      <c r="C39" s="2699">
        <v>20</v>
      </c>
      <c r="D39" s="2695">
        <f>((C39+40)*9/5)-40</f>
        <v>68</v>
      </c>
      <c r="E39" s="1857"/>
      <c r="F39" s="4871">
        <f>G39*0.219974</f>
        <v>4.4434747999999997</v>
      </c>
      <c r="G39" s="4872">
        <v>20.2</v>
      </c>
      <c r="H39" s="4871">
        <f>F39*6/5</f>
        <v>5.3321697599999993</v>
      </c>
      <c r="I39" s="174"/>
      <c r="J39" s="167"/>
      <c r="K39" s="3981" t="s">
        <v>1591</v>
      </c>
      <c r="L39" s="3981"/>
      <c r="M39" s="3981"/>
      <c r="N39" s="2687" t="str">
        <f t="shared" si="1"/>
        <v>3.24g</v>
      </c>
      <c r="O39" s="175">
        <v>103</v>
      </c>
      <c r="P39" s="2663" t="s">
        <v>1592</v>
      </c>
      <c r="Q39" s="2664">
        <v>2.5</v>
      </c>
      <c r="R39" s="2664">
        <v>2.5</v>
      </c>
      <c r="S39" s="2665">
        <f t="shared" si="0"/>
        <v>2.5</v>
      </c>
      <c r="T39" s="140"/>
      <c r="U39" s="134"/>
      <c r="V39" s="134"/>
    </row>
    <row r="40" spans="1:22" ht="14.25" customHeight="1">
      <c r="A40" s="143"/>
      <c r="B40" s="1858"/>
      <c r="C40" s="1858"/>
      <c r="D40" s="1858"/>
      <c r="E40" s="1857"/>
      <c r="F40" s="1859"/>
      <c r="G40" s="1859"/>
      <c r="H40" s="1859"/>
      <c r="I40" s="174"/>
      <c r="J40" s="167"/>
      <c r="K40" s="4008" t="s">
        <v>1593</v>
      </c>
      <c r="L40" s="4008"/>
      <c r="M40" s="4008"/>
      <c r="N40" s="4008"/>
      <c r="O40" s="171"/>
      <c r="P40" s="2663" t="s">
        <v>1594</v>
      </c>
      <c r="Q40" s="2664">
        <v>2.2000000000000002</v>
      </c>
      <c r="R40" s="2664">
        <v>2.7</v>
      </c>
      <c r="S40" s="2665">
        <f t="shared" si="0"/>
        <v>2.4500000000000002</v>
      </c>
      <c r="T40" s="140"/>
      <c r="U40" s="134"/>
      <c r="V40" s="134"/>
    </row>
    <row r="41" spans="1:22" ht="14.25" customHeight="1">
      <c r="A41" s="155"/>
      <c r="B41" s="4006" t="s">
        <v>1595</v>
      </c>
      <c r="C41" s="4006"/>
      <c r="D41" s="4006"/>
      <c r="E41" s="1860"/>
      <c r="F41" s="2696" t="s">
        <v>1587</v>
      </c>
      <c r="G41" s="2700" t="s">
        <v>1596</v>
      </c>
      <c r="H41" s="2697" t="s">
        <v>1588</v>
      </c>
      <c r="I41" s="174"/>
      <c r="J41" s="167"/>
      <c r="K41" s="4009" t="str">
        <f>"If the Calc's say "&amp;N20&amp;"g sugar/sucrose-(see cell N20 = "&amp;FIXED(N20/$D$53)&amp;" tsp), but if you want to use honey (cell K31), the equivalent amount is "&amp;N31&amp;" (cell N31)."</f>
        <v>If the Calc's say 3.15g sugar/sucrose-(see cell N20 = 1.00 tsp), but if you want to use honey (cell K31), the equivalent amount is 3.94g (cell N31).</v>
      </c>
      <c r="L41" s="4009"/>
      <c r="M41" s="4009"/>
      <c r="N41" s="4009"/>
      <c r="O41" s="176"/>
      <c r="P41" s="2663" t="s">
        <v>477</v>
      </c>
      <c r="Q41" s="2664">
        <v>1.5</v>
      </c>
      <c r="R41" s="2664">
        <v>2.2999999999999998</v>
      </c>
      <c r="S41" s="2665">
        <f t="shared" si="0"/>
        <v>1.9</v>
      </c>
      <c r="T41" s="140"/>
      <c r="U41" s="134"/>
      <c r="V41" s="134"/>
    </row>
    <row r="42" spans="1:22" ht="14.25" customHeight="1">
      <c r="A42" s="143"/>
      <c r="B42" s="2695" t="s">
        <v>82</v>
      </c>
      <c r="C42" s="2695" t="s">
        <v>1597</v>
      </c>
      <c r="D42" s="2701" t="s">
        <v>86</v>
      </c>
      <c r="E42" s="1860"/>
      <c r="F42" s="2702">
        <f>G42*5/6</f>
        <v>4.166666666666667</v>
      </c>
      <c r="G42" s="2703">
        <v>5</v>
      </c>
      <c r="H42" s="2704">
        <f>G42*6/5</f>
        <v>6</v>
      </c>
      <c r="I42" s="174"/>
      <c r="J42" s="167"/>
      <c r="K42" s="4009"/>
      <c r="L42" s="4009"/>
      <c r="M42" s="4009"/>
      <c r="N42" s="4009"/>
      <c r="O42" s="167"/>
      <c r="P42" s="2663" t="s">
        <v>1598</v>
      </c>
      <c r="Q42" s="2664">
        <v>1.5</v>
      </c>
      <c r="R42" s="2664">
        <v>2.2999999999999998</v>
      </c>
      <c r="S42" s="2665">
        <f t="shared" si="0"/>
        <v>1.9</v>
      </c>
      <c r="T42" s="140"/>
      <c r="U42" s="134"/>
      <c r="V42" s="134"/>
    </row>
    <row r="43" spans="1:22" ht="14.25" customHeight="1">
      <c r="A43" s="157"/>
      <c r="B43" s="2705">
        <f>C43*28.35</f>
        <v>113.4</v>
      </c>
      <c r="C43" s="2699">
        <v>4</v>
      </c>
      <c r="D43" s="2706">
        <f>C43/28.35</f>
        <v>0.14109347442680775</v>
      </c>
      <c r="E43" s="1860"/>
      <c r="F43" s="1860"/>
      <c r="G43" s="1860"/>
      <c r="H43" s="1860"/>
      <c r="I43" s="170"/>
      <c r="J43" s="167"/>
      <c r="K43" s="4009"/>
      <c r="L43" s="4009"/>
      <c r="M43" s="4009"/>
      <c r="N43" s="4009"/>
      <c r="O43" s="167"/>
      <c r="P43" s="2663" t="s">
        <v>1599</v>
      </c>
      <c r="Q43" s="2664">
        <v>1.6</v>
      </c>
      <c r="R43" s="2664">
        <v>2</v>
      </c>
      <c r="S43" s="2665">
        <f t="shared" si="0"/>
        <v>1.8</v>
      </c>
      <c r="T43" s="140"/>
      <c r="U43" s="134"/>
      <c r="V43" s="134"/>
    </row>
    <row r="44" spans="1:22" ht="14.25" customHeight="1">
      <c r="A44" s="143"/>
      <c r="B44" s="158"/>
      <c r="C44" s="158"/>
      <c r="D44" s="158"/>
      <c r="E44" s="156"/>
      <c r="F44" s="156"/>
      <c r="G44" s="156"/>
      <c r="H44" s="156"/>
      <c r="I44" s="154"/>
      <c r="J44" s="167"/>
      <c r="K44" s="4009"/>
      <c r="L44" s="4009"/>
      <c r="M44" s="4009"/>
      <c r="N44" s="4009"/>
      <c r="O44" s="167"/>
      <c r="P44" s="2663" t="s">
        <v>1600</v>
      </c>
      <c r="Q44" s="2664">
        <v>2.4</v>
      </c>
      <c r="R44" s="2664">
        <v>2.7</v>
      </c>
      <c r="S44" s="2665">
        <f t="shared" si="0"/>
        <v>2.5499999999999998</v>
      </c>
      <c r="T44" s="140"/>
      <c r="U44" s="134"/>
      <c r="V44" s="134"/>
    </row>
    <row r="45" spans="1:22" ht="14.25" customHeight="1">
      <c r="A45" s="159"/>
      <c r="B45" s="140"/>
      <c r="C45" s="140"/>
      <c r="D45" s="140"/>
      <c r="E45" s="159"/>
      <c r="F45" s="140"/>
      <c r="G45" s="140"/>
      <c r="H45" s="140"/>
      <c r="I45" s="177"/>
      <c r="J45" s="167"/>
      <c r="K45" s="4009"/>
      <c r="L45" s="4009"/>
      <c r="M45" s="4009"/>
      <c r="N45" s="4009"/>
      <c r="O45" s="167"/>
      <c r="P45" s="2707" t="s">
        <v>602</v>
      </c>
      <c r="Q45" s="2708">
        <v>2.4</v>
      </c>
      <c r="R45" s="2708">
        <v>2.7</v>
      </c>
      <c r="S45" s="2665">
        <f t="shared" si="0"/>
        <v>2.5499999999999998</v>
      </c>
      <c r="T45" s="140"/>
      <c r="U45" s="134"/>
      <c r="V45" s="134"/>
    </row>
    <row r="46" spans="1:22" ht="14.25" customHeight="1">
      <c r="A46" s="3968" t="s">
        <v>1601</v>
      </c>
      <c r="B46" s="3968"/>
      <c r="C46" s="3968"/>
      <c r="D46" s="142"/>
      <c r="E46" s="140"/>
      <c r="F46" s="160"/>
      <c r="G46" s="160"/>
      <c r="H46" s="160"/>
      <c r="I46" s="160"/>
      <c r="J46" s="167"/>
      <c r="K46" s="3977" t="s">
        <v>1602</v>
      </c>
      <c r="L46" s="3977"/>
      <c r="M46" s="3977"/>
      <c r="N46" s="3977"/>
      <c r="O46" s="167"/>
      <c r="P46" s="2709" t="s">
        <v>603</v>
      </c>
      <c r="Q46" s="2708">
        <v>2.2000000000000002</v>
      </c>
      <c r="R46" s="2708">
        <v>2.7</v>
      </c>
      <c r="S46" s="2665">
        <f t="shared" si="0"/>
        <v>2.4500000000000002</v>
      </c>
      <c r="T46" s="140"/>
      <c r="U46" s="134"/>
      <c r="V46" s="134"/>
    </row>
    <row r="47" spans="1:22" ht="14.25" customHeight="1">
      <c r="A47" s="3969" t="str">
        <f>"(1 tsp = "&amp;D53&amp;"g )"</f>
        <v>(1 tsp = 3.15g )</v>
      </c>
      <c r="B47" s="3969"/>
      <c r="C47" s="161">
        <v>4.7249999999999996</v>
      </c>
      <c r="D47" s="4873" t="s">
        <v>779</v>
      </c>
      <c r="E47" s="4873"/>
      <c r="F47" s="3970" t="s">
        <v>1603</v>
      </c>
      <c r="G47" s="3970"/>
      <c r="H47" s="3970"/>
      <c r="I47" s="3970"/>
      <c r="J47" s="167"/>
      <c r="K47" s="3977"/>
      <c r="L47" s="3977"/>
      <c r="M47" s="3977"/>
      <c r="N47" s="3977"/>
      <c r="O47" s="167"/>
      <c r="P47" s="2663" t="s">
        <v>1604</v>
      </c>
      <c r="Q47" s="2664">
        <v>2.2000000000000002</v>
      </c>
      <c r="R47" s="2664">
        <v>3</v>
      </c>
      <c r="S47" s="2665">
        <f t="shared" si="0"/>
        <v>2.6</v>
      </c>
      <c r="T47" s="140"/>
      <c r="U47" s="134"/>
      <c r="V47" s="134"/>
    </row>
    <row r="48" spans="1:22" ht="14.25" customHeight="1">
      <c r="A48" s="134"/>
      <c r="B48" s="3971" t="str">
        <f>"This is equivalent to "&amp;C47/D53&amp;" level 5ml tsp ̸ litre"</f>
        <v>This is equivalent to 1.5 level 5ml tsp ̸ litre</v>
      </c>
      <c r="C48" s="3971"/>
      <c r="D48" s="3971"/>
      <c r="E48" s="3971"/>
      <c r="F48" s="3972" t="s">
        <v>1605</v>
      </c>
      <c r="G48" s="3972"/>
      <c r="H48" s="3972"/>
      <c r="I48" s="3972"/>
      <c r="J48" s="167"/>
      <c r="K48" s="3977"/>
      <c r="L48" s="3977"/>
      <c r="M48" s="3977"/>
      <c r="N48" s="3977"/>
      <c r="O48" s="167"/>
      <c r="P48" s="2663" t="s">
        <v>1606</v>
      </c>
      <c r="Q48" s="2664">
        <v>2.2000000000000002</v>
      </c>
      <c r="R48" s="2664">
        <v>2.7</v>
      </c>
      <c r="S48" s="2665">
        <f t="shared" si="0"/>
        <v>2.4500000000000002</v>
      </c>
      <c r="T48" s="140"/>
      <c r="U48" s="134"/>
      <c r="V48" s="134"/>
    </row>
    <row r="49" spans="1:22" ht="14.25" customHeight="1">
      <c r="A49" s="162"/>
      <c r="B49" s="163" t="s">
        <v>786</v>
      </c>
      <c r="C49" s="164">
        <v>500</v>
      </c>
      <c r="D49" s="3973" t="s">
        <v>787</v>
      </c>
      <c r="E49" s="3973"/>
      <c r="F49" s="3974" t="s">
        <v>336</v>
      </c>
      <c r="G49" s="3974"/>
      <c r="H49" s="3974"/>
      <c r="I49" s="3974"/>
      <c r="J49" s="178"/>
      <c r="K49" s="3978" t="s">
        <v>1607</v>
      </c>
      <c r="L49" s="3978"/>
      <c r="M49" s="3978"/>
      <c r="N49" s="3978"/>
      <c r="O49" s="167"/>
      <c r="P49" s="2663" t="s">
        <v>1608</v>
      </c>
      <c r="Q49" s="2664">
        <v>2.6</v>
      </c>
      <c r="R49" s="2664">
        <v>2.7</v>
      </c>
      <c r="S49" s="2665">
        <f t="shared" si="0"/>
        <v>2.6500000000000004</v>
      </c>
      <c r="T49" s="140"/>
      <c r="U49" s="134"/>
      <c r="V49" s="134"/>
    </row>
    <row r="50" spans="1:22" ht="14.25" customHeight="1">
      <c r="A50" s="162"/>
      <c r="B50" s="3975" t="str">
        <f>"     use "&amp;FIXED((C47*C49/1000),3)&amp;"g or "&amp;FIXED((C47*C49/(1000*D53)),3)&amp;" level 5ml tsp."</f>
        <v xml:space="preserve">     use 2.363g or 0.750 level 5ml tsp.</v>
      </c>
      <c r="C50" s="3975"/>
      <c r="D50" s="3975"/>
      <c r="E50" s="3975"/>
      <c r="F50" s="3976" t="s">
        <v>567</v>
      </c>
      <c r="G50" s="3976"/>
      <c r="H50" s="3976"/>
      <c r="I50" s="3976"/>
      <c r="J50" s="3976"/>
      <c r="K50" s="3978"/>
      <c r="L50" s="3978"/>
      <c r="M50" s="3978"/>
      <c r="N50" s="3978"/>
      <c r="O50" s="167"/>
      <c r="P50" s="2663" t="s">
        <v>1609</v>
      </c>
      <c r="Q50" s="2664">
        <v>2.2999999999999998</v>
      </c>
      <c r="R50" s="2664">
        <v>2.7</v>
      </c>
      <c r="S50" s="2665">
        <f t="shared" si="0"/>
        <v>2.5</v>
      </c>
      <c r="T50" s="140"/>
      <c r="U50" s="134"/>
      <c r="V50" s="134"/>
    </row>
    <row r="51" spans="1:22" ht="14.25" customHeight="1">
      <c r="A51" s="140"/>
      <c r="B51" s="140"/>
      <c r="C51" s="140"/>
      <c r="D51" s="140"/>
      <c r="E51" s="140"/>
      <c r="F51" s="140"/>
      <c r="G51" s="140"/>
      <c r="H51" s="140"/>
      <c r="I51" s="140"/>
      <c r="J51" s="167"/>
      <c r="K51" s="3978"/>
      <c r="L51" s="3978"/>
      <c r="M51" s="3978"/>
      <c r="N51" s="3978"/>
      <c r="O51" s="167"/>
      <c r="P51" s="2663" t="s">
        <v>1610</v>
      </c>
      <c r="Q51" s="2664">
        <v>2.2000000000000002</v>
      </c>
      <c r="R51" s="2664">
        <v>2.7</v>
      </c>
      <c r="S51" s="2665">
        <f t="shared" si="0"/>
        <v>2.4500000000000002</v>
      </c>
      <c r="T51" s="140"/>
      <c r="U51" s="134"/>
      <c r="V51" s="134"/>
    </row>
    <row r="52" spans="1:22" ht="14.25" customHeight="1">
      <c r="A52" s="159"/>
      <c r="B52" s="140"/>
      <c r="C52" s="140"/>
      <c r="E52" s="159"/>
      <c r="F52" s="140"/>
      <c r="G52" s="140"/>
      <c r="H52" s="140"/>
      <c r="I52" s="179"/>
      <c r="J52" s="200"/>
      <c r="K52" s="3978"/>
      <c r="L52" s="3978"/>
      <c r="M52" s="3978"/>
      <c r="N52" s="3978"/>
      <c r="O52" s="167"/>
      <c r="P52" s="2663" t="s">
        <v>1611</v>
      </c>
      <c r="Q52" s="2664">
        <v>1.9</v>
      </c>
      <c r="R52" s="2710">
        <v>2.5</v>
      </c>
      <c r="S52" s="2665">
        <f t="shared" si="0"/>
        <v>2.2000000000000002</v>
      </c>
      <c r="T52" s="140"/>
      <c r="U52" s="134"/>
      <c r="V52" s="134"/>
    </row>
    <row r="53" spans="1:22" ht="14.25" customHeight="1">
      <c r="A53" s="1861"/>
      <c r="B53" s="3979" t="s">
        <v>1612</v>
      </c>
      <c r="C53" s="3980"/>
      <c r="D53" s="2711">
        <v>3.15</v>
      </c>
      <c r="E53" s="2712" t="str">
        <f>"g = "&amp;FIXED((D53*0.035274),3)&amp;" oz"</f>
        <v>g = 0.111 oz</v>
      </c>
      <c r="F53" s="4874" t="s">
        <v>1613</v>
      </c>
      <c r="G53" s="3982"/>
      <c r="H53" s="3982"/>
      <c r="I53" s="3982"/>
      <c r="J53" s="167"/>
      <c r="K53" s="3978"/>
      <c r="L53" s="3978"/>
      <c r="M53" s="3978"/>
      <c r="N53" s="3978"/>
      <c r="O53" s="167"/>
      <c r="P53" s="2663" t="s">
        <v>1614</v>
      </c>
      <c r="Q53" s="2664">
        <v>1.7</v>
      </c>
      <c r="R53" s="2664">
        <v>2.5</v>
      </c>
      <c r="S53" s="2665">
        <f t="shared" si="0"/>
        <v>2.1</v>
      </c>
      <c r="T53" s="140"/>
      <c r="U53" s="134"/>
      <c r="V53" s="134"/>
    </row>
    <row r="54" spans="1:22" ht="14.25" customHeight="1">
      <c r="A54" s="1861"/>
      <c r="B54" s="1857"/>
      <c r="C54" s="1857"/>
      <c r="D54" s="1857"/>
      <c r="E54" s="1861"/>
      <c r="F54" s="140"/>
      <c r="G54" s="3981" t="s">
        <v>1615</v>
      </c>
      <c r="H54" s="3981"/>
      <c r="I54" s="2713">
        <v>20</v>
      </c>
      <c r="J54" s="167"/>
      <c r="K54" s="3966" t="s">
        <v>623</v>
      </c>
      <c r="L54" s="3983" t="s">
        <v>1616</v>
      </c>
      <c r="M54" s="3984"/>
      <c r="N54" s="167"/>
      <c r="O54" s="176"/>
      <c r="P54" s="2663" t="s">
        <v>1617</v>
      </c>
      <c r="Q54" s="2664">
        <v>2.2000000000000002</v>
      </c>
      <c r="R54" s="2664">
        <v>2.6</v>
      </c>
      <c r="S54" s="2665">
        <f t="shared" si="0"/>
        <v>2.4000000000000004</v>
      </c>
      <c r="T54" s="140"/>
      <c r="U54" s="134"/>
      <c r="V54" s="134"/>
    </row>
    <row r="55" spans="1:22" ht="14.25" customHeight="1">
      <c r="A55" s="1857"/>
      <c r="B55" s="1857"/>
      <c r="C55" s="1857"/>
      <c r="D55" s="1857"/>
      <c r="E55" s="1857"/>
      <c r="F55" s="140"/>
      <c r="G55" s="3981" t="s">
        <v>1618</v>
      </c>
      <c r="H55" s="3981"/>
      <c r="I55" s="2713">
        <v>66</v>
      </c>
      <c r="J55" s="167"/>
      <c r="K55" s="3967"/>
      <c r="L55" s="4875" t="s">
        <v>1619</v>
      </c>
      <c r="M55" s="4875" t="s">
        <v>1620</v>
      </c>
      <c r="N55" s="167"/>
      <c r="O55" s="176"/>
      <c r="P55" s="2663" t="s">
        <v>1621</v>
      </c>
      <c r="Q55" s="2664">
        <v>0.8</v>
      </c>
      <c r="R55" s="2664">
        <v>1.3</v>
      </c>
      <c r="S55" s="2665">
        <f t="shared" si="0"/>
        <v>1.05</v>
      </c>
      <c r="T55" s="140"/>
      <c r="U55" s="134"/>
      <c r="V55" s="134"/>
    </row>
    <row r="56" spans="1:22" ht="14.25" customHeight="1">
      <c r="A56" s="3985" t="s">
        <v>1622</v>
      </c>
      <c r="B56" s="3985"/>
      <c r="C56" s="3985"/>
      <c r="D56" s="3985"/>
      <c r="E56" s="1857"/>
      <c r="F56" s="140"/>
      <c r="G56" s="3981" t="s">
        <v>1623</v>
      </c>
      <c r="H56" s="3981"/>
      <c r="I56" s="2715">
        <v>1000</v>
      </c>
      <c r="J56" s="167"/>
      <c r="K56" s="2714">
        <f>0.25</f>
        <v>0.25</v>
      </c>
      <c r="L56" s="2716">
        <f t="shared" ref="L56:L69" si="2">K56*D$53</f>
        <v>0.78749999999999998</v>
      </c>
      <c r="M56" s="2717">
        <f t="shared" ref="M56:M69" si="3">L56/28.3495</f>
        <v>2.7778267694315597E-2</v>
      </c>
      <c r="N56" s="180" t="s">
        <v>592</v>
      </c>
      <c r="O56" s="176"/>
      <c r="P56" s="2663" t="s">
        <v>1624</v>
      </c>
      <c r="Q56" s="2664">
        <v>1.6</v>
      </c>
      <c r="R56" s="2664">
        <v>2</v>
      </c>
      <c r="S56" s="2665">
        <f t="shared" si="0"/>
        <v>1.8</v>
      </c>
      <c r="T56" s="140"/>
      <c r="U56" s="134"/>
      <c r="V56" s="134"/>
    </row>
    <row r="57" spans="1:22" ht="14.25" customHeight="1">
      <c r="A57" s="1857"/>
      <c r="B57" s="2718" t="s">
        <v>338</v>
      </c>
      <c r="C57" s="3986" t="s">
        <v>339</v>
      </c>
      <c r="D57" s="3987"/>
      <c r="E57" s="2719" t="s">
        <v>1625</v>
      </c>
      <c r="F57" s="140"/>
      <c r="G57" s="3981" t="s">
        <v>1626</v>
      </c>
      <c r="H57" s="3981"/>
      <c r="I57" s="2720">
        <f>I56/I55</f>
        <v>15.151515151515152</v>
      </c>
      <c r="J57" s="167"/>
      <c r="K57" s="2714">
        <f t="shared" ref="K57:K68" si="4">K56+0.25</f>
        <v>0.5</v>
      </c>
      <c r="L57" s="2716">
        <f t="shared" si="2"/>
        <v>1.575</v>
      </c>
      <c r="M57" s="2717">
        <f t="shared" si="3"/>
        <v>5.5556535388631194E-2</v>
      </c>
      <c r="N57" s="167"/>
      <c r="O57" s="176"/>
      <c r="P57" s="2663" t="s">
        <v>1627</v>
      </c>
      <c r="Q57" s="2664">
        <v>2.2999999999999998</v>
      </c>
      <c r="R57" s="2664">
        <v>2.4</v>
      </c>
      <c r="S57" s="2665">
        <f t="shared" si="0"/>
        <v>2.3499999999999996</v>
      </c>
      <c r="T57" s="140"/>
      <c r="U57" s="134"/>
      <c r="V57" s="134"/>
    </row>
    <row r="58" spans="1:22" ht="14.25" customHeight="1">
      <c r="A58" s="1857"/>
      <c r="B58" s="2721" t="str">
        <f>FIXED(C58*0.2489/0.262)&amp;"g"</f>
        <v>2.99g</v>
      </c>
      <c r="C58" s="3988">
        <v>3.15</v>
      </c>
      <c r="D58" s="3989"/>
      <c r="E58" s="2722" t="str">
        <f>FIXED(C58*K72/K80)&amp;"g"</f>
        <v>3.32g</v>
      </c>
      <c r="F58" s="140"/>
      <c r="G58" s="3981" t="s">
        <v>1628</v>
      </c>
      <c r="H58" s="3981"/>
      <c r="I58" s="2723">
        <f>I55/I54</f>
        <v>3.3</v>
      </c>
      <c r="J58" s="167"/>
      <c r="K58" s="2714">
        <f t="shared" si="4"/>
        <v>0.75</v>
      </c>
      <c r="L58" s="2716">
        <f t="shared" si="2"/>
        <v>2.3624999999999998</v>
      </c>
      <c r="M58" s="2717">
        <f t="shared" si="3"/>
        <v>8.3334803082946787E-2</v>
      </c>
      <c r="N58" s="167"/>
      <c r="O58" s="167"/>
      <c r="P58" s="2663" t="s">
        <v>1629</v>
      </c>
      <c r="Q58" s="2664">
        <v>2</v>
      </c>
      <c r="R58" s="2664">
        <v>2.6</v>
      </c>
      <c r="S58" s="2665">
        <f t="shared" si="0"/>
        <v>2.2999999999999998</v>
      </c>
      <c r="T58" s="140"/>
      <c r="U58" s="134"/>
      <c r="V58" s="134"/>
    </row>
    <row r="59" spans="1:22" ht="14.25" customHeight="1">
      <c r="A59" s="1857"/>
      <c r="B59" s="1857"/>
      <c r="C59" s="1857"/>
      <c r="D59" s="1857"/>
      <c r="E59" s="1857"/>
      <c r="F59" s="1857"/>
      <c r="G59" s="1857"/>
      <c r="H59" s="1857"/>
      <c r="I59" s="1857"/>
      <c r="J59" s="167"/>
      <c r="K59" s="2714">
        <f t="shared" si="4"/>
        <v>1</v>
      </c>
      <c r="L59" s="2716">
        <f t="shared" si="2"/>
        <v>3.15</v>
      </c>
      <c r="M59" s="2717">
        <f t="shared" si="3"/>
        <v>0.11111307077726239</v>
      </c>
      <c r="N59" s="167"/>
      <c r="O59" s="167"/>
      <c r="P59" s="2663" t="s">
        <v>1630</v>
      </c>
      <c r="Q59" s="2664">
        <v>1.5</v>
      </c>
      <c r="R59" s="2664">
        <v>2.2999999999999998</v>
      </c>
      <c r="S59" s="2665">
        <f t="shared" si="0"/>
        <v>1.9</v>
      </c>
      <c r="T59" s="140"/>
      <c r="U59" s="134"/>
      <c r="V59" s="134"/>
    </row>
    <row r="60" spans="1:22" ht="14.25" customHeight="1">
      <c r="A60" s="1857"/>
      <c r="B60" s="1857"/>
      <c r="C60" s="1857"/>
      <c r="D60" s="1857"/>
      <c r="E60" s="1857"/>
      <c r="F60" s="1857"/>
      <c r="G60" s="1857"/>
      <c r="H60" s="1857"/>
      <c r="I60" s="1857"/>
      <c r="J60" s="167"/>
      <c r="K60" s="2714">
        <f t="shared" si="4"/>
        <v>1.25</v>
      </c>
      <c r="L60" s="2716">
        <f t="shared" si="2"/>
        <v>3.9375</v>
      </c>
      <c r="M60" s="2717">
        <f t="shared" si="3"/>
        <v>0.13889133847157797</v>
      </c>
      <c r="N60" s="167"/>
      <c r="O60" s="167"/>
      <c r="P60" s="2663" t="s">
        <v>281</v>
      </c>
      <c r="Q60" s="2664">
        <v>2.4</v>
      </c>
      <c r="R60" s="2664">
        <v>2.6</v>
      </c>
      <c r="S60" s="2665">
        <f t="shared" si="0"/>
        <v>2.5</v>
      </c>
      <c r="T60" s="140"/>
      <c r="U60" s="134"/>
      <c r="V60" s="134"/>
    </row>
    <row r="61" spans="1:22" ht="14.25" customHeight="1">
      <c r="A61" s="4004" t="s">
        <v>1631</v>
      </c>
      <c r="B61" s="4004"/>
      <c r="C61" s="4004"/>
      <c r="D61" s="4004"/>
      <c r="E61" s="4004"/>
      <c r="F61" s="4004"/>
      <c r="G61" s="165"/>
      <c r="H61" s="165"/>
      <c r="I61" s="165"/>
      <c r="J61" s="167"/>
      <c r="K61" s="2714">
        <f t="shared" si="4"/>
        <v>1.5</v>
      </c>
      <c r="L61" s="2716">
        <f t="shared" si="2"/>
        <v>4.7249999999999996</v>
      </c>
      <c r="M61" s="2717">
        <f t="shared" si="3"/>
        <v>0.16666960616589357</v>
      </c>
      <c r="N61" s="167"/>
      <c r="O61" s="167"/>
      <c r="P61" s="2663" t="s">
        <v>1632</v>
      </c>
      <c r="Q61" s="2664">
        <v>3.6</v>
      </c>
      <c r="R61" s="2664">
        <v>4.5</v>
      </c>
      <c r="S61" s="2665">
        <f t="shared" si="0"/>
        <v>4.05</v>
      </c>
      <c r="T61" s="140"/>
      <c r="U61" s="134"/>
      <c r="V61" s="134"/>
    </row>
    <row r="62" spans="1:22" ht="14.25" customHeight="1">
      <c r="A62" s="1857"/>
      <c r="B62" s="2724" t="s">
        <v>1633</v>
      </c>
      <c r="C62" s="2724" t="s">
        <v>1634</v>
      </c>
      <c r="D62" s="2725" t="s">
        <v>1635</v>
      </c>
      <c r="E62" s="3965" t="s">
        <v>1636</v>
      </c>
      <c r="F62" s="3965"/>
      <c r="G62" s="3965"/>
      <c r="H62" s="2726" t="s">
        <v>1637</v>
      </c>
      <c r="I62" s="2726" t="s">
        <v>1638</v>
      </c>
      <c r="J62" s="167"/>
      <c r="K62" s="2714">
        <f t="shared" si="4"/>
        <v>1.75</v>
      </c>
      <c r="L62" s="2716">
        <f t="shared" si="2"/>
        <v>5.5125000000000002</v>
      </c>
      <c r="M62" s="2717">
        <f t="shared" si="3"/>
        <v>0.19444787386020917</v>
      </c>
      <c r="N62" s="167"/>
      <c r="O62" s="167"/>
      <c r="P62" s="2692" t="s">
        <v>1639</v>
      </c>
      <c r="Q62" s="2664"/>
      <c r="R62" s="2664"/>
      <c r="S62" s="2665">
        <f t="shared" si="0"/>
        <v>0</v>
      </c>
      <c r="T62" s="140"/>
      <c r="U62" s="134"/>
      <c r="V62" s="134"/>
    </row>
    <row r="63" spans="1:22" ht="14.25" customHeight="1">
      <c r="A63" s="1861"/>
      <c r="B63" s="2727">
        <f>C11</f>
        <v>1.7</v>
      </c>
      <c r="C63" s="2728">
        <f>D11</f>
        <v>20</v>
      </c>
      <c r="D63" s="2729">
        <f>((C63+40)*(9/5))-40</f>
        <v>68</v>
      </c>
      <c r="E63" s="2722" t="str">
        <f>FIXED(SUM(-16.6999,PRODUCT(-0.0101059,$D63),PRODUCT(0.00116512,($D63^2)),PRODUCT(0.173354,$D63,B63),PRODUCT(4.24267,B63),PRODUCT(-0.0684226,(B63^2))),2)</f>
        <v>15.05</v>
      </c>
      <c r="F63" s="2730">
        <f>E63*0.068046</f>
        <v>1.0240923</v>
      </c>
      <c r="G63" s="2730">
        <f>E63*0.068948</f>
        <v>1.0376673999999999</v>
      </c>
      <c r="H63" s="2706" t="str">
        <f>FIXED(((B63-VLOOKUP(C63,B95:D138,3))/K72),3)</f>
        <v>3.141</v>
      </c>
      <c r="I63" s="2706" t="str">
        <f>FIXED(((B63-VLOOKUP(C63,B95:D138,3))/K80),3)</f>
        <v>3.307</v>
      </c>
      <c r="J63" s="181"/>
      <c r="K63" s="2714">
        <f t="shared" si="4"/>
        <v>2</v>
      </c>
      <c r="L63" s="2716">
        <f t="shared" si="2"/>
        <v>6.3</v>
      </c>
      <c r="M63" s="2717">
        <f t="shared" si="3"/>
        <v>0.22222614155452478</v>
      </c>
      <c r="N63" s="167"/>
      <c r="O63" s="167"/>
      <c r="P63" s="2692" t="s">
        <v>755</v>
      </c>
      <c r="Q63" s="2664"/>
      <c r="R63" s="2664"/>
      <c r="S63" s="2665">
        <f t="shared" si="0"/>
        <v>0</v>
      </c>
      <c r="T63" s="140"/>
      <c r="U63" s="134"/>
      <c r="V63" s="134"/>
    </row>
    <row r="64" spans="1:22" ht="14.25" customHeight="1">
      <c r="A64" s="140"/>
      <c r="B64" s="2731" t="s">
        <v>1640</v>
      </c>
      <c r="C64" s="2731" t="s">
        <v>1641</v>
      </c>
      <c r="D64" s="166"/>
      <c r="E64" s="159"/>
      <c r="F64" s="159"/>
      <c r="G64" s="159"/>
      <c r="H64" s="2732" t="str">
        <f>"= "&amp;FIXED(H63/D53,3)&amp;" tsp"</f>
        <v>= 0.997 tsp</v>
      </c>
      <c r="I64" s="2732" t="str">
        <f>"= "&amp;FIXED(I63/D53,3)&amp;" tsp"</f>
        <v>= 1.050 tsp</v>
      </c>
      <c r="J64" s="167"/>
      <c r="K64" s="2714">
        <f t="shared" si="4"/>
        <v>2.25</v>
      </c>
      <c r="L64" s="2716">
        <f t="shared" si="2"/>
        <v>7.0874999999999995</v>
      </c>
      <c r="M64" s="2717">
        <f t="shared" si="3"/>
        <v>0.25000440924884038</v>
      </c>
      <c r="N64" s="167"/>
      <c r="O64" s="167"/>
      <c r="P64" s="2692" t="s">
        <v>755</v>
      </c>
      <c r="Q64" s="2664"/>
      <c r="R64" s="2664"/>
      <c r="S64" s="2665">
        <f t="shared" si="0"/>
        <v>0</v>
      </c>
      <c r="T64" s="140"/>
      <c r="U64" s="134"/>
      <c r="V64" s="134"/>
    </row>
    <row r="65" spans="1:22" ht="14.25" customHeight="1">
      <c r="A65" s="140"/>
      <c r="B65" s="140"/>
      <c r="C65" s="140"/>
      <c r="D65" s="140"/>
      <c r="E65" s="140"/>
      <c r="F65" s="140"/>
      <c r="G65" s="140"/>
      <c r="H65" s="140"/>
      <c r="I65" s="140"/>
      <c r="J65" s="167"/>
      <c r="K65" s="2714">
        <f t="shared" si="4"/>
        <v>2.5</v>
      </c>
      <c r="L65" s="2716">
        <f t="shared" si="2"/>
        <v>7.875</v>
      </c>
      <c r="M65" s="2717">
        <f t="shared" si="3"/>
        <v>0.27778267694315595</v>
      </c>
      <c r="N65" s="167"/>
      <c r="O65" s="140"/>
      <c r="P65" s="2692" t="s">
        <v>755</v>
      </c>
      <c r="Q65" s="2664"/>
      <c r="R65" s="2664"/>
      <c r="S65" s="2665">
        <f t="shared" si="0"/>
        <v>0</v>
      </c>
      <c r="T65" s="140"/>
      <c r="U65" s="134"/>
      <c r="V65" s="134"/>
    </row>
    <row r="66" spans="1:22" ht="14.25" customHeight="1">
      <c r="A66" s="140"/>
      <c r="B66" s="140"/>
      <c r="C66" s="140"/>
      <c r="D66" s="140"/>
      <c r="E66" s="140"/>
      <c r="F66" s="140"/>
      <c r="G66" s="140"/>
      <c r="H66" s="140"/>
      <c r="I66" s="140"/>
      <c r="J66" s="167"/>
      <c r="K66" s="2733">
        <f t="shared" si="4"/>
        <v>2.75</v>
      </c>
      <c r="L66" s="2716">
        <f t="shared" si="2"/>
        <v>8.6624999999999996</v>
      </c>
      <c r="M66" s="2717">
        <f t="shared" si="3"/>
        <v>0.30556094463747158</v>
      </c>
      <c r="N66" s="167"/>
      <c r="O66" s="140"/>
      <c r="P66" s="2692" t="s">
        <v>1639</v>
      </c>
      <c r="Q66" s="2664"/>
      <c r="R66" s="2664"/>
      <c r="S66" s="2665">
        <f t="shared" ref="S66" si="5">(Q66+R66)/2</f>
        <v>0</v>
      </c>
      <c r="T66" s="140"/>
      <c r="U66" s="134"/>
      <c r="V66" s="134"/>
    </row>
    <row r="67" spans="1:22" ht="14.25" customHeight="1">
      <c r="A67" s="4876" t="s">
        <v>1642</v>
      </c>
      <c r="B67" s="4876"/>
      <c r="C67" s="140"/>
      <c r="D67" s="140"/>
      <c r="E67" s="140"/>
      <c r="F67" s="140"/>
      <c r="G67" s="140"/>
      <c r="H67" s="140"/>
      <c r="I67" s="140"/>
      <c r="J67" s="181"/>
      <c r="K67" s="2733">
        <f t="shared" si="4"/>
        <v>3</v>
      </c>
      <c r="L67" s="2716">
        <f t="shared" si="2"/>
        <v>9.4499999999999993</v>
      </c>
      <c r="M67" s="2717">
        <f t="shared" si="3"/>
        <v>0.33333921233178715</v>
      </c>
      <c r="N67" s="167"/>
      <c r="O67" s="140"/>
      <c r="P67" s="4001" t="s">
        <v>1643</v>
      </c>
      <c r="Q67" s="4002"/>
      <c r="R67" s="4003"/>
      <c r="S67" s="2735" t="s">
        <v>1644</v>
      </c>
      <c r="T67" s="140"/>
      <c r="U67" s="134"/>
      <c r="V67" s="134"/>
    </row>
    <row r="68" spans="1:22" ht="14.25" customHeight="1">
      <c r="A68" s="183"/>
      <c r="B68" s="3998" t="s">
        <v>1645</v>
      </c>
      <c r="C68" s="3998"/>
      <c r="D68" s="3998"/>
      <c r="E68" s="3998"/>
      <c r="F68" s="3998"/>
      <c r="G68" s="3998"/>
      <c r="H68" s="3998"/>
      <c r="I68" s="3998"/>
      <c r="J68" s="140"/>
      <c r="K68" s="2733">
        <f t="shared" si="4"/>
        <v>3.25</v>
      </c>
      <c r="L68" s="2716">
        <f t="shared" si="2"/>
        <v>10.237499999999999</v>
      </c>
      <c r="M68" s="2717">
        <f t="shared" si="3"/>
        <v>0.36111748002610272</v>
      </c>
      <c r="N68" s="140"/>
      <c r="O68" s="140"/>
      <c r="P68" s="2734" t="s">
        <v>1646</v>
      </c>
      <c r="Q68" s="2736">
        <v>1.7</v>
      </c>
      <c r="R68" s="2736">
        <v>2.5</v>
      </c>
      <c r="S68" s="2737">
        <f>(Q68+R68)/2</f>
        <v>2.1</v>
      </c>
      <c r="T68" s="140"/>
      <c r="U68" s="134"/>
      <c r="V68" s="134"/>
    </row>
    <row r="69" spans="1:22" ht="14.25" customHeight="1">
      <c r="A69" s="140"/>
      <c r="B69" s="3998"/>
      <c r="C69" s="3998"/>
      <c r="D69" s="3998"/>
      <c r="E69" s="3998"/>
      <c r="F69" s="3998"/>
      <c r="G69" s="3998"/>
      <c r="H69" s="3998"/>
      <c r="I69" s="3998"/>
      <c r="J69" s="167"/>
      <c r="K69" s="2738">
        <v>5</v>
      </c>
      <c r="L69" s="2716">
        <f t="shared" si="2"/>
        <v>15.75</v>
      </c>
      <c r="M69" s="2717">
        <f t="shared" si="3"/>
        <v>0.5555653538863119</v>
      </c>
      <c r="N69" s="188"/>
      <c r="O69" s="188"/>
      <c r="P69" s="3992" t="str">
        <f>"(Where `"&amp;FIXED((Q68+R68)/2)&amp;"` would indicate "&amp;FIXED((Q68+R68)/2)&amp;" litres CO2 dissolved in 1 litre)"</f>
        <v>(Where `2.10` would indicate 2.10 litres CO2 dissolved in 1 litre)</v>
      </c>
      <c r="Q69" s="3993"/>
      <c r="R69" s="3993"/>
      <c r="S69" s="3994"/>
      <c r="T69" s="188"/>
      <c r="U69" s="134"/>
      <c r="V69" s="134"/>
    </row>
    <row r="70" spans="1:22" ht="14.25" customHeight="1">
      <c r="A70" s="140"/>
      <c r="B70" s="3998"/>
      <c r="C70" s="3998"/>
      <c r="D70" s="3998"/>
      <c r="E70" s="3998"/>
      <c r="F70" s="3998"/>
      <c r="G70" s="3998"/>
      <c r="H70" s="3998"/>
      <c r="I70" s="3998"/>
      <c r="J70" s="167"/>
      <c r="K70" s="167"/>
      <c r="L70" s="167"/>
      <c r="M70" s="167"/>
      <c r="N70" s="140"/>
      <c r="O70" s="140"/>
      <c r="P70" s="140"/>
      <c r="Q70" s="140"/>
      <c r="R70" s="140"/>
      <c r="S70" s="140"/>
      <c r="T70" s="140"/>
      <c r="U70" s="134"/>
      <c r="V70" s="134"/>
    </row>
    <row r="71" spans="1:22" ht="14.25" customHeight="1">
      <c r="A71" s="140"/>
      <c r="B71" s="3998"/>
      <c r="C71" s="3998"/>
      <c r="D71" s="3998"/>
      <c r="E71" s="3998"/>
      <c r="F71" s="3998"/>
      <c r="G71" s="3998"/>
      <c r="H71" s="3998"/>
      <c r="I71" s="3998"/>
      <c r="J71" s="167"/>
      <c r="K71" s="167"/>
      <c r="L71" s="167"/>
      <c r="M71" s="167"/>
      <c r="N71" s="3997" t="s">
        <v>1647</v>
      </c>
      <c r="O71" s="3997"/>
      <c r="P71" s="3997"/>
      <c r="Q71" s="140"/>
      <c r="R71" s="140"/>
      <c r="S71" s="140"/>
      <c r="T71" s="140"/>
      <c r="U71" s="134"/>
      <c r="V71" s="134"/>
    </row>
    <row r="72" spans="1:22" ht="14.25" customHeight="1">
      <c r="A72" s="177"/>
      <c r="B72" s="184" t="s">
        <v>1648</v>
      </c>
      <c r="C72" s="184"/>
      <c r="D72" s="184"/>
      <c r="E72" s="184"/>
      <c r="F72" s="184"/>
      <c r="G72" s="184"/>
      <c r="H72" s="184"/>
      <c r="I72" s="3995" t="s">
        <v>1649</v>
      </c>
      <c r="J72" s="3995"/>
      <c r="K72" s="189">
        <v>0.26200000000000001</v>
      </c>
      <c r="L72" s="190" t="s">
        <v>1650</v>
      </c>
      <c r="M72" s="167"/>
      <c r="N72" s="3997"/>
      <c r="O72" s="3997"/>
      <c r="P72" s="3997"/>
      <c r="Q72" s="140"/>
      <c r="R72" s="140"/>
      <c r="S72" s="140"/>
      <c r="T72" s="140"/>
      <c r="U72" s="134"/>
      <c r="V72" s="134"/>
    </row>
    <row r="73" spans="1:22" ht="14.25" customHeight="1">
      <c r="A73" s="177"/>
      <c r="B73" s="4877" t="s">
        <v>1651</v>
      </c>
      <c r="C73" s="4877"/>
      <c r="D73" s="4877"/>
      <c r="E73" s="4877"/>
      <c r="F73" s="4877"/>
      <c r="G73" s="4877"/>
      <c r="H73" s="4877"/>
      <c r="I73" s="4877"/>
      <c r="J73" s="191" t="s">
        <v>130</v>
      </c>
      <c r="K73" s="192">
        <f>89.6/342</f>
        <v>0.26198830409356721</v>
      </c>
      <c r="L73" s="167"/>
      <c r="M73" s="167"/>
      <c r="N73" s="3991" t="s">
        <v>1652</v>
      </c>
      <c r="O73" s="3991"/>
      <c r="P73" s="3991"/>
      <c r="Q73" s="3991"/>
      <c r="R73" s="3991"/>
      <c r="S73" s="3991"/>
      <c r="T73" s="140"/>
      <c r="U73" s="134"/>
      <c r="V73" s="134"/>
    </row>
    <row r="74" spans="1:22" ht="14.25" customHeight="1">
      <c r="A74" s="177"/>
      <c r="B74" s="4877" t="s">
        <v>1653</v>
      </c>
      <c r="C74" s="4877"/>
      <c r="D74" s="4877"/>
      <c r="E74" s="4877"/>
      <c r="F74" s="4877"/>
      <c r="G74" s="4877"/>
      <c r="H74" s="4877"/>
      <c r="I74" s="193"/>
      <c r="J74" s="193"/>
      <c r="K74" s="193"/>
      <c r="L74" s="193"/>
      <c r="M74" s="167"/>
      <c r="N74" s="3991"/>
      <c r="O74" s="3991"/>
      <c r="P74" s="3991"/>
      <c r="Q74" s="3991"/>
      <c r="R74" s="3991"/>
      <c r="S74" s="3991"/>
      <c r="T74" s="140"/>
      <c r="U74" s="134"/>
      <c r="V74" s="134"/>
    </row>
    <row r="75" spans="1:22" ht="14.25" customHeight="1">
      <c r="A75" s="177"/>
      <c r="B75" s="185"/>
      <c r="C75" s="186"/>
      <c r="D75" s="185"/>
      <c r="E75" s="185"/>
      <c r="F75" s="185"/>
      <c r="G75" s="3996" t="s">
        <v>1654</v>
      </c>
      <c r="H75" s="3996"/>
      <c r="I75" s="2821" t="s">
        <v>153</v>
      </c>
      <c r="J75" s="2821"/>
      <c r="K75" s="2821"/>
      <c r="L75" s="2821"/>
      <c r="M75" s="167"/>
      <c r="N75" s="3991"/>
      <c r="O75" s="3991"/>
      <c r="P75" s="3991"/>
      <c r="Q75" s="3991"/>
      <c r="R75" s="3991"/>
      <c r="S75" s="3991"/>
      <c r="T75" s="140"/>
      <c r="U75" s="134"/>
      <c r="V75" s="134"/>
    </row>
    <row r="76" spans="1:22" ht="14.25" customHeight="1">
      <c r="A76" s="177"/>
      <c r="B76" s="3996" t="s">
        <v>1655</v>
      </c>
      <c r="C76" s="3996"/>
      <c r="D76" s="3996"/>
      <c r="E76" s="3996"/>
      <c r="F76" s="3996"/>
      <c r="G76" s="3996"/>
      <c r="H76" s="3996"/>
      <c r="I76" s="2821"/>
      <c r="J76" s="2821"/>
      <c r="K76" s="2821"/>
      <c r="L76" s="2821"/>
      <c r="M76" s="167"/>
      <c r="N76" s="3991"/>
      <c r="O76" s="3991"/>
      <c r="P76" s="3991"/>
      <c r="Q76" s="3991"/>
      <c r="R76" s="3991"/>
      <c r="S76" s="3991"/>
      <c r="T76" s="140"/>
      <c r="U76" s="134"/>
      <c r="V76" s="134"/>
    </row>
    <row r="77" spans="1:22" ht="14.25" customHeight="1">
      <c r="A77" s="177"/>
      <c r="B77" s="179"/>
      <c r="C77" s="179"/>
      <c r="D77" s="179"/>
      <c r="E77" s="179"/>
      <c r="F77" s="179"/>
      <c r="G77" s="3996" t="s">
        <v>1656</v>
      </c>
      <c r="H77" s="3996"/>
      <c r="I77" s="2821"/>
      <c r="J77" s="2821"/>
      <c r="K77" s="2821"/>
      <c r="L77" s="2821"/>
      <c r="M77" s="167"/>
      <c r="N77" s="3991"/>
      <c r="O77" s="3991"/>
      <c r="P77" s="3991"/>
      <c r="Q77" s="3991"/>
      <c r="R77" s="3991"/>
      <c r="S77" s="3991"/>
      <c r="T77" s="140"/>
      <c r="U77" s="134"/>
      <c r="V77" s="134"/>
    </row>
    <row r="78" spans="1:22" ht="14.25" customHeight="1">
      <c r="A78" s="140"/>
      <c r="B78" s="140"/>
      <c r="C78" s="140"/>
      <c r="D78" s="140"/>
      <c r="E78" s="140"/>
      <c r="F78" s="140"/>
      <c r="G78" s="140"/>
      <c r="H78" s="140"/>
      <c r="I78" s="140"/>
      <c r="J78" s="167"/>
      <c r="K78" s="167"/>
      <c r="L78" s="167"/>
      <c r="M78" s="167"/>
      <c r="N78" s="3991"/>
      <c r="O78" s="3991"/>
      <c r="P78" s="3991"/>
      <c r="Q78" s="3991"/>
      <c r="R78" s="3991"/>
      <c r="S78" s="3991"/>
      <c r="T78" s="140"/>
      <c r="U78" s="134"/>
      <c r="V78" s="134"/>
    </row>
    <row r="79" spans="1:22" ht="14.25" customHeight="1">
      <c r="A79" s="4846" t="s">
        <v>1657</v>
      </c>
      <c r="B79" s="4846"/>
      <c r="C79" s="4846"/>
      <c r="D79" s="4846"/>
      <c r="E79" s="4846"/>
      <c r="F79" s="185"/>
      <c r="G79" s="140"/>
      <c r="H79" s="185"/>
      <c r="I79" s="185"/>
      <c r="J79" s="185"/>
      <c r="K79" s="185"/>
      <c r="L79" s="194"/>
      <c r="M79" s="167"/>
      <c r="N79" s="3991"/>
      <c r="O79" s="3991"/>
      <c r="P79" s="3991"/>
      <c r="Q79" s="3991"/>
      <c r="R79" s="3991"/>
      <c r="S79" s="3991"/>
      <c r="T79" s="140"/>
      <c r="U79" s="134"/>
      <c r="V79" s="134"/>
    </row>
    <row r="80" spans="1:22" ht="14.25" customHeight="1">
      <c r="A80" s="159"/>
      <c r="B80" s="4878" t="s">
        <v>1658</v>
      </c>
      <c r="C80" s="4878"/>
      <c r="D80" s="4878"/>
      <c r="E80" s="4878"/>
      <c r="F80" s="4878"/>
      <c r="G80" s="4878"/>
      <c r="H80" s="4878"/>
      <c r="I80" s="3999" t="s">
        <v>1659</v>
      </c>
      <c r="J80" s="3999"/>
      <c r="K80" s="195">
        <v>0.24890000000000001</v>
      </c>
      <c r="L80" s="196" t="s">
        <v>1650</v>
      </c>
      <c r="M80" s="167"/>
      <c r="N80" s="3991"/>
      <c r="O80" s="3991"/>
      <c r="P80" s="3991"/>
      <c r="Q80" s="3991"/>
      <c r="R80" s="3991"/>
      <c r="S80" s="3991"/>
      <c r="T80" s="140"/>
      <c r="U80" s="134"/>
      <c r="V80" s="134"/>
    </row>
    <row r="81" spans="1:22" ht="14.25" customHeight="1">
      <c r="A81" s="179"/>
      <c r="B81" s="4878" t="s">
        <v>1660</v>
      </c>
      <c r="C81" s="4878"/>
      <c r="D81" s="4878"/>
      <c r="E81" s="4878"/>
      <c r="F81" s="4878"/>
      <c r="G81" s="4878"/>
      <c r="H81" s="4878"/>
      <c r="I81" s="185"/>
      <c r="J81" s="191" t="s">
        <v>130</v>
      </c>
      <c r="K81" s="197">
        <f>44.8/180</f>
        <v>0.24888888888888888</v>
      </c>
      <c r="L81" s="194"/>
      <c r="M81" s="167"/>
      <c r="N81" s="3991"/>
      <c r="O81" s="3991"/>
      <c r="P81" s="3991"/>
      <c r="Q81" s="3991"/>
      <c r="R81" s="3991"/>
      <c r="S81" s="3991"/>
      <c r="T81" s="140"/>
      <c r="U81" s="134"/>
      <c r="V81" s="134"/>
    </row>
    <row r="82" spans="1:22" ht="14.25" customHeight="1">
      <c r="A82" s="140"/>
      <c r="B82" s="4878" t="s">
        <v>1661</v>
      </c>
      <c r="C82" s="4878"/>
      <c r="D82" s="4878"/>
      <c r="E82" s="4878"/>
      <c r="F82" s="4878"/>
      <c r="G82" s="4878"/>
      <c r="H82" s="4878"/>
      <c r="I82" s="4000"/>
      <c r="J82" s="4000"/>
      <c r="K82" s="167"/>
      <c r="L82" s="167"/>
      <c r="M82" s="167"/>
      <c r="N82" s="3991"/>
      <c r="O82" s="3991"/>
      <c r="P82" s="3991"/>
      <c r="Q82" s="3991"/>
      <c r="R82" s="3991"/>
      <c r="S82" s="3991"/>
      <c r="T82" s="140"/>
      <c r="U82" s="134"/>
      <c r="V82" s="134"/>
    </row>
    <row r="83" spans="1:22" ht="14.25" customHeight="1">
      <c r="A83" s="140"/>
      <c r="B83" s="140"/>
      <c r="C83" s="140"/>
      <c r="D83" s="140"/>
      <c r="E83" s="140"/>
      <c r="F83" s="140"/>
      <c r="G83" s="140"/>
      <c r="H83" s="140"/>
      <c r="I83" s="140"/>
      <c r="J83" s="167"/>
      <c r="K83" s="167"/>
      <c r="L83" s="167"/>
      <c r="M83" s="167"/>
      <c r="N83" s="3991"/>
      <c r="O83" s="3991"/>
      <c r="P83" s="3991"/>
      <c r="Q83" s="3991"/>
      <c r="R83" s="3991"/>
      <c r="S83" s="3991"/>
      <c r="T83" s="140"/>
      <c r="U83" s="134"/>
      <c r="V83" s="134"/>
    </row>
    <row r="84" spans="1:22" ht="14.45" customHeight="1">
      <c r="A84" s="140"/>
      <c r="B84" s="1797" t="s">
        <v>1662</v>
      </c>
      <c r="C84" s="1797"/>
      <c r="D84" s="140"/>
      <c r="E84" s="140"/>
      <c r="F84" s="140"/>
      <c r="G84" s="140"/>
      <c r="H84" s="140"/>
      <c r="I84" s="140"/>
      <c r="J84" s="140"/>
      <c r="K84" s="167"/>
      <c r="L84" s="167"/>
      <c r="M84" s="167"/>
      <c r="N84" s="3991"/>
      <c r="O84" s="3991"/>
      <c r="P84" s="3991"/>
      <c r="Q84" s="3991"/>
      <c r="R84" s="3991"/>
      <c r="S84" s="3991"/>
      <c r="T84" s="140"/>
      <c r="U84" s="134"/>
      <c r="V84" s="134"/>
    </row>
    <row r="85" spans="1:22" ht="14.25" customHeight="1">
      <c r="A85" s="1816"/>
      <c r="B85" s="1816"/>
      <c r="C85" s="1816"/>
      <c r="D85" s="1816"/>
      <c r="E85" s="1816"/>
      <c r="F85" s="1816"/>
      <c r="G85" s="1816"/>
      <c r="H85" s="1816"/>
      <c r="I85" s="1816"/>
      <c r="J85" s="1816"/>
      <c r="K85" s="1817"/>
      <c r="L85" s="1817"/>
      <c r="M85" s="1817"/>
      <c r="N85" s="3991"/>
      <c r="O85" s="3991"/>
      <c r="P85" s="3991"/>
      <c r="Q85" s="3991"/>
      <c r="R85" s="3991"/>
      <c r="S85" s="3991"/>
      <c r="T85" s="140"/>
      <c r="U85" s="134"/>
      <c r="V85" s="134"/>
    </row>
    <row r="86" spans="1:22" ht="14.25" customHeight="1">
      <c r="A86" s="1816"/>
      <c r="B86" s="1816"/>
      <c r="C86" s="1816"/>
      <c r="D86" s="1816"/>
      <c r="E86" s="1816"/>
      <c r="F86" s="1816"/>
      <c r="G86" s="1816"/>
      <c r="H86" s="1816"/>
      <c r="I86" s="1816"/>
      <c r="J86" s="1817"/>
      <c r="K86" s="1817"/>
      <c r="L86" s="1817"/>
      <c r="M86" s="1817"/>
      <c r="N86" s="3991"/>
      <c r="O86" s="3991"/>
      <c r="P86" s="3991"/>
      <c r="Q86" s="3991"/>
      <c r="R86" s="3991"/>
      <c r="S86" s="3991"/>
      <c r="T86" s="140"/>
      <c r="U86" s="134"/>
      <c r="V86" s="134"/>
    </row>
    <row r="87" spans="1:22" ht="14.25" customHeight="1">
      <c r="A87" s="1816"/>
      <c r="B87" s="1816"/>
      <c r="C87" s="1816"/>
      <c r="D87" s="1816"/>
      <c r="E87" s="1816"/>
      <c r="F87" s="1816"/>
      <c r="G87" s="1816"/>
      <c r="H87" s="1816"/>
      <c r="I87" s="1816"/>
      <c r="J87" s="1817"/>
      <c r="K87" s="1817"/>
      <c r="L87" s="1817"/>
      <c r="M87" s="1817"/>
      <c r="N87" s="3991"/>
      <c r="O87" s="3991"/>
      <c r="P87" s="3991"/>
      <c r="Q87" s="3991"/>
      <c r="R87" s="3991"/>
      <c r="S87" s="3991"/>
      <c r="T87" s="140"/>
      <c r="U87" s="134"/>
      <c r="V87" s="134"/>
    </row>
    <row r="88" spans="1:22" ht="14.25" customHeight="1">
      <c r="A88" s="1816"/>
      <c r="B88" s="1816"/>
      <c r="C88" s="1816"/>
      <c r="D88" s="1816"/>
      <c r="E88" s="1816"/>
      <c r="F88" s="1816"/>
      <c r="G88" s="1816"/>
      <c r="H88" s="1816"/>
      <c r="I88" s="1816"/>
      <c r="J88" s="1817"/>
      <c r="K88" s="1817"/>
      <c r="L88" s="1817"/>
      <c r="M88" s="1817"/>
      <c r="N88" s="3991"/>
      <c r="O88" s="3991"/>
      <c r="P88" s="3991"/>
      <c r="Q88" s="3991"/>
      <c r="R88" s="3991"/>
      <c r="S88" s="3991"/>
      <c r="T88" s="140"/>
      <c r="U88" s="134"/>
      <c r="V88" s="134"/>
    </row>
    <row r="89" spans="1:22" ht="14.25" customHeight="1">
      <c r="A89" s="1816"/>
      <c r="B89" s="1816"/>
      <c r="C89" s="1816"/>
      <c r="D89" s="1816"/>
      <c r="E89" s="1816"/>
      <c r="F89" s="1816"/>
      <c r="G89" s="1816"/>
      <c r="H89" s="1816"/>
      <c r="I89" s="1816"/>
      <c r="J89" s="1817"/>
      <c r="K89" s="1817"/>
      <c r="L89" s="1817"/>
      <c r="M89" s="1817"/>
      <c r="N89" s="3991"/>
      <c r="O89" s="3991"/>
      <c r="P89" s="3991"/>
      <c r="Q89" s="3991"/>
      <c r="R89" s="3991"/>
      <c r="S89" s="3991"/>
      <c r="T89" s="140"/>
      <c r="U89" s="134"/>
      <c r="V89" s="134"/>
    </row>
    <row r="90" spans="1:22" ht="14.25" customHeight="1">
      <c r="A90" s="1816"/>
      <c r="B90" s="1816"/>
      <c r="C90" s="1816"/>
      <c r="D90" s="1816"/>
      <c r="E90" s="1816"/>
      <c r="F90" s="1816"/>
      <c r="G90" s="1816"/>
      <c r="H90" s="1816"/>
      <c r="I90" s="1816"/>
      <c r="J90" s="1817"/>
      <c r="K90" s="1817"/>
      <c r="L90" s="1817"/>
      <c r="M90" s="1817"/>
      <c r="N90" s="3991"/>
      <c r="O90" s="3991"/>
      <c r="P90" s="3991"/>
      <c r="Q90" s="3991"/>
      <c r="R90" s="3991"/>
      <c r="S90" s="3991"/>
      <c r="T90" s="140"/>
      <c r="U90" s="134"/>
      <c r="V90" s="134"/>
    </row>
    <row r="91" spans="1:22" ht="14.25" customHeight="1">
      <c r="A91" s="1816"/>
      <c r="B91" s="1816"/>
      <c r="C91" s="1816"/>
      <c r="D91" s="1816"/>
      <c r="E91" s="1816"/>
      <c r="F91" s="1816"/>
      <c r="G91" s="1816"/>
      <c r="H91" s="1816"/>
      <c r="I91" s="1816"/>
      <c r="J91" s="1816"/>
      <c r="K91" s="1816"/>
      <c r="L91" s="1816"/>
      <c r="M91" s="1817"/>
      <c r="N91" s="3991"/>
      <c r="O91" s="3991"/>
      <c r="P91" s="3991"/>
      <c r="Q91" s="3991"/>
      <c r="R91" s="3991"/>
      <c r="S91" s="3991"/>
      <c r="T91" s="140"/>
      <c r="U91" s="134"/>
      <c r="V91" s="134"/>
    </row>
    <row r="92" spans="1:22" ht="15" customHeight="1">
      <c r="A92" s="1816"/>
      <c r="B92" s="1816"/>
      <c r="C92" s="1816"/>
      <c r="D92" s="1816"/>
      <c r="E92" s="1816"/>
      <c r="F92" s="1816"/>
      <c r="G92" s="1816"/>
      <c r="H92" s="1816"/>
      <c r="I92" s="1816"/>
      <c r="J92" s="1816"/>
      <c r="K92" s="1816"/>
      <c r="L92" s="1816"/>
      <c r="M92" s="1817"/>
      <c r="N92" s="3991"/>
      <c r="O92" s="3991"/>
      <c r="P92" s="3991"/>
      <c r="Q92" s="3991"/>
      <c r="R92" s="3991"/>
      <c r="S92" s="3991"/>
      <c r="T92" s="140"/>
      <c r="U92" s="134"/>
      <c r="V92" s="134"/>
    </row>
    <row r="93" spans="1:22" ht="14.25" hidden="1" customHeight="1">
      <c r="A93" s="1816"/>
      <c r="B93" s="1816"/>
      <c r="C93" s="1816"/>
      <c r="D93" s="1816"/>
      <c r="E93" s="1816"/>
      <c r="F93" s="1816"/>
      <c r="G93" s="1816"/>
      <c r="H93" s="1816"/>
      <c r="I93" s="1816"/>
      <c r="J93" s="1816"/>
      <c r="K93" s="1816"/>
      <c r="L93" s="1816"/>
      <c r="M93" s="1818"/>
      <c r="N93" s="198"/>
      <c r="O93" s="167"/>
      <c r="P93" s="140"/>
      <c r="Q93" s="140"/>
      <c r="R93" s="140"/>
      <c r="S93" s="140"/>
      <c r="T93" s="140"/>
      <c r="U93" s="134"/>
      <c r="V93" s="134"/>
    </row>
    <row r="94" spans="1:22" ht="14.25" hidden="1" customHeight="1">
      <c r="A94" s="1819"/>
      <c r="B94" s="4879" t="s">
        <v>544</v>
      </c>
      <c r="C94" s="4879" t="s">
        <v>1538</v>
      </c>
      <c r="D94" s="4880" t="s">
        <v>545</v>
      </c>
      <c r="E94" s="1820"/>
      <c r="F94" s="1820"/>
      <c r="G94" s="1820"/>
      <c r="H94" s="1820"/>
      <c r="I94" s="1817"/>
      <c r="J94" s="1817"/>
      <c r="K94" s="1817"/>
      <c r="L94" s="1817"/>
      <c r="M94" s="1818"/>
      <c r="N94" s="198"/>
      <c r="O94" s="167"/>
      <c r="P94" s="140"/>
      <c r="Q94" s="140"/>
      <c r="R94" s="140"/>
      <c r="S94" s="140"/>
      <c r="T94" s="140"/>
      <c r="U94" s="134"/>
      <c r="V94" s="134"/>
    </row>
    <row r="95" spans="1:22" ht="14.25" hidden="1" customHeight="1">
      <c r="A95" s="1819"/>
      <c r="B95" s="4881">
        <v>0</v>
      </c>
      <c r="C95" s="4882">
        <f t="shared" ref="C95:C108" si="6">((B95+40)*9/5)-40</f>
        <v>32</v>
      </c>
      <c r="D95" s="4883">
        <v>1.7130000000000001</v>
      </c>
      <c r="E95" s="1820"/>
      <c r="F95" s="1820"/>
      <c r="G95" s="1820"/>
      <c r="H95" s="1820"/>
      <c r="I95" s="1817"/>
      <c r="J95" s="1817"/>
      <c r="K95" s="1817"/>
      <c r="L95" s="1817"/>
      <c r="M95" s="1818"/>
      <c r="N95" s="198"/>
      <c r="O95" s="167"/>
      <c r="P95" s="140"/>
      <c r="Q95" s="140"/>
      <c r="R95" s="140"/>
      <c r="S95" s="140"/>
      <c r="T95" s="140"/>
      <c r="U95" s="134"/>
      <c r="V95" s="134"/>
    </row>
    <row r="96" spans="1:22" ht="14.25" hidden="1" customHeight="1">
      <c r="A96" s="1819"/>
      <c r="B96" s="4881">
        <v>1</v>
      </c>
      <c r="C96" s="4882">
        <f t="shared" si="6"/>
        <v>33.799999999999997</v>
      </c>
      <c r="D96" s="4883">
        <v>1.6459999999999999</v>
      </c>
      <c r="E96" s="1820"/>
      <c r="F96" s="1820"/>
      <c r="G96" s="1820"/>
      <c r="H96" s="1820"/>
      <c r="I96" s="1817"/>
      <c r="J96" s="1817"/>
      <c r="K96" s="1817"/>
      <c r="L96" s="1817"/>
      <c r="M96" s="1818"/>
      <c r="N96" s="198"/>
      <c r="O96" s="167"/>
      <c r="P96" s="140"/>
      <c r="Q96" s="140"/>
      <c r="R96" s="140"/>
      <c r="S96" s="140"/>
      <c r="T96" s="140"/>
      <c r="U96" s="134"/>
      <c r="V96" s="134"/>
    </row>
    <row r="97" spans="1:22" ht="14.25" hidden="1" customHeight="1">
      <c r="A97" s="1819"/>
      <c r="B97" s="4881">
        <v>2</v>
      </c>
      <c r="C97" s="4882">
        <f t="shared" si="6"/>
        <v>35.599999999999994</v>
      </c>
      <c r="D97" s="4883">
        <v>1.5840000000000001</v>
      </c>
      <c r="E97" s="1820"/>
      <c r="F97" s="1820"/>
      <c r="G97" s="1820"/>
      <c r="H97" s="1820"/>
      <c r="I97" s="1821"/>
      <c r="J97" s="1822"/>
      <c r="K97" s="1817"/>
      <c r="L97" s="1817"/>
      <c r="M97" s="1818"/>
      <c r="N97" s="198"/>
      <c r="O97" s="167"/>
      <c r="P97" s="140"/>
      <c r="Q97" s="140"/>
      <c r="R97" s="140"/>
      <c r="S97" s="140"/>
      <c r="T97" s="140"/>
      <c r="U97" s="134"/>
      <c r="V97" s="134"/>
    </row>
    <row r="98" spans="1:22" ht="14.25" hidden="1" customHeight="1">
      <c r="A98" s="1819"/>
      <c r="B98" s="4881">
        <v>3</v>
      </c>
      <c r="C98" s="4882">
        <f t="shared" si="6"/>
        <v>37.400000000000006</v>
      </c>
      <c r="D98" s="4883">
        <v>1.53</v>
      </c>
      <c r="E98" s="1820"/>
      <c r="F98" s="1820"/>
      <c r="G98" s="1820"/>
      <c r="H98" s="1820"/>
      <c r="I98" s="1821"/>
      <c r="J98" s="1822"/>
      <c r="K98" s="1817"/>
      <c r="L98" s="1817"/>
      <c r="M98" s="1818"/>
      <c r="N98" s="198"/>
      <c r="O98" s="167"/>
      <c r="P98" s="140"/>
      <c r="Q98" s="140"/>
      <c r="R98" s="140"/>
      <c r="S98" s="140"/>
      <c r="T98" s="140"/>
      <c r="U98" s="134"/>
      <c r="V98" s="134"/>
    </row>
    <row r="99" spans="1:22" ht="14.25" hidden="1" customHeight="1">
      <c r="A99" s="1819"/>
      <c r="B99" s="4881">
        <v>4</v>
      </c>
      <c r="C99" s="4882">
        <f t="shared" si="6"/>
        <v>39.200000000000003</v>
      </c>
      <c r="D99" s="4883">
        <v>1.4730000000000001</v>
      </c>
      <c r="E99" s="1820"/>
      <c r="F99" s="1820"/>
      <c r="G99" s="1820"/>
      <c r="H99" s="1820"/>
      <c r="I99" s="1821"/>
      <c r="J99" s="1822"/>
      <c r="K99" s="1817"/>
      <c r="L99" s="1817"/>
      <c r="M99" s="1818"/>
      <c r="N99" s="198"/>
      <c r="O99" s="167"/>
      <c r="P99" s="140"/>
      <c r="Q99" s="140"/>
      <c r="R99" s="140"/>
      <c r="S99" s="140"/>
      <c r="T99" s="140"/>
      <c r="U99" s="134"/>
      <c r="V99" s="134"/>
    </row>
    <row r="100" spans="1:22" ht="14.25" hidden="1" customHeight="1">
      <c r="A100" s="1819"/>
      <c r="B100" s="4881">
        <v>5</v>
      </c>
      <c r="C100" s="4882">
        <f t="shared" si="6"/>
        <v>41</v>
      </c>
      <c r="D100" s="4883">
        <v>1.4239999999999999</v>
      </c>
      <c r="E100" s="1820"/>
      <c r="F100" s="1820"/>
      <c r="G100" s="1820"/>
      <c r="H100" s="1820"/>
      <c r="I100" s="1821"/>
      <c r="J100" s="1822"/>
      <c r="K100" s="1817"/>
      <c r="L100" s="1817"/>
      <c r="M100" s="1818"/>
      <c r="N100" s="198"/>
      <c r="O100" s="167"/>
      <c r="P100" s="140"/>
      <c r="Q100" s="140"/>
      <c r="R100" s="140"/>
      <c r="S100" s="140"/>
      <c r="T100" s="140"/>
      <c r="U100" s="134"/>
      <c r="V100" s="134"/>
    </row>
    <row r="101" spans="1:22" ht="14.25" hidden="1" customHeight="1">
      <c r="A101" s="1819"/>
      <c r="B101" s="4881">
        <v>6</v>
      </c>
      <c r="C101" s="4882">
        <f t="shared" si="6"/>
        <v>42.8</v>
      </c>
      <c r="D101" s="4883">
        <v>1.377</v>
      </c>
      <c r="E101" s="1820"/>
      <c r="F101" s="1820"/>
      <c r="G101" s="1820"/>
      <c r="H101" s="1820"/>
      <c r="I101" s="1821"/>
      <c r="J101" s="1822"/>
      <c r="K101" s="1817"/>
      <c r="L101" s="1817"/>
      <c r="M101" s="1818"/>
      <c r="N101" s="198"/>
      <c r="O101" s="167"/>
      <c r="P101" s="140"/>
      <c r="Q101" s="140"/>
      <c r="R101" s="140"/>
      <c r="S101" s="140"/>
      <c r="T101" s="140"/>
      <c r="U101" s="134"/>
      <c r="V101" s="134"/>
    </row>
    <row r="102" spans="1:22" ht="14.25" hidden="1" customHeight="1">
      <c r="A102" s="1819"/>
      <c r="B102" s="4881">
        <v>7</v>
      </c>
      <c r="C102" s="4882">
        <f t="shared" si="6"/>
        <v>44.599999999999994</v>
      </c>
      <c r="D102" s="4883">
        <v>1.331</v>
      </c>
      <c r="E102" s="1820"/>
      <c r="F102" s="1820"/>
      <c r="G102" s="1820"/>
      <c r="H102" s="1820"/>
      <c r="I102" s="1821"/>
      <c r="J102" s="1822"/>
      <c r="K102" s="1817"/>
      <c r="L102" s="1817"/>
      <c r="M102" s="1818"/>
      <c r="N102" s="198"/>
      <c r="O102" s="167"/>
      <c r="P102" s="140"/>
      <c r="Q102" s="140"/>
      <c r="R102" s="140"/>
      <c r="S102" s="140"/>
      <c r="T102" s="140"/>
      <c r="U102" s="134"/>
      <c r="V102" s="134"/>
    </row>
    <row r="103" spans="1:22" ht="14.25" hidden="1" customHeight="1">
      <c r="A103" s="1819"/>
      <c r="B103" s="4881">
        <v>8</v>
      </c>
      <c r="C103" s="4882">
        <f t="shared" si="6"/>
        <v>46.400000000000006</v>
      </c>
      <c r="D103" s="4883">
        <v>1.282</v>
      </c>
      <c r="E103" s="1820"/>
      <c r="F103" s="1820"/>
      <c r="G103" s="1820"/>
      <c r="H103" s="1820"/>
      <c r="I103" s="1821"/>
      <c r="J103" s="1822"/>
      <c r="K103" s="1817"/>
      <c r="L103" s="1817"/>
      <c r="M103" s="1818"/>
      <c r="N103" s="198"/>
      <c r="O103" s="167"/>
      <c r="P103" s="140"/>
      <c r="Q103" s="140"/>
      <c r="R103" s="140"/>
      <c r="S103" s="140"/>
      <c r="T103" s="140"/>
      <c r="U103" s="134"/>
      <c r="V103" s="134"/>
    </row>
    <row r="104" spans="1:22" ht="14.25" hidden="1" customHeight="1">
      <c r="A104" s="1819"/>
      <c r="B104" s="4881">
        <v>9</v>
      </c>
      <c r="C104" s="4882">
        <f t="shared" si="6"/>
        <v>48.2</v>
      </c>
      <c r="D104" s="4883">
        <v>1.2370000000000001</v>
      </c>
      <c r="E104" s="1820"/>
      <c r="F104" s="1820"/>
      <c r="G104" s="1820"/>
      <c r="H104" s="1820"/>
      <c r="I104" s="1821"/>
      <c r="J104" s="1822"/>
      <c r="K104" s="1817"/>
      <c r="L104" s="1817"/>
      <c r="M104" s="1818"/>
      <c r="N104" s="198"/>
      <c r="O104" s="167"/>
      <c r="P104" s="140"/>
      <c r="Q104" s="140"/>
      <c r="R104" s="140"/>
      <c r="S104" s="140"/>
      <c r="T104" s="140"/>
      <c r="U104" s="134"/>
      <c r="V104" s="134"/>
    </row>
    <row r="105" spans="1:22" ht="14.25" hidden="1" customHeight="1">
      <c r="A105" s="1819"/>
      <c r="B105" s="4881">
        <v>10</v>
      </c>
      <c r="C105" s="4882">
        <f t="shared" si="6"/>
        <v>50</v>
      </c>
      <c r="D105" s="4883">
        <v>1.194</v>
      </c>
      <c r="E105" s="1820"/>
      <c r="F105" s="1820"/>
      <c r="G105" s="1820"/>
      <c r="H105" s="1820"/>
      <c r="I105" s="1821"/>
      <c r="J105" s="1822"/>
      <c r="K105" s="1817"/>
      <c r="L105" s="1817"/>
      <c r="M105" s="1818"/>
      <c r="N105" s="198"/>
      <c r="O105" s="167"/>
      <c r="P105" s="140"/>
      <c r="Q105" s="140"/>
      <c r="R105" s="140"/>
      <c r="S105" s="140"/>
      <c r="T105" s="140"/>
      <c r="U105" s="134"/>
      <c r="V105" s="134"/>
    </row>
    <row r="106" spans="1:22" ht="14.25" hidden="1" customHeight="1">
      <c r="A106" s="1819"/>
      <c r="B106" s="4881">
        <v>11</v>
      </c>
      <c r="C106" s="4882">
        <f t="shared" si="6"/>
        <v>51.8</v>
      </c>
      <c r="D106" s="4883">
        <v>1.1539999999999999</v>
      </c>
      <c r="E106" s="1820"/>
      <c r="F106" s="1820"/>
      <c r="G106" s="1820"/>
      <c r="H106" s="1820"/>
      <c r="I106" s="1821"/>
      <c r="J106" s="1822"/>
      <c r="K106" s="1817"/>
      <c r="L106" s="1817"/>
      <c r="M106" s="1818"/>
      <c r="N106" s="198"/>
      <c r="O106" s="167"/>
      <c r="P106" s="140"/>
      <c r="Q106" s="140"/>
      <c r="R106" s="140"/>
      <c r="S106" s="140"/>
      <c r="T106" s="140"/>
      <c r="U106" s="134"/>
      <c r="V106" s="134"/>
    </row>
    <row r="107" spans="1:22" ht="14.25" hidden="1" customHeight="1">
      <c r="A107" s="1819"/>
      <c r="B107" s="4881">
        <v>12</v>
      </c>
      <c r="C107" s="4882">
        <f t="shared" si="6"/>
        <v>53.599999999999994</v>
      </c>
      <c r="D107" s="4883">
        <v>1.117</v>
      </c>
      <c r="E107" s="1820"/>
      <c r="F107" s="1820"/>
      <c r="G107" s="1820"/>
      <c r="H107" s="1820"/>
      <c r="I107" s="1821"/>
      <c r="J107" s="1822"/>
      <c r="K107" s="1817"/>
      <c r="L107" s="1817"/>
      <c r="M107" s="1818"/>
      <c r="N107" s="198"/>
      <c r="O107" s="167"/>
      <c r="P107" s="140"/>
      <c r="Q107" s="140"/>
      <c r="R107" s="140"/>
      <c r="S107" s="140"/>
      <c r="T107" s="140"/>
      <c r="U107" s="134"/>
      <c r="V107" s="134"/>
    </row>
    <row r="108" spans="1:22" ht="14.25" hidden="1" customHeight="1">
      <c r="A108" s="1819"/>
      <c r="B108" s="4881">
        <v>13</v>
      </c>
      <c r="C108" s="4882">
        <f t="shared" si="6"/>
        <v>55.400000000000006</v>
      </c>
      <c r="D108" s="4883">
        <v>1.083</v>
      </c>
      <c r="E108" s="1820"/>
      <c r="F108" s="1820"/>
      <c r="G108" s="1820"/>
      <c r="H108" s="1820"/>
      <c r="I108" s="1821"/>
      <c r="J108" s="1822"/>
      <c r="K108" s="1817"/>
      <c r="L108" s="1817"/>
      <c r="M108" s="1818"/>
      <c r="N108" s="198"/>
      <c r="O108" s="167"/>
      <c r="P108" s="140"/>
      <c r="Q108" s="140"/>
      <c r="R108" s="140"/>
      <c r="S108" s="140"/>
      <c r="T108" s="140"/>
      <c r="U108" s="134"/>
      <c r="V108" s="134"/>
    </row>
    <row r="109" spans="1:22" ht="14.25" hidden="1" customHeight="1">
      <c r="A109" s="1819"/>
      <c r="B109" s="4881">
        <f>(B108+B110)/2</f>
        <v>13.5</v>
      </c>
      <c r="C109" s="4881">
        <f>(C108+C110)/2</f>
        <v>56.300000000000004</v>
      </c>
      <c r="D109" s="4881">
        <f>(D108+D110)/2</f>
        <v>1.0665</v>
      </c>
      <c r="E109" s="1820"/>
      <c r="F109" s="1820"/>
      <c r="G109" s="1820"/>
      <c r="H109" s="1820"/>
      <c r="I109" s="1821"/>
      <c r="J109" s="1822"/>
      <c r="K109" s="1817"/>
      <c r="L109" s="1817"/>
      <c r="M109" s="1818"/>
      <c r="N109" s="198"/>
      <c r="O109" s="167"/>
      <c r="P109" s="140"/>
      <c r="Q109" s="140"/>
      <c r="R109" s="140"/>
      <c r="S109" s="140"/>
      <c r="T109" s="140"/>
      <c r="U109" s="134"/>
      <c r="V109" s="134"/>
    </row>
    <row r="110" spans="1:22" ht="14.25" hidden="1" customHeight="1">
      <c r="A110" s="1819"/>
      <c r="B110" s="4881">
        <v>14</v>
      </c>
      <c r="C110" s="4882">
        <f>((B110+40)*9/5)-40</f>
        <v>57.2</v>
      </c>
      <c r="D110" s="4883">
        <v>1.05</v>
      </c>
      <c r="E110" s="1820"/>
      <c r="F110" s="1820"/>
      <c r="G110" s="1820"/>
      <c r="H110" s="1820"/>
      <c r="I110" s="1821"/>
      <c r="J110" s="1822"/>
      <c r="K110" s="1817"/>
      <c r="L110" s="1817"/>
      <c r="M110" s="1818"/>
      <c r="N110" s="198"/>
      <c r="O110" s="167"/>
      <c r="P110" s="140"/>
      <c r="Q110" s="140"/>
      <c r="R110" s="140"/>
      <c r="S110" s="140"/>
      <c r="T110" s="140"/>
      <c r="U110" s="134"/>
      <c r="V110" s="134"/>
    </row>
    <row r="111" spans="1:22" ht="14.25" hidden="1" customHeight="1">
      <c r="A111" s="1819"/>
      <c r="B111" s="4881">
        <f>(B110+B112)/2</f>
        <v>14.5</v>
      </c>
      <c r="C111" s="4881">
        <f>(C110+C112)/2</f>
        <v>58.1</v>
      </c>
      <c r="D111" s="4881">
        <f>(D110+D112)/2</f>
        <v>1.034</v>
      </c>
      <c r="E111" s="1820"/>
      <c r="F111" s="1820"/>
      <c r="G111" s="1820"/>
      <c r="H111" s="1820"/>
      <c r="I111" s="1821"/>
      <c r="J111" s="1822"/>
      <c r="K111" s="1817"/>
      <c r="L111" s="1817"/>
      <c r="M111" s="1818"/>
      <c r="N111" s="198"/>
      <c r="O111" s="167"/>
      <c r="P111" s="140"/>
      <c r="Q111" s="140"/>
      <c r="R111" s="140"/>
      <c r="S111" s="140"/>
      <c r="T111" s="140"/>
      <c r="U111" s="134"/>
      <c r="V111" s="134"/>
    </row>
    <row r="112" spans="1:22" ht="14.25" hidden="1" customHeight="1">
      <c r="A112" s="1819"/>
      <c r="B112" s="4881">
        <v>15</v>
      </c>
      <c r="C112" s="4882">
        <f>((B112+40)*9/5)-40</f>
        <v>59</v>
      </c>
      <c r="D112" s="4883">
        <v>1.018</v>
      </c>
      <c r="E112" s="1820"/>
      <c r="F112" s="1820"/>
      <c r="G112" s="1820"/>
      <c r="H112" s="1820"/>
      <c r="I112" s="1821"/>
      <c r="J112" s="1822"/>
      <c r="K112" s="1817"/>
      <c r="L112" s="1817"/>
      <c r="M112" s="1818"/>
      <c r="N112" s="198"/>
      <c r="O112" s="167"/>
      <c r="P112" s="140"/>
      <c r="Q112" s="140"/>
      <c r="R112" s="140"/>
      <c r="S112" s="140"/>
      <c r="T112" s="140"/>
      <c r="U112" s="134"/>
      <c r="V112" s="134"/>
    </row>
    <row r="113" spans="1:22" ht="14.25" hidden="1" customHeight="1">
      <c r="A113" s="1819"/>
      <c r="B113" s="4881">
        <f>(B112+B114)/2</f>
        <v>15.5</v>
      </c>
      <c r="C113" s="4881">
        <f>(C112+C114)/2</f>
        <v>59.9</v>
      </c>
      <c r="D113" s="4881">
        <f>(D112+D114)/2</f>
        <v>1.0015000000000001</v>
      </c>
      <c r="E113" s="1820"/>
      <c r="F113" s="1820"/>
      <c r="G113" s="1820"/>
      <c r="H113" s="1820"/>
      <c r="I113" s="1821"/>
      <c r="J113" s="1822"/>
      <c r="K113" s="1817"/>
      <c r="L113" s="1817"/>
      <c r="M113" s="1818"/>
      <c r="N113" s="198"/>
      <c r="O113" s="167"/>
      <c r="P113" s="140"/>
      <c r="Q113" s="140"/>
      <c r="R113" s="140"/>
      <c r="S113" s="140"/>
      <c r="T113" s="140"/>
      <c r="U113" s="134"/>
      <c r="V113" s="134"/>
    </row>
    <row r="114" spans="1:22" ht="14.25" hidden="1" customHeight="1">
      <c r="A114" s="1819"/>
      <c r="B114" s="4881">
        <v>16</v>
      </c>
      <c r="C114" s="4882">
        <f>((B114+40)*9/5)-40</f>
        <v>60.8</v>
      </c>
      <c r="D114" s="4883">
        <v>0.98499999999999999</v>
      </c>
      <c r="E114" s="1820"/>
      <c r="F114" s="1820"/>
      <c r="G114" s="1820"/>
      <c r="H114" s="1820"/>
      <c r="I114" s="1821"/>
      <c r="J114" s="1822"/>
      <c r="K114" s="1817"/>
      <c r="L114" s="1817"/>
      <c r="M114" s="1818"/>
      <c r="N114" s="198"/>
      <c r="O114" s="167"/>
      <c r="P114" s="140"/>
      <c r="Q114" s="140"/>
      <c r="R114" s="140"/>
      <c r="S114" s="140"/>
      <c r="T114" s="140"/>
      <c r="U114" s="134"/>
      <c r="V114" s="134"/>
    </row>
    <row r="115" spans="1:22" ht="14.25" hidden="1" customHeight="1">
      <c r="A115" s="1819"/>
      <c r="B115" s="4881">
        <f>(B114+B116)/2</f>
        <v>16.5</v>
      </c>
      <c r="C115" s="4881">
        <f>(C114+C116)/2</f>
        <v>61.699999999999996</v>
      </c>
      <c r="D115" s="4881">
        <f>(D114+D116)/2</f>
        <v>0.97049999999999992</v>
      </c>
      <c r="E115" s="1820"/>
      <c r="F115" s="1820"/>
      <c r="G115" s="1820"/>
      <c r="H115" s="1820"/>
      <c r="I115" s="1821"/>
      <c r="J115" s="1822"/>
      <c r="K115" s="1817"/>
      <c r="L115" s="1817"/>
      <c r="M115" s="1818"/>
      <c r="N115" s="198"/>
      <c r="O115" s="167"/>
      <c r="P115" s="140"/>
      <c r="Q115" s="140"/>
      <c r="R115" s="140"/>
      <c r="S115" s="140"/>
      <c r="T115" s="140"/>
      <c r="U115" s="134"/>
      <c r="V115" s="134"/>
    </row>
    <row r="116" spans="1:22" ht="14.25" hidden="1" customHeight="1">
      <c r="A116" s="1819"/>
      <c r="B116" s="4881">
        <v>17</v>
      </c>
      <c r="C116" s="4882">
        <f>((B116+40)*9/5)-40</f>
        <v>62.599999999999994</v>
      </c>
      <c r="D116" s="4883">
        <v>0.95599999999999996</v>
      </c>
      <c r="E116" s="1820"/>
      <c r="F116" s="1820"/>
      <c r="G116" s="1820"/>
      <c r="H116" s="1820"/>
      <c r="I116" s="1821"/>
      <c r="J116" s="1822"/>
      <c r="K116" s="1817"/>
      <c r="L116" s="1817"/>
      <c r="M116" s="1818"/>
      <c r="N116" s="198"/>
      <c r="O116" s="167"/>
      <c r="P116" s="140"/>
      <c r="Q116" s="140"/>
      <c r="R116" s="140"/>
      <c r="S116" s="140"/>
      <c r="T116" s="140"/>
      <c r="U116" s="134"/>
      <c r="V116" s="134"/>
    </row>
    <row r="117" spans="1:22" ht="14.25" hidden="1" customHeight="1">
      <c r="A117" s="1819"/>
      <c r="B117" s="4881">
        <f>(B116+B118)/2</f>
        <v>17.5</v>
      </c>
      <c r="C117" s="4881">
        <f>(C116+C118)/2</f>
        <v>63.5</v>
      </c>
      <c r="D117" s="4881">
        <f>(D116+D118)/2</f>
        <v>0.94199999999999995</v>
      </c>
      <c r="E117" s="1820"/>
      <c r="F117" s="1820"/>
      <c r="G117" s="1820"/>
      <c r="H117" s="1820"/>
      <c r="I117" s="1821"/>
      <c r="J117" s="1822"/>
      <c r="K117" s="1817"/>
      <c r="L117" s="1817"/>
      <c r="M117" s="1818"/>
      <c r="N117" s="198"/>
      <c r="O117" s="167"/>
      <c r="P117" s="140"/>
      <c r="Q117" s="140"/>
      <c r="R117" s="140"/>
      <c r="S117" s="140"/>
      <c r="T117" s="140"/>
      <c r="U117" s="134"/>
      <c r="V117" s="134"/>
    </row>
    <row r="118" spans="1:22" ht="14.25" hidden="1" customHeight="1">
      <c r="A118" s="1819"/>
      <c r="B118" s="4881">
        <v>18</v>
      </c>
      <c r="C118" s="4882">
        <f>((B118+40)*9/5)-40</f>
        <v>64.400000000000006</v>
      </c>
      <c r="D118" s="4883">
        <v>0.92800000000000005</v>
      </c>
      <c r="E118" s="1820"/>
      <c r="F118" s="1820"/>
      <c r="G118" s="1820"/>
      <c r="H118" s="1820"/>
      <c r="I118" s="1821"/>
      <c r="J118" s="1822"/>
      <c r="K118" s="1817"/>
      <c r="L118" s="1817"/>
      <c r="M118" s="1818"/>
      <c r="N118" s="198"/>
      <c r="O118" s="167"/>
      <c r="P118" s="140"/>
      <c r="Q118" s="140"/>
      <c r="R118" s="140"/>
      <c r="S118" s="140"/>
      <c r="T118" s="140"/>
      <c r="U118" s="134"/>
      <c r="V118" s="134"/>
    </row>
    <row r="119" spans="1:22" ht="14.25" hidden="1" customHeight="1">
      <c r="A119" s="1819"/>
      <c r="B119" s="4881">
        <f>(B118+B120)/2</f>
        <v>18.5</v>
      </c>
      <c r="C119" s="4881">
        <f>(C118+C120)/2</f>
        <v>65.300000000000011</v>
      </c>
      <c r="D119" s="4881">
        <f>(D118+D120)/2</f>
        <v>0.91500000000000004</v>
      </c>
      <c r="E119" s="1820"/>
      <c r="F119" s="1820"/>
      <c r="G119" s="1820"/>
      <c r="H119" s="1820"/>
      <c r="I119" s="1821"/>
      <c r="J119" s="1822"/>
      <c r="K119" s="1817"/>
      <c r="L119" s="1817"/>
      <c r="M119" s="1818"/>
      <c r="N119" s="198"/>
      <c r="O119" s="167"/>
      <c r="P119" s="140"/>
      <c r="Q119" s="140"/>
      <c r="R119" s="140"/>
      <c r="S119" s="140"/>
      <c r="T119" s="140"/>
      <c r="U119" s="134"/>
      <c r="V119" s="134"/>
    </row>
    <row r="120" spans="1:22" ht="14.25" hidden="1" customHeight="1">
      <c r="A120" s="1819"/>
      <c r="B120" s="4881">
        <v>19</v>
      </c>
      <c r="C120" s="4882">
        <f>((B120+40)*9/5)-40</f>
        <v>66.2</v>
      </c>
      <c r="D120" s="4883">
        <v>0.90200000000000002</v>
      </c>
      <c r="E120" s="1820"/>
      <c r="F120" s="1820"/>
      <c r="G120" s="1820"/>
      <c r="H120" s="1820"/>
      <c r="I120" s="1821"/>
      <c r="J120" s="1822"/>
      <c r="K120" s="1817"/>
      <c r="L120" s="1817"/>
      <c r="M120" s="1818"/>
      <c r="N120" s="198"/>
      <c r="O120" s="167"/>
      <c r="P120" s="140"/>
      <c r="Q120" s="140"/>
      <c r="R120" s="140"/>
      <c r="S120" s="140"/>
      <c r="T120" s="140"/>
      <c r="U120" s="134"/>
      <c r="V120" s="134"/>
    </row>
    <row r="121" spans="1:22" ht="14.25" hidden="1" customHeight="1">
      <c r="A121" s="1819"/>
      <c r="B121" s="4881">
        <f>(B120+B122)/2</f>
        <v>19.5</v>
      </c>
      <c r="C121" s="4881">
        <f>(C120+C122)/2</f>
        <v>67.099999999999994</v>
      </c>
      <c r="D121" s="4881">
        <f>(D120+D122)/2</f>
        <v>0.88949999999999996</v>
      </c>
      <c r="E121" s="1820"/>
      <c r="F121" s="1820"/>
      <c r="G121" s="1820"/>
      <c r="H121" s="1820"/>
      <c r="I121" s="1821"/>
      <c r="J121" s="1822"/>
      <c r="K121" s="1817"/>
      <c r="L121" s="1817"/>
      <c r="M121" s="1818"/>
      <c r="N121" s="198"/>
      <c r="O121" s="167"/>
      <c r="P121" s="140"/>
      <c r="Q121" s="140"/>
      <c r="R121" s="140"/>
      <c r="S121" s="140"/>
      <c r="T121" s="140"/>
      <c r="U121" s="134"/>
      <c r="V121" s="134"/>
    </row>
    <row r="122" spans="1:22" ht="14.25" hidden="1" customHeight="1">
      <c r="A122" s="1819"/>
      <c r="B122" s="4881">
        <v>20</v>
      </c>
      <c r="C122" s="4882">
        <f>((B122+40)*9/5)-40</f>
        <v>68</v>
      </c>
      <c r="D122" s="4883">
        <v>0.877</v>
      </c>
      <c r="E122" s="1820"/>
      <c r="F122" s="1820"/>
      <c r="G122" s="1820"/>
      <c r="H122" s="1820"/>
      <c r="I122" s="1821"/>
      <c r="J122" s="1822"/>
      <c r="K122" s="1817"/>
      <c r="L122" s="1817"/>
      <c r="M122" s="1818"/>
      <c r="N122" s="198"/>
      <c r="O122" s="167"/>
      <c r="P122" s="140"/>
      <c r="Q122" s="140"/>
      <c r="R122" s="140"/>
      <c r="S122" s="140"/>
      <c r="T122" s="140"/>
      <c r="U122" s="134"/>
      <c r="V122" s="134"/>
    </row>
    <row r="123" spans="1:22" ht="14.25" hidden="1" customHeight="1">
      <c r="A123" s="1819"/>
      <c r="B123" s="4881">
        <f>(B122+B124)/2</f>
        <v>20.5</v>
      </c>
      <c r="C123" s="4881">
        <f>(C122+C124)/2</f>
        <v>68.900000000000006</v>
      </c>
      <c r="D123" s="4881">
        <f>(D122+D124)/2</f>
        <v>0.86450000000000005</v>
      </c>
      <c r="E123" s="1820"/>
      <c r="F123" s="1820"/>
      <c r="G123" s="1820"/>
      <c r="H123" s="1820"/>
      <c r="I123" s="1821"/>
      <c r="J123" s="1822"/>
      <c r="K123" s="1817"/>
      <c r="L123" s="1817"/>
      <c r="M123" s="1818"/>
      <c r="N123" s="198"/>
      <c r="O123" s="167"/>
      <c r="P123" s="140"/>
      <c r="Q123" s="140"/>
      <c r="R123" s="140"/>
      <c r="S123" s="140"/>
      <c r="T123" s="140"/>
      <c r="U123" s="134"/>
      <c r="V123" s="134"/>
    </row>
    <row r="124" spans="1:22" ht="14.25" hidden="1" customHeight="1">
      <c r="A124" s="1819"/>
      <c r="B124" s="4881">
        <v>21</v>
      </c>
      <c r="C124" s="4882">
        <f>((B124+40)*9/5)-40</f>
        <v>69.8</v>
      </c>
      <c r="D124" s="4883">
        <v>0.85199999999999998</v>
      </c>
      <c r="E124" s="1820"/>
      <c r="F124" s="1820"/>
      <c r="G124" s="1820"/>
      <c r="H124" s="1820"/>
      <c r="I124" s="1821"/>
      <c r="J124" s="1822"/>
      <c r="K124" s="1817"/>
      <c r="L124" s="1817"/>
      <c r="M124" s="1818"/>
      <c r="N124" s="198"/>
      <c r="O124" s="167"/>
      <c r="P124" s="140"/>
      <c r="Q124" s="140"/>
      <c r="R124" s="140"/>
      <c r="S124" s="140"/>
      <c r="T124" s="140"/>
      <c r="U124" s="134"/>
      <c r="V124" s="134"/>
    </row>
    <row r="125" spans="1:22" ht="14.25" hidden="1" customHeight="1">
      <c r="A125" s="1819"/>
      <c r="B125" s="4881">
        <f>(B124+B126)/2</f>
        <v>21.5</v>
      </c>
      <c r="C125" s="4881">
        <f>(C124+C126)/2</f>
        <v>70.699999999999989</v>
      </c>
      <c r="D125" s="4881">
        <f>(D124+D126)/2</f>
        <v>0.83949999999999991</v>
      </c>
      <c r="E125" s="1820"/>
      <c r="F125" s="1820"/>
      <c r="G125" s="1820"/>
      <c r="H125" s="1820"/>
      <c r="I125" s="1821"/>
      <c r="J125" s="1822"/>
      <c r="K125" s="1817"/>
      <c r="L125" s="1817"/>
      <c r="M125" s="1818"/>
      <c r="N125" s="198"/>
      <c r="O125" s="167"/>
      <c r="P125" s="140"/>
      <c r="Q125" s="140"/>
      <c r="R125" s="140"/>
      <c r="S125" s="140"/>
      <c r="T125" s="140"/>
      <c r="U125" s="134"/>
      <c r="V125" s="134"/>
    </row>
    <row r="126" spans="1:22" ht="14.25" hidden="1" customHeight="1">
      <c r="A126" s="1819"/>
      <c r="B126" s="4881">
        <v>22</v>
      </c>
      <c r="C126" s="4882">
        <f>((B126+40)*9/5)-40</f>
        <v>71.599999999999994</v>
      </c>
      <c r="D126" s="4883">
        <v>0.82699999999999996</v>
      </c>
      <c r="E126" s="1820"/>
      <c r="F126" s="1820"/>
      <c r="G126" s="1820"/>
      <c r="H126" s="1820"/>
      <c r="I126" s="1821"/>
      <c r="J126" s="1822"/>
      <c r="K126" s="1817"/>
      <c r="L126" s="1817"/>
      <c r="M126" s="1818"/>
      <c r="N126" s="198"/>
      <c r="O126" s="167"/>
      <c r="P126" s="140"/>
      <c r="Q126" s="140"/>
      <c r="R126" s="140"/>
      <c r="S126" s="140"/>
      <c r="T126" s="140"/>
      <c r="U126" s="134"/>
      <c r="V126" s="134"/>
    </row>
    <row r="127" spans="1:22" ht="14.25" hidden="1" customHeight="1">
      <c r="A127" s="1819"/>
      <c r="B127" s="4881">
        <f>(B126+B128)/2</f>
        <v>22.5</v>
      </c>
      <c r="C127" s="4881">
        <f>(C126+C128)/2</f>
        <v>72.5</v>
      </c>
      <c r="D127" s="4881">
        <f>(D126+D128)/2</f>
        <v>0.8145</v>
      </c>
      <c r="E127" s="1820"/>
      <c r="F127" s="1820"/>
      <c r="G127" s="1820"/>
      <c r="H127" s="1820"/>
      <c r="I127" s="1821"/>
      <c r="J127" s="1822"/>
      <c r="K127" s="1817"/>
      <c r="L127" s="1817"/>
      <c r="M127" s="1818"/>
      <c r="N127" s="198"/>
      <c r="O127" s="167"/>
      <c r="P127" s="140"/>
      <c r="Q127" s="140"/>
      <c r="R127" s="140"/>
      <c r="S127" s="140"/>
      <c r="T127" s="140"/>
      <c r="U127" s="134"/>
      <c r="V127" s="134"/>
    </row>
    <row r="128" spans="1:22" ht="14.25" hidden="1" customHeight="1">
      <c r="A128" s="1819"/>
      <c r="B128" s="4881">
        <v>23</v>
      </c>
      <c r="C128" s="4882">
        <f>((B128+40)*9/5)-40</f>
        <v>73.400000000000006</v>
      </c>
      <c r="D128" s="4883">
        <v>0.80200000000000005</v>
      </c>
      <c r="E128" s="1820"/>
      <c r="F128" s="1820"/>
      <c r="G128" s="1820"/>
      <c r="H128" s="1820"/>
      <c r="I128" s="1821"/>
      <c r="J128" s="1822"/>
      <c r="K128" s="1822"/>
      <c r="L128" s="1823"/>
      <c r="M128" s="1818"/>
      <c r="N128" s="198"/>
      <c r="O128" s="167"/>
      <c r="P128" s="140"/>
      <c r="Q128" s="140"/>
      <c r="R128" s="140"/>
      <c r="S128" s="140"/>
      <c r="T128" s="140"/>
      <c r="U128" s="134"/>
      <c r="V128" s="134"/>
    </row>
    <row r="129" spans="1:22" ht="14.25" hidden="1" customHeight="1">
      <c r="A129" s="1819"/>
      <c r="B129" s="4881">
        <f>(B128+B130)/2</f>
        <v>23.5</v>
      </c>
      <c r="C129" s="4881">
        <f>(C128+C130)/2</f>
        <v>74.300000000000011</v>
      </c>
      <c r="D129" s="4881">
        <f>(D128+D130)/2</f>
        <v>0.79150000000000009</v>
      </c>
      <c r="E129" s="1820"/>
      <c r="F129" s="1820"/>
      <c r="G129" s="1820"/>
      <c r="H129" s="1820"/>
      <c r="I129" s="1821"/>
      <c r="J129" s="1822"/>
      <c r="K129" s="1822"/>
      <c r="L129" s="1823"/>
      <c r="M129" s="1818"/>
      <c r="N129" s="198"/>
      <c r="O129" s="167"/>
      <c r="P129" s="140"/>
      <c r="Q129" s="140"/>
      <c r="R129" s="140"/>
      <c r="S129" s="140"/>
      <c r="T129" s="140"/>
      <c r="U129" s="134"/>
      <c r="V129" s="134"/>
    </row>
    <row r="130" spans="1:22" ht="14.25" hidden="1" customHeight="1">
      <c r="A130" s="1819"/>
      <c r="B130" s="4881">
        <v>24</v>
      </c>
      <c r="C130" s="4882">
        <f>((B130+40)*9/5)-40</f>
        <v>75.2</v>
      </c>
      <c r="D130" s="4883">
        <v>0.78100000000000003</v>
      </c>
      <c r="E130" s="1820"/>
      <c r="F130" s="1820"/>
      <c r="G130" s="1820"/>
      <c r="H130" s="1820"/>
      <c r="I130" s="1821"/>
      <c r="J130" s="1822"/>
      <c r="K130" s="1822"/>
      <c r="L130" s="1823"/>
      <c r="M130" s="1817"/>
      <c r="N130" s="167"/>
      <c r="O130" s="167"/>
      <c r="P130" s="140"/>
      <c r="Q130" s="140"/>
      <c r="R130" s="140"/>
      <c r="S130" s="140"/>
      <c r="T130" s="140"/>
      <c r="U130" s="134"/>
      <c r="V130" s="134"/>
    </row>
    <row r="131" spans="1:22" ht="14.25" hidden="1" customHeight="1">
      <c r="A131" s="1819"/>
      <c r="B131" s="4881">
        <f>(B130+B132)/2</f>
        <v>24.5</v>
      </c>
      <c r="C131" s="4881">
        <f>(C130+C132)/2</f>
        <v>76.099999999999994</v>
      </c>
      <c r="D131" s="4881">
        <f>(D130+D132)/2</f>
        <v>0.77</v>
      </c>
      <c r="E131" s="1820"/>
      <c r="F131" s="1820"/>
      <c r="G131" s="1820"/>
      <c r="H131" s="1820"/>
      <c r="I131" s="1821"/>
      <c r="J131" s="1822"/>
      <c r="K131" s="1822"/>
      <c r="L131" s="1823"/>
      <c r="M131" s="1817"/>
      <c r="N131" s="167"/>
      <c r="O131" s="167"/>
      <c r="P131" s="140"/>
      <c r="Q131" s="140"/>
      <c r="R131" s="140"/>
      <c r="S131" s="140"/>
      <c r="T131" s="140"/>
      <c r="U131" s="134"/>
      <c r="V131" s="134"/>
    </row>
    <row r="132" spans="1:22" ht="14.25" hidden="1" customHeight="1">
      <c r="A132" s="1819"/>
      <c r="B132" s="4881">
        <v>25</v>
      </c>
      <c r="C132" s="4882">
        <f>((B132+40)*9/5)-40</f>
        <v>77</v>
      </c>
      <c r="D132" s="4883">
        <v>0.75900000000000001</v>
      </c>
      <c r="E132" s="1820"/>
      <c r="F132" s="1820"/>
      <c r="G132" s="1820"/>
      <c r="H132" s="1820"/>
      <c r="I132" s="1821"/>
      <c r="J132" s="1822"/>
      <c r="K132" s="1822"/>
      <c r="L132" s="1823"/>
      <c r="M132" s="1817"/>
      <c r="N132" s="167"/>
      <c r="O132" s="167"/>
      <c r="P132" s="140"/>
      <c r="Q132" s="140"/>
      <c r="R132" s="140"/>
      <c r="S132" s="140"/>
      <c r="T132" s="140"/>
      <c r="U132" s="134"/>
      <c r="V132" s="134"/>
    </row>
    <row r="133" spans="1:22" ht="14.25" hidden="1" customHeight="1">
      <c r="A133" s="1819"/>
      <c r="B133" s="4881">
        <f>(B132+B134)/2</f>
        <v>25.5</v>
      </c>
      <c r="C133" s="4881">
        <f>(C132+C134)/2</f>
        <v>77.900000000000006</v>
      </c>
      <c r="D133" s="4881">
        <f>(D132+D134)/2</f>
        <v>0.74849999999999994</v>
      </c>
      <c r="E133" s="1820"/>
      <c r="F133" s="1820"/>
      <c r="G133" s="1820"/>
      <c r="H133" s="1820"/>
      <c r="I133" s="1821"/>
      <c r="J133" s="1822"/>
      <c r="K133" s="1822"/>
      <c r="L133" s="1823"/>
      <c r="M133" s="1817"/>
      <c r="N133" s="167"/>
      <c r="O133" s="167"/>
      <c r="P133" s="140"/>
      <c r="Q133" s="140"/>
      <c r="R133" s="140"/>
      <c r="S133" s="140"/>
      <c r="T133" s="140"/>
      <c r="U133" s="134"/>
      <c r="V133" s="134"/>
    </row>
    <row r="134" spans="1:22" ht="14.25" hidden="1" customHeight="1">
      <c r="A134" s="1819"/>
      <c r="B134" s="4881">
        <v>26</v>
      </c>
      <c r="C134" s="4882">
        <f>((B134+40)*9/5)-40</f>
        <v>78.8</v>
      </c>
      <c r="D134" s="4883">
        <v>0.73799999999999999</v>
      </c>
      <c r="E134" s="1820"/>
      <c r="F134" s="1820"/>
      <c r="G134" s="1820"/>
      <c r="H134" s="1820"/>
      <c r="I134" s="1821"/>
      <c r="J134" s="1822"/>
      <c r="K134" s="1822"/>
      <c r="L134" s="1823"/>
      <c r="M134" s="1817"/>
      <c r="N134" s="167"/>
      <c r="O134" s="167"/>
      <c r="P134" s="140"/>
      <c r="Q134" s="140"/>
      <c r="R134" s="140"/>
      <c r="S134" s="140"/>
      <c r="T134" s="140"/>
      <c r="U134" s="134"/>
      <c r="V134" s="134"/>
    </row>
    <row r="135" spans="1:22" ht="14.25" hidden="1" customHeight="1">
      <c r="A135" s="1819"/>
      <c r="B135" s="4881">
        <v>27</v>
      </c>
      <c r="C135" s="4882">
        <f>((B135+40)*9/5)-40</f>
        <v>80.599999999999994</v>
      </c>
      <c r="D135" s="4883">
        <v>0.71799999999999997</v>
      </c>
      <c r="E135" s="1820"/>
      <c r="F135" s="1820"/>
      <c r="G135" s="1820"/>
      <c r="H135" s="1820"/>
      <c r="I135" s="1821"/>
      <c r="J135" s="1822"/>
      <c r="K135" s="1822"/>
      <c r="L135" s="1823"/>
      <c r="M135" s="1817"/>
      <c r="N135" s="167"/>
      <c r="O135" s="167"/>
      <c r="P135" s="140"/>
      <c r="Q135" s="140"/>
      <c r="R135" s="140"/>
      <c r="S135" s="140"/>
      <c r="T135" s="140"/>
      <c r="U135" s="134"/>
      <c r="V135" s="134"/>
    </row>
    <row r="136" spans="1:22" ht="14.25" hidden="1" customHeight="1">
      <c r="A136" s="1819"/>
      <c r="B136" s="4881">
        <v>28</v>
      </c>
      <c r="C136" s="4882">
        <f>((B136+40)*9/5)-40</f>
        <v>82.4</v>
      </c>
      <c r="D136" s="4883">
        <v>0.69899999999999995</v>
      </c>
      <c r="E136" s="1820"/>
      <c r="F136" s="1820"/>
      <c r="G136" s="1820"/>
      <c r="H136" s="1820"/>
      <c r="I136" s="1821"/>
      <c r="J136" s="1822"/>
      <c r="K136" s="1822"/>
      <c r="L136" s="1823"/>
      <c r="M136" s="1817"/>
      <c r="N136" s="167"/>
      <c r="O136" s="167"/>
      <c r="P136" s="140"/>
      <c r="Q136" s="140"/>
      <c r="R136" s="140"/>
      <c r="S136" s="140"/>
      <c r="T136" s="140"/>
      <c r="U136" s="134"/>
      <c r="V136" s="134"/>
    </row>
    <row r="137" spans="1:22" ht="14.25" hidden="1" customHeight="1">
      <c r="A137" s="1819"/>
      <c r="B137" s="4881">
        <v>29</v>
      </c>
      <c r="C137" s="4882">
        <f>((B137+40)*9/5)-40</f>
        <v>84.2</v>
      </c>
      <c r="D137" s="4883">
        <v>0.68200000000000005</v>
      </c>
      <c r="E137" s="1820"/>
      <c r="F137" s="1820"/>
      <c r="G137" s="1820"/>
      <c r="H137" s="1820"/>
      <c r="I137" s="1821"/>
      <c r="J137" s="1822"/>
      <c r="K137" s="1822"/>
      <c r="L137" s="1823"/>
      <c r="M137" s="1817"/>
      <c r="N137" s="167"/>
      <c r="O137" s="167"/>
      <c r="P137" s="140"/>
      <c r="Q137" s="140"/>
      <c r="R137" s="140"/>
      <c r="S137" s="140"/>
      <c r="T137" s="140"/>
      <c r="U137" s="134"/>
      <c r="V137" s="134"/>
    </row>
    <row r="138" spans="1:22" ht="14.25" hidden="1" customHeight="1">
      <c r="A138" s="1819"/>
      <c r="B138" s="4884">
        <v>30</v>
      </c>
      <c r="C138" s="4885">
        <f>((B138+40)*9/5)-40</f>
        <v>86</v>
      </c>
      <c r="D138" s="4886">
        <v>0.66500000000000004</v>
      </c>
      <c r="E138" s="1820"/>
      <c r="F138" s="1820"/>
      <c r="G138" s="1820"/>
      <c r="H138" s="1820"/>
      <c r="I138" s="1820"/>
      <c r="J138" s="1820"/>
      <c r="K138" s="1820"/>
      <c r="L138" s="1820"/>
      <c r="M138" s="1820"/>
      <c r="N138" s="187"/>
      <c r="O138" s="187"/>
      <c r="P138" s="140"/>
      <c r="Q138" s="140"/>
      <c r="R138" s="140"/>
      <c r="S138" s="140"/>
      <c r="T138" s="140"/>
      <c r="U138" s="134"/>
      <c r="V138" s="134"/>
    </row>
    <row r="139" spans="1:22" ht="14.25" customHeight="1">
      <c r="A139" s="1816"/>
      <c r="B139" s="1816"/>
      <c r="C139" s="1816"/>
      <c r="D139" s="1816"/>
      <c r="E139" s="1816"/>
      <c r="F139" s="1816"/>
      <c r="G139" s="1816"/>
      <c r="H139" s="1816"/>
      <c r="I139" s="1816"/>
      <c r="J139" s="1816"/>
      <c r="K139" s="1817"/>
      <c r="L139" s="1817"/>
      <c r="M139" s="1817"/>
      <c r="N139" s="1765"/>
      <c r="O139" s="1765"/>
      <c r="P139" s="1765"/>
      <c r="Q139" s="1765"/>
      <c r="R139" s="1765"/>
      <c r="T139" s="140"/>
      <c r="U139" s="134"/>
      <c r="V139" s="134"/>
    </row>
    <row r="140" spans="1:22" ht="14.25" customHeight="1">
      <c r="A140" s="3067" t="s">
        <v>501</v>
      </c>
      <c r="B140" s="3067"/>
      <c r="C140" s="3067"/>
      <c r="D140" s="3067"/>
      <c r="E140" s="3067"/>
      <c r="F140" s="3067"/>
      <c r="G140" s="3067"/>
      <c r="H140" s="3067"/>
      <c r="I140" s="3067"/>
      <c r="J140" s="1103"/>
      <c r="K140" s="199"/>
      <c r="L140" s="199"/>
      <c r="M140" s="199"/>
      <c r="N140" s="199"/>
      <c r="O140" s="2125"/>
      <c r="P140" s="2125"/>
      <c r="Q140" s="3990" t="s">
        <v>843</v>
      </c>
      <c r="R140" s="3990"/>
      <c r="S140" s="3990"/>
      <c r="T140" s="140"/>
      <c r="U140" s="134"/>
      <c r="V140" s="134"/>
    </row>
    <row r="141" spans="1:22">
      <c r="A141" s="140"/>
      <c r="B141" s="140"/>
      <c r="C141" s="140"/>
      <c r="D141" s="140"/>
      <c r="E141" s="140"/>
      <c r="F141" s="140"/>
      <c r="G141" s="140"/>
      <c r="H141" s="140"/>
      <c r="I141" s="140"/>
      <c r="J141" s="140"/>
      <c r="K141" s="140"/>
      <c r="L141" s="140"/>
      <c r="M141" s="140"/>
      <c r="N141" s="140"/>
      <c r="O141" s="140"/>
      <c r="P141" s="140"/>
      <c r="Q141" s="140"/>
      <c r="R141" s="140"/>
      <c r="S141" s="140"/>
      <c r="T141" s="140"/>
      <c r="U141" s="134"/>
      <c r="V141" s="134"/>
    </row>
    <row r="142" spans="1:22">
      <c r="A142" s="134"/>
      <c r="B142" s="134"/>
      <c r="C142" s="134"/>
      <c r="D142" s="134"/>
      <c r="E142" s="134"/>
      <c r="F142" s="134"/>
      <c r="G142" s="134"/>
      <c r="H142" s="134"/>
      <c r="I142" s="134"/>
      <c r="J142" s="200"/>
      <c r="K142" s="200"/>
      <c r="L142" s="200"/>
      <c r="M142" s="200"/>
      <c r="N142" s="200"/>
      <c r="O142" s="200"/>
      <c r="P142" s="134"/>
      <c r="Q142" s="134"/>
      <c r="R142" s="134"/>
      <c r="S142" s="134"/>
      <c r="T142" s="134"/>
      <c r="U142" s="134"/>
      <c r="V142" s="134"/>
    </row>
    <row r="143" spans="1:22">
      <c r="A143" s="134"/>
      <c r="B143" s="134"/>
      <c r="F143" s="134"/>
      <c r="G143" s="134"/>
      <c r="H143" s="134"/>
      <c r="I143" s="134"/>
      <c r="J143" s="200"/>
      <c r="K143" s="200"/>
      <c r="L143" s="200"/>
      <c r="M143" s="200"/>
      <c r="N143" s="200"/>
      <c r="O143" s="200"/>
      <c r="P143" s="134"/>
      <c r="Q143" s="134"/>
      <c r="R143" s="134"/>
      <c r="S143" s="134"/>
      <c r="T143" s="134"/>
      <c r="U143" s="134"/>
      <c r="V143" s="134"/>
    </row>
    <row r="144" spans="1:22">
      <c r="A144" s="134"/>
      <c r="B144" s="134"/>
      <c r="G144" s="134"/>
      <c r="H144" s="134"/>
      <c r="I144" s="134"/>
      <c r="J144" s="200"/>
      <c r="K144" s="200"/>
      <c r="L144" s="200"/>
      <c r="M144" s="200"/>
      <c r="N144" s="200"/>
      <c r="O144" s="200"/>
      <c r="P144" s="134"/>
      <c r="Q144" s="134"/>
      <c r="R144" s="134"/>
      <c r="S144" s="134"/>
      <c r="T144" s="134"/>
      <c r="U144" s="134"/>
      <c r="V144" s="134"/>
    </row>
    <row r="145" spans="1:22">
      <c r="A145" s="134"/>
      <c r="B145" s="134"/>
      <c r="F145" s="134"/>
      <c r="G145" s="134"/>
      <c r="H145" s="134"/>
      <c r="I145" s="134"/>
      <c r="J145" s="200"/>
      <c r="K145" s="200"/>
      <c r="L145" s="200"/>
      <c r="M145" s="200"/>
      <c r="N145" s="200"/>
      <c r="O145" s="200"/>
      <c r="P145" s="134"/>
      <c r="Q145" s="134"/>
      <c r="R145" s="134"/>
      <c r="S145" s="134"/>
      <c r="T145" s="134"/>
      <c r="U145" s="134"/>
      <c r="V145" s="134"/>
    </row>
    <row r="146" spans="1:22">
      <c r="A146" s="134"/>
      <c r="B146" s="134"/>
      <c r="F146" s="134"/>
      <c r="G146" s="134"/>
      <c r="H146" s="134"/>
      <c r="I146" s="134"/>
      <c r="J146" s="200"/>
      <c r="K146" s="200"/>
      <c r="L146" s="200"/>
      <c r="M146" s="200"/>
      <c r="N146" s="200"/>
      <c r="O146" s="200"/>
      <c r="P146" s="134"/>
      <c r="Q146" s="134"/>
      <c r="R146" s="134"/>
      <c r="S146" s="134"/>
      <c r="T146" s="134"/>
      <c r="U146" s="134"/>
      <c r="V146" s="134"/>
    </row>
    <row r="147" spans="1:22">
      <c r="A147" s="134"/>
      <c r="B147" s="134"/>
      <c r="F147" s="134"/>
      <c r="G147" s="134"/>
      <c r="H147" s="134"/>
      <c r="I147" s="134"/>
      <c r="J147" s="200"/>
      <c r="K147" s="200"/>
      <c r="L147" s="200"/>
      <c r="M147" s="200"/>
      <c r="N147" s="200"/>
      <c r="O147" s="200"/>
      <c r="P147" s="134"/>
      <c r="Q147" s="134"/>
      <c r="R147" s="134"/>
      <c r="S147" s="134"/>
      <c r="T147" s="134"/>
      <c r="U147" s="134"/>
      <c r="V147" s="134"/>
    </row>
    <row r="148" spans="1:22">
      <c r="A148" s="134"/>
      <c r="B148" s="134"/>
      <c r="F148" s="134"/>
      <c r="G148" s="134"/>
      <c r="H148" s="134"/>
      <c r="I148" s="134"/>
      <c r="J148" s="200"/>
      <c r="K148" s="200"/>
      <c r="L148" s="200"/>
      <c r="M148" s="200"/>
      <c r="N148" s="200"/>
      <c r="O148" s="200"/>
      <c r="P148" s="134"/>
      <c r="Q148" s="134"/>
      <c r="R148" s="134"/>
      <c r="S148" s="134"/>
      <c r="T148" s="134"/>
      <c r="U148" s="134"/>
      <c r="V148" s="134"/>
    </row>
    <row r="149" spans="1:22">
      <c r="A149" s="134"/>
      <c r="B149" s="134"/>
      <c r="C149" s="134"/>
      <c r="D149" s="134"/>
      <c r="E149" s="134"/>
      <c r="F149" s="134"/>
      <c r="G149" s="134"/>
      <c r="H149" s="134"/>
      <c r="I149" s="134"/>
      <c r="J149" s="200"/>
      <c r="K149" s="200"/>
      <c r="L149" s="200"/>
      <c r="M149" s="200"/>
      <c r="N149" s="200"/>
      <c r="O149" s="200"/>
      <c r="P149" s="134"/>
      <c r="Q149" s="134"/>
      <c r="R149" s="134"/>
      <c r="S149" s="134"/>
      <c r="T149" s="134"/>
      <c r="U149" s="134"/>
      <c r="V149" s="134"/>
    </row>
    <row r="150" spans="1:22">
      <c r="A150" s="134"/>
      <c r="B150" s="134"/>
      <c r="C150" s="134"/>
      <c r="D150" s="134"/>
      <c r="E150" s="134"/>
      <c r="F150" s="134"/>
      <c r="G150" s="134"/>
      <c r="H150" s="134"/>
      <c r="I150" s="134"/>
      <c r="J150" s="200"/>
      <c r="K150" s="200"/>
      <c r="L150" s="200"/>
      <c r="M150" s="200"/>
      <c r="N150" s="200"/>
      <c r="O150" s="200"/>
      <c r="P150" s="134"/>
      <c r="Q150" s="134"/>
      <c r="R150" s="134"/>
      <c r="S150" s="134"/>
      <c r="T150" s="134"/>
      <c r="U150" s="134"/>
      <c r="V150" s="134"/>
    </row>
    <row r="151" spans="1:22">
      <c r="A151" s="134"/>
      <c r="B151" s="134"/>
      <c r="C151" s="134"/>
      <c r="D151" s="134"/>
      <c r="E151" s="134"/>
      <c r="F151" s="134"/>
      <c r="G151" s="134"/>
      <c r="H151" s="134"/>
      <c r="I151" s="134"/>
      <c r="J151" s="200"/>
      <c r="K151" s="200"/>
      <c r="L151" s="200"/>
      <c r="M151" s="200"/>
      <c r="N151" s="200"/>
      <c r="O151" s="200"/>
      <c r="P151" s="134"/>
      <c r="Q151" s="134"/>
      <c r="R151" s="134"/>
      <c r="S151" s="134"/>
      <c r="T151" s="134"/>
      <c r="U151" s="134"/>
      <c r="V151" s="134"/>
    </row>
    <row r="152" spans="1:22">
      <c r="A152" s="134"/>
      <c r="B152" s="134"/>
      <c r="C152" s="134"/>
      <c r="D152" s="134"/>
      <c r="E152" s="134"/>
      <c r="F152" s="134"/>
      <c r="G152" s="134"/>
      <c r="H152" s="134"/>
      <c r="I152" s="134"/>
      <c r="J152" s="200"/>
      <c r="K152" s="200"/>
      <c r="L152" s="200"/>
      <c r="M152" s="200"/>
      <c r="N152" s="200"/>
      <c r="O152" s="200"/>
      <c r="P152" s="134"/>
      <c r="Q152" s="134"/>
      <c r="R152" s="134"/>
      <c r="S152" s="134"/>
      <c r="T152" s="134"/>
      <c r="U152" s="134"/>
      <c r="V152" s="134"/>
    </row>
    <row r="153" spans="1:22">
      <c r="A153" s="134"/>
      <c r="B153" s="134"/>
      <c r="C153" s="134"/>
      <c r="D153" s="134"/>
      <c r="E153" s="134"/>
      <c r="F153" s="134"/>
      <c r="G153" s="134"/>
      <c r="H153" s="134"/>
      <c r="I153" s="134"/>
      <c r="J153" s="200"/>
      <c r="K153" s="200"/>
      <c r="L153" s="200"/>
      <c r="M153" s="200"/>
      <c r="N153" s="200"/>
      <c r="O153" s="200"/>
      <c r="P153" s="134"/>
      <c r="Q153" s="134"/>
      <c r="R153" s="134"/>
      <c r="S153" s="134"/>
      <c r="T153" s="134"/>
      <c r="U153" s="134"/>
      <c r="V153" s="134"/>
    </row>
    <row r="154" spans="1:22">
      <c r="A154" s="134"/>
      <c r="B154" s="134"/>
      <c r="C154" s="134"/>
      <c r="D154" s="134"/>
      <c r="E154" s="134"/>
      <c r="F154" s="134"/>
      <c r="G154" s="134"/>
      <c r="H154" s="134"/>
      <c r="I154" s="134"/>
      <c r="J154" s="200"/>
      <c r="K154" s="200"/>
      <c r="L154" s="200"/>
      <c r="M154" s="200"/>
      <c r="N154" s="200"/>
      <c r="O154" s="200"/>
      <c r="P154" s="134"/>
      <c r="Q154" s="134"/>
      <c r="R154" s="134"/>
      <c r="S154" s="134"/>
      <c r="T154" s="134"/>
      <c r="U154" s="134"/>
      <c r="V154" s="134"/>
    </row>
    <row r="155" spans="1:22">
      <c r="A155" s="134"/>
      <c r="B155" s="134"/>
      <c r="C155" s="134"/>
      <c r="D155" s="134"/>
      <c r="E155" s="134"/>
      <c r="F155" s="134"/>
      <c r="G155" s="134"/>
      <c r="H155" s="134"/>
      <c r="I155" s="134"/>
      <c r="J155" s="200"/>
      <c r="K155" s="200"/>
      <c r="L155" s="200"/>
      <c r="M155" s="200"/>
      <c r="N155" s="200"/>
      <c r="O155" s="200"/>
      <c r="P155" s="134"/>
      <c r="Q155" s="134"/>
      <c r="R155" s="134"/>
      <c r="S155" s="134"/>
      <c r="T155" s="134"/>
      <c r="U155" s="134"/>
      <c r="V155" s="134"/>
    </row>
    <row r="156" spans="1:22">
      <c r="A156" s="134"/>
      <c r="B156" s="134"/>
      <c r="C156" s="134"/>
      <c r="D156" s="134"/>
      <c r="E156" s="134"/>
      <c r="F156" s="134"/>
      <c r="G156" s="134"/>
      <c r="H156" s="134"/>
      <c r="I156" s="134"/>
      <c r="J156" s="200"/>
      <c r="K156" s="200"/>
      <c r="L156" s="200"/>
      <c r="M156" s="200"/>
      <c r="N156" s="200"/>
      <c r="O156" s="200"/>
      <c r="P156" s="134"/>
      <c r="Q156" s="134"/>
      <c r="R156" s="134"/>
      <c r="S156" s="134"/>
      <c r="T156" s="134"/>
      <c r="U156" s="134"/>
      <c r="V156" s="134"/>
    </row>
    <row r="157" spans="1:22">
      <c r="A157" s="134"/>
      <c r="B157" s="134"/>
      <c r="C157" s="134"/>
      <c r="D157" s="134"/>
      <c r="E157" s="134"/>
      <c r="F157" s="134"/>
      <c r="G157" s="134"/>
      <c r="H157" s="134"/>
      <c r="I157" s="134"/>
      <c r="J157" s="200"/>
      <c r="K157" s="200"/>
      <c r="L157" s="200"/>
      <c r="M157" s="200"/>
      <c r="N157" s="200"/>
      <c r="O157" s="200"/>
      <c r="P157" s="134"/>
      <c r="Q157" s="134"/>
      <c r="R157" s="134"/>
      <c r="S157" s="134"/>
      <c r="T157" s="134"/>
      <c r="U157" s="134"/>
      <c r="V157" s="134"/>
    </row>
    <row r="158" spans="1:22">
      <c r="A158" s="134"/>
      <c r="B158" s="134"/>
      <c r="C158" s="134"/>
      <c r="D158" s="134"/>
      <c r="E158" s="134"/>
      <c r="F158" s="134"/>
      <c r="G158" s="134"/>
      <c r="H158" s="134"/>
      <c r="I158" s="134"/>
      <c r="J158" s="200"/>
      <c r="K158" s="200"/>
      <c r="L158" s="200"/>
      <c r="M158" s="200"/>
      <c r="N158" s="200"/>
      <c r="O158" s="200"/>
      <c r="P158" s="134"/>
      <c r="Q158" s="134"/>
      <c r="R158" s="134"/>
      <c r="S158" s="134"/>
      <c r="T158" s="134"/>
      <c r="U158" s="134"/>
      <c r="V158" s="134"/>
    </row>
    <row r="159" spans="1:22">
      <c r="A159" s="134"/>
      <c r="B159" s="134"/>
      <c r="C159" s="134"/>
      <c r="D159" s="134"/>
      <c r="E159" s="134"/>
      <c r="F159" s="134"/>
      <c r="G159" s="134"/>
      <c r="H159" s="134"/>
      <c r="I159" s="134"/>
      <c r="J159" s="200"/>
      <c r="K159" s="200"/>
      <c r="L159" s="200"/>
      <c r="M159" s="200"/>
      <c r="N159" s="200"/>
      <c r="O159" s="200"/>
      <c r="P159" s="134"/>
      <c r="Q159" s="134"/>
      <c r="R159" s="134"/>
      <c r="S159" s="134"/>
      <c r="T159" s="134"/>
      <c r="U159" s="134"/>
      <c r="V159" s="134"/>
    </row>
    <row r="160" spans="1:22">
      <c r="A160" s="134"/>
      <c r="B160" s="134"/>
      <c r="C160" s="134"/>
      <c r="D160" s="134"/>
      <c r="E160" s="134"/>
      <c r="F160" s="134"/>
      <c r="G160" s="134"/>
      <c r="H160" s="134"/>
      <c r="I160" s="134"/>
      <c r="J160" s="200"/>
      <c r="K160" s="200"/>
      <c r="L160" s="200"/>
      <c r="M160" s="200"/>
      <c r="N160" s="200"/>
      <c r="O160" s="200"/>
      <c r="P160" s="134"/>
      <c r="Q160" s="134"/>
      <c r="R160" s="134"/>
      <c r="S160" s="134"/>
      <c r="T160" s="134"/>
      <c r="U160" s="134"/>
      <c r="V160" s="134"/>
    </row>
    <row r="161" spans="1:22">
      <c r="A161" s="134"/>
      <c r="B161" s="134"/>
      <c r="C161" s="134"/>
      <c r="D161" s="134"/>
      <c r="E161" s="134"/>
      <c r="F161" s="134"/>
      <c r="G161" s="134"/>
      <c r="H161" s="134"/>
      <c r="I161" s="134"/>
      <c r="J161" s="200"/>
      <c r="K161" s="200"/>
      <c r="L161" s="200"/>
      <c r="M161" s="200"/>
      <c r="N161" s="200"/>
      <c r="O161" s="200"/>
      <c r="P161" s="134"/>
      <c r="Q161" s="134"/>
      <c r="R161" s="134"/>
      <c r="S161" s="134"/>
      <c r="T161" s="134"/>
      <c r="U161" s="134"/>
      <c r="V161" s="134"/>
    </row>
    <row r="162" spans="1:22">
      <c r="A162" s="134"/>
      <c r="B162" s="134"/>
      <c r="C162" s="134"/>
      <c r="D162" s="134"/>
      <c r="E162" s="134"/>
      <c r="F162" s="134"/>
      <c r="G162" s="134"/>
      <c r="H162" s="134"/>
      <c r="I162" s="134"/>
      <c r="J162" s="200"/>
      <c r="K162" s="200"/>
      <c r="L162" s="200"/>
      <c r="M162" s="200"/>
      <c r="N162" s="200"/>
      <c r="O162" s="200"/>
      <c r="P162" s="134"/>
      <c r="Q162" s="134"/>
      <c r="R162" s="134"/>
      <c r="S162" s="134"/>
      <c r="T162" s="134"/>
      <c r="U162" s="134"/>
      <c r="V162" s="134"/>
    </row>
    <row r="163" spans="1:22">
      <c r="A163" s="134"/>
      <c r="B163" s="134"/>
      <c r="C163" s="134"/>
      <c r="D163" s="134"/>
      <c r="E163" s="134"/>
      <c r="F163" s="134"/>
      <c r="G163" s="134"/>
      <c r="H163" s="134"/>
      <c r="I163" s="134"/>
      <c r="J163" s="200"/>
      <c r="K163" s="200"/>
      <c r="L163" s="200"/>
      <c r="M163" s="200"/>
      <c r="N163" s="200"/>
      <c r="O163" s="200"/>
      <c r="P163" s="134"/>
      <c r="Q163" s="134"/>
      <c r="R163" s="134"/>
      <c r="S163" s="134"/>
      <c r="T163" s="134"/>
      <c r="U163" s="134"/>
      <c r="V163" s="134"/>
    </row>
    <row r="164" spans="1:22">
      <c r="A164" s="134"/>
      <c r="B164" s="134"/>
      <c r="C164" s="134"/>
      <c r="D164" s="134"/>
      <c r="E164" s="134"/>
      <c r="F164" s="134"/>
      <c r="G164" s="134"/>
      <c r="H164" s="134"/>
      <c r="I164" s="134"/>
      <c r="J164" s="200"/>
      <c r="K164" s="200"/>
      <c r="L164" s="200"/>
      <c r="M164" s="200"/>
      <c r="N164" s="200"/>
      <c r="O164" s="200"/>
      <c r="P164" s="134"/>
      <c r="Q164" s="134"/>
      <c r="R164" s="134"/>
      <c r="S164" s="134"/>
      <c r="T164" s="134"/>
      <c r="U164" s="134"/>
      <c r="V164" s="134"/>
    </row>
    <row r="165" spans="1:22">
      <c r="A165" s="134"/>
      <c r="B165" s="134"/>
      <c r="C165" s="134"/>
      <c r="D165" s="134"/>
      <c r="E165" s="134"/>
      <c r="F165" s="134"/>
      <c r="G165" s="134"/>
      <c r="H165" s="134"/>
      <c r="I165" s="134"/>
      <c r="J165" s="200"/>
      <c r="K165" s="200"/>
      <c r="L165" s="200"/>
      <c r="M165" s="200"/>
      <c r="N165" s="200"/>
      <c r="O165" s="200"/>
      <c r="P165" s="134"/>
      <c r="Q165" s="134"/>
      <c r="R165" s="134"/>
      <c r="S165" s="134"/>
      <c r="T165" s="134"/>
      <c r="U165" s="134"/>
      <c r="V165" s="134"/>
    </row>
    <row r="166" spans="1:22">
      <c r="A166" s="134"/>
      <c r="B166" s="134"/>
      <c r="C166" s="134"/>
      <c r="D166" s="134"/>
      <c r="E166" s="134"/>
      <c r="F166" s="134"/>
      <c r="G166" s="134"/>
      <c r="H166" s="134"/>
      <c r="I166" s="134"/>
      <c r="J166" s="200"/>
      <c r="K166" s="200"/>
      <c r="L166" s="200"/>
      <c r="M166" s="200"/>
      <c r="N166" s="200"/>
      <c r="O166" s="200"/>
      <c r="P166" s="134"/>
      <c r="Q166" s="134"/>
      <c r="R166" s="134"/>
      <c r="S166" s="134"/>
      <c r="T166" s="134"/>
      <c r="U166" s="134"/>
      <c r="V166" s="134"/>
    </row>
    <row r="167" spans="1:22">
      <c r="A167" s="134"/>
      <c r="B167" s="134"/>
      <c r="C167" s="134"/>
      <c r="D167" s="134"/>
      <c r="E167" s="134"/>
      <c r="F167" s="134"/>
      <c r="G167" s="134"/>
      <c r="H167" s="134"/>
      <c r="I167" s="134"/>
      <c r="J167" s="200"/>
      <c r="K167" s="200"/>
      <c r="L167" s="200"/>
      <c r="M167" s="200"/>
      <c r="N167" s="200"/>
      <c r="O167" s="200"/>
      <c r="P167" s="134"/>
      <c r="Q167" s="134"/>
      <c r="R167" s="134"/>
      <c r="S167" s="134"/>
      <c r="T167" s="134"/>
      <c r="U167" s="134"/>
      <c r="V167" s="134"/>
    </row>
    <row r="168" spans="1:22">
      <c r="A168" s="134"/>
      <c r="B168" s="134"/>
      <c r="C168" s="134"/>
      <c r="D168" s="134"/>
      <c r="E168" s="134"/>
      <c r="F168" s="134"/>
      <c r="G168" s="134"/>
      <c r="H168" s="134"/>
      <c r="I168" s="134"/>
      <c r="J168" s="200"/>
      <c r="K168" s="200"/>
      <c r="L168" s="200"/>
      <c r="M168" s="200"/>
      <c r="N168" s="200"/>
      <c r="O168" s="200"/>
      <c r="P168" s="134"/>
      <c r="Q168" s="134"/>
      <c r="R168" s="134"/>
      <c r="S168" s="134"/>
      <c r="T168" s="134"/>
      <c r="U168" s="134"/>
      <c r="V168" s="134"/>
    </row>
    <row r="169" spans="1:22">
      <c r="A169" s="134"/>
      <c r="B169" s="134"/>
      <c r="C169" s="134"/>
      <c r="D169" s="134"/>
      <c r="E169" s="134"/>
      <c r="F169" s="134"/>
      <c r="G169" s="134"/>
      <c r="H169" s="134"/>
      <c r="I169" s="134"/>
      <c r="J169" s="200"/>
      <c r="K169" s="200"/>
      <c r="L169" s="200"/>
      <c r="M169" s="200"/>
      <c r="N169" s="200"/>
      <c r="O169" s="200"/>
      <c r="P169" s="134"/>
      <c r="Q169" s="134"/>
      <c r="R169" s="134"/>
      <c r="S169" s="134"/>
      <c r="T169" s="134"/>
      <c r="U169" s="134"/>
      <c r="V169" s="134"/>
    </row>
    <row r="170" spans="1:22">
      <c r="A170" s="134"/>
      <c r="B170" s="134"/>
      <c r="C170" s="134"/>
      <c r="D170" s="134"/>
      <c r="E170" s="134"/>
      <c r="F170" s="134"/>
      <c r="G170" s="134"/>
      <c r="H170" s="134"/>
      <c r="I170" s="134"/>
      <c r="J170" s="200"/>
      <c r="K170" s="200"/>
      <c r="L170" s="200"/>
      <c r="M170" s="200"/>
      <c r="N170" s="200"/>
      <c r="O170" s="200"/>
      <c r="P170" s="134"/>
      <c r="Q170" s="134"/>
      <c r="R170" s="134"/>
      <c r="S170" s="134"/>
      <c r="T170" s="134"/>
      <c r="U170" s="134"/>
      <c r="V170" s="134"/>
    </row>
    <row r="171" spans="1:22">
      <c r="A171" s="134"/>
      <c r="B171" s="134"/>
      <c r="C171" s="134"/>
      <c r="D171" s="134"/>
      <c r="E171" s="134"/>
      <c r="F171" s="134"/>
      <c r="G171" s="134"/>
      <c r="H171" s="134"/>
      <c r="I171" s="134"/>
      <c r="J171" s="200"/>
      <c r="K171" s="200"/>
      <c r="L171" s="200"/>
      <c r="M171" s="200"/>
      <c r="N171" s="200"/>
      <c r="O171" s="200"/>
      <c r="P171" s="134"/>
      <c r="Q171" s="134"/>
      <c r="R171" s="134"/>
      <c r="S171" s="134"/>
      <c r="T171" s="134"/>
      <c r="U171" s="134"/>
      <c r="V171" s="134"/>
    </row>
    <row r="172" spans="1:22">
      <c r="A172" s="134"/>
      <c r="B172" s="134"/>
      <c r="C172" s="134"/>
      <c r="D172" s="134"/>
      <c r="E172" s="134"/>
      <c r="F172" s="134"/>
      <c r="G172" s="134"/>
      <c r="H172" s="134"/>
      <c r="I172" s="134"/>
      <c r="J172" s="200"/>
      <c r="K172" s="200"/>
      <c r="L172" s="200"/>
      <c r="M172" s="200"/>
      <c r="N172" s="200"/>
      <c r="O172" s="200"/>
      <c r="P172" s="134"/>
      <c r="Q172" s="134"/>
      <c r="R172" s="134"/>
      <c r="S172" s="134"/>
      <c r="T172" s="134"/>
      <c r="U172" s="134"/>
      <c r="V172" s="134"/>
    </row>
    <row r="173" spans="1:22">
      <c r="A173" s="134"/>
      <c r="B173" s="134"/>
      <c r="C173" s="134"/>
      <c r="D173" s="134"/>
      <c r="E173" s="134"/>
      <c r="F173" s="134"/>
      <c r="G173" s="134"/>
      <c r="H173" s="134"/>
      <c r="I173" s="134"/>
      <c r="J173" s="200"/>
      <c r="K173" s="200"/>
      <c r="L173" s="200"/>
      <c r="M173" s="200"/>
      <c r="N173" s="200"/>
      <c r="O173" s="200"/>
      <c r="P173" s="134"/>
      <c r="Q173" s="134"/>
      <c r="R173" s="134"/>
      <c r="S173" s="134"/>
      <c r="T173" s="134"/>
      <c r="U173" s="134"/>
      <c r="V173" s="134"/>
    </row>
    <row r="174" spans="1:22">
      <c r="A174" s="134"/>
      <c r="B174" s="134"/>
      <c r="C174" s="134"/>
      <c r="D174" s="134"/>
      <c r="E174" s="134"/>
      <c r="F174" s="134"/>
      <c r="G174" s="134"/>
      <c r="H174" s="134"/>
      <c r="I174" s="134"/>
      <c r="J174" s="200"/>
      <c r="K174" s="200"/>
      <c r="L174" s="200"/>
      <c r="M174" s="200"/>
      <c r="N174" s="200"/>
      <c r="O174" s="200"/>
      <c r="P174" s="134"/>
      <c r="Q174" s="134"/>
      <c r="R174" s="134"/>
      <c r="S174" s="134"/>
      <c r="T174" s="134"/>
      <c r="U174" s="134"/>
      <c r="V174" s="134"/>
    </row>
    <row r="175" spans="1:22">
      <c r="A175" s="134"/>
      <c r="B175" s="134"/>
      <c r="C175" s="134"/>
      <c r="D175" s="134"/>
      <c r="E175" s="134"/>
      <c r="F175" s="134"/>
      <c r="G175" s="134"/>
      <c r="H175" s="134"/>
      <c r="I175" s="134"/>
      <c r="J175" s="200"/>
      <c r="K175" s="200"/>
      <c r="L175" s="200"/>
      <c r="M175" s="200"/>
      <c r="N175" s="200"/>
      <c r="O175" s="200"/>
      <c r="P175" s="134"/>
      <c r="Q175" s="134"/>
      <c r="R175" s="134"/>
      <c r="S175" s="134"/>
      <c r="T175" s="134"/>
      <c r="U175" s="134"/>
      <c r="V175" s="134"/>
    </row>
    <row r="176" spans="1:22">
      <c r="A176" s="134"/>
      <c r="B176" s="134"/>
      <c r="C176" s="134"/>
      <c r="D176" s="134"/>
      <c r="E176" s="134"/>
      <c r="F176" s="134"/>
      <c r="G176" s="134"/>
      <c r="H176" s="134"/>
      <c r="I176" s="134"/>
      <c r="J176" s="200"/>
      <c r="K176" s="200"/>
      <c r="L176" s="200"/>
      <c r="M176" s="200"/>
      <c r="N176" s="200"/>
      <c r="O176" s="200"/>
      <c r="P176" s="134"/>
      <c r="Q176" s="134"/>
      <c r="R176" s="134"/>
      <c r="S176" s="134"/>
      <c r="T176" s="134"/>
      <c r="U176" s="134"/>
      <c r="V176" s="134"/>
    </row>
    <row r="177" spans="1:22">
      <c r="A177" s="134"/>
      <c r="B177" s="134"/>
      <c r="C177" s="134"/>
      <c r="D177" s="134"/>
      <c r="E177" s="134"/>
      <c r="F177" s="134"/>
      <c r="G177" s="134"/>
      <c r="H177" s="134"/>
      <c r="I177" s="134"/>
      <c r="J177" s="200"/>
      <c r="K177" s="200"/>
      <c r="L177" s="200"/>
      <c r="M177" s="200"/>
      <c r="N177" s="200"/>
      <c r="O177" s="200"/>
      <c r="P177" s="134"/>
      <c r="Q177" s="134"/>
      <c r="R177" s="134"/>
      <c r="S177" s="134"/>
      <c r="T177" s="134"/>
      <c r="U177" s="134"/>
      <c r="V177" s="134"/>
    </row>
    <row r="178" spans="1:22">
      <c r="A178" s="134"/>
      <c r="B178" s="134"/>
      <c r="C178" s="134"/>
      <c r="D178" s="134"/>
      <c r="E178" s="134"/>
      <c r="F178" s="134"/>
      <c r="G178" s="134"/>
      <c r="H178" s="134"/>
      <c r="I178" s="134"/>
      <c r="J178" s="200"/>
      <c r="K178" s="200"/>
      <c r="L178" s="200"/>
      <c r="M178" s="200"/>
      <c r="N178" s="200"/>
      <c r="O178" s="200"/>
      <c r="P178" s="134"/>
      <c r="Q178" s="134"/>
      <c r="R178" s="134"/>
      <c r="S178" s="134"/>
      <c r="T178" s="134"/>
      <c r="U178" s="134"/>
      <c r="V178" s="134"/>
    </row>
    <row r="179" spans="1:22">
      <c r="A179" s="134"/>
      <c r="B179" s="134"/>
      <c r="C179" s="134"/>
      <c r="D179" s="134"/>
      <c r="E179" s="134"/>
      <c r="F179" s="134"/>
      <c r="G179" s="134"/>
      <c r="H179" s="134"/>
      <c r="I179" s="134"/>
      <c r="J179" s="200"/>
      <c r="K179" s="200"/>
      <c r="L179" s="200"/>
      <c r="M179" s="200"/>
      <c r="N179" s="200"/>
      <c r="O179" s="200"/>
      <c r="P179" s="134"/>
      <c r="Q179" s="134"/>
      <c r="R179" s="134"/>
      <c r="S179" s="134"/>
      <c r="T179" s="134"/>
      <c r="U179" s="134"/>
      <c r="V179" s="134"/>
    </row>
    <row r="180" spans="1:22">
      <c r="A180" s="134"/>
      <c r="B180" s="134"/>
      <c r="C180" s="134"/>
      <c r="D180" s="134"/>
      <c r="E180" s="134"/>
      <c r="F180" s="134"/>
      <c r="G180" s="134"/>
      <c r="H180" s="134"/>
      <c r="I180" s="134"/>
      <c r="J180" s="200"/>
      <c r="K180" s="200"/>
      <c r="L180" s="200"/>
      <c r="M180" s="200"/>
      <c r="N180" s="200"/>
      <c r="O180" s="200"/>
      <c r="P180" s="134"/>
      <c r="Q180" s="134"/>
      <c r="R180" s="134"/>
      <c r="S180" s="134"/>
      <c r="T180" s="134"/>
      <c r="U180" s="134"/>
      <c r="V180" s="134"/>
    </row>
    <row r="181" spans="1:22">
      <c r="A181" s="134"/>
      <c r="B181" s="134"/>
      <c r="C181" s="134"/>
      <c r="D181" s="134"/>
      <c r="E181" s="134"/>
      <c r="F181" s="134"/>
      <c r="G181" s="134"/>
      <c r="H181" s="134"/>
      <c r="I181" s="134"/>
      <c r="J181" s="200"/>
      <c r="K181" s="200"/>
      <c r="L181" s="200"/>
      <c r="M181" s="200"/>
      <c r="N181" s="200"/>
      <c r="O181" s="200"/>
      <c r="P181" s="134"/>
      <c r="Q181" s="134"/>
      <c r="R181" s="134"/>
      <c r="S181" s="134"/>
      <c r="T181" s="134"/>
      <c r="U181" s="134"/>
      <c r="V181" s="134"/>
    </row>
    <row r="182" spans="1:22">
      <c r="A182" s="134"/>
      <c r="B182" s="134"/>
      <c r="C182" s="134"/>
      <c r="D182" s="134"/>
      <c r="E182" s="134"/>
      <c r="F182" s="134"/>
      <c r="G182" s="134"/>
      <c r="H182" s="134"/>
      <c r="I182" s="134"/>
      <c r="J182" s="200"/>
      <c r="K182" s="200"/>
      <c r="L182" s="200"/>
      <c r="M182" s="200"/>
      <c r="N182" s="200"/>
      <c r="O182" s="200"/>
      <c r="P182" s="134"/>
      <c r="Q182" s="134"/>
      <c r="R182" s="134"/>
      <c r="S182" s="134"/>
      <c r="T182" s="134"/>
      <c r="U182" s="134"/>
      <c r="V182" s="134"/>
    </row>
    <row r="183" spans="1:22">
      <c r="A183" s="134"/>
      <c r="B183" s="134"/>
      <c r="C183" s="134"/>
      <c r="D183" s="134"/>
      <c r="E183" s="134"/>
      <c r="F183" s="134"/>
      <c r="G183" s="134"/>
      <c r="H183" s="134"/>
      <c r="I183" s="134"/>
      <c r="J183" s="200"/>
      <c r="K183" s="200"/>
      <c r="L183" s="200"/>
      <c r="M183" s="200"/>
      <c r="N183" s="200"/>
      <c r="O183" s="200"/>
      <c r="P183" s="134"/>
      <c r="Q183" s="134"/>
      <c r="R183" s="134"/>
      <c r="S183" s="134"/>
      <c r="T183" s="134"/>
      <c r="U183" s="134"/>
      <c r="V183" s="134"/>
    </row>
    <row r="184" spans="1:22">
      <c r="A184" s="134"/>
      <c r="B184" s="134"/>
      <c r="C184" s="134"/>
      <c r="D184" s="134"/>
      <c r="E184" s="134"/>
      <c r="F184" s="134"/>
      <c r="G184" s="134"/>
      <c r="H184" s="134"/>
      <c r="I184" s="134"/>
      <c r="J184" s="200"/>
      <c r="K184" s="200"/>
      <c r="L184" s="200"/>
      <c r="M184" s="200"/>
      <c r="N184" s="200"/>
      <c r="O184" s="200"/>
      <c r="P184" s="134"/>
      <c r="Q184" s="134"/>
      <c r="R184" s="134"/>
      <c r="S184" s="134"/>
      <c r="T184" s="134"/>
      <c r="U184" s="134"/>
      <c r="V184" s="134"/>
    </row>
    <row r="185" spans="1:22">
      <c r="A185" s="134"/>
      <c r="B185" s="134"/>
      <c r="C185" s="134"/>
      <c r="D185" s="134"/>
      <c r="E185" s="134"/>
      <c r="F185" s="134"/>
      <c r="G185" s="134"/>
      <c r="H185" s="134"/>
      <c r="I185" s="134"/>
      <c r="J185" s="200"/>
      <c r="K185" s="200"/>
      <c r="L185" s="200"/>
      <c r="M185" s="200"/>
      <c r="N185" s="200"/>
      <c r="O185" s="200"/>
      <c r="P185" s="134"/>
      <c r="Q185" s="134"/>
      <c r="R185" s="134"/>
      <c r="S185" s="134"/>
      <c r="T185" s="134"/>
      <c r="U185" s="134"/>
      <c r="V185" s="134"/>
    </row>
    <row r="186" spans="1:22">
      <c r="A186" s="134"/>
      <c r="B186" s="134"/>
      <c r="C186" s="134"/>
      <c r="D186" s="134"/>
      <c r="E186" s="134"/>
      <c r="F186" s="134"/>
      <c r="G186" s="134"/>
      <c r="H186" s="134"/>
      <c r="I186" s="134"/>
      <c r="J186" s="200"/>
      <c r="K186" s="200"/>
      <c r="L186" s="200"/>
      <c r="M186" s="200"/>
      <c r="N186" s="200"/>
      <c r="O186" s="200"/>
      <c r="P186" s="134"/>
      <c r="Q186" s="134"/>
      <c r="R186" s="134"/>
      <c r="S186" s="134"/>
      <c r="T186" s="134"/>
      <c r="U186" s="134"/>
      <c r="V186" s="134"/>
    </row>
    <row r="187" spans="1:22">
      <c r="A187" s="134"/>
      <c r="B187" s="134"/>
      <c r="C187" s="134"/>
      <c r="D187" s="134"/>
      <c r="E187" s="134"/>
      <c r="F187" s="134"/>
      <c r="G187" s="134"/>
      <c r="H187" s="134"/>
      <c r="I187" s="134"/>
      <c r="J187" s="200"/>
      <c r="K187" s="200"/>
      <c r="L187" s="200"/>
      <c r="M187" s="200"/>
      <c r="N187" s="200"/>
      <c r="O187" s="200"/>
      <c r="P187" s="134"/>
      <c r="Q187" s="134"/>
      <c r="R187" s="134"/>
      <c r="S187" s="134"/>
      <c r="T187" s="134"/>
      <c r="U187" s="134"/>
      <c r="V187" s="134"/>
    </row>
    <row r="188" spans="1:22">
      <c r="A188" s="134"/>
      <c r="B188" s="134"/>
      <c r="C188" s="134"/>
      <c r="D188" s="134"/>
      <c r="E188" s="134"/>
      <c r="F188" s="134"/>
      <c r="G188" s="134"/>
      <c r="H188" s="134"/>
      <c r="I188" s="134"/>
      <c r="J188" s="200"/>
      <c r="K188" s="200"/>
      <c r="L188" s="200"/>
      <c r="M188" s="200"/>
      <c r="N188" s="200"/>
      <c r="O188" s="200"/>
      <c r="P188" s="134"/>
      <c r="Q188" s="134"/>
      <c r="R188" s="134"/>
      <c r="S188" s="134"/>
      <c r="T188" s="134"/>
      <c r="U188" s="134"/>
      <c r="V188" s="134"/>
    </row>
    <row r="189" spans="1:22">
      <c r="A189" s="134"/>
      <c r="B189" s="134"/>
      <c r="C189" s="134"/>
      <c r="D189" s="134"/>
      <c r="E189" s="134"/>
      <c r="F189" s="134"/>
      <c r="G189" s="134"/>
      <c r="H189" s="134"/>
      <c r="I189" s="134"/>
      <c r="J189" s="200"/>
      <c r="K189" s="200"/>
      <c r="L189" s="200"/>
      <c r="M189" s="200"/>
      <c r="N189" s="200"/>
      <c r="O189" s="200"/>
      <c r="P189" s="134"/>
      <c r="Q189" s="134"/>
      <c r="R189" s="134"/>
      <c r="S189" s="134"/>
      <c r="T189" s="134"/>
      <c r="U189" s="134"/>
      <c r="V189" s="134"/>
    </row>
    <row r="190" spans="1:22">
      <c r="A190" s="134"/>
      <c r="B190" s="134"/>
      <c r="C190" s="134"/>
      <c r="D190" s="134"/>
      <c r="E190" s="134"/>
      <c r="F190" s="134"/>
      <c r="G190" s="134"/>
      <c r="H190" s="134"/>
      <c r="I190" s="134"/>
      <c r="J190" s="200"/>
      <c r="K190" s="200"/>
      <c r="L190" s="200"/>
      <c r="M190" s="200"/>
      <c r="N190" s="200"/>
      <c r="O190" s="200"/>
      <c r="P190" s="134"/>
      <c r="Q190" s="134"/>
      <c r="R190" s="134"/>
      <c r="S190" s="134"/>
      <c r="T190" s="134"/>
      <c r="U190" s="134"/>
      <c r="V190" s="134"/>
    </row>
    <row r="191" spans="1:22">
      <c r="A191" s="134"/>
      <c r="B191" s="134"/>
      <c r="C191" s="134"/>
      <c r="D191" s="134"/>
      <c r="E191" s="134"/>
      <c r="F191" s="134"/>
      <c r="G191" s="134"/>
      <c r="H191" s="134"/>
      <c r="I191" s="134"/>
      <c r="J191" s="200"/>
      <c r="K191" s="200"/>
      <c r="L191" s="200"/>
      <c r="M191" s="200"/>
      <c r="N191" s="200"/>
      <c r="O191" s="200"/>
      <c r="P191" s="134"/>
      <c r="Q191" s="134"/>
      <c r="R191" s="134"/>
      <c r="S191" s="134"/>
      <c r="T191" s="134"/>
      <c r="U191" s="134"/>
      <c r="V191" s="134"/>
    </row>
    <row r="192" spans="1:22">
      <c r="A192" s="134"/>
      <c r="B192" s="134"/>
      <c r="C192" s="134"/>
      <c r="D192" s="134"/>
      <c r="E192" s="134"/>
      <c r="F192" s="134"/>
      <c r="G192" s="134"/>
      <c r="H192" s="134"/>
      <c r="I192" s="134"/>
      <c r="J192" s="200"/>
      <c r="K192" s="200"/>
      <c r="L192" s="200"/>
      <c r="M192" s="200"/>
      <c r="N192" s="200"/>
      <c r="O192" s="200"/>
      <c r="P192" s="134"/>
      <c r="Q192" s="134"/>
      <c r="R192" s="134"/>
      <c r="S192" s="134"/>
      <c r="T192" s="134"/>
      <c r="U192" s="134"/>
      <c r="V192" s="134"/>
    </row>
    <row r="193" spans="1:22">
      <c r="A193" s="134"/>
      <c r="B193" s="134"/>
      <c r="C193" s="134"/>
      <c r="D193" s="134"/>
      <c r="E193" s="134"/>
      <c r="F193" s="134"/>
      <c r="G193" s="134"/>
      <c r="H193" s="134"/>
      <c r="I193" s="134"/>
      <c r="J193" s="200"/>
      <c r="K193" s="200"/>
      <c r="L193" s="200"/>
      <c r="M193" s="200"/>
      <c r="N193" s="200"/>
      <c r="O193" s="200"/>
      <c r="P193" s="134"/>
      <c r="Q193" s="134"/>
      <c r="R193" s="134"/>
      <c r="S193" s="134"/>
      <c r="T193" s="134"/>
      <c r="U193" s="134"/>
      <c r="V193" s="134"/>
    </row>
    <row r="194" spans="1:22">
      <c r="A194" s="134"/>
      <c r="B194" s="134"/>
      <c r="C194" s="134"/>
      <c r="D194" s="134"/>
      <c r="E194" s="134"/>
      <c r="F194" s="134"/>
      <c r="G194" s="134"/>
      <c r="H194" s="134"/>
      <c r="I194" s="134"/>
      <c r="J194" s="200"/>
      <c r="K194" s="200"/>
      <c r="L194" s="200"/>
      <c r="M194" s="200"/>
      <c r="N194" s="200"/>
      <c r="O194" s="200"/>
      <c r="P194" s="134"/>
      <c r="Q194" s="134"/>
      <c r="R194" s="134"/>
      <c r="S194" s="134"/>
      <c r="T194" s="134"/>
      <c r="U194" s="134"/>
      <c r="V194" s="134"/>
    </row>
    <row r="195" spans="1:22">
      <c r="A195" s="134"/>
      <c r="B195" s="134"/>
      <c r="C195" s="134"/>
      <c r="D195" s="134"/>
      <c r="E195" s="134"/>
      <c r="F195" s="134"/>
      <c r="G195" s="134"/>
      <c r="H195" s="134"/>
      <c r="I195" s="134"/>
      <c r="J195" s="200"/>
      <c r="K195" s="200"/>
      <c r="L195" s="200"/>
      <c r="M195" s="200"/>
      <c r="N195" s="200"/>
      <c r="O195" s="200"/>
      <c r="P195" s="134"/>
      <c r="Q195" s="134"/>
      <c r="R195" s="134"/>
      <c r="S195" s="134"/>
      <c r="T195" s="134"/>
      <c r="U195" s="134"/>
      <c r="V195" s="134"/>
    </row>
    <row r="196" spans="1:22">
      <c r="A196" s="134"/>
      <c r="B196" s="134"/>
      <c r="C196" s="134"/>
      <c r="D196" s="134"/>
      <c r="E196" s="134"/>
      <c r="F196" s="134"/>
      <c r="G196" s="134"/>
      <c r="H196" s="134"/>
      <c r="I196" s="134"/>
      <c r="J196" s="200"/>
      <c r="K196" s="200"/>
      <c r="L196" s="200"/>
      <c r="M196" s="200"/>
      <c r="N196" s="200"/>
      <c r="O196" s="200"/>
      <c r="P196" s="134"/>
      <c r="Q196" s="134"/>
      <c r="R196" s="134"/>
      <c r="S196" s="134"/>
      <c r="T196" s="134"/>
      <c r="U196" s="134"/>
      <c r="V196" s="134"/>
    </row>
    <row r="197" spans="1:22">
      <c r="A197" s="134"/>
      <c r="B197" s="134"/>
      <c r="C197" s="134"/>
      <c r="D197" s="134"/>
      <c r="E197" s="134"/>
      <c r="F197" s="134"/>
      <c r="G197" s="134"/>
      <c r="H197" s="134"/>
      <c r="I197" s="134"/>
      <c r="J197" s="200"/>
      <c r="K197" s="200"/>
      <c r="L197" s="200"/>
      <c r="M197" s="200"/>
      <c r="N197" s="200"/>
      <c r="O197" s="200"/>
      <c r="P197" s="134"/>
      <c r="Q197" s="134"/>
      <c r="R197" s="134"/>
      <c r="S197" s="134"/>
      <c r="T197" s="134"/>
      <c r="U197" s="134"/>
      <c r="V197" s="134"/>
    </row>
    <row r="198" spans="1:22">
      <c r="A198" s="134"/>
      <c r="B198" s="134"/>
      <c r="C198" s="134"/>
      <c r="D198" s="134"/>
      <c r="E198" s="134"/>
      <c r="F198" s="134"/>
      <c r="G198" s="134"/>
      <c r="H198" s="134"/>
      <c r="I198" s="134"/>
      <c r="J198" s="200"/>
      <c r="K198" s="200"/>
      <c r="L198" s="200"/>
      <c r="M198" s="200"/>
      <c r="N198" s="200"/>
      <c r="O198" s="200"/>
      <c r="P198" s="134"/>
      <c r="Q198" s="134"/>
      <c r="R198" s="134"/>
      <c r="S198" s="134"/>
      <c r="T198" s="134"/>
      <c r="U198" s="134"/>
      <c r="V198" s="134"/>
    </row>
    <row r="199" spans="1:22">
      <c r="A199" s="134"/>
      <c r="B199" s="134"/>
      <c r="C199" s="134"/>
      <c r="D199" s="134"/>
      <c r="E199" s="134"/>
      <c r="F199" s="134"/>
      <c r="G199" s="134"/>
      <c r="H199" s="134"/>
      <c r="I199" s="134"/>
      <c r="J199" s="200"/>
      <c r="K199" s="200"/>
      <c r="L199" s="200"/>
      <c r="M199" s="200"/>
      <c r="N199" s="200"/>
      <c r="O199" s="200"/>
      <c r="P199" s="134"/>
      <c r="Q199" s="134"/>
      <c r="R199" s="134"/>
      <c r="S199" s="134"/>
      <c r="T199" s="134"/>
      <c r="U199" s="134"/>
      <c r="V199" s="134"/>
    </row>
    <row r="200" spans="1:22">
      <c r="A200" s="134"/>
      <c r="B200" s="134"/>
      <c r="C200" s="134"/>
      <c r="D200" s="134"/>
      <c r="E200" s="134"/>
      <c r="F200" s="134"/>
      <c r="G200" s="134"/>
      <c r="H200" s="134"/>
      <c r="I200" s="134"/>
      <c r="J200" s="200"/>
      <c r="K200" s="200"/>
      <c r="L200" s="200"/>
      <c r="M200" s="200"/>
      <c r="N200" s="200"/>
      <c r="O200" s="200"/>
      <c r="P200" s="134"/>
      <c r="Q200" s="134"/>
      <c r="R200" s="134"/>
      <c r="S200" s="134"/>
      <c r="T200" s="134"/>
      <c r="U200" s="134"/>
      <c r="V200" s="134"/>
    </row>
    <row r="201" spans="1:22">
      <c r="A201" s="134"/>
      <c r="B201" s="134"/>
      <c r="C201" s="134"/>
      <c r="D201" s="134"/>
      <c r="E201" s="134"/>
      <c r="F201" s="134"/>
      <c r="G201" s="134"/>
      <c r="H201" s="134"/>
      <c r="I201" s="134"/>
      <c r="J201" s="200"/>
      <c r="K201" s="200"/>
      <c r="L201" s="200"/>
      <c r="M201" s="200"/>
      <c r="N201" s="200"/>
      <c r="O201" s="200"/>
      <c r="P201" s="134"/>
      <c r="Q201" s="134"/>
      <c r="R201" s="134"/>
      <c r="S201" s="134"/>
      <c r="T201" s="134"/>
      <c r="U201" s="134"/>
      <c r="V201" s="134"/>
    </row>
    <row r="202" spans="1:22">
      <c r="A202" s="134"/>
      <c r="B202" s="134"/>
      <c r="C202" s="134"/>
      <c r="D202" s="134"/>
      <c r="E202" s="134"/>
      <c r="F202" s="134"/>
      <c r="G202" s="134"/>
      <c r="H202" s="134"/>
      <c r="I202" s="134"/>
      <c r="J202" s="200"/>
      <c r="K202" s="200"/>
      <c r="L202" s="200"/>
      <c r="M202" s="200"/>
      <c r="N202" s="200"/>
      <c r="O202" s="200"/>
      <c r="P202" s="134"/>
      <c r="Q202" s="134"/>
      <c r="R202" s="134"/>
      <c r="S202" s="134"/>
      <c r="T202" s="134"/>
      <c r="U202" s="134"/>
      <c r="V202" s="134"/>
    </row>
    <row r="203" spans="1:22">
      <c r="A203" s="134"/>
      <c r="B203" s="134"/>
      <c r="C203" s="134"/>
      <c r="D203" s="134"/>
      <c r="E203" s="134"/>
      <c r="F203" s="134"/>
      <c r="G203" s="134"/>
      <c r="H203" s="134"/>
      <c r="I203" s="134"/>
      <c r="J203" s="200"/>
      <c r="K203" s="200"/>
      <c r="L203" s="200"/>
      <c r="M203" s="200"/>
      <c r="N203" s="200"/>
      <c r="O203" s="200"/>
      <c r="P203" s="134"/>
      <c r="Q203" s="134"/>
      <c r="R203" s="134"/>
      <c r="S203" s="134"/>
      <c r="T203" s="134"/>
      <c r="U203" s="134"/>
      <c r="V203" s="134"/>
    </row>
    <row r="204" spans="1:22">
      <c r="A204" s="134"/>
      <c r="B204" s="134"/>
      <c r="C204" s="134"/>
      <c r="D204" s="134"/>
      <c r="E204" s="134"/>
      <c r="F204" s="134"/>
      <c r="G204" s="134"/>
      <c r="H204" s="134"/>
      <c r="I204" s="134"/>
      <c r="J204" s="200"/>
      <c r="K204" s="200"/>
      <c r="L204" s="200"/>
      <c r="M204" s="200"/>
      <c r="N204" s="200"/>
      <c r="O204" s="200"/>
      <c r="P204" s="134"/>
      <c r="Q204" s="134"/>
      <c r="R204" s="134"/>
      <c r="S204" s="134"/>
      <c r="T204" s="134"/>
      <c r="U204" s="134"/>
      <c r="V204" s="134"/>
    </row>
    <row r="205" spans="1:22">
      <c r="A205" s="134"/>
      <c r="B205" s="134"/>
      <c r="C205" s="134"/>
      <c r="D205" s="134"/>
      <c r="E205" s="134"/>
      <c r="F205" s="134"/>
      <c r="G205" s="134"/>
      <c r="H205" s="134"/>
      <c r="I205" s="134"/>
      <c r="J205" s="200"/>
      <c r="K205" s="200"/>
      <c r="L205" s="200"/>
      <c r="M205" s="200"/>
      <c r="N205" s="200"/>
      <c r="O205" s="200"/>
      <c r="P205" s="134"/>
      <c r="Q205" s="134"/>
      <c r="R205" s="134"/>
      <c r="S205" s="134"/>
      <c r="T205" s="134"/>
      <c r="U205" s="134"/>
      <c r="V205" s="134"/>
    </row>
    <row r="206" spans="1:22">
      <c r="A206" s="134"/>
      <c r="B206" s="134"/>
      <c r="C206" s="134"/>
      <c r="D206" s="134"/>
      <c r="E206" s="134"/>
      <c r="F206" s="134"/>
      <c r="G206" s="134"/>
      <c r="H206" s="134"/>
      <c r="I206" s="134"/>
      <c r="J206" s="200"/>
      <c r="K206" s="200"/>
      <c r="L206" s="200"/>
      <c r="M206" s="200"/>
      <c r="N206" s="200"/>
      <c r="O206" s="200"/>
      <c r="P206" s="134"/>
      <c r="Q206" s="134"/>
      <c r="R206" s="134"/>
      <c r="S206" s="134"/>
      <c r="T206" s="134"/>
      <c r="U206" s="134"/>
      <c r="V206" s="134"/>
    </row>
    <row r="207" spans="1:22">
      <c r="A207" s="134"/>
      <c r="B207" s="134"/>
      <c r="C207" s="134"/>
      <c r="D207" s="134"/>
      <c r="E207" s="134"/>
      <c r="F207" s="134"/>
      <c r="G207" s="134"/>
      <c r="H207" s="134"/>
      <c r="I207" s="134"/>
      <c r="J207" s="200"/>
      <c r="K207" s="200"/>
      <c r="L207" s="200"/>
      <c r="M207" s="200"/>
      <c r="N207" s="200"/>
      <c r="O207" s="200"/>
      <c r="P207" s="134"/>
      <c r="Q207" s="134"/>
      <c r="R207" s="134"/>
      <c r="S207" s="134"/>
      <c r="T207" s="134"/>
      <c r="U207" s="134"/>
      <c r="V207" s="134"/>
    </row>
    <row r="208" spans="1:22">
      <c r="A208" s="134"/>
      <c r="B208" s="134"/>
      <c r="C208" s="134"/>
      <c r="D208" s="134"/>
      <c r="E208" s="134"/>
      <c r="F208" s="134"/>
      <c r="G208" s="134"/>
      <c r="H208" s="134"/>
      <c r="I208" s="134"/>
      <c r="J208" s="200"/>
      <c r="K208" s="200"/>
      <c r="L208" s="200"/>
      <c r="M208" s="200"/>
      <c r="N208" s="200"/>
      <c r="O208" s="200"/>
      <c r="P208" s="134"/>
      <c r="Q208" s="134"/>
      <c r="R208" s="134"/>
      <c r="S208" s="134"/>
      <c r="T208" s="134"/>
      <c r="U208" s="134"/>
      <c r="V208" s="134"/>
    </row>
    <row r="209" spans="1:22">
      <c r="A209" s="134"/>
      <c r="B209" s="134"/>
      <c r="C209" s="134"/>
      <c r="D209" s="134"/>
      <c r="E209" s="134"/>
      <c r="F209" s="134"/>
      <c r="G209" s="134"/>
      <c r="H209" s="134"/>
      <c r="I209" s="134"/>
      <c r="J209" s="200"/>
      <c r="K209" s="200"/>
      <c r="L209" s="200"/>
      <c r="M209" s="200"/>
      <c r="N209" s="200"/>
      <c r="O209" s="200"/>
      <c r="P209" s="134"/>
      <c r="Q209" s="134"/>
      <c r="R209" s="134"/>
      <c r="S209" s="134"/>
      <c r="T209" s="134"/>
      <c r="U209" s="134"/>
      <c r="V209" s="134"/>
    </row>
    <row r="210" spans="1:22">
      <c r="A210" s="134"/>
      <c r="B210" s="134"/>
      <c r="C210" s="134"/>
      <c r="D210" s="134"/>
      <c r="E210" s="134"/>
      <c r="F210" s="134"/>
      <c r="G210" s="134"/>
      <c r="H210" s="134"/>
      <c r="I210" s="134"/>
      <c r="J210" s="200"/>
      <c r="K210" s="200"/>
      <c r="L210" s="200"/>
      <c r="M210" s="200"/>
      <c r="N210" s="200"/>
      <c r="O210" s="200"/>
      <c r="P210" s="134"/>
      <c r="Q210" s="134"/>
      <c r="R210" s="134"/>
      <c r="S210" s="134"/>
      <c r="T210" s="134"/>
      <c r="U210" s="134"/>
      <c r="V210" s="134"/>
    </row>
    <row r="211" spans="1:22">
      <c r="A211" s="134"/>
      <c r="B211" s="134"/>
      <c r="C211" s="134"/>
      <c r="D211" s="134"/>
      <c r="E211" s="134"/>
      <c r="F211" s="134"/>
      <c r="G211" s="134"/>
      <c r="H211" s="134"/>
      <c r="I211" s="134"/>
      <c r="J211" s="200"/>
      <c r="K211" s="200"/>
      <c r="L211" s="200"/>
      <c r="M211" s="200"/>
      <c r="N211" s="200"/>
      <c r="O211" s="200"/>
      <c r="P211" s="134"/>
      <c r="Q211" s="134"/>
      <c r="R211" s="134"/>
      <c r="S211" s="134"/>
      <c r="T211" s="134"/>
      <c r="U211" s="134"/>
      <c r="V211" s="134"/>
    </row>
    <row r="212" spans="1:22">
      <c r="A212" s="134"/>
      <c r="B212" s="134"/>
      <c r="C212" s="134"/>
      <c r="D212" s="134"/>
      <c r="E212" s="134"/>
      <c r="F212" s="134"/>
      <c r="G212" s="134"/>
      <c r="H212" s="134"/>
      <c r="I212" s="134"/>
      <c r="J212" s="200"/>
      <c r="K212" s="200"/>
      <c r="L212" s="200"/>
      <c r="M212" s="200"/>
      <c r="N212" s="200"/>
      <c r="O212" s="200"/>
      <c r="P212" s="134"/>
      <c r="Q212" s="134"/>
      <c r="R212" s="134"/>
      <c r="S212" s="134"/>
      <c r="T212" s="134"/>
      <c r="U212" s="134"/>
      <c r="V212" s="134"/>
    </row>
    <row r="213" spans="1:22">
      <c r="A213" s="134"/>
      <c r="B213" s="134"/>
      <c r="C213" s="134"/>
      <c r="D213" s="134"/>
      <c r="E213" s="134"/>
      <c r="F213" s="134"/>
      <c r="G213" s="134"/>
      <c r="H213" s="134"/>
      <c r="I213" s="134"/>
      <c r="J213" s="200"/>
      <c r="K213" s="200"/>
      <c r="L213" s="200"/>
      <c r="M213" s="200"/>
      <c r="N213" s="200"/>
      <c r="O213" s="200"/>
      <c r="P213" s="134"/>
      <c r="Q213" s="134"/>
      <c r="R213" s="134"/>
      <c r="S213" s="134"/>
      <c r="T213" s="134"/>
      <c r="U213" s="134"/>
      <c r="V213" s="134"/>
    </row>
    <row r="214" spans="1:22">
      <c r="A214" s="134"/>
      <c r="B214" s="134"/>
      <c r="C214" s="134"/>
      <c r="D214" s="134"/>
      <c r="E214" s="134"/>
      <c r="F214" s="134"/>
      <c r="G214" s="134"/>
      <c r="H214" s="134"/>
      <c r="I214" s="134"/>
      <c r="J214" s="200"/>
      <c r="K214" s="200"/>
      <c r="L214" s="200"/>
      <c r="M214" s="200"/>
      <c r="N214" s="200"/>
      <c r="O214" s="200"/>
      <c r="P214" s="134"/>
      <c r="Q214" s="134"/>
      <c r="R214" s="134"/>
      <c r="S214" s="134"/>
      <c r="T214" s="134"/>
      <c r="U214" s="134"/>
      <c r="V214" s="134"/>
    </row>
    <row r="215" spans="1:22">
      <c r="A215" s="134"/>
      <c r="B215" s="134"/>
      <c r="C215" s="134"/>
      <c r="D215" s="134"/>
      <c r="E215" s="134"/>
      <c r="F215" s="134"/>
      <c r="G215" s="134"/>
      <c r="H215" s="134"/>
      <c r="I215" s="134"/>
      <c r="J215" s="200"/>
      <c r="K215" s="200"/>
      <c r="L215" s="200"/>
      <c r="M215" s="200"/>
      <c r="N215" s="200"/>
      <c r="O215" s="200"/>
      <c r="P215" s="134"/>
      <c r="Q215" s="134"/>
      <c r="R215" s="134"/>
      <c r="S215" s="134"/>
      <c r="T215" s="134"/>
      <c r="U215" s="134"/>
      <c r="V215" s="134"/>
    </row>
    <row r="216" spans="1:22">
      <c r="A216" s="134"/>
      <c r="B216" s="134"/>
      <c r="C216" s="134"/>
      <c r="D216" s="134"/>
      <c r="E216" s="134"/>
      <c r="F216" s="134"/>
      <c r="G216" s="134"/>
      <c r="H216" s="134"/>
      <c r="I216" s="134"/>
      <c r="J216" s="200"/>
      <c r="K216" s="200"/>
      <c r="L216" s="200"/>
      <c r="M216" s="200"/>
      <c r="N216" s="200"/>
      <c r="O216" s="200"/>
      <c r="P216" s="134"/>
      <c r="Q216" s="134"/>
      <c r="R216" s="134"/>
      <c r="S216" s="134"/>
      <c r="T216" s="134"/>
      <c r="U216" s="134"/>
      <c r="V216" s="134"/>
    </row>
    <row r="217" spans="1:22">
      <c r="A217" s="134"/>
      <c r="B217" s="134"/>
      <c r="C217" s="134"/>
      <c r="D217" s="134"/>
      <c r="E217" s="134"/>
      <c r="F217" s="134"/>
      <c r="G217" s="134"/>
      <c r="H217" s="134"/>
      <c r="I217" s="134"/>
      <c r="J217" s="200"/>
      <c r="K217" s="200"/>
      <c r="L217" s="200"/>
      <c r="M217" s="200"/>
      <c r="N217" s="200"/>
      <c r="O217" s="200"/>
      <c r="P217" s="134"/>
      <c r="Q217" s="134"/>
      <c r="R217" s="134"/>
      <c r="S217" s="134"/>
      <c r="T217" s="134"/>
      <c r="U217" s="134"/>
      <c r="V217" s="134"/>
    </row>
    <row r="218" spans="1:22">
      <c r="A218" s="134"/>
      <c r="B218" s="134"/>
      <c r="C218" s="134"/>
      <c r="D218" s="134"/>
      <c r="E218" s="134"/>
      <c r="F218" s="134"/>
      <c r="G218" s="134"/>
      <c r="H218" s="134"/>
      <c r="I218" s="134"/>
      <c r="J218" s="200"/>
      <c r="K218" s="200"/>
      <c r="L218" s="200"/>
      <c r="M218" s="200"/>
      <c r="N218" s="200"/>
      <c r="O218" s="200"/>
      <c r="P218" s="134"/>
      <c r="Q218" s="134"/>
      <c r="R218" s="134"/>
      <c r="S218" s="134"/>
      <c r="T218" s="134"/>
      <c r="U218" s="134"/>
      <c r="V218" s="134"/>
    </row>
    <row r="219" spans="1:22">
      <c r="A219" s="134"/>
      <c r="B219" s="134"/>
      <c r="C219" s="134"/>
      <c r="D219" s="134"/>
      <c r="E219" s="134"/>
      <c r="F219" s="134"/>
      <c r="G219" s="134"/>
      <c r="H219" s="134"/>
      <c r="I219" s="134"/>
      <c r="J219" s="200"/>
      <c r="K219" s="200"/>
      <c r="L219" s="200"/>
      <c r="M219" s="200"/>
      <c r="N219" s="200"/>
      <c r="O219" s="200"/>
      <c r="P219" s="134"/>
      <c r="Q219" s="134"/>
      <c r="R219" s="134"/>
      <c r="S219" s="134"/>
      <c r="T219" s="134"/>
      <c r="U219" s="134"/>
      <c r="V219" s="134"/>
    </row>
    <row r="220" spans="1:22">
      <c r="A220" s="134"/>
      <c r="B220" s="134"/>
      <c r="C220" s="134"/>
      <c r="D220" s="134"/>
      <c r="E220" s="134"/>
      <c r="F220" s="134"/>
      <c r="G220" s="134"/>
      <c r="H220" s="134"/>
      <c r="I220" s="134"/>
      <c r="J220" s="200"/>
      <c r="K220" s="200"/>
      <c r="L220" s="200"/>
      <c r="M220" s="200"/>
      <c r="N220" s="200"/>
      <c r="O220" s="200"/>
      <c r="P220" s="134"/>
      <c r="Q220" s="134"/>
      <c r="R220" s="134"/>
      <c r="S220" s="134"/>
      <c r="T220" s="134"/>
      <c r="U220" s="134"/>
      <c r="V220" s="134"/>
    </row>
    <row r="221" spans="1:22">
      <c r="A221" s="134"/>
      <c r="B221" s="134"/>
      <c r="C221" s="134"/>
      <c r="D221" s="134"/>
      <c r="E221" s="134"/>
      <c r="F221" s="134"/>
      <c r="G221" s="134"/>
      <c r="H221" s="134"/>
      <c r="I221" s="134"/>
      <c r="J221" s="200"/>
      <c r="K221" s="200"/>
      <c r="L221" s="200"/>
      <c r="M221" s="200"/>
      <c r="N221" s="200"/>
      <c r="O221" s="200"/>
      <c r="P221" s="134"/>
      <c r="Q221" s="134"/>
      <c r="R221" s="134"/>
      <c r="S221" s="134"/>
      <c r="T221" s="134"/>
      <c r="U221" s="134"/>
      <c r="V221" s="134"/>
    </row>
    <row r="222" spans="1:22">
      <c r="A222" s="134"/>
      <c r="B222" s="134"/>
      <c r="C222" s="134"/>
      <c r="D222" s="134"/>
      <c r="E222" s="134"/>
      <c r="F222" s="134"/>
      <c r="G222" s="134"/>
      <c r="H222" s="134"/>
      <c r="I222" s="134"/>
      <c r="J222" s="200"/>
      <c r="K222" s="200"/>
      <c r="L222" s="200"/>
      <c r="M222" s="200"/>
      <c r="N222" s="200"/>
      <c r="O222" s="200"/>
      <c r="P222" s="134"/>
      <c r="Q222" s="134"/>
      <c r="R222" s="134"/>
      <c r="S222" s="134"/>
      <c r="T222" s="134"/>
      <c r="U222" s="134"/>
      <c r="V222" s="134"/>
    </row>
    <row r="223" spans="1:22">
      <c r="A223" s="134"/>
      <c r="B223" s="134"/>
      <c r="C223" s="134"/>
      <c r="D223" s="134"/>
      <c r="E223" s="134"/>
      <c r="F223" s="134"/>
      <c r="G223" s="134"/>
      <c r="H223" s="134"/>
      <c r="I223" s="134"/>
      <c r="J223" s="200"/>
      <c r="K223" s="200"/>
      <c r="L223" s="200"/>
      <c r="M223" s="200"/>
      <c r="N223" s="200"/>
      <c r="O223" s="200"/>
      <c r="P223" s="134"/>
      <c r="Q223" s="134"/>
      <c r="R223" s="134"/>
      <c r="S223" s="134"/>
      <c r="T223" s="134"/>
      <c r="U223" s="134"/>
      <c r="V223" s="134"/>
    </row>
    <row r="224" spans="1:22">
      <c r="A224" s="134"/>
      <c r="B224" s="134"/>
      <c r="C224" s="134"/>
      <c r="D224" s="134"/>
      <c r="E224" s="134"/>
      <c r="F224" s="134"/>
      <c r="G224" s="134"/>
      <c r="H224" s="134"/>
      <c r="I224" s="134"/>
      <c r="J224" s="200"/>
      <c r="K224" s="200"/>
      <c r="L224" s="200"/>
      <c r="M224" s="200"/>
      <c r="N224" s="200"/>
      <c r="O224" s="200"/>
      <c r="P224" s="134"/>
      <c r="Q224" s="134"/>
      <c r="R224" s="134"/>
      <c r="S224" s="134"/>
      <c r="T224" s="134"/>
      <c r="U224" s="134"/>
      <c r="V224" s="134"/>
    </row>
    <row r="225" spans="1:22">
      <c r="A225" s="134"/>
      <c r="B225" s="134"/>
      <c r="C225" s="134"/>
      <c r="D225" s="134"/>
      <c r="E225" s="134"/>
      <c r="F225" s="134"/>
      <c r="G225" s="134"/>
      <c r="H225" s="134"/>
      <c r="I225" s="134"/>
      <c r="J225" s="200"/>
      <c r="K225" s="200"/>
      <c r="L225" s="200"/>
      <c r="M225" s="200"/>
      <c r="N225" s="200"/>
      <c r="O225" s="200"/>
      <c r="P225" s="134"/>
      <c r="Q225" s="134"/>
      <c r="R225" s="134"/>
      <c r="S225" s="134"/>
      <c r="T225" s="134"/>
      <c r="U225" s="134"/>
      <c r="V225" s="134"/>
    </row>
    <row r="226" spans="1:22">
      <c r="A226" s="134"/>
      <c r="B226" s="134"/>
      <c r="C226" s="134"/>
      <c r="D226" s="134"/>
      <c r="E226" s="134"/>
      <c r="F226" s="134"/>
      <c r="G226" s="134"/>
      <c r="H226" s="134"/>
      <c r="I226" s="134"/>
      <c r="J226" s="200"/>
      <c r="K226" s="200"/>
      <c r="L226" s="200"/>
      <c r="M226" s="200"/>
      <c r="N226" s="200"/>
      <c r="O226" s="200"/>
      <c r="P226" s="134"/>
      <c r="Q226" s="134"/>
      <c r="R226" s="134"/>
      <c r="S226" s="134"/>
      <c r="T226" s="134"/>
      <c r="U226" s="134"/>
      <c r="V226" s="134"/>
    </row>
    <row r="227" spans="1:22">
      <c r="A227" s="134"/>
      <c r="B227" s="134"/>
      <c r="C227" s="134"/>
      <c r="D227" s="134"/>
      <c r="E227" s="134"/>
      <c r="F227" s="134"/>
      <c r="G227" s="134"/>
      <c r="H227" s="134"/>
      <c r="I227" s="134"/>
      <c r="J227" s="200"/>
      <c r="K227" s="200"/>
      <c r="L227" s="200"/>
      <c r="M227" s="200"/>
      <c r="N227" s="200"/>
      <c r="O227" s="200"/>
      <c r="P227" s="134"/>
      <c r="Q227" s="134"/>
      <c r="R227" s="134"/>
      <c r="S227" s="134"/>
      <c r="T227" s="134"/>
      <c r="U227" s="134"/>
      <c r="V227" s="134"/>
    </row>
    <row r="228" spans="1:22">
      <c r="A228" s="134"/>
      <c r="B228" s="134"/>
      <c r="C228" s="134"/>
      <c r="D228" s="134"/>
      <c r="E228" s="134"/>
      <c r="F228" s="134"/>
      <c r="G228" s="134"/>
      <c r="H228" s="134"/>
      <c r="I228" s="134"/>
      <c r="J228" s="200"/>
      <c r="K228" s="200"/>
      <c r="L228" s="200"/>
      <c r="M228" s="200"/>
      <c r="N228" s="200"/>
      <c r="O228" s="200"/>
      <c r="P228" s="134"/>
      <c r="Q228" s="134"/>
      <c r="R228" s="134"/>
      <c r="S228" s="134"/>
      <c r="T228" s="134"/>
      <c r="U228" s="134"/>
      <c r="V228" s="134"/>
    </row>
    <row r="229" spans="1:22">
      <c r="A229" s="134"/>
      <c r="B229" s="134"/>
      <c r="C229" s="134"/>
      <c r="D229" s="134"/>
      <c r="E229" s="134"/>
      <c r="F229" s="134"/>
      <c r="G229" s="134"/>
      <c r="H229" s="134"/>
      <c r="I229" s="134"/>
      <c r="J229" s="200"/>
      <c r="K229" s="200"/>
      <c r="L229" s="200"/>
      <c r="M229" s="200"/>
      <c r="N229" s="200"/>
      <c r="O229" s="200"/>
      <c r="P229" s="134"/>
      <c r="Q229" s="134"/>
      <c r="R229" s="134"/>
      <c r="S229" s="134"/>
      <c r="T229" s="134"/>
      <c r="U229" s="134"/>
      <c r="V229" s="134"/>
    </row>
    <row r="230" spans="1:22">
      <c r="A230" s="134"/>
      <c r="B230" s="134"/>
      <c r="C230" s="134"/>
      <c r="D230" s="134"/>
      <c r="E230" s="134"/>
      <c r="F230" s="134"/>
      <c r="G230" s="134"/>
      <c r="H230" s="134"/>
      <c r="I230" s="134"/>
      <c r="J230" s="200"/>
      <c r="K230" s="200"/>
      <c r="L230" s="200"/>
      <c r="M230" s="200"/>
      <c r="N230" s="200"/>
      <c r="O230" s="200"/>
      <c r="P230" s="134"/>
      <c r="Q230" s="134"/>
      <c r="R230" s="134"/>
      <c r="S230" s="134"/>
      <c r="T230" s="134"/>
      <c r="U230" s="134"/>
      <c r="V230" s="134"/>
    </row>
    <row r="231" spans="1:22">
      <c r="A231" s="134"/>
      <c r="B231" s="134"/>
      <c r="C231" s="134"/>
      <c r="D231" s="134"/>
      <c r="E231" s="134"/>
      <c r="F231" s="134"/>
      <c r="G231" s="134"/>
      <c r="H231" s="134"/>
      <c r="I231" s="134"/>
      <c r="J231" s="200"/>
      <c r="K231" s="200"/>
      <c r="L231" s="200"/>
      <c r="M231" s="200"/>
      <c r="N231" s="200"/>
      <c r="O231" s="200"/>
      <c r="P231" s="134"/>
      <c r="Q231" s="134"/>
      <c r="R231" s="134"/>
      <c r="S231" s="134"/>
      <c r="T231" s="134"/>
      <c r="U231" s="134"/>
      <c r="V231" s="134"/>
    </row>
    <row r="232" spans="1:22">
      <c r="A232" s="134"/>
      <c r="B232" s="134"/>
      <c r="C232" s="134"/>
      <c r="D232" s="134"/>
      <c r="E232" s="134"/>
      <c r="F232" s="134"/>
      <c r="G232" s="134"/>
      <c r="H232" s="134"/>
      <c r="I232" s="134"/>
      <c r="J232" s="200"/>
      <c r="K232" s="200"/>
      <c r="L232" s="200"/>
      <c r="M232" s="200"/>
      <c r="N232" s="200"/>
      <c r="O232" s="200"/>
      <c r="P232" s="134"/>
      <c r="Q232" s="134"/>
      <c r="R232" s="134"/>
      <c r="S232" s="134"/>
      <c r="T232" s="134"/>
      <c r="U232" s="134"/>
      <c r="V232" s="134"/>
    </row>
    <row r="233" spans="1:22">
      <c r="A233" s="134"/>
      <c r="B233" s="134"/>
      <c r="C233" s="134"/>
      <c r="D233" s="134"/>
      <c r="E233" s="134"/>
      <c r="F233" s="134"/>
      <c r="G233" s="134"/>
      <c r="H233" s="134"/>
      <c r="I233" s="134"/>
      <c r="J233" s="200"/>
      <c r="K233" s="200"/>
      <c r="L233" s="200"/>
      <c r="M233" s="200"/>
      <c r="N233" s="200"/>
      <c r="O233" s="200"/>
      <c r="P233" s="134"/>
      <c r="Q233" s="134"/>
      <c r="R233" s="134"/>
      <c r="S233" s="134"/>
      <c r="T233" s="134"/>
      <c r="U233" s="134"/>
      <c r="V233" s="134"/>
    </row>
    <row r="234" spans="1:22">
      <c r="A234" s="134"/>
      <c r="B234" s="134"/>
      <c r="C234" s="134"/>
      <c r="D234" s="134"/>
      <c r="E234" s="134"/>
      <c r="F234" s="134"/>
      <c r="G234" s="134"/>
      <c r="H234" s="134"/>
      <c r="I234" s="134"/>
      <c r="J234" s="200"/>
      <c r="K234" s="200"/>
      <c r="L234" s="200"/>
      <c r="M234" s="200"/>
      <c r="N234" s="200"/>
      <c r="O234" s="200"/>
      <c r="P234" s="134"/>
      <c r="Q234" s="134"/>
      <c r="R234" s="134"/>
      <c r="S234" s="134"/>
      <c r="T234" s="134"/>
      <c r="U234" s="134"/>
      <c r="V234" s="134"/>
    </row>
    <row r="235" spans="1:22">
      <c r="A235" s="134"/>
      <c r="B235" s="134"/>
      <c r="C235" s="134"/>
      <c r="D235" s="134"/>
      <c r="E235" s="134"/>
      <c r="F235" s="134"/>
      <c r="G235" s="134"/>
      <c r="H235" s="134"/>
      <c r="I235" s="134"/>
      <c r="J235" s="200"/>
      <c r="K235" s="200"/>
      <c r="L235" s="200"/>
      <c r="M235" s="200"/>
      <c r="N235" s="200"/>
      <c r="O235" s="200"/>
      <c r="P235" s="134"/>
      <c r="Q235" s="134"/>
      <c r="R235" s="134"/>
      <c r="S235" s="134"/>
      <c r="T235" s="134"/>
      <c r="U235" s="134"/>
      <c r="V235" s="134"/>
    </row>
    <row r="236" spans="1:22">
      <c r="A236" s="134"/>
      <c r="B236" s="134"/>
      <c r="C236" s="134"/>
      <c r="D236" s="134"/>
      <c r="E236" s="134"/>
      <c r="F236" s="134"/>
      <c r="G236" s="134"/>
      <c r="H236" s="134"/>
      <c r="I236" s="134"/>
      <c r="J236" s="200"/>
      <c r="K236" s="200"/>
      <c r="L236" s="200"/>
      <c r="M236" s="200"/>
      <c r="N236" s="200"/>
      <c r="O236" s="200"/>
      <c r="P236" s="134"/>
      <c r="Q236" s="134"/>
      <c r="R236" s="134"/>
      <c r="S236" s="134"/>
      <c r="T236" s="134"/>
      <c r="U236" s="134"/>
      <c r="V236" s="134"/>
    </row>
    <row r="237" spans="1:22">
      <c r="A237" s="134"/>
      <c r="B237" s="134"/>
      <c r="C237" s="134"/>
      <c r="D237" s="134"/>
      <c r="E237" s="134"/>
      <c r="F237" s="134"/>
      <c r="G237" s="134"/>
      <c r="H237" s="134"/>
      <c r="I237" s="134"/>
      <c r="J237" s="200"/>
      <c r="K237" s="200"/>
      <c r="L237" s="200"/>
      <c r="M237" s="200"/>
      <c r="N237" s="200"/>
      <c r="O237" s="200"/>
      <c r="P237" s="134"/>
      <c r="Q237" s="134"/>
      <c r="R237" s="134"/>
      <c r="S237" s="134"/>
      <c r="T237" s="134"/>
      <c r="U237" s="134"/>
      <c r="V237" s="134"/>
    </row>
    <row r="238" spans="1:22">
      <c r="A238" s="134"/>
      <c r="B238" s="134"/>
      <c r="C238" s="134"/>
      <c r="D238" s="134"/>
      <c r="E238" s="134"/>
      <c r="F238" s="134"/>
      <c r="G238" s="134"/>
      <c r="H238" s="134"/>
      <c r="I238" s="134"/>
      <c r="J238" s="200"/>
      <c r="K238" s="200"/>
      <c r="L238" s="200"/>
      <c r="M238" s="200"/>
      <c r="N238" s="200"/>
      <c r="O238" s="200"/>
      <c r="P238" s="134"/>
      <c r="Q238" s="134"/>
      <c r="R238" s="134"/>
      <c r="S238" s="134"/>
      <c r="T238" s="134"/>
      <c r="U238" s="134"/>
      <c r="V238" s="134"/>
    </row>
    <row r="239" spans="1:22">
      <c r="A239" s="134"/>
      <c r="B239" s="134"/>
      <c r="C239" s="134"/>
      <c r="D239" s="134"/>
      <c r="E239" s="134"/>
      <c r="F239" s="134"/>
      <c r="G239" s="134"/>
      <c r="H239" s="134"/>
      <c r="I239" s="134"/>
      <c r="J239" s="200"/>
      <c r="K239" s="200"/>
      <c r="L239" s="200"/>
      <c r="M239" s="200"/>
      <c r="N239" s="200"/>
      <c r="O239" s="200"/>
      <c r="P239" s="134"/>
      <c r="Q239" s="134"/>
      <c r="R239" s="134"/>
      <c r="S239" s="134"/>
      <c r="T239" s="134"/>
      <c r="U239" s="134"/>
      <c r="V239" s="134"/>
    </row>
    <row r="240" spans="1:22">
      <c r="A240" s="134"/>
      <c r="B240" s="134"/>
      <c r="C240" s="134"/>
      <c r="D240" s="134"/>
      <c r="E240" s="134"/>
      <c r="F240" s="134"/>
      <c r="G240" s="134"/>
      <c r="H240" s="134"/>
      <c r="I240" s="134"/>
      <c r="J240" s="200"/>
      <c r="K240" s="200"/>
      <c r="L240" s="200"/>
      <c r="M240" s="200"/>
      <c r="N240" s="200"/>
      <c r="O240" s="200"/>
      <c r="P240" s="134"/>
      <c r="Q240" s="134"/>
      <c r="R240" s="134"/>
      <c r="S240" s="134"/>
      <c r="T240" s="134"/>
      <c r="U240" s="134"/>
      <c r="V240" s="134"/>
    </row>
    <row r="241" spans="1:22">
      <c r="A241" s="134"/>
      <c r="B241" s="134"/>
      <c r="C241" s="134"/>
      <c r="D241" s="134"/>
      <c r="E241" s="134"/>
      <c r="F241" s="134"/>
      <c r="G241" s="134"/>
      <c r="H241" s="134"/>
      <c r="I241" s="134"/>
      <c r="J241" s="200"/>
      <c r="K241" s="200"/>
      <c r="L241" s="200"/>
      <c r="M241" s="200"/>
      <c r="N241" s="200"/>
      <c r="O241" s="200"/>
      <c r="P241" s="134"/>
      <c r="Q241" s="134"/>
      <c r="R241" s="134"/>
      <c r="S241" s="134"/>
      <c r="T241" s="134"/>
      <c r="U241" s="134"/>
      <c r="V241" s="134"/>
    </row>
    <row r="242" spans="1:22">
      <c r="A242" s="134"/>
      <c r="B242" s="134"/>
      <c r="C242" s="134"/>
      <c r="D242" s="134"/>
      <c r="E242" s="134"/>
      <c r="F242" s="134"/>
      <c r="G242" s="134"/>
      <c r="H242" s="134"/>
      <c r="I242" s="134"/>
      <c r="J242" s="200"/>
      <c r="K242" s="200"/>
      <c r="L242" s="200"/>
      <c r="M242" s="200"/>
      <c r="N242" s="200"/>
      <c r="O242" s="200"/>
      <c r="P242" s="134"/>
      <c r="Q242" s="134"/>
      <c r="R242" s="134"/>
      <c r="S242" s="134"/>
      <c r="T242" s="134"/>
      <c r="U242" s="134"/>
      <c r="V242" s="134"/>
    </row>
    <row r="243" spans="1:22">
      <c r="A243" s="134"/>
      <c r="B243" s="134"/>
      <c r="C243" s="134"/>
      <c r="D243" s="134"/>
      <c r="E243" s="134"/>
      <c r="F243" s="134"/>
      <c r="G243" s="134"/>
      <c r="H243" s="134"/>
      <c r="I243" s="134"/>
      <c r="J243" s="200"/>
      <c r="K243" s="200"/>
      <c r="L243" s="200"/>
      <c r="M243" s="200"/>
      <c r="N243" s="200"/>
      <c r="O243" s="200"/>
      <c r="P243" s="134"/>
      <c r="Q243" s="134"/>
      <c r="R243" s="134"/>
      <c r="S243" s="134"/>
      <c r="T243" s="134"/>
      <c r="U243" s="134"/>
      <c r="V243" s="134"/>
    </row>
    <row r="244" spans="1:22">
      <c r="A244" s="134"/>
      <c r="B244" s="134"/>
      <c r="C244" s="134"/>
      <c r="D244" s="134"/>
      <c r="E244" s="134"/>
      <c r="F244" s="134"/>
      <c r="G244" s="134"/>
      <c r="H244" s="134"/>
      <c r="I244" s="134"/>
      <c r="J244" s="200"/>
      <c r="K244" s="200"/>
      <c r="L244" s="200"/>
      <c r="M244" s="200"/>
      <c r="N244" s="200"/>
      <c r="O244" s="200"/>
      <c r="P244" s="134"/>
      <c r="Q244" s="134"/>
      <c r="R244" s="134"/>
      <c r="S244" s="134"/>
      <c r="T244" s="134"/>
      <c r="U244" s="134"/>
      <c r="V244" s="134"/>
    </row>
    <row r="245" spans="1:22">
      <c r="A245" s="134"/>
      <c r="B245" s="134"/>
      <c r="C245" s="134"/>
      <c r="D245" s="134"/>
      <c r="E245" s="134"/>
      <c r="F245" s="134"/>
      <c r="G245" s="134"/>
      <c r="H245" s="134"/>
      <c r="I245" s="134"/>
      <c r="J245" s="200"/>
      <c r="K245" s="200"/>
      <c r="L245" s="200"/>
      <c r="M245" s="200"/>
      <c r="N245" s="200"/>
      <c r="O245" s="200"/>
      <c r="P245" s="134"/>
      <c r="Q245" s="134"/>
      <c r="R245" s="134"/>
      <c r="S245" s="134"/>
      <c r="T245" s="134"/>
      <c r="U245" s="134"/>
      <c r="V245" s="134"/>
    </row>
    <row r="246" spans="1:22">
      <c r="A246" s="134"/>
      <c r="B246" s="134"/>
      <c r="C246" s="134"/>
      <c r="D246" s="134"/>
      <c r="E246" s="134"/>
      <c r="F246" s="134"/>
      <c r="G246" s="134"/>
      <c r="H246" s="134"/>
      <c r="I246" s="134"/>
      <c r="J246" s="200"/>
      <c r="K246" s="200"/>
      <c r="L246" s="200"/>
      <c r="M246" s="200"/>
      <c r="N246" s="200"/>
      <c r="O246" s="200"/>
      <c r="P246" s="134"/>
      <c r="Q246" s="134"/>
      <c r="R246" s="134"/>
      <c r="S246" s="134"/>
      <c r="T246" s="134"/>
      <c r="U246" s="134"/>
      <c r="V246" s="134"/>
    </row>
    <row r="247" spans="1:22">
      <c r="A247" s="134"/>
      <c r="B247" s="134"/>
      <c r="C247" s="134"/>
      <c r="D247" s="134"/>
      <c r="E247" s="134"/>
      <c r="F247" s="134"/>
      <c r="G247" s="134"/>
      <c r="H247" s="134"/>
      <c r="I247" s="134"/>
      <c r="J247" s="200"/>
      <c r="K247" s="200"/>
      <c r="L247" s="200"/>
      <c r="M247" s="200"/>
      <c r="N247" s="200"/>
      <c r="O247" s="200"/>
      <c r="P247" s="134"/>
      <c r="Q247" s="134"/>
      <c r="R247" s="134"/>
      <c r="S247" s="134"/>
      <c r="T247" s="134"/>
      <c r="U247" s="134"/>
      <c r="V247" s="134"/>
    </row>
    <row r="248" spans="1:22">
      <c r="A248" s="134"/>
      <c r="B248" s="134"/>
      <c r="C248" s="134"/>
      <c r="D248" s="134"/>
      <c r="E248" s="134"/>
      <c r="F248" s="134"/>
      <c r="G248" s="134"/>
      <c r="H248" s="134"/>
      <c r="I248" s="134"/>
      <c r="J248" s="200"/>
      <c r="K248" s="200"/>
      <c r="L248" s="200"/>
      <c r="M248" s="200"/>
      <c r="N248" s="200"/>
      <c r="O248" s="200"/>
      <c r="P248" s="134"/>
      <c r="Q248" s="134"/>
      <c r="R248" s="134"/>
      <c r="S248" s="134"/>
      <c r="T248" s="134"/>
      <c r="U248" s="134"/>
      <c r="V248" s="134"/>
    </row>
  </sheetData>
  <sheetProtection password="FA80" sheet="1" objects="1" scenarios="1"/>
  <mergeCells count="116">
    <mergeCell ref="R1:S1"/>
    <mergeCell ref="A3:I3"/>
    <mergeCell ref="J3:N3"/>
    <mergeCell ref="O3:P3"/>
    <mergeCell ref="A4:I4"/>
    <mergeCell ref="P5:S5"/>
    <mergeCell ref="D1:P1"/>
    <mergeCell ref="B6:E6"/>
    <mergeCell ref="K6:M6"/>
    <mergeCell ref="Q6:R6"/>
    <mergeCell ref="D7:E7"/>
    <mergeCell ref="F7:G7"/>
    <mergeCell ref="J8:L8"/>
    <mergeCell ref="M8:N8"/>
    <mergeCell ref="J9:L9"/>
    <mergeCell ref="J10:L10"/>
    <mergeCell ref="P6:P7"/>
    <mergeCell ref="E8:F9"/>
    <mergeCell ref="G8:H9"/>
    <mergeCell ref="J11:L11"/>
    <mergeCell ref="C12:D12"/>
    <mergeCell ref="J12:L12"/>
    <mergeCell ref="J13:L13"/>
    <mergeCell ref="B14:F14"/>
    <mergeCell ref="J14:L14"/>
    <mergeCell ref="D15:E15"/>
    <mergeCell ref="F15:G15"/>
    <mergeCell ref="J15:L15"/>
    <mergeCell ref="J16:L16"/>
    <mergeCell ref="K19:N19"/>
    <mergeCell ref="C20:D20"/>
    <mergeCell ref="K20:M20"/>
    <mergeCell ref="C21:D21"/>
    <mergeCell ref="K21:M21"/>
    <mergeCell ref="K22:M22"/>
    <mergeCell ref="B23:F23"/>
    <mergeCell ref="K23:M23"/>
    <mergeCell ref="E16:F17"/>
    <mergeCell ref="G16:H17"/>
    <mergeCell ref="D24:E24"/>
    <mergeCell ref="F24:G24"/>
    <mergeCell ref="K24:M24"/>
    <mergeCell ref="K25:M25"/>
    <mergeCell ref="K26:M26"/>
    <mergeCell ref="K27:M27"/>
    <mergeCell ref="K28:M28"/>
    <mergeCell ref="C29:D29"/>
    <mergeCell ref="K29:M29"/>
    <mergeCell ref="E25:F26"/>
    <mergeCell ref="G25:H26"/>
    <mergeCell ref="C30:D30"/>
    <mergeCell ref="K30:M30"/>
    <mergeCell ref="K31:M31"/>
    <mergeCell ref="K32:M32"/>
    <mergeCell ref="A33:C33"/>
    <mergeCell ref="K33:M33"/>
    <mergeCell ref="D34:F34"/>
    <mergeCell ref="H34:I34"/>
    <mergeCell ref="K34:M34"/>
    <mergeCell ref="G58:H58"/>
    <mergeCell ref="A61:F61"/>
    <mergeCell ref="K35:M35"/>
    <mergeCell ref="K36:M36"/>
    <mergeCell ref="B37:D37"/>
    <mergeCell ref="F37:H37"/>
    <mergeCell ref="K37:M37"/>
    <mergeCell ref="K38:M38"/>
    <mergeCell ref="K39:M39"/>
    <mergeCell ref="K40:N40"/>
    <mergeCell ref="B41:D41"/>
    <mergeCell ref="K41:N45"/>
    <mergeCell ref="A67:B67"/>
    <mergeCell ref="N71:P72"/>
    <mergeCell ref="B68:I71"/>
    <mergeCell ref="B80:H80"/>
    <mergeCell ref="I80:J80"/>
    <mergeCell ref="B81:H81"/>
    <mergeCell ref="B82:H82"/>
    <mergeCell ref="I82:J82"/>
    <mergeCell ref="P67:R67"/>
    <mergeCell ref="Q140:S140"/>
    <mergeCell ref="N73:S92"/>
    <mergeCell ref="P69:S69"/>
    <mergeCell ref="I72:J72"/>
    <mergeCell ref="B73:I73"/>
    <mergeCell ref="B74:H74"/>
    <mergeCell ref="G75:H75"/>
    <mergeCell ref="B76:H76"/>
    <mergeCell ref="G77:H77"/>
    <mergeCell ref="A79:E79"/>
    <mergeCell ref="I75:L77"/>
    <mergeCell ref="A140:I140"/>
    <mergeCell ref="E62:G62"/>
    <mergeCell ref="K54:K55"/>
    <mergeCell ref="A46:C46"/>
    <mergeCell ref="A47:B47"/>
    <mergeCell ref="D47:E47"/>
    <mergeCell ref="F47:I47"/>
    <mergeCell ref="B48:E48"/>
    <mergeCell ref="F48:I48"/>
    <mergeCell ref="D49:E49"/>
    <mergeCell ref="F49:I49"/>
    <mergeCell ref="B50:E50"/>
    <mergeCell ref="F50:J50"/>
    <mergeCell ref="K46:N48"/>
    <mergeCell ref="K49:N53"/>
    <mergeCell ref="B53:C53"/>
    <mergeCell ref="G54:H54"/>
    <mergeCell ref="G55:H55"/>
    <mergeCell ref="G56:H56"/>
    <mergeCell ref="G57:H57"/>
    <mergeCell ref="F53:I53"/>
    <mergeCell ref="L54:M54"/>
    <mergeCell ref="A56:D56"/>
    <mergeCell ref="C57:D57"/>
    <mergeCell ref="C58:D58"/>
  </mergeCells>
  <conditionalFormatting sqref="D11">
    <cfRule type="cellIs" dxfId="2" priority="3" stopIfTrue="1" operator="greaterThan">
      <formula>30</formula>
    </cfRule>
  </conditionalFormatting>
  <conditionalFormatting sqref="C28 C19 C11">
    <cfRule type="cellIs" dxfId="1" priority="2" stopIfTrue="1" operator="greaterThan">
      <formula>4</formula>
    </cfRule>
  </conditionalFormatting>
  <conditionalFormatting sqref="D28 D19">
    <cfRule type="cellIs" dxfId="0" priority="1" stopIfTrue="1" operator="greaterThan">
      <formula>86</formula>
    </cfRule>
  </conditionalFormatting>
  <hyperlinks>
    <hyperlink ref="A47" location="Extract!AQ20" display="=&quot;(1 tsp = &quot;&amp;D53&amp;&quot;g )&quot;" xr:uid="{00000000-0004-0000-0800-000000000000}"/>
    <hyperlink ref="A47:B47" location="Primer!F47" display="=&quot;(1 tsp = &quot;&amp;D53&amp;&quot;g )&quot;" xr:uid="{00000000-0004-0000-0800-000001000000}"/>
    <hyperlink ref="G49" location="'Beer Data Sheet'!P20" display="'Beer Data Sheet'!P20" xr:uid="{00000000-0004-0000-0800-000002000000}"/>
    <hyperlink ref="H49" location="'Beer Data Sheet'!P20" display="'Beer Data Sheet'!P20" xr:uid="{00000000-0004-0000-0800-000003000000}"/>
  </hyperlinks>
  <printOptions horizontalCentered="1"/>
  <pageMargins left="0.31496062992126" right="0.31496062992126" top="0.31496062992126" bottom="0.55118110236220497" header="0.31496062992126" footer="0.511811023622047"/>
  <pageSetup paperSize="9" scale="44"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Grizli777</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Laycock</dc:creator>
  <cp:keywords/>
  <dc:description/>
  <cp:lastModifiedBy/>
  <cp:revision/>
  <dcterms:created xsi:type="dcterms:W3CDTF">2020-04-10T12:52:00Z</dcterms:created>
  <dcterms:modified xsi:type="dcterms:W3CDTF">2024-07-08T20:39:51Z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B3EB7782FE3A41F38003F5E50B1B581A</vt:lpwstr>
  </property>
  <property fmtid="{D5CDD505-2E9C-101B-9397-08002B2CF9AE}" pid="3" name="KSOProductBuildVer">
    <vt:lpwstr>2057-11.2.0.11498</vt:lpwstr>
  </property>
</Properties>
</file>