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Jim\Documents\Wine Making &amp; Brewing\NAWB\"/>
    </mc:Choice>
  </mc:AlternateContent>
  <xr:revisionPtr revIDLastSave="0" documentId="13_ncr:1_{B3389951-6F7A-451C-9231-80535F550D47}" xr6:coauthVersionLast="47" xr6:coauthVersionMax="47" xr10:uidLastSave="{00000000-0000-0000-0000-000000000000}"/>
  <bookViews>
    <workbookView xWindow="-108" yWindow="-108" windowWidth="23256" windowHeight="12576" tabRatio="806" xr2:uid="{00000000-000D-0000-FFFF-FFFF00000000}"/>
  </bookViews>
  <sheets>
    <sheet name="INDEX" sheetId="1" r:id="rId1"/>
    <sheet name="General Calc's" sheetId="2" r:id="rId2"/>
    <sheet name="Wine &amp; Cider Calc" sheetId="3" r:id="rId3"/>
    <sheet name="Jame's Acid Calc" sheetId="4" r:id="rId4"/>
    <sheet name="Cocktail Calc" sheetId="5" r:id="rId5"/>
    <sheet name="Jam Calc" sheetId="6" r:id="rId6"/>
  </sheets>
  <definedNames>
    <definedName name="_Toc275263954" localSheetId="2">'Wine &amp; Cider Calc'!$BA$88</definedName>
    <definedName name="_xlnm.Print_Area" localSheetId="4">'Cocktail Calc'!$A$1:$U$86</definedName>
    <definedName name="_xlnm.Print_Area" localSheetId="1">'General Calc''s'!$A$1:$Q$192</definedName>
    <definedName name="_xlnm.Print_Area" localSheetId="0">INDEX!$A$1:$G$48</definedName>
    <definedName name="_xlnm.Print_Area" localSheetId="5">'Jam Calc'!$A$1:$Q$96</definedName>
    <definedName name="_xlnm.Print_Area" localSheetId="3">#REF!</definedName>
    <definedName name="_xlnm.Print_Area" localSheetId="2">'Wine &amp; Cider Calc'!$A$1:$X$148</definedName>
  </definedNames>
  <calcPr calcId="191029"/>
</workbook>
</file>

<file path=xl/calcChain.xml><?xml version="1.0" encoding="utf-8"?>
<calcChain xmlns="http://schemas.openxmlformats.org/spreadsheetml/2006/main">
  <c r="R83" i="5" l="1"/>
  <c r="Q82" i="5" s="1"/>
  <c r="P82" i="5"/>
  <c r="O82" i="5"/>
  <c r="O143" i="2" l="1"/>
  <c r="J81" i="6" l="1"/>
  <c r="I81" i="6"/>
  <c r="E81" i="6"/>
  <c r="K81" i="6" s="1"/>
  <c r="J80" i="6"/>
  <c r="I80" i="6"/>
  <c r="E80" i="6"/>
  <c r="M80" i="6" s="1"/>
  <c r="J79" i="6"/>
  <c r="I79" i="6"/>
  <c r="E79" i="6"/>
  <c r="K79" i="6" s="1"/>
  <c r="J78" i="6"/>
  <c r="I78" i="6"/>
  <c r="E78" i="6"/>
  <c r="K78" i="6" s="1"/>
  <c r="J77" i="6"/>
  <c r="I77" i="6"/>
  <c r="E77" i="6"/>
  <c r="K77" i="6" s="1"/>
  <c r="J76" i="6"/>
  <c r="I76" i="6"/>
  <c r="E76" i="6"/>
  <c r="M76" i="6" s="1"/>
  <c r="J75" i="6"/>
  <c r="I75" i="6"/>
  <c r="E75" i="6"/>
  <c r="K75" i="6" s="1"/>
  <c r="J74" i="6"/>
  <c r="I74" i="6"/>
  <c r="E74" i="6"/>
  <c r="K74" i="6" s="1"/>
  <c r="J73" i="6"/>
  <c r="I73" i="6"/>
  <c r="E73" i="6"/>
  <c r="K73" i="6" s="1"/>
  <c r="J72" i="6"/>
  <c r="I72" i="6"/>
  <c r="E72" i="6"/>
  <c r="M72" i="6" s="1"/>
  <c r="J71" i="6"/>
  <c r="I71" i="6"/>
  <c r="E71" i="6"/>
  <c r="K71" i="6" s="1"/>
  <c r="J70" i="6"/>
  <c r="I70" i="6"/>
  <c r="E70" i="6"/>
  <c r="K70" i="6" s="1"/>
  <c r="J69" i="6"/>
  <c r="I69" i="6"/>
  <c r="E69" i="6"/>
  <c r="K69" i="6" s="1"/>
  <c r="J68" i="6"/>
  <c r="I68" i="6"/>
  <c r="E68" i="6"/>
  <c r="M68" i="6" s="1"/>
  <c r="J67" i="6"/>
  <c r="I67" i="6"/>
  <c r="E67" i="6"/>
  <c r="K67" i="6" s="1"/>
  <c r="J66" i="6"/>
  <c r="I66" i="6"/>
  <c r="E66" i="6"/>
  <c r="K66" i="6" s="1"/>
  <c r="J65" i="6"/>
  <c r="I65" i="6"/>
  <c r="E65" i="6"/>
  <c r="K65" i="6" s="1"/>
  <c r="J64" i="6"/>
  <c r="I64" i="6"/>
  <c r="E64" i="6"/>
  <c r="M64" i="6" s="1"/>
  <c r="J63" i="6"/>
  <c r="I63" i="6"/>
  <c r="E63" i="6"/>
  <c r="M63" i="6" s="1"/>
  <c r="J62" i="6"/>
  <c r="I62" i="6"/>
  <c r="E62" i="6"/>
  <c r="K62" i="6" s="1"/>
  <c r="J61" i="6"/>
  <c r="I61" i="6"/>
  <c r="E61" i="6"/>
  <c r="K61" i="6" s="1"/>
  <c r="J60" i="6"/>
  <c r="I60" i="6"/>
  <c r="E60" i="6"/>
  <c r="M60" i="6" s="1"/>
  <c r="J59" i="6"/>
  <c r="I59" i="6"/>
  <c r="E59" i="6"/>
  <c r="K59" i="6" s="1"/>
  <c r="J58" i="6"/>
  <c r="I58" i="6"/>
  <c r="E58" i="6"/>
  <c r="K58" i="6" s="1"/>
  <c r="J57" i="6"/>
  <c r="I57" i="6"/>
  <c r="E57" i="6"/>
  <c r="K57" i="6" s="1"/>
  <c r="J56" i="6"/>
  <c r="I56" i="6"/>
  <c r="E56" i="6"/>
  <c r="M56" i="6" s="1"/>
  <c r="J55" i="6"/>
  <c r="I55" i="6"/>
  <c r="E55" i="6"/>
  <c r="M55" i="6" s="1"/>
  <c r="J54" i="6"/>
  <c r="I54" i="6"/>
  <c r="E54" i="6"/>
  <c r="M54" i="6" s="1"/>
  <c r="J53" i="6"/>
  <c r="I53" i="6"/>
  <c r="E53" i="6"/>
  <c r="K53" i="6" s="1"/>
  <c r="J52" i="6"/>
  <c r="I52" i="6"/>
  <c r="E52" i="6"/>
  <c r="M52" i="6" s="1"/>
  <c r="J51" i="6"/>
  <c r="I51" i="6"/>
  <c r="E51" i="6"/>
  <c r="K51" i="6" s="1"/>
  <c r="J50" i="6"/>
  <c r="I50" i="6"/>
  <c r="E50" i="6"/>
  <c r="M50" i="6" s="1"/>
  <c r="J49" i="6"/>
  <c r="I49" i="6"/>
  <c r="E49" i="6"/>
  <c r="K49" i="6" s="1"/>
  <c r="J48" i="6"/>
  <c r="I48" i="6"/>
  <c r="E48" i="6"/>
  <c r="M48" i="6" s="1"/>
  <c r="J47" i="6"/>
  <c r="I47" i="6"/>
  <c r="E47" i="6"/>
  <c r="K47" i="6" s="1"/>
  <c r="J46" i="6"/>
  <c r="I46" i="6"/>
  <c r="E46" i="6"/>
  <c r="M46" i="6" s="1"/>
  <c r="J45" i="6"/>
  <c r="I45" i="6"/>
  <c r="E45" i="6"/>
  <c r="K45" i="6" s="1"/>
  <c r="J44" i="6"/>
  <c r="I44" i="6"/>
  <c r="E44" i="6"/>
  <c r="M44" i="6" s="1"/>
  <c r="J43" i="6"/>
  <c r="I43" i="6"/>
  <c r="E43" i="6"/>
  <c r="K43" i="6" s="1"/>
  <c r="J42" i="6"/>
  <c r="I42" i="6"/>
  <c r="E42" i="6"/>
  <c r="M42" i="6" s="1"/>
  <c r="J41" i="6"/>
  <c r="I41" i="6"/>
  <c r="E41" i="6"/>
  <c r="K41" i="6" s="1"/>
  <c r="J40" i="6"/>
  <c r="I40" i="6"/>
  <c r="E40" i="6"/>
  <c r="M40" i="6" s="1"/>
  <c r="J39" i="6"/>
  <c r="I39" i="6"/>
  <c r="E39" i="6"/>
  <c r="K39" i="6" s="1"/>
  <c r="J38" i="6"/>
  <c r="I38" i="6"/>
  <c r="E38" i="6"/>
  <c r="M38" i="6" s="1"/>
  <c r="J37" i="6"/>
  <c r="I37" i="6"/>
  <c r="E37" i="6"/>
  <c r="K37" i="6" s="1"/>
  <c r="J36" i="6"/>
  <c r="I36" i="6"/>
  <c r="E36" i="6"/>
  <c r="M36" i="6" s="1"/>
  <c r="J35" i="6"/>
  <c r="I35" i="6"/>
  <c r="E35" i="6"/>
  <c r="K35" i="6" s="1"/>
  <c r="J34" i="6"/>
  <c r="I34" i="6"/>
  <c r="E34" i="6"/>
  <c r="M34" i="6" s="1"/>
  <c r="J33" i="6"/>
  <c r="I33" i="6"/>
  <c r="E33" i="6"/>
  <c r="K33" i="6" s="1"/>
  <c r="J32" i="6"/>
  <c r="I32" i="6"/>
  <c r="E32" i="6"/>
  <c r="M32" i="6" s="1"/>
  <c r="J31" i="6"/>
  <c r="I31" i="6"/>
  <c r="E31" i="6"/>
  <c r="M31" i="6" s="1"/>
  <c r="J30" i="6"/>
  <c r="I30" i="6"/>
  <c r="E30" i="6"/>
  <c r="M30" i="6" s="1"/>
  <c r="J29" i="6"/>
  <c r="I29" i="6"/>
  <c r="E29" i="6"/>
  <c r="K29" i="6" s="1"/>
  <c r="J28" i="6"/>
  <c r="I28" i="6"/>
  <c r="E28" i="6"/>
  <c r="M28" i="6" s="1"/>
  <c r="J27" i="6"/>
  <c r="I27" i="6"/>
  <c r="E27" i="6"/>
  <c r="K27" i="6" s="1"/>
  <c r="J26" i="6"/>
  <c r="I26" i="6"/>
  <c r="E26" i="6"/>
  <c r="M26" i="6" s="1"/>
  <c r="J25" i="6"/>
  <c r="I25" i="6"/>
  <c r="E25" i="6"/>
  <c r="K25" i="6" s="1"/>
  <c r="J24" i="6"/>
  <c r="I24" i="6"/>
  <c r="E24" i="6"/>
  <c r="M24" i="6" s="1"/>
  <c r="J23" i="6"/>
  <c r="I23" i="6"/>
  <c r="E23" i="6"/>
  <c r="M23" i="6" s="1"/>
  <c r="J22" i="6"/>
  <c r="I22" i="6"/>
  <c r="E22" i="6"/>
  <c r="M22" i="6" s="1"/>
  <c r="J21" i="6"/>
  <c r="I21" i="6"/>
  <c r="E21" i="6"/>
  <c r="K21" i="6" s="1"/>
  <c r="J20" i="6"/>
  <c r="I20" i="6"/>
  <c r="E20" i="6"/>
  <c r="M20" i="6" s="1"/>
  <c r="L15" i="6"/>
  <c r="D11" i="6"/>
  <c r="D10" i="6"/>
  <c r="D9" i="6"/>
  <c r="D8" i="6"/>
  <c r="L84" i="5"/>
  <c r="C84" i="5"/>
  <c r="I83" i="5"/>
  <c r="H83" i="5"/>
  <c r="G83" i="5"/>
  <c r="I82" i="5"/>
  <c r="H82" i="5"/>
  <c r="G82" i="5"/>
  <c r="Q81" i="5"/>
  <c r="P81" i="5"/>
  <c r="O81" i="5"/>
  <c r="I81" i="5"/>
  <c r="H81" i="5"/>
  <c r="G81" i="5"/>
  <c r="Q80" i="5"/>
  <c r="P80" i="5"/>
  <c r="O80" i="5"/>
  <c r="I80" i="5"/>
  <c r="H80" i="5"/>
  <c r="G80" i="5"/>
  <c r="Q79" i="5"/>
  <c r="P79" i="5"/>
  <c r="O79" i="5"/>
  <c r="I79" i="5"/>
  <c r="H79" i="5"/>
  <c r="G79" i="5"/>
  <c r="Q78" i="5"/>
  <c r="P78" i="5"/>
  <c r="O78" i="5"/>
  <c r="I78" i="5"/>
  <c r="H78" i="5"/>
  <c r="G78" i="5"/>
  <c r="Q77" i="5"/>
  <c r="P77" i="5"/>
  <c r="O77" i="5"/>
  <c r="I77" i="5"/>
  <c r="H77" i="5"/>
  <c r="G77" i="5"/>
  <c r="Q76" i="5"/>
  <c r="P76" i="5"/>
  <c r="O76" i="5"/>
  <c r="I76" i="5"/>
  <c r="H76" i="5"/>
  <c r="G76" i="5"/>
  <c r="I75" i="5"/>
  <c r="H75" i="5"/>
  <c r="G75" i="5"/>
  <c r="P74" i="5"/>
  <c r="O74" i="5"/>
  <c r="I74" i="5"/>
  <c r="H74" i="5"/>
  <c r="G74" i="5"/>
  <c r="P73" i="5"/>
  <c r="O73" i="5"/>
  <c r="I73" i="5"/>
  <c r="H73" i="5"/>
  <c r="G73" i="5"/>
  <c r="P72" i="5"/>
  <c r="O72" i="5"/>
  <c r="I72" i="5"/>
  <c r="H72" i="5"/>
  <c r="G72" i="5"/>
  <c r="P71" i="5"/>
  <c r="O71" i="5"/>
  <c r="I71" i="5"/>
  <c r="H71" i="5"/>
  <c r="G71" i="5"/>
  <c r="P70" i="5"/>
  <c r="O70" i="5"/>
  <c r="I70" i="5"/>
  <c r="H70" i="5"/>
  <c r="G70" i="5"/>
  <c r="P69" i="5"/>
  <c r="O69" i="5"/>
  <c r="I69" i="5"/>
  <c r="H69" i="5"/>
  <c r="G69" i="5"/>
  <c r="P68" i="5"/>
  <c r="O68" i="5"/>
  <c r="I68" i="5"/>
  <c r="H68" i="5"/>
  <c r="G68" i="5"/>
  <c r="P67" i="5"/>
  <c r="O67" i="5"/>
  <c r="I67" i="5"/>
  <c r="H67" i="5"/>
  <c r="G67" i="5"/>
  <c r="P66" i="5"/>
  <c r="O66" i="5"/>
  <c r="I66" i="5"/>
  <c r="H66" i="5"/>
  <c r="G66" i="5"/>
  <c r="P65" i="5"/>
  <c r="O65" i="5"/>
  <c r="I65" i="5"/>
  <c r="H65" i="5"/>
  <c r="G65" i="5"/>
  <c r="P64" i="5"/>
  <c r="O64" i="5"/>
  <c r="I64" i="5"/>
  <c r="H64" i="5"/>
  <c r="G64" i="5"/>
  <c r="P63" i="5"/>
  <c r="O63" i="5"/>
  <c r="I63" i="5"/>
  <c r="H63" i="5"/>
  <c r="G63" i="5"/>
  <c r="P62" i="5"/>
  <c r="O62" i="5"/>
  <c r="I62" i="5"/>
  <c r="H62" i="5"/>
  <c r="G62" i="5"/>
  <c r="P61" i="5"/>
  <c r="O61" i="5"/>
  <c r="I61" i="5"/>
  <c r="H61" i="5"/>
  <c r="G61" i="5"/>
  <c r="P60" i="5"/>
  <c r="O60" i="5"/>
  <c r="I60" i="5"/>
  <c r="H60" i="5"/>
  <c r="G60" i="5"/>
  <c r="P59" i="5"/>
  <c r="O59" i="5"/>
  <c r="I59" i="5"/>
  <c r="H59" i="5"/>
  <c r="G59" i="5"/>
  <c r="P58" i="5"/>
  <c r="O58" i="5"/>
  <c r="I58" i="5"/>
  <c r="H58" i="5"/>
  <c r="G58" i="5"/>
  <c r="P57" i="5"/>
  <c r="O57" i="5"/>
  <c r="I57" i="5"/>
  <c r="H57" i="5"/>
  <c r="G57" i="5"/>
  <c r="P56" i="5"/>
  <c r="O56" i="5"/>
  <c r="I56" i="5"/>
  <c r="H56" i="5"/>
  <c r="G56" i="5"/>
  <c r="P55" i="5"/>
  <c r="O55" i="5"/>
  <c r="I55" i="5"/>
  <c r="H55" i="5"/>
  <c r="G55" i="5"/>
  <c r="P54" i="5"/>
  <c r="O54" i="5"/>
  <c r="I54" i="5"/>
  <c r="H54" i="5"/>
  <c r="G54" i="5"/>
  <c r="P53" i="5"/>
  <c r="O53" i="5"/>
  <c r="I53" i="5"/>
  <c r="H53" i="5"/>
  <c r="G53" i="5"/>
  <c r="P52" i="5"/>
  <c r="O52" i="5"/>
  <c r="I52" i="5"/>
  <c r="H52" i="5"/>
  <c r="G52" i="5"/>
  <c r="P51" i="5"/>
  <c r="O51" i="5"/>
  <c r="I51" i="5"/>
  <c r="H51" i="5"/>
  <c r="G51" i="5"/>
  <c r="P50" i="5"/>
  <c r="O50" i="5"/>
  <c r="I50" i="5"/>
  <c r="H50" i="5"/>
  <c r="G50" i="5"/>
  <c r="P49" i="5"/>
  <c r="O49" i="5"/>
  <c r="I49" i="5"/>
  <c r="H49" i="5"/>
  <c r="G49" i="5"/>
  <c r="P48" i="5"/>
  <c r="O48" i="5"/>
  <c r="I48" i="5"/>
  <c r="H48" i="5"/>
  <c r="G48" i="5"/>
  <c r="P47" i="5"/>
  <c r="O47" i="5"/>
  <c r="I47" i="5"/>
  <c r="H47" i="5"/>
  <c r="G47" i="5"/>
  <c r="P46" i="5"/>
  <c r="O46" i="5"/>
  <c r="I46" i="5"/>
  <c r="H46" i="5"/>
  <c r="G46" i="5"/>
  <c r="P45" i="5"/>
  <c r="O45" i="5"/>
  <c r="I45" i="5"/>
  <c r="H45" i="5"/>
  <c r="G45" i="5"/>
  <c r="P44" i="5"/>
  <c r="O44" i="5"/>
  <c r="I44" i="5"/>
  <c r="H44" i="5"/>
  <c r="G44" i="5"/>
  <c r="P43" i="5"/>
  <c r="O43" i="5"/>
  <c r="I43" i="5"/>
  <c r="H43" i="5"/>
  <c r="G43" i="5"/>
  <c r="P42" i="5"/>
  <c r="O42" i="5"/>
  <c r="I42" i="5"/>
  <c r="H42" i="5"/>
  <c r="G42" i="5"/>
  <c r="P41" i="5"/>
  <c r="O41" i="5"/>
  <c r="I41" i="5"/>
  <c r="H41" i="5"/>
  <c r="G41" i="5"/>
  <c r="P40" i="5"/>
  <c r="O40" i="5"/>
  <c r="I40" i="5"/>
  <c r="H40" i="5"/>
  <c r="G40" i="5"/>
  <c r="P39" i="5"/>
  <c r="O39" i="5"/>
  <c r="I39" i="5"/>
  <c r="H39" i="5"/>
  <c r="G39" i="5"/>
  <c r="P38" i="5"/>
  <c r="O38" i="5"/>
  <c r="I38" i="5"/>
  <c r="H38" i="5"/>
  <c r="G38" i="5"/>
  <c r="P37" i="5"/>
  <c r="O37" i="5"/>
  <c r="I37" i="5"/>
  <c r="H37" i="5"/>
  <c r="G37" i="5"/>
  <c r="P36" i="5"/>
  <c r="O36" i="5"/>
  <c r="I36" i="5"/>
  <c r="H36" i="5"/>
  <c r="G36" i="5"/>
  <c r="P35" i="5"/>
  <c r="O35" i="5"/>
  <c r="I35" i="5"/>
  <c r="H35" i="5"/>
  <c r="G35" i="5"/>
  <c r="P34" i="5"/>
  <c r="O34" i="5"/>
  <c r="I34" i="5"/>
  <c r="H34" i="5"/>
  <c r="G34" i="5"/>
  <c r="P33" i="5"/>
  <c r="O33" i="5"/>
  <c r="I33" i="5"/>
  <c r="H33" i="5"/>
  <c r="G33" i="5"/>
  <c r="P32" i="5"/>
  <c r="O32" i="5"/>
  <c r="I32" i="5"/>
  <c r="H32" i="5"/>
  <c r="G32" i="5"/>
  <c r="P31" i="5"/>
  <c r="O31" i="5"/>
  <c r="I31" i="5"/>
  <c r="H31" i="5"/>
  <c r="G31" i="5"/>
  <c r="P30" i="5"/>
  <c r="O30" i="5"/>
  <c r="I30" i="5"/>
  <c r="H30" i="5"/>
  <c r="G30" i="5"/>
  <c r="P29" i="5"/>
  <c r="O29" i="5"/>
  <c r="I29" i="5"/>
  <c r="H29" i="5"/>
  <c r="G29" i="5"/>
  <c r="P28" i="5"/>
  <c r="O28" i="5"/>
  <c r="I28" i="5"/>
  <c r="H28" i="5"/>
  <c r="G28" i="5"/>
  <c r="P27" i="5"/>
  <c r="O27" i="5"/>
  <c r="I27" i="5"/>
  <c r="H27" i="5"/>
  <c r="G27" i="5"/>
  <c r="P26" i="5"/>
  <c r="O26" i="5"/>
  <c r="I26" i="5"/>
  <c r="H26" i="5"/>
  <c r="G26" i="5"/>
  <c r="P25" i="5"/>
  <c r="O25" i="5"/>
  <c r="I25" i="5"/>
  <c r="H25" i="5"/>
  <c r="G25" i="5"/>
  <c r="P24" i="5"/>
  <c r="O24" i="5"/>
  <c r="I24" i="5"/>
  <c r="H24" i="5"/>
  <c r="G24" i="5"/>
  <c r="P23" i="5"/>
  <c r="O23" i="5"/>
  <c r="I23" i="5"/>
  <c r="H23" i="5"/>
  <c r="G23" i="5"/>
  <c r="P22" i="5"/>
  <c r="O22" i="5"/>
  <c r="I22" i="5"/>
  <c r="H22" i="5"/>
  <c r="G22" i="5"/>
  <c r="P21" i="5"/>
  <c r="O21" i="5"/>
  <c r="I21" i="5"/>
  <c r="H21" i="5"/>
  <c r="G21" i="5"/>
  <c r="P20" i="5"/>
  <c r="O20" i="5"/>
  <c r="I20" i="5"/>
  <c r="H20" i="5"/>
  <c r="G20" i="5"/>
  <c r="P19" i="5"/>
  <c r="O19" i="5"/>
  <c r="I19" i="5"/>
  <c r="H19" i="5"/>
  <c r="G19" i="5"/>
  <c r="P18" i="5"/>
  <c r="O18" i="5"/>
  <c r="I18" i="5"/>
  <c r="H18" i="5"/>
  <c r="G18" i="5"/>
  <c r="P17" i="5"/>
  <c r="O17" i="5"/>
  <c r="I17" i="5"/>
  <c r="H17" i="5"/>
  <c r="G17" i="5"/>
  <c r="P16" i="5"/>
  <c r="O16" i="5"/>
  <c r="I16" i="5"/>
  <c r="H16" i="5"/>
  <c r="G16" i="5"/>
  <c r="P15" i="5"/>
  <c r="O15" i="5"/>
  <c r="I15" i="5"/>
  <c r="H15" i="5"/>
  <c r="G15" i="5"/>
  <c r="P14" i="5"/>
  <c r="O14" i="5"/>
  <c r="I14" i="5"/>
  <c r="H14" i="5"/>
  <c r="G14" i="5"/>
  <c r="A4" i="5"/>
  <c r="C25" i="4"/>
  <c r="C17" i="4"/>
  <c r="C20" i="4" s="1"/>
  <c r="Q204" i="3"/>
  <c r="P204" i="3"/>
  <c r="Q202" i="3"/>
  <c r="P202" i="3"/>
  <c r="Q200" i="3"/>
  <c r="P200" i="3"/>
  <c r="Q198" i="3"/>
  <c r="P198" i="3"/>
  <c r="Q196" i="3"/>
  <c r="P196" i="3"/>
  <c r="Q194" i="3"/>
  <c r="P194" i="3"/>
  <c r="Q192" i="3"/>
  <c r="P192" i="3"/>
  <c r="Q190" i="3"/>
  <c r="P190" i="3"/>
  <c r="Q188" i="3"/>
  <c r="P188" i="3"/>
  <c r="Q186" i="3"/>
  <c r="P186" i="3"/>
  <c r="Q184" i="3"/>
  <c r="P184" i="3"/>
  <c r="Q182" i="3"/>
  <c r="P182" i="3"/>
  <c r="Q180" i="3"/>
  <c r="P180" i="3"/>
  <c r="S176" i="3"/>
  <c r="V176" i="3" s="1"/>
  <c r="V175" i="3"/>
  <c r="V174" i="3"/>
  <c r="V173" i="3"/>
  <c r="V172" i="3"/>
  <c r="V171" i="3"/>
  <c r="V170" i="3"/>
  <c r="V169" i="3"/>
  <c r="V168" i="3"/>
  <c r="V167" i="3"/>
  <c r="Q163" i="3"/>
  <c r="U155" i="3"/>
  <c r="K154" i="3"/>
  <c r="J154" i="3"/>
  <c r="L153" i="3"/>
  <c r="J153" i="3"/>
  <c r="U152" i="3"/>
  <c r="P152" i="3"/>
  <c r="Q152" i="3" s="1"/>
  <c r="N152" i="3"/>
  <c r="L152" i="3"/>
  <c r="K152" i="3" s="1"/>
  <c r="AN142" i="3"/>
  <c r="AW142" i="3" s="1"/>
  <c r="T142" i="3"/>
  <c r="U142" i="3" s="1"/>
  <c r="S142" i="3"/>
  <c r="E142" i="3"/>
  <c r="D142" i="3"/>
  <c r="AY141" i="3"/>
  <c r="AN141" i="3"/>
  <c r="AV141" i="3" s="1"/>
  <c r="S141" i="3"/>
  <c r="T141" i="3" s="1"/>
  <c r="U141" i="3" s="1"/>
  <c r="M141" i="3"/>
  <c r="E141" i="3"/>
  <c r="D141" i="3"/>
  <c r="AN140" i="3"/>
  <c r="AV140" i="3" s="1"/>
  <c r="S140" i="3"/>
  <c r="T140" i="3" s="1"/>
  <c r="U140" i="3" s="1"/>
  <c r="N140" i="3"/>
  <c r="J142" i="3" s="1"/>
  <c r="M140" i="3"/>
  <c r="E140" i="3"/>
  <c r="D140" i="3"/>
  <c r="AN139" i="3"/>
  <c r="AV139" i="3" s="1"/>
  <c r="S139" i="3"/>
  <c r="T139" i="3" s="1"/>
  <c r="U139" i="3" s="1"/>
  <c r="M139" i="3"/>
  <c r="O139" i="3" s="1"/>
  <c r="N139" i="3" s="1"/>
  <c r="E139" i="3"/>
  <c r="D139" i="3"/>
  <c r="AN138" i="3"/>
  <c r="AV138" i="3" s="1"/>
  <c r="S138" i="3"/>
  <c r="T138" i="3" s="1"/>
  <c r="U138" i="3" s="1"/>
  <c r="M138" i="3"/>
  <c r="O138" i="3" s="1"/>
  <c r="N138" i="3" s="1"/>
  <c r="E138" i="3"/>
  <c r="D138" i="3"/>
  <c r="AN137" i="3"/>
  <c r="AV137" i="3" s="1"/>
  <c r="T137" i="3"/>
  <c r="U137" i="3" s="1"/>
  <c r="S137" i="3"/>
  <c r="M137" i="3"/>
  <c r="O137" i="3" s="1"/>
  <c r="N137" i="3" s="1"/>
  <c r="E137" i="3"/>
  <c r="D137" i="3"/>
  <c r="AN136" i="3"/>
  <c r="AV136" i="3" s="1"/>
  <c r="S136" i="3"/>
  <c r="T136" i="3" s="1"/>
  <c r="U136" i="3" s="1"/>
  <c r="M136" i="3"/>
  <c r="E136" i="3"/>
  <c r="D136" i="3"/>
  <c r="AN135" i="3"/>
  <c r="AV135" i="3" s="1"/>
  <c r="S135" i="3"/>
  <c r="T135" i="3" s="1"/>
  <c r="U135" i="3" s="1"/>
  <c r="M135" i="3"/>
  <c r="O135" i="3" s="1"/>
  <c r="N135" i="3" s="1"/>
  <c r="E135" i="3"/>
  <c r="D135" i="3"/>
  <c r="S134" i="3"/>
  <c r="T134" i="3" s="1"/>
  <c r="U134" i="3" s="1"/>
  <c r="O134" i="3"/>
  <c r="N134" i="3" s="1"/>
  <c r="S132" i="3"/>
  <c r="M132" i="3"/>
  <c r="AY131" i="3"/>
  <c r="AX131" i="3"/>
  <c r="AW131" i="3"/>
  <c r="AV131" i="3"/>
  <c r="AU131" i="3"/>
  <c r="AT131" i="3"/>
  <c r="AS131" i="3"/>
  <c r="AQ131" i="3"/>
  <c r="AP131" i="3"/>
  <c r="AO131" i="3"/>
  <c r="AN131" i="3"/>
  <c r="AE131" i="3"/>
  <c r="AR131" i="3" s="1"/>
  <c r="E131" i="3"/>
  <c r="D131" i="3"/>
  <c r="AY130" i="3"/>
  <c r="AX130" i="3"/>
  <c r="AW130" i="3"/>
  <c r="AV130" i="3"/>
  <c r="AU130" i="3"/>
  <c r="AT130" i="3"/>
  <c r="AS130" i="3"/>
  <c r="AQ130" i="3"/>
  <c r="AP130" i="3"/>
  <c r="AO130" i="3"/>
  <c r="AN130" i="3"/>
  <c r="AE130" i="3"/>
  <c r="AR130" i="3" s="1"/>
  <c r="E130" i="3"/>
  <c r="D130" i="3"/>
  <c r="AY129" i="3"/>
  <c r="AX129" i="3"/>
  <c r="AW129" i="3"/>
  <c r="AV129" i="3"/>
  <c r="AU129" i="3"/>
  <c r="AT129" i="3"/>
  <c r="AS129" i="3"/>
  <c r="AQ129" i="3"/>
  <c r="AP129" i="3"/>
  <c r="AO129" i="3"/>
  <c r="AN129" i="3"/>
  <c r="AE129" i="3"/>
  <c r="AR129" i="3" s="1"/>
  <c r="E129" i="3"/>
  <c r="D129" i="3"/>
  <c r="AY128" i="3"/>
  <c r="AX128" i="3"/>
  <c r="AW128" i="3"/>
  <c r="AV128" i="3"/>
  <c r="AU128" i="3"/>
  <c r="AT128" i="3"/>
  <c r="AS128" i="3"/>
  <c r="AQ128" i="3"/>
  <c r="AP128" i="3"/>
  <c r="AO128" i="3"/>
  <c r="AN128" i="3"/>
  <c r="AE128" i="3"/>
  <c r="AR128" i="3" s="1"/>
  <c r="W128" i="3"/>
  <c r="E128" i="3"/>
  <c r="D128" i="3"/>
  <c r="AY127" i="3"/>
  <c r="AX127" i="3"/>
  <c r="AW127" i="3"/>
  <c r="AV127" i="3"/>
  <c r="AU127" i="3"/>
  <c r="AT127" i="3"/>
  <c r="AS127" i="3"/>
  <c r="AQ127" i="3"/>
  <c r="AP127" i="3"/>
  <c r="AO127" i="3"/>
  <c r="AN127" i="3"/>
  <c r="AE127" i="3"/>
  <c r="AR127" i="3" s="1"/>
  <c r="Q127" i="3"/>
  <c r="E127" i="3"/>
  <c r="D127" i="3"/>
  <c r="AO126" i="3"/>
  <c r="AN126" i="3"/>
  <c r="AL126" i="3"/>
  <c r="AY126" i="3" s="1"/>
  <c r="AK126" i="3"/>
  <c r="AX126" i="3" s="1"/>
  <c r="AJ126" i="3"/>
  <c r="AW126" i="3" s="1"/>
  <c r="AI126" i="3"/>
  <c r="AV126" i="3" s="1"/>
  <c r="AH126" i="3"/>
  <c r="AU126" i="3" s="1"/>
  <c r="AG126" i="3"/>
  <c r="AT126" i="3" s="1"/>
  <c r="AF126" i="3"/>
  <c r="AS126" i="3" s="1"/>
  <c r="AD126" i="3"/>
  <c r="AQ126" i="3" s="1"/>
  <c r="AC126" i="3"/>
  <c r="AP126" i="3" s="1"/>
  <c r="E126" i="3"/>
  <c r="D126" i="3"/>
  <c r="AU125" i="3"/>
  <c r="AT125" i="3"/>
  <c r="AS125" i="3"/>
  <c r="AQ125" i="3"/>
  <c r="AP125" i="3"/>
  <c r="AN125" i="3"/>
  <c r="AL125" i="3"/>
  <c r="AY125" i="3" s="1"/>
  <c r="AK125" i="3"/>
  <c r="AX125" i="3" s="1"/>
  <c r="AJ125" i="3"/>
  <c r="AW125" i="3" s="1"/>
  <c r="AI125" i="3"/>
  <c r="AV125" i="3" s="1"/>
  <c r="G125" i="3"/>
  <c r="AE125" i="3" s="1"/>
  <c r="AR125" i="3" s="1"/>
  <c r="E125" i="3"/>
  <c r="D125" i="3"/>
  <c r="AY124" i="3"/>
  <c r="AX124" i="3"/>
  <c r="AW124" i="3"/>
  <c r="AV124" i="3"/>
  <c r="AU124" i="3"/>
  <c r="AT124" i="3"/>
  <c r="AS124" i="3"/>
  <c r="AQ124" i="3"/>
  <c r="AP124" i="3"/>
  <c r="AO124" i="3"/>
  <c r="AN124" i="3"/>
  <c r="AE124" i="3"/>
  <c r="AE126" i="3" s="1"/>
  <c r="AR126" i="3" s="1"/>
  <c r="E124" i="3"/>
  <c r="D124" i="3"/>
  <c r="AY123" i="3"/>
  <c r="AX123" i="3"/>
  <c r="AW123" i="3"/>
  <c r="AV123" i="3"/>
  <c r="AU123" i="3"/>
  <c r="AT123" i="3"/>
  <c r="AS123" i="3"/>
  <c r="AQ123" i="3"/>
  <c r="AP123" i="3"/>
  <c r="AO123" i="3"/>
  <c r="AN123" i="3"/>
  <c r="AE123" i="3"/>
  <c r="AR123" i="3" s="1"/>
  <c r="E123" i="3"/>
  <c r="D123" i="3"/>
  <c r="AY122" i="3"/>
  <c r="AX122" i="3"/>
  <c r="AW122" i="3"/>
  <c r="AV122" i="3"/>
  <c r="AU122" i="3"/>
  <c r="AT122" i="3"/>
  <c r="AS122" i="3"/>
  <c r="AQ122" i="3"/>
  <c r="AP122" i="3"/>
  <c r="AO122" i="3"/>
  <c r="AN122" i="3"/>
  <c r="AE122" i="3"/>
  <c r="AR122" i="3" s="1"/>
  <c r="E122" i="3"/>
  <c r="D122" i="3"/>
  <c r="AY121" i="3"/>
  <c r="AX121" i="3"/>
  <c r="AW121" i="3"/>
  <c r="AV121" i="3"/>
  <c r="AU121" i="3"/>
  <c r="AT121" i="3"/>
  <c r="AS121" i="3"/>
  <c r="AQ121" i="3"/>
  <c r="AP121" i="3"/>
  <c r="AO121" i="3"/>
  <c r="AN121" i="3"/>
  <c r="AE121" i="3"/>
  <c r="AR121" i="3" s="1"/>
  <c r="E121" i="3"/>
  <c r="D121" i="3"/>
  <c r="AY120" i="3"/>
  <c r="AX120" i="3"/>
  <c r="AW120" i="3"/>
  <c r="AV120" i="3"/>
  <c r="AU120" i="3"/>
  <c r="AT120" i="3"/>
  <c r="AS120" i="3"/>
  <c r="AQ120" i="3"/>
  <c r="AP120" i="3"/>
  <c r="AO120" i="3"/>
  <c r="AN120" i="3"/>
  <c r="AE120" i="3"/>
  <c r="AR120" i="3" s="1"/>
  <c r="E120" i="3"/>
  <c r="D120" i="3"/>
  <c r="AY119" i="3"/>
  <c r="AX119" i="3"/>
  <c r="AW119" i="3"/>
  <c r="AV119" i="3"/>
  <c r="AU119" i="3"/>
  <c r="AT119" i="3"/>
  <c r="AS119" i="3"/>
  <c r="AQ119" i="3"/>
  <c r="AP119" i="3"/>
  <c r="AO119" i="3"/>
  <c r="AN119" i="3"/>
  <c r="AE119" i="3"/>
  <c r="AR119" i="3" s="1"/>
  <c r="Q119" i="3"/>
  <c r="E119" i="3"/>
  <c r="D119" i="3"/>
  <c r="AY118" i="3"/>
  <c r="AX118" i="3"/>
  <c r="AW118" i="3"/>
  <c r="AV118" i="3"/>
  <c r="AU118" i="3"/>
  <c r="AT118" i="3"/>
  <c r="AS118" i="3"/>
  <c r="AQ118" i="3"/>
  <c r="AP118" i="3"/>
  <c r="AO118" i="3"/>
  <c r="AN118" i="3"/>
  <c r="AE118" i="3"/>
  <c r="AR118" i="3" s="1"/>
  <c r="E118" i="3"/>
  <c r="D118" i="3"/>
  <c r="AY117" i="3"/>
  <c r="AX117" i="3"/>
  <c r="AW117" i="3"/>
  <c r="AV117" i="3"/>
  <c r="AU117" i="3"/>
  <c r="AT117" i="3"/>
  <c r="AS117" i="3"/>
  <c r="AQ117" i="3"/>
  <c r="AP117" i="3"/>
  <c r="AO117" i="3"/>
  <c r="AN117" i="3"/>
  <c r="AE117" i="3"/>
  <c r="AR117" i="3" s="1"/>
  <c r="E117" i="3"/>
  <c r="D117" i="3"/>
  <c r="AY114" i="3"/>
  <c r="AX114" i="3"/>
  <c r="AW114" i="3"/>
  <c r="AV114" i="3"/>
  <c r="AU114" i="3"/>
  <c r="AT114" i="3"/>
  <c r="AS114" i="3"/>
  <c r="AQ114" i="3"/>
  <c r="AP114" i="3"/>
  <c r="AO114" i="3"/>
  <c r="AN114" i="3"/>
  <c r="AE114" i="3"/>
  <c r="AR114" i="3" s="1"/>
  <c r="E114" i="3"/>
  <c r="D114" i="3"/>
  <c r="AY113" i="3"/>
  <c r="AX113" i="3"/>
  <c r="AW113" i="3"/>
  <c r="AV113" i="3"/>
  <c r="AU113" i="3"/>
  <c r="AT113" i="3"/>
  <c r="AS113" i="3"/>
  <c r="AQ113" i="3"/>
  <c r="AP113" i="3"/>
  <c r="AO113" i="3"/>
  <c r="AN113" i="3"/>
  <c r="AE113" i="3"/>
  <c r="AR113" i="3" s="1"/>
  <c r="E113" i="3"/>
  <c r="D113" i="3"/>
  <c r="AY112" i="3"/>
  <c r="AX112" i="3"/>
  <c r="AW112" i="3"/>
  <c r="AV112" i="3"/>
  <c r="AU112" i="3"/>
  <c r="AT112" i="3"/>
  <c r="AS112" i="3"/>
  <c r="AQ112" i="3"/>
  <c r="AP112" i="3"/>
  <c r="AO112" i="3"/>
  <c r="AN112" i="3"/>
  <c r="AE112" i="3"/>
  <c r="AR112" i="3" s="1"/>
  <c r="E112" i="3"/>
  <c r="D112" i="3"/>
  <c r="AY111" i="3"/>
  <c r="AX111" i="3"/>
  <c r="AW111" i="3"/>
  <c r="AV111" i="3"/>
  <c r="AU111" i="3"/>
  <c r="AT111" i="3"/>
  <c r="AS111" i="3"/>
  <c r="AQ111" i="3"/>
  <c r="AP111" i="3"/>
  <c r="AO111" i="3"/>
  <c r="AN111" i="3"/>
  <c r="AE111" i="3"/>
  <c r="AR111" i="3" s="1"/>
  <c r="E111" i="3"/>
  <c r="D111" i="3"/>
  <c r="AY110" i="3"/>
  <c r="AX110" i="3"/>
  <c r="AW110" i="3"/>
  <c r="AV110" i="3"/>
  <c r="AU110" i="3"/>
  <c r="AT110" i="3"/>
  <c r="AS110" i="3"/>
  <c r="AQ110" i="3"/>
  <c r="AP110" i="3"/>
  <c r="AO110" i="3"/>
  <c r="AN110" i="3"/>
  <c r="AE110" i="3"/>
  <c r="AR110" i="3" s="1"/>
  <c r="Q110" i="3"/>
  <c r="N110" i="3"/>
  <c r="E110" i="3"/>
  <c r="D110" i="3"/>
  <c r="AY109" i="3"/>
  <c r="AX109" i="3"/>
  <c r="AW109" i="3"/>
  <c r="AV109" i="3"/>
  <c r="AU109" i="3"/>
  <c r="AT109" i="3"/>
  <c r="AS109" i="3"/>
  <c r="AQ109" i="3"/>
  <c r="AP109" i="3"/>
  <c r="AO109" i="3"/>
  <c r="AN109" i="3"/>
  <c r="AE109" i="3"/>
  <c r="AR109" i="3" s="1"/>
  <c r="E109" i="3"/>
  <c r="D109" i="3"/>
  <c r="AY108" i="3"/>
  <c r="AX108" i="3"/>
  <c r="AW108" i="3"/>
  <c r="AV108" i="3"/>
  <c r="AU108" i="3"/>
  <c r="AT108" i="3"/>
  <c r="AS108" i="3"/>
  <c r="AQ108" i="3"/>
  <c r="AP108" i="3"/>
  <c r="AO108" i="3"/>
  <c r="AN108" i="3"/>
  <c r="AE108" i="3"/>
  <c r="AR108" i="3" s="1"/>
  <c r="E108" i="3"/>
  <c r="D108" i="3"/>
  <c r="AY107" i="3"/>
  <c r="AX107" i="3"/>
  <c r="AW107" i="3"/>
  <c r="AV107" i="3"/>
  <c r="AU107" i="3"/>
  <c r="AT107" i="3"/>
  <c r="AS107" i="3"/>
  <c r="AQ107" i="3"/>
  <c r="AP107" i="3"/>
  <c r="AO107" i="3"/>
  <c r="AN107" i="3"/>
  <c r="AE107" i="3"/>
  <c r="AR107" i="3" s="1"/>
  <c r="S107" i="3"/>
  <c r="T107" i="3" s="1"/>
  <c r="M107" i="3"/>
  <c r="N107" i="3" s="1"/>
  <c r="E107" i="3"/>
  <c r="D107" i="3"/>
  <c r="AY106" i="3"/>
  <c r="AX106" i="3"/>
  <c r="AW106" i="3"/>
  <c r="AV106" i="3"/>
  <c r="AU106" i="3"/>
  <c r="AT106" i="3"/>
  <c r="AS106" i="3"/>
  <c r="AQ106" i="3"/>
  <c r="AP106" i="3"/>
  <c r="AO106" i="3"/>
  <c r="AN106" i="3"/>
  <c r="AE106" i="3"/>
  <c r="AR106" i="3" s="1"/>
  <c r="E106" i="3"/>
  <c r="D106" i="3"/>
  <c r="AY105" i="3"/>
  <c r="AX105" i="3"/>
  <c r="AW105" i="3"/>
  <c r="AV105" i="3"/>
  <c r="AU105" i="3"/>
  <c r="AT105" i="3"/>
  <c r="AS105" i="3"/>
  <c r="AQ105" i="3"/>
  <c r="AP105" i="3"/>
  <c r="AO105" i="3"/>
  <c r="AN105" i="3"/>
  <c r="AE105" i="3"/>
  <c r="AR105" i="3" s="1"/>
  <c r="E105" i="3"/>
  <c r="D105" i="3"/>
  <c r="AY104" i="3"/>
  <c r="AX104" i="3"/>
  <c r="AW104" i="3"/>
  <c r="AV104" i="3"/>
  <c r="AU104" i="3"/>
  <c r="AT104" i="3"/>
  <c r="AS104" i="3"/>
  <c r="AQ104" i="3"/>
  <c r="AP104" i="3"/>
  <c r="AO104" i="3"/>
  <c r="AN104" i="3"/>
  <c r="AE104" i="3"/>
  <c r="AR104" i="3" s="1"/>
  <c r="E104" i="3"/>
  <c r="D104" i="3"/>
  <c r="AY103" i="3"/>
  <c r="AX103" i="3"/>
  <c r="AW103" i="3"/>
  <c r="AV103" i="3"/>
  <c r="AU103" i="3"/>
  <c r="AT103" i="3"/>
  <c r="AS103" i="3"/>
  <c r="AQ103" i="3"/>
  <c r="AP103" i="3"/>
  <c r="AO103" i="3"/>
  <c r="AN103" i="3"/>
  <c r="AE103" i="3"/>
  <c r="AR103" i="3" s="1"/>
  <c r="V103" i="3"/>
  <c r="V104" i="3" s="1"/>
  <c r="S103" i="3"/>
  <c r="Q103" i="3"/>
  <c r="E103" i="3"/>
  <c r="D103" i="3"/>
  <c r="AY102" i="3"/>
  <c r="AX102" i="3"/>
  <c r="AW102" i="3"/>
  <c r="AV102" i="3"/>
  <c r="AU102" i="3"/>
  <c r="AT102" i="3"/>
  <c r="AS102" i="3"/>
  <c r="AQ102" i="3"/>
  <c r="AP102" i="3"/>
  <c r="AO102" i="3"/>
  <c r="AN102" i="3"/>
  <c r="AE102" i="3"/>
  <c r="AR102" i="3" s="1"/>
  <c r="W102" i="3"/>
  <c r="E102" i="3"/>
  <c r="D102" i="3"/>
  <c r="AY101" i="3"/>
  <c r="AX101" i="3"/>
  <c r="AW101" i="3"/>
  <c r="AV101" i="3"/>
  <c r="AU101" i="3"/>
  <c r="AT101" i="3"/>
  <c r="AS101" i="3"/>
  <c r="AQ101" i="3"/>
  <c r="AP101" i="3"/>
  <c r="AO101" i="3"/>
  <c r="AN101" i="3"/>
  <c r="AE101" i="3"/>
  <c r="AR101" i="3" s="1"/>
  <c r="E101" i="3"/>
  <c r="D101" i="3"/>
  <c r="AY100" i="3"/>
  <c r="AX100" i="3"/>
  <c r="AW100" i="3"/>
  <c r="AV100" i="3"/>
  <c r="AU100" i="3"/>
  <c r="AT100" i="3"/>
  <c r="AS100" i="3"/>
  <c r="AQ100" i="3"/>
  <c r="AP100" i="3"/>
  <c r="AO100" i="3"/>
  <c r="AN100" i="3"/>
  <c r="AE100" i="3"/>
  <c r="AR100" i="3" s="1"/>
  <c r="E100" i="3"/>
  <c r="D100" i="3"/>
  <c r="AY99" i="3"/>
  <c r="AX99" i="3"/>
  <c r="AW99" i="3"/>
  <c r="AV99" i="3"/>
  <c r="AU99" i="3"/>
  <c r="AT99" i="3"/>
  <c r="AS99" i="3"/>
  <c r="AQ99" i="3"/>
  <c r="AP99" i="3"/>
  <c r="AO99" i="3"/>
  <c r="AN99" i="3"/>
  <c r="AE99" i="3"/>
  <c r="AR99" i="3" s="1"/>
  <c r="E99" i="3"/>
  <c r="D99" i="3"/>
  <c r="AY98" i="3"/>
  <c r="AX98" i="3"/>
  <c r="AW98" i="3"/>
  <c r="AV98" i="3"/>
  <c r="AU98" i="3"/>
  <c r="AT98" i="3"/>
  <c r="AS98" i="3"/>
  <c r="AQ98" i="3"/>
  <c r="AP98" i="3"/>
  <c r="AO98" i="3"/>
  <c r="AN98" i="3"/>
  <c r="AE98" i="3"/>
  <c r="AR98" i="3" s="1"/>
  <c r="E98" i="3"/>
  <c r="D98" i="3"/>
  <c r="AY97" i="3"/>
  <c r="AX97" i="3"/>
  <c r="AW97" i="3"/>
  <c r="AV97" i="3"/>
  <c r="AU97" i="3"/>
  <c r="AT97" i="3"/>
  <c r="AS97" i="3"/>
  <c r="AQ97" i="3"/>
  <c r="AP97" i="3"/>
  <c r="AO97" i="3"/>
  <c r="AN97" i="3"/>
  <c r="AE97" i="3"/>
  <c r="AR97" i="3" s="1"/>
  <c r="E97" i="3"/>
  <c r="D97" i="3"/>
  <c r="AY96" i="3"/>
  <c r="AX96" i="3"/>
  <c r="AW96" i="3"/>
  <c r="AV96" i="3"/>
  <c r="AU96" i="3"/>
  <c r="AT96" i="3"/>
  <c r="AS96" i="3"/>
  <c r="AQ96" i="3"/>
  <c r="AP96" i="3"/>
  <c r="AO96" i="3"/>
  <c r="AN96" i="3"/>
  <c r="AE96" i="3"/>
  <c r="AR96" i="3" s="1"/>
  <c r="E96" i="3"/>
  <c r="D96" i="3"/>
  <c r="AY95" i="3"/>
  <c r="AX95" i="3"/>
  <c r="AW95" i="3"/>
  <c r="AV95" i="3"/>
  <c r="AU95" i="3"/>
  <c r="AT95" i="3"/>
  <c r="AS95" i="3"/>
  <c r="AQ95" i="3"/>
  <c r="AP95" i="3"/>
  <c r="AO95" i="3"/>
  <c r="AN95" i="3"/>
  <c r="AE95" i="3"/>
  <c r="AR95" i="3" s="1"/>
  <c r="E95" i="3"/>
  <c r="D95" i="3"/>
  <c r="I93" i="3"/>
  <c r="AY92" i="3"/>
  <c r="AX92" i="3"/>
  <c r="AW92" i="3"/>
  <c r="AV92" i="3"/>
  <c r="AU92" i="3"/>
  <c r="AT92" i="3"/>
  <c r="AS92" i="3"/>
  <c r="AR92" i="3"/>
  <c r="AQ92" i="3"/>
  <c r="AP92" i="3"/>
  <c r="AO92" i="3"/>
  <c r="AN92" i="3"/>
  <c r="E92" i="3"/>
  <c r="D92" i="3"/>
  <c r="AY91" i="3"/>
  <c r="AX91" i="3"/>
  <c r="AW91" i="3"/>
  <c r="AV91" i="3"/>
  <c r="AU91" i="3"/>
  <c r="AT91" i="3"/>
  <c r="AS91" i="3"/>
  <c r="AR91" i="3"/>
  <c r="AQ91" i="3"/>
  <c r="AP91" i="3"/>
  <c r="AO91" i="3"/>
  <c r="AN91" i="3"/>
  <c r="E91" i="3"/>
  <c r="D91" i="3"/>
  <c r="AY90" i="3"/>
  <c r="AX90" i="3"/>
  <c r="AW90" i="3"/>
  <c r="AV90" i="3"/>
  <c r="AU90" i="3"/>
  <c r="AT90" i="3"/>
  <c r="AS90" i="3"/>
  <c r="AR90" i="3"/>
  <c r="AQ90" i="3"/>
  <c r="AP90" i="3"/>
  <c r="AO90" i="3"/>
  <c r="AN90" i="3"/>
  <c r="N90" i="3"/>
  <c r="N92" i="3" s="1"/>
  <c r="L90" i="3"/>
  <c r="L92" i="3" s="1"/>
  <c r="E90" i="3"/>
  <c r="D90" i="3"/>
  <c r="AY89" i="3"/>
  <c r="AX89" i="3"/>
  <c r="AW89" i="3"/>
  <c r="AV89" i="3"/>
  <c r="AU89" i="3"/>
  <c r="AT89" i="3"/>
  <c r="AS89" i="3"/>
  <c r="AR89" i="3"/>
  <c r="AQ89" i="3"/>
  <c r="AP89" i="3"/>
  <c r="AO89" i="3"/>
  <c r="AN89" i="3"/>
  <c r="E89" i="3"/>
  <c r="D89" i="3"/>
  <c r="AY88" i="3"/>
  <c r="AX88" i="3"/>
  <c r="AW88" i="3"/>
  <c r="AV88" i="3"/>
  <c r="AU88" i="3"/>
  <c r="AT88" i="3"/>
  <c r="AS88" i="3"/>
  <c r="AR88" i="3"/>
  <c r="AQ88" i="3"/>
  <c r="AP88" i="3"/>
  <c r="AO88" i="3"/>
  <c r="AN88" i="3"/>
  <c r="E88" i="3"/>
  <c r="D88" i="3"/>
  <c r="AY87" i="3"/>
  <c r="AX87" i="3"/>
  <c r="AW87" i="3"/>
  <c r="AV87" i="3"/>
  <c r="AU87" i="3"/>
  <c r="AT87" i="3"/>
  <c r="AS87" i="3"/>
  <c r="AR87" i="3"/>
  <c r="AQ87" i="3"/>
  <c r="AP87" i="3"/>
  <c r="AO87" i="3"/>
  <c r="AN87" i="3"/>
  <c r="E87" i="3"/>
  <c r="D87" i="3"/>
  <c r="AY86" i="3"/>
  <c r="AX86" i="3"/>
  <c r="AW86" i="3"/>
  <c r="AV86" i="3"/>
  <c r="AU86" i="3"/>
  <c r="AT86" i="3"/>
  <c r="AS86" i="3"/>
  <c r="AR86" i="3"/>
  <c r="AQ86" i="3"/>
  <c r="AP86" i="3"/>
  <c r="AO86" i="3"/>
  <c r="AN86" i="3"/>
  <c r="E86" i="3"/>
  <c r="D86" i="3"/>
  <c r="AC83" i="3"/>
  <c r="L83" i="3"/>
  <c r="L84" i="3" s="1"/>
  <c r="M84" i="3" s="1"/>
  <c r="D82" i="3"/>
  <c r="D81" i="3"/>
  <c r="M80" i="3"/>
  <c r="AY79" i="3"/>
  <c r="AX79" i="3"/>
  <c r="AW79" i="3"/>
  <c r="AV79" i="3"/>
  <c r="AU79" i="3"/>
  <c r="AT79" i="3"/>
  <c r="AS79" i="3"/>
  <c r="AR79" i="3"/>
  <c r="AQ79" i="3"/>
  <c r="AP79" i="3"/>
  <c r="AO79" i="3"/>
  <c r="AN79" i="3"/>
  <c r="I79" i="3"/>
  <c r="E79" i="3"/>
  <c r="D79" i="3"/>
  <c r="AY78" i="3"/>
  <c r="AX78" i="3"/>
  <c r="AW78" i="3"/>
  <c r="AV78" i="3"/>
  <c r="AU78" i="3"/>
  <c r="AT78" i="3"/>
  <c r="AS78" i="3"/>
  <c r="AR78" i="3"/>
  <c r="AQ78" i="3"/>
  <c r="AP78" i="3"/>
  <c r="AO78" i="3"/>
  <c r="AN78" i="3"/>
  <c r="E78" i="3"/>
  <c r="D78" i="3"/>
  <c r="AY77" i="3"/>
  <c r="AX77" i="3"/>
  <c r="AW77" i="3"/>
  <c r="AV77" i="3"/>
  <c r="AU77" i="3"/>
  <c r="AT77" i="3"/>
  <c r="AS77" i="3"/>
  <c r="AR77" i="3"/>
  <c r="AQ77" i="3"/>
  <c r="AP77" i="3"/>
  <c r="AO77" i="3"/>
  <c r="AN77" i="3"/>
  <c r="E77" i="3"/>
  <c r="D77" i="3"/>
  <c r="AY76" i="3"/>
  <c r="AX76" i="3"/>
  <c r="AW76" i="3"/>
  <c r="AV76" i="3"/>
  <c r="AU76" i="3"/>
  <c r="AT76" i="3"/>
  <c r="AS76" i="3"/>
  <c r="AR76" i="3"/>
  <c r="AQ76" i="3"/>
  <c r="AP76" i="3"/>
  <c r="AO76" i="3"/>
  <c r="AN76" i="3"/>
  <c r="W76" i="3"/>
  <c r="V76" i="3"/>
  <c r="E76" i="3"/>
  <c r="D76" i="3"/>
  <c r="AY75" i="3"/>
  <c r="AX75" i="3"/>
  <c r="AW75" i="3"/>
  <c r="AV75" i="3"/>
  <c r="AU75" i="3"/>
  <c r="AT75" i="3"/>
  <c r="AS75" i="3"/>
  <c r="AR75" i="3"/>
  <c r="AQ75" i="3"/>
  <c r="AP75" i="3"/>
  <c r="AO75" i="3"/>
  <c r="AN75" i="3"/>
  <c r="W75" i="3"/>
  <c r="V75" i="3"/>
  <c r="E75" i="3"/>
  <c r="D75" i="3"/>
  <c r="AY74" i="3"/>
  <c r="AX74" i="3"/>
  <c r="AW74" i="3"/>
  <c r="AV74" i="3"/>
  <c r="AU74" i="3"/>
  <c r="AT74" i="3"/>
  <c r="AS74" i="3"/>
  <c r="AR74" i="3"/>
  <c r="AQ74" i="3"/>
  <c r="AP74" i="3"/>
  <c r="AO74" i="3"/>
  <c r="AN74" i="3"/>
  <c r="W74" i="3"/>
  <c r="V74" i="3"/>
  <c r="E74" i="3"/>
  <c r="D74" i="3"/>
  <c r="AY73" i="3"/>
  <c r="AX73" i="3"/>
  <c r="AW73" i="3"/>
  <c r="AV73" i="3"/>
  <c r="AU73" i="3"/>
  <c r="AT73" i="3"/>
  <c r="AS73" i="3"/>
  <c r="AR73" i="3"/>
  <c r="AQ73" i="3"/>
  <c r="AP73" i="3"/>
  <c r="AO73" i="3"/>
  <c r="AN73" i="3"/>
  <c r="E73" i="3"/>
  <c r="D73" i="3"/>
  <c r="AY72" i="3"/>
  <c r="AX72" i="3"/>
  <c r="AW72" i="3"/>
  <c r="AV72" i="3"/>
  <c r="AU72" i="3"/>
  <c r="AT72" i="3"/>
  <c r="AS72" i="3"/>
  <c r="AR72" i="3"/>
  <c r="AQ72" i="3"/>
  <c r="AP72" i="3"/>
  <c r="AO72" i="3"/>
  <c r="AN72" i="3"/>
  <c r="E72" i="3"/>
  <c r="D72" i="3"/>
  <c r="AY71" i="3"/>
  <c r="AX71" i="3"/>
  <c r="AW71" i="3"/>
  <c r="AV71" i="3"/>
  <c r="AU71" i="3"/>
  <c r="AT71" i="3"/>
  <c r="AS71" i="3"/>
  <c r="AR71" i="3"/>
  <c r="AQ71" i="3"/>
  <c r="AP71" i="3"/>
  <c r="AO71" i="3"/>
  <c r="AN71" i="3"/>
  <c r="W71" i="3"/>
  <c r="V71" i="3"/>
  <c r="M71" i="3"/>
  <c r="L71" i="3"/>
  <c r="E71" i="3"/>
  <c r="D71" i="3"/>
  <c r="AY70" i="3"/>
  <c r="AX70" i="3"/>
  <c r="AW70" i="3"/>
  <c r="AV70" i="3"/>
  <c r="AU70" i="3"/>
  <c r="AT70" i="3"/>
  <c r="AS70" i="3"/>
  <c r="AR70" i="3"/>
  <c r="AQ70" i="3"/>
  <c r="AP70" i="3"/>
  <c r="AO70" i="3"/>
  <c r="AN70" i="3"/>
  <c r="W70" i="3"/>
  <c r="V70" i="3" s="1"/>
  <c r="E70" i="3"/>
  <c r="D70" i="3"/>
  <c r="AY69" i="3"/>
  <c r="AX69" i="3"/>
  <c r="AW69" i="3"/>
  <c r="AV69" i="3"/>
  <c r="AU69" i="3"/>
  <c r="AT69" i="3"/>
  <c r="AS69" i="3"/>
  <c r="AR69" i="3"/>
  <c r="AQ69" i="3"/>
  <c r="AP69" i="3"/>
  <c r="AO69" i="3"/>
  <c r="AN69" i="3"/>
  <c r="W69" i="3"/>
  <c r="V69" i="3" s="1"/>
  <c r="E69" i="3"/>
  <c r="D69" i="3"/>
  <c r="AY68" i="3"/>
  <c r="AX68" i="3"/>
  <c r="AW68" i="3"/>
  <c r="AV68" i="3"/>
  <c r="AU68" i="3"/>
  <c r="AT68" i="3"/>
  <c r="AS68" i="3"/>
  <c r="AR68" i="3"/>
  <c r="AQ68" i="3"/>
  <c r="AP68" i="3"/>
  <c r="AO68" i="3"/>
  <c r="AN68" i="3"/>
  <c r="E68" i="3"/>
  <c r="D68" i="3"/>
  <c r="AY67" i="3"/>
  <c r="AX67" i="3"/>
  <c r="AW67" i="3"/>
  <c r="AV67" i="3"/>
  <c r="AU67" i="3"/>
  <c r="AT67" i="3"/>
  <c r="AS67" i="3"/>
  <c r="AR67" i="3"/>
  <c r="AQ67" i="3"/>
  <c r="AP67" i="3"/>
  <c r="AO67" i="3"/>
  <c r="AN67" i="3"/>
  <c r="E67" i="3"/>
  <c r="D67" i="3"/>
  <c r="AY66" i="3"/>
  <c r="AX66" i="3"/>
  <c r="AW66" i="3"/>
  <c r="AV66" i="3"/>
  <c r="AU66" i="3"/>
  <c r="AT66" i="3"/>
  <c r="AS66" i="3"/>
  <c r="AR66" i="3"/>
  <c r="AQ66" i="3"/>
  <c r="AP66" i="3"/>
  <c r="AO66" i="3"/>
  <c r="AN66" i="3"/>
  <c r="W66" i="3"/>
  <c r="E66" i="3"/>
  <c r="D66" i="3"/>
  <c r="AY65" i="3"/>
  <c r="AX65" i="3"/>
  <c r="AW65" i="3"/>
  <c r="AV65" i="3"/>
  <c r="AU65" i="3"/>
  <c r="AT65" i="3"/>
  <c r="AS65" i="3"/>
  <c r="AR65" i="3"/>
  <c r="AQ65" i="3"/>
  <c r="AP65" i="3"/>
  <c r="AO65" i="3"/>
  <c r="AN65" i="3"/>
  <c r="W65" i="3"/>
  <c r="E65" i="3"/>
  <c r="D65" i="3"/>
  <c r="AY64" i="3"/>
  <c r="AX64" i="3"/>
  <c r="AW64" i="3"/>
  <c r="AV64" i="3"/>
  <c r="AU64" i="3"/>
  <c r="AT64" i="3"/>
  <c r="AS64" i="3"/>
  <c r="AR64" i="3"/>
  <c r="AQ64" i="3"/>
  <c r="AP64" i="3"/>
  <c r="AO64" i="3"/>
  <c r="AN64" i="3"/>
  <c r="W64" i="3"/>
  <c r="E64" i="3"/>
  <c r="D64" i="3"/>
  <c r="AY63" i="3"/>
  <c r="AX63" i="3"/>
  <c r="AW63" i="3"/>
  <c r="AV63" i="3"/>
  <c r="AU63" i="3"/>
  <c r="AT63" i="3"/>
  <c r="AS63" i="3"/>
  <c r="AR63" i="3"/>
  <c r="AQ63" i="3"/>
  <c r="AP63" i="3"/>
  <c r="AO63" i="3"/>
  <c r="AN63" i="3"/>
  <c r="W63" i="3"/>
  <c r="E63" i="3"/>
  <c r="D63" i="3"/>
  <c r="AY62" i="3"/>
  <c r="AX62" i="3"/>
  <c r="AW62" i="3"/>
  <c r="AV62" i="3"/>
  <c r="AU62" i="3"/>
  <c r="AT62" i="3"/>
  <c r="AS62" i="3"/>
  <c r="AR62" i="3"/>
  <c r="AQ62" i="3"/>
  <c r="AP62" i="3"/>
  <c r="AO62" i="3"/>
  <c r="AN62" i="3"/>
  <c r="W62" i="3"/>
  <c r="E62" i="3"/>
  <c r="D62" i="3"/>
  <c r="AY61" i="3"/>
  <c r="AX61" i="3"/>
  <c r="AW61" i="3"/>
  <c r="AV61" i="3"/>
  <c r="AU61" i="3"/>
  <c r="AT61" i="3"/>
  <c r="AS61" i="3"/>
  <c r="AR61" i="3"/>
  <c r="AQ61" i="3"/>
  <c r="AP61" i="3"/>
  <c r="AO61" i="3"/>
  <c r="AN61" i="3"/>
  <c r="W61" i="3"/>
  <c r="E61" i="3"/>
  <c r="D61" i="3"/>
  <c r="AY60" i="3"/>
  <c r="AX60" i="3"/>
  <c r="AW60" i="3"/>
  <c r="AV60" i="3"/>
  <c r="AU60" i="3"/>
  <c r="AT60" i="3"/>
  <c r="AS60" i="3"/>
  <c r="AR60" i="3"/>
  <c r="AQ60" i="3"/>
  <c r="AP60" i="3"/>
  <c r="AO60" i="3"/>
  <c r="AN60" i="3"/>
  <c r="W60" i="3"/>
  <c r="E60" i="3"/>
  <c r="D60" i="3"/>
  <c r="AY59" i="3"/>
  <c r="AX59" i="3"/>
  <c r="AW59" i="3"/>
  <c r="AV59" i="3"/>
  <c r="AU59" i="3"/>
  <c r="AT59" i="3"/>
  <c r="AS59" i="3"/>
  <c r="AR59" i="3"/>
  <c r="AQ59" i="3"/>
  <c r="AP59" i="3"/>
  <c r="AO59" i="3"/>
  <c r="AN59" i="3"/>
  <c r="W59" i="3"/>
  <c r="E59" i="3"/>
  <c r="D59" i="3"/>
  <c r="AY58" i="3"/>
  <c r="AX58" i="3"/>
  <c r="AW58" i="3"/>
  <c r="AV58" i="3"/>
  <c r="AU58" i="3"/>
  <c r="AT58" i="3"/>
  <c r="AS58" i="3"/>
  <c r="AR58" i="3"/>
  <c r="AQ58" i="3"/>
  <c r="AP58" i="3"/>
  <c r="AO58" i="3"/>
  <c r="AN58" i="3"/>
  <c r="M58" i="3"/>
  <c r="E58" i="3"/>
  <c r="D58" i="3"/>
  <c r="AY57" i="3"/>
  <c r="AX57" i="3"/>
  <c r="AW57" i="3"/>
  <c r="AV57" i="3"/>
  <c r="AU57" i="3"/>
  <c r="AT57" i="3"/>
  <c r="AS57" i="3"/>
  <c r="AR57" i="3"/>
  <c r="AQ57" i="3"/>
  <c r="AP57" i="3"/>
  <c r="AO57" i="3"/>
  <c r="AN57" i="3"/>
  <c r="L57" i="3"/>
  <c r="E57" i="3"/>
  <c r="D57" i="3"/>
  <c r="AY56" i="3"/>
  <c r="AX56" i="3"/>
  <c r="AW56" i="3"/>
  <c r="AV56" i="3"/>
  <c r="AU56" i="3"/>
  <c r="AT56" i="3"/>
  <c r="AS56" i="3"/>
  <c r="AR56" i="3"/>
  <c r="AQ56" i="3"/>
  <c r="AP56" i="3"/>
  <c r="AO56" i="3"/>
  <c r="AN56" i="3"/>
  <c r="E56" i="3"/>
  <c r="D56" i="3"/>
  <c r="AY55" i="3"/>
  <c r="AX55" i="3"/>
  <c r="AW55" i="3"/>
  <c r="AV55" i="3"/>
  <c r="AU55" i="3"/>
  <c r="AT55" i="3"/>
  <c r="AS55" i="3"/>
  <c r="AR55" i="3"/>
  <c r="AQ55" i="3"/>
  <c r="AP55" i="3"/>
  <c r="AO55" i="3"/>
  <c r="AN55" i="3"/>
  <c r="E55" i="3"/>
  <c r="D55" i="3"/>
  <c r="AY54" i="3"/>
  <c r="AX54" i="3"/>
  <c r="AW54" i="3"/>
  <c r="AV54" i="3"/>
  <c r="AU54" i="3"/>
  <c r="AT54" i="3"/>
  <c r="AS54" i="3"/>
  <c r="AR54" i="3"/>
  <c r="AQ54" i="3"/>
  <c r="AP54" i="3"/>
  <c r="AO54" i="3"/>
  <c r="AN54" i="3"/>
  <c r="E54" i="3"/>
  <c r="D54" i="3"/>
  <c r="AY53" i="3"/>
  <c r="AX53" i="3"/>
  <c r="AW53" i="3"/>
  <c r="AV53" i="3"/>
  <c r="AU53" i="3"/>
  <c r="AT53" i="3"/>
  <c r="AS53" i="3"/>
  <c r="AR53" i="3"/>
  <c r="AQ53" i="3"/>
  <c r="AP53" i="3"/>
  <c r="AO53" i="3"/>
  <c r="AN53" i="3"/>
  <c r="E53" i="3"/>
  <c r="D53" i="3"/>
  <c r="AY52" i="3"/>
  <c r="AX52" i="3"/>
  <c r="AW52" i="3"/>
  <c r="AV52" i="3"/>
  <c r="AU52" i="3"/>
  <c r="AT52" i="3"/>
  <c r="AS52" i="3"/>
  <c r="AR52" i="3"/>
  <c r="AQ52" i="3"/>
  <c r="AP52" i="3"/>
  <c r="AO52" i="3"/>
  <c r="AN52" i="3"/>
  <c r="G52" i="3"/>
  <c r="E52" i="3"/>
  <c r="D52" i="3"/>
  <c r="AY51" i="3"/>
  <c r="AX51" i="3"/>
  <c r="AW51" i="3"/>
  <c r="AV51" i="3"/>
  <c r="AU51" i="3"/>
  <c r="AT51" i="3"/>
  <c r="AS51" i="3"/>
  <c r="AR51" i="3"/>
  <c r="AQ51" i="3"/>
  <c r="AP51" i="3"/>
  <c r="AO51" i="3"/>
  <c r="AN51" i="3"/>
  <c r="E51" i="3"/>
  <c r="D51" i="3"/>
  <c r="AY50" i="3"/>
  <c r="AX50" i="3"/>
  <c r="AW50" i="3"/>
  <c r="AV50" i="3"/>
  <c r="AU50" i="3"/>
  <c r="AT50" i="3"/>
  <c r="AS50" i="3"/>
  <c r="AR50" i="3"/>
  <c r="AQ50" i="3"/>
  <c r="AP50" i="3"/>
  <c r="AO50" i="3"/>
  <c r="AN50" i="3"/>
  <c r="E50" i="3"/>
  <c r="D50" i="3"/>
  <c r="AY49" i="3"/>
  <c r="AX49" i="3"/>
  <c r="AW49" i="3"/>
  <c r="AV49" i="3"/>
  <c r="AU49" i="3"/>
  <c r="AT49" i="3"/>
  <c r="AS49" i="3"/>
  <c r="AR49" i="3"/>
  <c r="AQ49" i="3"/>
  <c r="AP49" i="3"/>
  <c r="AO49" i="3"/>
  <c r="AN49" i="3"/>
  <c r="E49" i="3"/>
  <c r="D49" i="3"/>
  <c r="AY48" i="3"/>
  <c r="AX48" i="3"/>
  <c r="AW48" i="3"/>
  <c r="AV48" i="3"/>
  <c r="AU48" i="3"/>
  <c r="AT48" i="3"/>
  <c r="AS48" i="3"/>
  <c r="AR48" i="3"/>
  <c r="AQ48" i="3"/>
  <c r="AP48" i="3"/>
  <c r="AO48" i="3"/>
  <c r="AN48" i="3"/>
  <c r="V48" i="3"/>
  <c r="T48" i="3"/>
  <c r="R48" i="3"/>
  <c r="P48" i="3"/>
  <c r="N48" i="3"/>
  <c r="L48" i="3"/>
  <c r="K48" i="3"/>
  <c r="E48" i="3"/>
  <c r="D48" i="3"/>
  <c r="AY47" i="3"/>
  <c r="AX47" i="3"/>
  <c r="AW47" i="3"/>
  <c r="AV47" i="3"/>
  <c r="AU47" i="3"/>
  <c r="AT47" i="3"/>
  <c r="AS47" i="3"/>
  <c r="AR47" i="3"/>
  <c r="AQ47" i="3"/>
  <c r="AP47" i="3"/>
  <c r="AO47" i="3"/>
  <c r="AN47" i="3"/>
  <c r="E47" i="3"/>
  <c r="D47" i="3"/>
  <c r="AY46" i="3"/>
  <c r="AX46" i="3"/>
  <c r="AW46" i="3"/>
  <c r="AV46" i="3"/>
  <c r="AU46" i="3"/>
  <c r="AT46" i="3"/>
  <c r="AS46" i="3"/>
  <c r="AR46" i="3"/>
  <c r="AQ46" i="3"/>
  <c r="AP46" i="3"/>
  <c r="AO46" i="3"/>
  <c r="AN46" i="3"/>
  <c r="E46" i="3"/>
  <c r="D46" i="3"/>
  <c r="AY45" i="3"/>
  <c r="AX45" i="3"/>
  <c r="AW45" i="3"/>
  <c r="AV45" i="3"/>
  <c r="AN45" i="3"/>
  <c r="AE45" i="3"/>
  <c r="AR45" i="3" s="1"/>
  <c r="AD45" i="3"/>
  <c r="AQ45" i="3" s="1"/>
  <c r="AC45" i="3"/>
  <c r="AP45" i="3" s="1"/>
  <c r="AB45" i="3"/>
  <c r="AO45" i="3" s="1"/>
  <c r="E45" i="3"/>
  <c r="D45" i="3"/>
  <c r="AY44" i="3"/>
  <c r="AX44" i="3"/>
  <c r="AW44" i="3"/>
  <c r="AV44" i="3"/>
  <c r="AN44" i="3"/>
  <c r="AH44" i="3"/>
  <c r="AU44" i="3" s="1"/>
  <c r="AG44" i="3"/>
  <c r="AT44" i="3" s="1"/>
  <c r="AF44" i="3"/>
  <c r="AF45" i="3" s="1"/>
  <c r="AS45" i="3" s="1"/>
  <c r="AE44" i="3"/>
  <c r="AD44" i="3"/>
  <c r="AQ44" i="3" s="1"/>
  <c r="AC44" i="3"/>
  <c r="AP44" i="3" s="1"/>
  <c r="AB44" i="3"/>
  <c r="AO44" i="3" s="1"/>
  <c r="L44" i="3"/>
  <c r="M44" i="3" s="1"/>
  <c r="I44" i="3"/>
  <c r="E44" i="3"/>
  <c r="D44" i="3"/>
  <c r="AY43" i="3"/>
  <c r="AX43" i="3"/>
  <c r="AW43" i="3"/>
  <c r="AV43" i="3"/>
  <c r="AU43" i="3"/>
  <c r="AT43" i="3"/>
  <c r="AS43" i="3"/>
  <c r="AR43" i="3"/>
  <c r="AQ43" i="3"/>
  <c r="AP43" i="3"/>
  <c r="AO43" i="3"/>
  <c r="AN43" i="3"/>
  <c r="W43" i="3"/>
  <c r="E43" i="3"/>
  <c r="D43" i="3"/>
  <c r="AY42" i="3"/>
  <c r="AX42" i="3"/>
  <c r="AW42" i="3"/>
  <c r="AV42" i="3"/>
  <c r="AU42" i="3"/>
  <c r="AT42" i="3"/>
  <c r="AS42" i="3"/>
  <c r="AR42" i="3"/>
  <c r="AQ42" i="3"/>
  <c r="AP42" i="3"/>
  <c r="AO42" i="3"/>
  <c r="AN42" i="3"/>
  <c r="E42" i="3"/>
  <c r="D42" i="3"/>
  <c r="AY41" i="3"/>
  <c r="AX41" i="3"/>
  <c r="AW41" i="3"/>
  <c r="AV41" i="3"/>
  <c r="AU41" i="3"/>
  <c r="AT41" i="3"/>
  <c r="AS41" i="3"/>
  <c r="AR41" i="3"/>
  <c r="AQ41" i="3"/>
  <c r="AP41" i="3"/>
  <c r="AO41" i="3"/>
  <c r="AN41" i="3"/>
  <c r="E41" i="3"/>
  <c r="D41" i="3"/>
  <c r="AY40" i="3"/>
  <c r="AX40" i="3"/>
  <c r="AW40" i="3"/>
  <c r="AV40" i="3"/>
  <c r="AU40" i="3"/>
  <c r="AT40" i="3"/>
  <c r="AS40" i="3"/>
  <c r="AR40" i="3"/>
  <c r="AQ40" i="3"/>
  <c r="AP40" i="3"/>
  <c r="AO40" i="3"/>
  <c r="AN40" i="3"/>
  <c r="E40" i="3"/>
  <c r="D40" i="3"/>
  <c r="AY39" i="3"/>
  <c r="AX39" i="3"/>
  <c r="AW39" i="3"/>
  <c r="AV39" i="3"/>
  <c r="AU39" i="3"/>
  <c r="AT39" i="3"/>
  <c r="AS39" i="3"/>
  <c r="AR39" i="3"/>
  <c r="AQ39" i="3"/>
  <c r="AP39" i="3"/>
  <c r="AO39" i="3"/>
  <c r="AN39" i="3"/>
  <c r="AA39" i="3"/>
  <c r="E39" i="3"/>
  <c r="D39" i="3"/>
  <c r="AY38" i="3"/>
  <c r="AX38" i="3"/>
  <c r="AW38" i="3"/>
  <c r="AV38" i="3"/>
  <c r="AU38" i="3"/>
  <c r="AT38" i="3"/>
  <c r="AS38" i="3"/>
  <c r="AR38" i="3"/>
  <c r="AQ38" i="3"/>
  <c r="AP38" i="3"/>
  <c r="AO38" i="3"/>
  <c r="AN38" i="3"/>
  <c r="E38" i="3"/>
  <c r="D38" i="3"/>
  <c r="AY37" i="3"/>
  <c r="AX37" i="3"/>
  <c r="AW37" i="3"/>
  <c r="AV37" i="3"/>
  <c r="AU37" i="3"/>
  <c r="AT37" i="3"/>
  <c r="AS37" i="3"/>
  <c r="AR37" i="3"/>
  <c r="AQ37" i="3"/>
  <c r="AP37" i="3"/>
  <c r="AO37" i="3"/>
  <c r="AN37" i="3"/>
  <c r="AY36" i="3"/>
  <c r="AX36" i="3"/>
  <c r="AW36" i="3"/>
  <c r="AV36" i="3"/>
  <c r="AU36" i="3"/>
  <c r="AT36" i="3"/>
  <c r="AS36" i="3"/>
  <c r="AR36" i="3"/>
  <c r="AQ36" i="3"/>
  <c r="AP36" i="3"/>
  <c r="AO36" i="3"/>
  <c r="AN36" i="3"/>
  <c r="AY35" i="3"/>
  <c r="AX35" i="3"/>
  <c r="AW35" i="3"/>
  <c r="AV35" i="3"/>
  <c r="AU35" i="3"/>
  <c r="AT35" i="3"/>
  <c r="AS35" i="3"/>
  <c r="AR35" i="3"/>
  <c r="AQ35" i="3"/>
  <c r="AP35" i="3"/>
  <c r="AO35" i="3"/>
  <c r="AN35" i="3"/>
  <c r="AY34" i="3"/>
  <c r="AX34" i="3"/>
  <c r="AW34" i="3"/>
  <c r="AV34" i="3"/>
  <c r="AU34" i="3"/>
  <c r="AT34" i="3"/>
  <c r="AS34" i="3"/>
  <c r="AR34" i="3"/>
  <c r="AQ34" i="3"/>
  <c r="AP34" i="3"/>
  <c r="AO34" i="3"/>
  <c r="AN34" i="3"/>
  <c r="E34" i="3"/>
  <c r="D34" i="3"/>
  <c r="AY33" i="3"/>
  <c r="AX33" i="3"/>
  <c r="AW33" i="3"/>
  <c r="AV33" i="3"/>
  <c r="AU33" i="3"/>
  <c r="AT33" i="3"/>
  <c r="AS33" i="3"/>
  <c r="AR33" i="3"/>
  <c r="AQ33" i="3"/>
  <c r="AP33" i="3"/>
  <c r="AO33" i="3"/>
  <c r="AN33" i="3"/>
  <c r="M33" i="3"/>
  <c r="E33" i="3"/>
  <c r="D33" i="3"/>
  <c r="AY32" i="3"/>
  <c r="AX32" i="3"/>
  <c r="AW32" i="3"/>
  <c r="AV32" i="3"/>
  <c r="AU32" i="3"/>
  <c r="AT32" i="3"/>
  <c r="AS32" i="3"/>
  <c r="AR32" i="3"/>
  <c r="AQ32" i="3"/>
  <c r="AP32" i="3"/>
  <c r="AO32" i="3"/>
  <c r="AN32" i="3"/>
  <c r="E32" i="3"/>
  <c r="D32" i="3"/>
  <c r="AY31" i="3"/>
  <c r="AX31" i="3"/>
  <c r="AW31" i="3"/>
  <c r="AV31" i="3"/>
  <c r="AU31" i="3"/>
  <c r="AT31" i="3"/>
  <c r="AS31" i="3"/>
  <c r="AR31" i="3"/>
  <c r="AQ31" i="3"/>
  <c r="AP31" i="3"/>
  <c r="AO31" i="3"/>
  <c r="AN31" i="3"/>
  <c r="E31" i="3"/>
  <c r="D31" i="3"/>
  <c r="AY30" i="3"/>
  <c r="AX30" i="3"/>
  <c r="AW30" i="3"/>
  <c r="AV30" i="3"/>
  <c r="AU30" i="3"/>
  <c r="AT30" i="3"/>
  <c r="AS30" i="3"/>
  <c r="AR30" i="3"/>
  <c r="AQ30" i="3"/>
  <c r="AP30" i="3"/>
  <c r="AO30" i="3"/>
  <c r="AN30" i="3"/>
  <c r="E30" i="3"/>
  <c r="D30" i="3"/>
  <c r="AY29" i="3"/>
  <c r="AX29" i="3"/>
  <c r="AW29" i="3"/>
  <c r="AV29" i="3"/>
  <c r="AU29" i="3"/>
  <c r="AT29" i="3"/>
  <c r="AS29" i="3"/>
  <c r="AR29" i="3"/>
  <c r="AQ29" i="3"/>
  <c r="AP29" i="3"/>
  <c r="AO29" i="3"/>
  <c r="AN29" i="3"/>
  <c r="E29" i="3"/>
  <c r="D29" i="3"/>
  <c r="AY28" i="3"/>
  <c r="AX28" i="3"/>
  <c r="AW28" i="3"/>
  <c r="AV28" i="3"/>
  <c r="AU28" i="3"/>
  <c r="AT28" i="3"/>
  <c r="AS28" i="3"/>
  <c r="AR28" i="3"/>
  <c r="AQ28" i="3"/>
  <c r="AP28" i="3"/>
  <c r="AO28" i="3"/>
  <c r="AN28" i="3"/>
  <c r="E28" i="3"/>
  <c r="D28" i="3"/>
  <c r="AY27" i="3"/>
  <c r="AX27" i="3"/>
  <c r="AW27" i="3"/>
  <c r="AV27" i="3"/>
  <c r="AU27" i="3"/>
  <c r="AT27" i="3"/>
  <c r="AS27" i="3"/>
  <c r="AR27" i="3"/>
  <c r="AQ27" i="3"/>
  <c r="AP27" i="3"/>
  <c r="AO27" i="3"/>
  <c r="AN27" i="3"/>
  <c r="Q27" i="3"/>
  <c r="E27" i="3"/>
  <c r="D27" i="3"/>
  <c r="AY26" i="3"/>
  <c r="AX26" i="3"/>
  <c r="AW26" i="3"/>
  <c r="AV26" i="3"/>
  <c r="AU26" i="3"/>
  <c r="AT26" i="3"/>
  <c r="AS26" i="3"/>
  <c r="AR26" i="3"/>
  <c r="AQ26" i="3"/>
  <c r="AP26" i="3"/>
  <c r="AO26" i="3"/>
  <c r="AN26" i="3"/>
  <c r="M26" i="3"/>
  <c r="L26" i="3"/>
  <c r="E26" i="3"/>
  <c r="D26" i="3"/>
  <c r="AY25" i="3"/>
  <c r="AX25" i="3"/>
  <c r="AW25" i="3"/>
  <c r="AV25" i="3"/>
  <c r="AU25" i="3"/>
  <c r="AT25" i="3"/>
  <c r="AS25" i="3"/>
  <c r="AR25" i="3"/>
  <c r="AQ25" i="3"/>
  <c r="AP25" i="3"/>
  <c r="AO25" i="3"/>
  <c r="AN25" i="3"/>
  <c r="E25" i="3"/>
  <c r="D25" i="3"/>
  <c r="AY24" i="3"/>
  <c r="AX24" i="3"/>
  <c r="AW24" i="3"/>
  <c r="AV24" i="3"/>
  <c r="AU24" i="3"/>
  <c r="AT24" i="3"/>
  <c r="AS24" i="3"/>
  <c r="AR24" i="3"/>
  <c r="AQ24" i="3"/>
  <c r="AP24" i="3"/>
  <c r="AO24" i="3"/>
  <c r="AN24" i="3"/>
  <c r="E24" i="3"/>
  <c r="D24" i="3"/>
  <c r="AY23" i="3"/>
  <c r="AX23" i="3"/>
  <c r="AW23" i="3"/>
  <c r="AV23" i="3"/>
  <c r="AU23" i="3"/>
  <c r="AT23" i="3"/>
  <c r="AS23" i="3"/>
  <c r="AR23" i="3"/>
  <c r="AQ23" i="3"/>
  <c r="AP23" i="3"/>
  <c r="AO23" i="3"/>
  <c r="AN23" i="3"/>
  <c r="E23" i="3"/>
  <c r="D23" i="3"/>
  <c r="AY22" i="3"/>
  <c r="AX22" i="3"/>
  <c r="AW22" i="3"/>
  <c r="AV22" i="3"/>
  <c r="AU22" i="3"/>
  <c r="AT22" i="3"/>
  <c r="AS22" i="3"/>
  <c r="AR22" i="3"/>
  <c r="AQ22" i="3"/>
  <c r="AP22" i="3"/>
  <c r="AO22" i="3"/>
  <c r="AN22" i="3"/>
  <c r="E22" i="3"/>
  <c r="D22" i="3"/>
  <c r="AY21" i="3"/>
  <c r="AX21" i="3"/>
  <c r="AW21" i="3"/>
  <c r="AV21" i="3"/>
  <c r="AU21" i="3"/>
  <c r="AT21" i="3"/>
  <c r="AS21" i="3"/>
  <c r="AR21" i="3"/>
  <c r="AQ21" i="3"/>
  <c r="AP21" i="3"/>
  <c r="AO21" i="3"/>
  <c r="AN21" i="3"/>
  <c r="E21" i="3"/>
  <c r="D21" i="3"/>
  <c r="AY20" i="3"/>
  <c r="AX20" i="3"/>
  <c r="AW20" i="3"/>
  <c r="AV20" i="3"/>
  <c r="AU20" i="3"/>
  <c r="AT20" i="3"/>
  <c r="AS20" i="3"/>
  <c r="AR20" i="3"/>
  <c r="AQ20" i="3"/>
  <c r="AP20" i="3"/>
  <c r="AO20" i="3"/>
  <c r="AN20" i="3"/>
  <c r="E20" i="3"/>
  <c r="D20" i="3"/>
  <c r="AY19" i="3"/>
  <c r="AX19" i="3"/>
  <c r="AW19" i="3"/>
  <c r="AV19" i="3"/>
  <c r="AU19" i="3"/>
  <c r="AT19" i="3"/>
  <c r="AS19" i="3"/>
  <c r="AR19" i="3"/>
  <c r="AQ19" i="3"/>
  <c r="AP19" i="3"/>
  <c r="AO19" i="3"/>
  <c r="AN19" i="3"/>
  <c r="U19" i="3"/>
  <c r="M19" i="3"/>
  <c r="E19" i="3"/>
  <c r="D19" i="3"/>
  <c r="AY18" i="3"/>
  <c r="AX18" i="3"/>
  <c r="AW18" i="3"/>
  <c r="AV18" i="3"/>
  <c r="AU18" i="3"/>
  <c r="AT18" i="3"/>
  <c r="AS18" i="3"/>
  <c r="AR18" i="3"/>
  <c r="AQ18" i="3"/>
  <c r="AP18" i="3"/>
  <c r="AO18" i="3"/>
  <c r="AN18" i="3"/>
  <c r="P18" i="3"/>
  <c r="M18" i="3"/>
  <c r="E18" i="3"/>
  <c r="D18" i="3"/>
  <c r="AY17" i="3"/>
  <c r="AX17" i="3"/>
  <c r="AW17" i="3"/>
  <c r="AV17" i="3"/>
  <c r="AU17" i="3"/>
  <c r="AT17" i="3"/>
  <c r="AS17" i="3"/>
  <c r="AR17" i="3"/>
  <c r="AQ17" i="3"/>
  <c r="AP17" i="3"/>
  <c r="AO17" i="3"/>
  <c r="AN17" i="3"/>
  <c r="M17" i="3"/>
  <c r="E17" i="3"/>
  <c r="D17" i="3"/>
  <c r="AY16" i="3"/>
  <c r="AX16" i="3"/>
  <c r="AW16" i="3"/>
  <c r="AV16" i="3"/>
  <c r="AU16" i="3"/>
  <c r="AT16" i="3"/>
  <c r="AS16" i="3"/>
  <c r="AR16" i="3"/>
  <c r="AQ16" i="3"/>
  <c r="AP16" i="3"/>
  <c r="AO16" i="3"/>
  <c r="AN16" i="3"/>
  <c r="P16" i="3"/>
  <c r="M16" i="3"/>
  <c r="E16" i="3"/>
  <c r="D16" i="3"/>
  <c r="AY15" i="3"/>
  <c r="AX15" i="3"/>
  <c r="AW15" i="3"/>
  <c r="AV15" i="3"/>
  <c r="AU15" i="3"/>
  <c r="AT15" i="3"/>
  <c r="AS15" i="3"/>
  <c r="AR15" i="3"/>
  <c r="AQ15" i="3"/>
  <c r="AP15" i="3"/>
  <c r="AO15" i="3"/>
  <c r="AN15" i="3"/>
  <c r="P15" i="3"/>
  <c r="M15" i="3"/>
  <c r="E15" i="3"/>
  <c r="D15" i="3"/>
  <c r="AY14" i="3"/>
  <c r="AW14" i="3"/>
  <c r="AV14" i="3"/>
  <c r="AU14" i="3"/>
  <c r="AT14" i="3"/>
  <c r="AS14" i="3"/>
  <c r="AR14" i="3"/>
  <c r="AQ14" i="3"/>
  <c r="AP14" i="3"/>
  <c r="AO14" i="3"/>
  <c r="AN14" i="3"/>
  <c r="AK14" i="3"/>
  <c r="AX14" i="3" s="1"/>
  <c r="M14" i="3"/>
  <c r="E14" i="3"/>
  <c r="D14" i="3"/>
  <c r="AY13" i="3"/>
  <c r="AW13" i="3"/>
  <c r="AV13" i="3"/>
  <c r="AU13" i="3"/>
  <c r="AT13" i="3"/>
  <c r="AS13" i="3"/>
  <c r="AR13" i="3"/>
  <c r="AQ13" i="3"/>
  <c r="AP13" i="3"/>
  <c r="AO13" i="3"/>
  <c r="AN13" i="3"/>
  <c r="AK13" i="3"/>
  <c r="AX13" i="3" s="1"/>
  <c r="W13" i="3"/>
  <c r="M13" i="3" s="1"/>
  <c r="E13" i="3"/>
  <c r="D13" i="3"/>
  <c r="K174" i="2"/>
  <c r="M174" i="2" s="1"/>
  <c r="K173" i="2"/>
  <c r="M173" i="2" s="1"/>
  <c r="G107" i="2" s="1"/>
  <c r="K171" i="2"/>
  <c r="L171" i="2" s="1"/>
  <c r="D54" i="2" s="1"/>
  <c r="M171" i="2" s="1"/>
  <c r="K167" i="2"/>
  <c r="C159" i="2"/>
  <c r="E159" i="2" s="1"/>
  <c r="F159" i="2" s="1"/>
  <c r="N158" i="2"/>
  <c r="G158" i="2"/>
  <c r="F158" i="2"/>
  <c r="E158" i="2"/>
  <c r="M157" i="2"/>
  <c r="E156" i="2"/>
  <c r="M156" i="2" s="1"/>
  <c r="Q148" i="2"/>
  <c r="P148" i="2"/>
  <c r="O148" i="2"/>
  <c r="O147" i="2"/>
  <c r="Q146" i="2"/>
  <c r="P146" i="2"/>
  <c r="O146" i="2"/>
  <c r="O145" i="2"/>
  <c r="Q144" i="2"/>
  <c r="P144" i="2"/>
  <c r="O144" i="2"/>
  <c r="I145" i="2"/>
  <c r="I146" i="2" s="1"/>
  <c r="I147" i="2" s="1"/>
  <c r="Q142" i="2"/>
  <c r="P142" i="2"/>
  <c r="O142" i="2"/>
  <c r="O141" i="2"/>
  <c r="Q140" i="2"/>
  <c r="P140" i="2"/>
  <c r="O140" i="2"/>
  <c r="O139" i="2"/>
  <c r="D140" i="2"/>
  <c r="Q138" i="2"/>
  <c r="P138" i="2"/>
  <c r="O138" i="2"/>
  <c r="O137" i="2"/>
  <c r="Q136" i="2"/>
  <c r="P136" i="2"/>
  <c r="O136" i="2"/>
  <c r="O135" i="2"/>
  <c r="Q134" i="2"/>
  <c r="P134" i="2"/>
  <c r="O134" i="2"/>
  <c r="O133" i="2"/>
  <c r="Q132" i="2"/>
  <c r="P132" i="2"/>
  <c r="O132" i="2"/>
  <c r="O131" i="2"/>
  <c r="H131" i="2"/>
  <c r="Q130" i="2"/>
  <c r="P130" i="2"/>
  <c r="O130" i="2"/>
  <c r="H130" i="2"/>
  <c r="F130" i="2"/>
  <c r="G130" i="2" s="1"/>
  <c r="O129" i="2"/>
  <c r="H129" i="2"/>
  <c r="G129" i="2"/>
  <c r="Q128" i="2"/>
  <c r="P128" i="2"/>
  <c r="O128" i="2"/>
  <c r="Q126" i="2"/>
  <c r="P126" i="2"/>
  <c r="Q124" i="2"/>
  <c r="P124" i="2"/>
  <c r="K112" i="2"/>
  <c r="I112" i="2"/>
  <c r="C112" i="2"/>
  <c r="O111" i="2"/>
  <c r="N111" i="2"/>
  <c r="K111" i="2"/>
  <c r="I111" i="2"/>
  <c r="Q109" i="2"/>
  <c r="P108" i="2"/>
  <c r="O108" i="2"/>
  <c r="F103" i="2"/>
  <c r="E102" i="2"/>
  <c r="F100" i="2"/>
  <c r="M97" i="2"/>
  <c r="K98" i="2" s="1"/>
  <c r="K97" i="2"/>
  <c r="K99" i="2" s="1"/>
  <c r="E96" i="2"/>
  <c r="G95" i="2" s="1"/>
  <c r="M90" i="2"/>
  <c r="J85" i="2"/>
  <c r="K85" i="2" s="1"/>
  <c r="C85" i="2"/>
  <c r="D85" i="2" s="1"/>
  <c r="J84" i="2"/>
  <c r="M84" i="2" s="1"/>
  <c r="C84" i="2"/>
  <c r="F84" i="2" s="1"/>
  <c r="M83" i="2"/>
  <c r="K83" i="2"/>
  <c r="F83" i="2"/>
  <c r="D83" i="2"/>
  <c r="M78" i="2"/>
  <c r="L78" i="2"/>
  <c r="F78" i="2"/>
  <c r="E78" i="2"/>
  <c r="E70" i="2"/>
  <c r="M66" i="2"/>
  <c r="M69" i="2" s="1"/>
  <c r="J66" i="2"/>
  <c r="J69" i="2" s="1"/>
  <c r="M64" i="2"/>
  <c r="J64" i="2"/>
  <c r="E63" i="2"/>
  <c r="E54" i="2"/>
  <c r="F54" i="2" s="1"/>
  <c r="O51" i="2"/>
  <c r="M51" i="2"/>
  <c r="H51" i="2"/>
  <c r="K169" i="2" s="1"/>
  <c r="C51" i="2"/>
  <c r="K168" i="2" s="1"/>
  <c r="E46" i="2"/>
  <c r="C46" i="2"/>
  <c r="I42" i="2"/>
  <c r="K38" i="2"/>
  <c r="I38" i="2" s="1"/>
  <c r="O34" i="2"/>
  <c r="M34" i="2"/>
  <c r="O31" i="2"/>
  <c r="M31" i="2"/>
  <c r="J31" i="2"/>
  <c r="H32" i="2" s="1"/>
  <c r="H31" i="2"/>
  <c r="H33" i="2" s="1"/>
  <c r="E31" i="2"/>
  <c r="C31" i="2"/>
  <c r="O28" i="2"/>
  <c r="M28" i="2"/>
  <c r="J28" i="2"/>
  <c r="H28" i="2"/>
  <c r="E28" i="2"/>
  <c r="C28" i="2"/>
  <c r="K24" i="2"/>
  <c r="F24" i="2"/>
  <c r="O19" i="2"/>
  <c r="I19" i="2"/>
  <c r="D19" i="2"/>
  <c r="E19" i="2" s="1"/>
  <c r="O16" i="2"/>
  <c r="P16" i="2" s="1"/>
  <c r="J16" i="2"/>
  <c r="H16" i="2"/>
  <c r="E16" i="2"/>
  <c r="C16" i="2"/>
  <c r="J13" i="2"/>
  <c r="I13" i="2" s="1"/>
  <c r="K13" i="2" s="1"/>
  <c r="E13" i="2"/>
  <c r="C13" i="2"/>
  <c r="O9" i="2"/>
  <c r="M9" i="2"/>
  <c r="J9" i="2"/>
  <c r="H9" i="2" s="1"/>
  <c r="E9" i="2"/>
  <c r="C9" i="2" s="1"/>
  <c r="O6" i="2"/>
  <c r="M6" i="2"/>
  <c r="J6" i="2"/>
  <c r="H6" i="2" s="1"/>
  <c r="E6" i="2"/>
  <c r="C6" i="2"/>
  <c r="C26" i="4" l="1"/>
  <c r="C18" i="4"/>
  <c r="C21" i="4" s="1"/>
  <c r="AT140" i="3"/>
  <c r="C19" i="4"/>
  <c r="C22" i="4" s="1"/>
  <c r="AO140" i="3"/>
  <c r="AQ141" i="3"/>
  <c r="AY140" i="3"/>
  <c r="L178" i="2"/>
  <c r="K22" i="6"/>
  <c r="C13" i="6"/>
  <c r="Q83" i="5"/>
  <c r="F4" i="5" s="1"/>
  <c r="P83" i="5"/>
  <c r="O83" i="5"/>
  <c r="C14" i="6"/>
  <c r="K26" i="6"/>
  <c r="K34" i="6"/>
  <c r="K42" i="6"/>
  <c r="K50" i="6"/>
  <c r="K68" i="6"/>
  <c r="K20" i="6"/>
  <c r="K28" i="6"/>
  <c r="K36" i="6"/>
  <c r="K44" i="6"/>
  <c r="K52" i="6"/>
  <c r="K64" i="6"/>
  <c r="K80" i="6"/>
  <c r="K30" i="6"/>
  <c r="K38" i="6"/>
  <c r="K46" i="6"/>
  <c r="K54" i="6"/>
  <c r="K60" i="6"/>
  <c r="K76" i="6"/>
  <c r="K24" i="6"/>
  <c r="K32" i="6"/>
  <c r="K40" i="6"/>
  <c r="K48" i="6"/>
  <c r="K56" i="6"/>
  <c r="K72" i="6"/>
  <c r="M27" i="6"/>
  <c r="M35" i="6"/>
  <c r="M39" i="6"/>
  <c r="M43" i="6"/>
  <c r="M47" i="6"/>
  <c r="M51" i="6"/>
  <c r="M59" i="6"/>
  <c r="M67" i="6"/>
  <c r="M71" i="6"/>
  <c r="M75" i="6"/>
  <c r="M79" i="6"/>
  <c r="K23" i="6"/>
  <c r="K31" i="6"/>
  <c r="K55" i="6"/>
  <c r="M58" i="6"/>
  <c r="M62" i="6"/>
  <c r="K63" i="6"/>
  <c r="M66" i="6"/>
  <c r="M70" i="6"/>
  <c r="M74" i="6"/>
  <c r="M78" i="6"/>
  <c r="M21" i="6"/>
  <c r="M25" i="6"/>
  <c r="M29" i="6"/>
  <c r="M33" i="6"/>
  <c r="M37" i="6"/>
  <c r="M41" i="6"/>
  <c r="M45" i="6"/>
  <c r="M49" i="6"/>
  <c r="M53" i="6"/>
  <c r="M57" i="6"/>
  <c r="M61" i="6"/>
  <c r="M65" i="6"/>
  <c r="M69" i="6"/>
  <c r="M73" i="6"/>
  <c r="M77" i="6"/>
  <c r="M81" i="6"/>
  <c r="J70" i="2"/>
  <c r="M70" i="2"/>
  <c r="F101" i="2"/>
  <c r="D112" i="2"/>
  <c r="G84" i="5"/>
  <c r="F7" i="5" s="1"/>
  <c r="H84" i="5"/>
  <c r="I84" i="5"/>
  <c r="AO125" i="3"/>
  <c r="AS141" i="3"/>
  <c r="AR44" i="3"/>
  <c r="AP135" i="3"/>
  <c r="AU135" i="3"/>
  <c r="AP136" i="3"/>
  <c r="AU136" i="3"/>
  <c r="AP137" i="3"/>
  <c r="AU137" i="3"/>
  <c r="AP138" i="3"/>
  <c r="AU138" i="3"/>
  <c r="AP139" i="3"/>
  <c r="AU139" i="3"/>
  <c r="AQ140" i="3"/>
  <c r="AW140" i="3"/>
  <c r="AO141" i="3"/>
  <c r="AW141" i="3"/>
  <c r="AG45" i="3"/>
  <c r="AT45" i="3" s="1"/>
  <c r="AO135" i="3"/>
  <c r="AT135" i="3"/>
  <c r="AY135" i="3"/>
  <c r="AO136" i="3"/>
  <c r="AT136" i="3"/>
  <c r="AY136" i="3"/>
  <c r="AO137" i="3"/>
  <c r="AT137" i="3"/>
  <c r="AY137" i="3"/>
  <c r="AO138" i="3"/>
  <c r="AT138" i="3"/>
  <c r="AY138" i="3"/>
  <c r="AO139" i="3"/>
  <c r="AT139" i="3"/>
  <c r="AY139" i="3"/>
  <c r="AP140" i="3"/>
  <c r="AU140" i="3"/>
  <c r="AU141" i="3"/>
  <c r="AV142" i="3"/>
  <c r="AV144" i="3" s="1"/>
  <c r="S31" i="3" s="1"/>
  <c r="AS135" i="3"/>
  <c r="AX135" i="3"/>
  <c r="AS136" i="3"/>
  <c r="AX136" i="3"/>
  <c r="AS137" i="3"/>
  <c r="AX137" i="3"/>
  <c r="AS138" i="3"/>
  <c r="AX138" i="3"/>
  <c r="AS139" i="3"/>
  <c r="AX139" i="3"/>
  <c r="AQ135" i="3"/>
  <c r="AW135" i="3"/>
  <c r="AQ136" i="3"/>
  <c r="AW136" i="3"/>
  <c r="AQ137" i="3"/>
  <c r="AW137" i="3"/>
  <c r="AQ138" i="3"/>
  <c r="AW138" i="3"/>
  <c r="AQ139" i="3"/>
  <c r="AW139" i="3"/>
  <c r="AS140" i="3"/>
  <c r="AX140" i="3"/>
  <c r="H98" i="2"/>
  <c r="H97" i="2"/>
  <c r="H96" i="2"/>
  <c r="L169" i="2"/>
  <c r="J51" i="2" s="1"/>
  <c r="M169" i="2" s="1"/>
  <c r="L168" i="2"/>
  <c r="E51" i="2" s="1"/>
  <c r="M168" i="2" s="1"/>
  <c r="F95" i="2"/>
  <c r="F131" i="2"/>
  <c r="G131" i="2" s="1"/>
  <c r="M159" i="2"/>
  <c r="L167" i="2"/>
  <c r="M170" i="2" s="1"/>
  <c r="M167" i="2" s="1"/>
  <c r="N54" i="2" s="1"/>
  <c r="O54" i="2" s="1"/>
  <c r="P54" i="2" s="1"/>
  <c r="V105" i="3"/>
  <c r="W104" i="3"/>
  <c r="AS44" i="3"/>
  <c r="N141" i="3"/>
  <c r="AR142" i="3"/>
  <c r="AH45" i="3"/>
  <c r="AU45" i="3" s="1"/>
  <c r="L81" i="3"/>
  <c r="M81" i="3" s="1"/>
  <c r="W103" i="3"/>
  <c r="AR124" i="3"/>
  <c r="AP141" i="3"/>
  <c r="AT141" i="3"/>
  <c r="AX141" i="3"/>
  <c r="AQ142" i="3"/>
  <c r="AU142" i="3"/>
  <c r="AY142" i="3"/>
  <c r="S177" i="3"/>
  <c r="Q120" i="3"/>
  <c r="AP142" i="3"/>
  <c r="AT142" i="3"/>
  <c r="AX142" i="3"/>
  <c r="AR135" i="3"/>
  <c r="O136" i="3"/>
  <c r="N136" i="3" s="1"/>
  <c r="AR136" i="3"/>
  <c r="AR137" i="3"/>
  <c r="AR138" i="3"/>
  <c r="AR139" i="3"/>
  <c r="O140" i="3"/>
  <c r="AR140" i="3"/>
  <c r="AR141" i="3"/>
  <c r="AO142" i="3"/>
  <c r="AS142" i="3"/>
  <c r="AN144" i="3"/>
  <c r="L59" i="3" s="1"/>
  <c r="L60" i="3" s="1"/>
  <c r="B143" i="3"/>
  <c r="L53" i="3"/>
  <c r="C24" i="4" l="1"/>
  <c r="C27" i="4"/>
  <c r="C23" i="4"/>
  <c r="C30" i="4"/>
  <c r="C31" i="4"/>
  <c r="C32" i="4"/>
  <c r="AW144" i="3"/>
  <c r="T31" i="3" s="1"/>
  <c r="AX144" i="3"/>
  <c r="U31" i="3" s="1"/>
  <c r="AQ144" i="3"/>
  <c r="T27" i="3" s="1"/>
  <c r="AO144" i="3"/>
  <c r="R27" i="3" s="1"/>
  <c r="AU144" i="3"/>
  <c r="R31" i="3" s="1"/>
  <c r="AP144" i="3"/>
  <c r="S27" i="3" s="1"/>
  <c r="AR144" i="3"/>
  <c r="U27" i="3" s="1"/>
  <c r="AA85" i="3" s="1"/>
  <c r="AY144" i="3"/>
  <c r="V31" i="3" s="1"/>
  <c r="F5" i="5"/>
  <c r="F6" i="5"/>
  <c r="C5" i="6"/>
  <c r="C6" i="6"/>
  <c r="AT144" i="3"/>
  <c r="Q31" i="3" s="1"/>
  <c r="AS144" i="3"/>
  <c r="V27" i="3" s="1"/>
  <c r="F98" i="2"/>
  <c r="F97" i="2"/>
  <c r="S178" i="3"/>
  <c r="V177" i="3"/>
  <c r="M142" i="3"/>
  <c r="V106" i="3"/>
  <c r="W105" i="3"/>
  <c r="R120" i="3"/>
  <c r="R119" i="3"/>
  <c r="R118" i="3"/>
  <c r="O141" i="3"/>
  <c r="L61" i="3"/>
  <c r="V32" i="3" s="1"/>
  <c r="V34" i="3" s="1"/>
  <c r="AD84" i="3"/>
  <c r="M65" i="3"/>
  <c r="U162" i="3"/>
  <c r="S207" i="3" s="1"/>
  <c r="C36" i="4" l="1"/>
  <c r="C35" i="4"/>
  <c r="C37" i="4"/>
  <c r="C15" i="6"/>
  <c r="D13" i="6" s="1"/>
  <c r="V178" i="3"/>
  <c r="S179" i="3"/>
  <c r="V107" i="3"/>
  <c r="W106" i="3"/>
  <c r="L63" i="3"/>
  <c r="L64" i="3" s="1"/>
  <c r="AA84" i="3" s="1"/>
  <c r="L32" i="3"/>
  <c r="S32" i="3"/>
  <c r="S34" i="3" s="1"/>
  <c r="R32" i="3"/>
  <c r="R33" i="3" s="1"/>
  <c r="M25" i="3"/>
  <c r="L25" i="3"/>
  <c r="L54" i="3"/>
  <c r="U32" i="3"/>
  <c r="U34" i="3" s="1"/>
  <c r="Q32" i="3"/>
  <c r="Q33" i="3" s="1"/>
  <c r="L62" i="3"/>
  <c r="U163" i="3" s="1"/>
  <c r="U174" i="3" s="1"/>
  <c r="F8" i="3"/>
  <c r="T32" i="3"/>
  <c r="T34" i="3" s="1"/>
  <c r="M63" i="3"/>
  <c r="N96" i="3"/>
  <c r="L96" i="3"/>
  <c r="N94" i="3"/>
  <c r="L94" i="3"/>
  <c r="M72" i="3"/>
  <c r="AC85" i="3"/>
  <c r="L74" i="3"/>
  <c r="L72" i="3"/>
  <c r="M74" i="3"/>
  <c r="D14" i="6" l="1"/>
  <c r="G13" i="6"/>
  <c r="G14" i="6"/>
  <c r="C16" i="6"/>
  <c r="U169" i="3"/>
  <c r="U201" i="3"/>
  <c r="U202" i="3"/>
  <c r="U173" i="3"/>
  <c r="U205" i="3"/>
  <c r="U189" i="3"/>
  <c r="U190" i="3"/>
  <c r="U191" i="3"/>
  <c r="U192" i="3"/>
  <c r="U164" i="3"/>
  <c r="U193" i="3"/>
  <c r="U194" i="3"/>
  <c r="U195" i="3"/>
  <c r="U196" i="3"/>
  <c r="U167" i="3"/>
  <c r="U197" i="3"/>
  <c r="U198" i="3"/>
  <c r="U199" i="3"/>
  <c r="U200" i="3"/>
  <c r="U203" i="3"/>
  <c r="U204" i="3"/>
  <c r="S180" i="3"/>
  <c r="V179" i="3"/>
  <c r="V108" i="3"/>
  <c r="W107" i="3"/>
  <c r="U171" i="3"/>
  <c r="U168" i="3"/>
  <c r="U170" i="3"/>
  <c r="U172" i="3"/>
  <c r="H6" i="3"/>
  <c r="U186" i="3"/>
  <c r="U183" i="3"/>
  <c r="U175" i="3"/>
  <c r="U180" i="3"/>
  <c r="S208" i="3"/>
  <c r="U176" i="3"/>
  <c r="H7" i="3"/>
  <c r="U178" i="3"/>
  <c r="U185" i="3"/>
  <c r="U188" i="3"/>
  <c r="U181" i="3"/>
  <c r="U184" i="3"/>
  <c r="M64" i="3"/>
  <c r="U179" i="3"/>
  <c r="U187" i="3"/>
  <c r="U182" i="3"/>
  <c r="L85" i="3"/>
  <c r="U177" i="3"/>
  <c r="E5" i="3"/>
  <c r="E154" i="3" s="1"/>
  <c r="E155" i="3" s="1"/>
  <c r="L65" i="3"/>
  <c r="M75" i="3" s="1"/>
  <c r="AC84" i="3"/>
  <c r="L70" i="3"/>
  <c r="L73" i="3" s="1"/>
  <c r="M70" i="3"/>
  <c r="M73" i="3" s="1"/>
  <c r="L86" i="3"/>
  <c r="E6" i="3"/>
  <c r="E7" i="3" s="1"/>
  <c r="S181" i="3" l="1"/>
  <c r="V180" i="3"/>
  <c r="W108" i="3"/>
  <c r="V109" i="3"/>
  <c r="L87" i="3"/>
  <c r="I5" i="3" s="1"/>
  <c r="L75" i="3"/>
  <c r="M43" i="3"/>
  <c r="F154" i="3"/>
  <c r="F155" i="3" s="1"/>
  <c r="E156" i="3" s="1"/>
  <c r="H8" i="3"/>
  <c r="N97" i="3"/>
  <c r="AD83" i="3"/>
  <c r="H5" i="3"/>
  <c r="L97" i="3"/>
  <c r="S182" i="3" l="1"/>
  <c r="V181" i="3"/>
  <c r="W109" i="3"/>
  <c r="V110" i="3"/>
  <c r="N91" i="3"/>
  <c r="L91" i="3"/>
  <c r="L95" i="3"/>
  <c r="N95" i="3"/>
  <c r="V182" i="3" l="1"/>
  <c r="S183" i="3"/>
  <c r="W110" i="3"/>
  <c r="V111" i="3"/>
  <c r="S184" i="3" l="1"/>
  <c r="V183" i="3"/>
  <c r="V112" i="3"/>
  <c r="W111" i="3"/>
  <c r="V113" i="3" l="1"/>
  <c r="W112" i="3"/>
  <c r="S185" i="3"/>
  <c r="V184" i="3"/>
  <c r="V114" i="3" l="1"/>
  <c r="W113" i="3"/>
  <c r="S186" i="3"/>
  <c r="V185" i="3"/>
  <c r="V186" i="3" l="1"/>
  <c r="S187" i="3"/>
  <c r="W114" i="3"/>
  <c r="V115" i="3"/>
  <c r="S188" i="3" l="1"/>
  <c r="V187" i="3"/>
  <c r="W115" i="3"/>
  <c r="V116" i="3"/>
  <c r="S189" i="3" l="1"/>
  <c r="V188" i="3"/>
  <c r="W116" i="3"/>
  <c r="V117" i="3"/>
  <c r="S190" i="3" l="1"/>
  <c r="V189" i="3"/>
  <c r="W117" i="3"/>
  <c r="V118" i="3"/>
  <c r="V190" i="3" l="1"/>
  <c r="S191" i="3"/>
  <c r="V119" i="3"/>
  <c r="W118" i="3"/>
  <c r="S192" i="3" l="1"/>
  <c r="V191" i="3"/>
  <c r="W119" i="3"/>
  <c r="V120" i="3"/>
  <c r="S193" i="3" l="1"/>
  <c r="V192" i="3"/>
  <c r="V121" i="3"/>
  <c r="W120" i="3"/>
  <c r="V122" i="3" l="1"/>
  <c r="W121" i="3"/>
  <c r="S194" i="3"/>
  <c r="V193" i="3"/>
  <c r="V123" i="3" l="1"/>
  <c r="W122" i="3"/>
  <c r="V194" i="3"/>
  <c r="S195" i="3"/>
  <c r="S196" i="3" l="1"/>
  <c r="V195" i="3"/>
  <c r="V124" i="3"/>
  <c r="W123" i="3"/>
  <c r="S197" i="3" l="1"/>
  <c r="V196" i="3"/>
  <c r="W124" i="3"/>
  <c r="V125" i="3"/>
  <c r="S198" i="3" l="1"/>
  <c r="V197" i="3"/>
  <c r="V126" i="3"/>
  <c r="W125" i="3"/>
  <c r="V198" i="3" l="1"/>
  <c r="S199" i="3"/>
  <c r="W126" i="3"/>
  <c r="V127" i="3"/>
  <c r="W127" i="3" s="1"/>
  <c r="S200" i="3" l="1"/>
  <c r="V199" i="3"/>
  <c r="S201" i="3" l="1"/>
  <c r="V200" i="3"/>
  <c r="S202" i="3" l="1"/>
  <c r="V201" i="3"/>
  <c r="V202" i="3" l="1"/>
  <c r="S203" i="3"/>
  <c r="S204" i="3" l="1"/>
  <c r="V203" i="3"/>
  <c r="S205" i="3" l="1"/>
  <c r="V205" i="3" s="1"/>
  <c r="V204" i="3"/>
</calcChain>
</file>

<file path=xl/sharedStrings.xml><?xml version="1.0" encoding="utf-8"?>
<sst xmlns="http://schemas.openxmlformats.org/spreadsheetml/2006/main" count="1641" uniqueCount="970">
  <si>
    <t>Main Contents ̸ Notes:-</t>
  </si>
  <si>
    <t>General Calc's</t>
  </si>
  <si>
    <t>General Converters - volume, weight, temperature etc.</t>
  </si>
  <si>
    <t>OG Correction For Wines etc.</t>
  </si>
  <si>
    <t>UK ̸ US Proof &amp; % Converters Etc.</t>
  </si>
  <si>
    <t>Includes ABV ̸ ABW ̸ Proof Calc's</t>
  </si>
  <si>
    <t>ABV Estimators</t>
  </si>
  <si>
    <t>Hydrometer Temperature Correction</t>
  </si>
  <si>
    <t>°Brix, Plato, Balling &amp; Baumé</t>
  </si>
  <si>
    <t>Priming Sparkling Wines, Ciders, Meads &amp; Beers</t>
  </si>
  <si>
    <t>BMI &amp;  Waist to Height Ratio Calculators</t>
  </si>
  <si>
    <t>Beer, Wine &amp; Spirit Freezing Point</t>
  </si>
  <si>
    <t>Making Wine &amp; Beer In Stages</t>
  </si>
  <si>
    <t>Reduced Alcohol Beers &amp; Wines</t>
  </si>
  <si>
    <t>Some Typical Wine Temperatures.</t>
  </si>
  <si>
    <t>Wine &amp; Cider Calc's</t>
  </si>
  <si>
    <t>Also used for calculating meads etc.</t>
  </si>
  <si>
    <t>Summary for Finished Wine ̸ Cider etc.</t>
  </si>
  <si>
    <t>Some Typical Wine Parameters</t>
  </si>
  <si>
    <t>Calorie ̸ Unit Counter (Un-primed).</t>
  </si>
  <si>
    <t>Priming Ciders &amp; Sparkling Wines</t>
  </si>
  <si>
    <t>Calorie ̸ Unit Counter (After Priming)</t>
  </si>
  <si>
    <t>Sugar Solutions &amp; Weights</t>
  </si>
  <si>
    <t>Some Dried Fruit Equivalents</t>
  </si>
  <si>
    <t>Fortifying Wines</t>
  </si>
  <si>
    <t>ABV for FINISHED, DRY wines/ciders only.</t>
  </si>
  <si>
    <t>Recipe Scaling</t>
  </si>
  <si>
    <t>TCP Taste ̸ Aroma</t>
  </si>
  <si>
    <t>F.G. &amp; ABV Predictor</t>
  </si>
  <si>
    <t>James' Acid Calculator</t>
  </si>
  <si>
    <t>For adjusting the acidity of a wine must following titration.</t>
  </si>
  <si>
    <t>Cocktail Unit Calculator</t>
  </si>
  <si>
    <t xml:space="preserve">Just add the components to get the units, calories &amp; "carbs" of your cocktails - including non-alcoholic drinks.  </t>
  </si>
  <si>
    <t>Jam Calculator</t>
  </si>
  <si>
    <t>As it says on the jar!</t>
  </si>
  <si>
    <t>NOTE:- These calculators use pre-set data which may be changed.</t>
  </si>
  <si>
    <t>jamesbsmith@hotmail.com</t>
  </si>
  <si>
    <t>General Converters</t>
  </si>
  <si>
    <t>Volume Converters</t>
  </si>
  <si>
    <r>
      <rPr>
        <b/>
        <sz val="10"/>
        <color rgb="FFCC00FF"/>
        <rFont val="Times New Roman"/>
        <family val="1"/>
      </rPr>
      <t>US</t>
    </r>
    <r>
      <rPr>
        <sz val="10"/>
        <color rgb="FF000000"/>
        <rFont val="Times New Roman"/>
        <family val="1"/>
      </rPr>
      <t xml:space="preserve"> Gall.</t>
    </r>
  </si>
  <si>
    <t>Litre</t>
  </si>
  <si>
    <r>
      <rPr>
        <b/>
        <sz val="10"/>
        <color rgb="FFFF0000"/>
        <rFont val="Times New Roman"/>
        <family val="1"/>
      </rPr>
      <t>UK</t>
    </r>
    <r>
      <rPr>
        <sz val="10"/>
        <color rgb="FF000000"/>
        <rFont val="Times New Roman"/>
        <family val="1"/>
      </rPr>
      <t xml:space="preserve"> Gall.</t>
    </r>
  </si>
  <si>
    <r>
      <rPr>
        <b/>
        <sz val="10"/>
        <color rgb="FFFF0000"/>
        <rFont val="Times New Roman"/>
        <family val="1"/>
      </rPr>
      <t>US</t>
    </r>
    <r>
      <rPr>
        <b/>
        <sz val="10"/>
        <color rgb="FF000000"/>
        <rFont val="Times New Roman"/>
        <family val="1"/>
      </rPr>
      <t xml:space="preserve"> </t>
    </r>
    <r>
      <rPr>
        <sz val="10"/>
        <rFont val="Times New Roman"/>
        <family val="1"/>
      </rPr>
      <t>Gall.</t>
    </r>
  </si>
  <si>
    <r>
      <rPr>
        <b/>
        <sz val="10"/>
        <color rgb="FFFF0000"/>
        <rFont val="Times New Roman"/>
        <family val="1"/>
      </rPr>
      <t>US</t>
    </r>
    <r>
      <rPr>
        <sz val="10"/>
        <color rgb="FF000000"/>
        <rFont val="Times New Roman"/>
        <family val="1"/>
      </rPr>
      <t xml:space="preserve"> Gall.</t>
    </r>
  </si>
  <si>
    <t>6 US galls = 5 UK galls ≈ 22.7 litres</t>
  </si>
  <si>
    <t>5 US gallons ≈ 18.9 litres</t>
  </si>
  <si>
    <t>1 UK pint = 20 fl oz ≈ 568ml</t>
  </si>
  <si>
    <r>
      <rPr>
        <b/>
        <sz val="10"/>
        <color rgb="FFCC00FF"/>
        <rFont val="Times New Roman"/>
        <family val="1"/>
      </rPr>
      <t>US</t>
    </r>
    <r>
      <rPr>
        <b/>
        <sz val="10"/>
        <color rgb="FF000000"/>
        <rFont val="Times New Roman"/>
        <family val="1"/>
      </rPr>
      <t xml:space="preserve"> </t>
    </r>
    <r>
      <rPr>
        <sz val="10"/>
        <rFont val="Times New Roman"/>
        <family val="1"/>
      </rPr>
      <t>Pt.</t>
    </r>
  </si>
  <si>
    <r>
      <rPr>
        <b/>
        <sz val="10"/>
        <color rgb="FFFF0000"/>
        <rFont val="Times New Roman"/>
        <family val="1"/>
      </rPr>
      <t>UK</t>
    </r>
    <r>
      <rPr>
        <sz val="10"/>
        <color rgb="FF000000"/>
        <rFont val="Times New Roman"/>
        <family val="1"/>
      </rPr>
      <t xml:space="preserve"> Pt.</t>
    </r>
  </si>
  <si>
    <t>1 UK ̸ Euro. litre = 1 US liter</t>
  </si>
  <si>
    <t>Weight Converters</t>
  </si>
  <si>
    <t>g</t>
  </si>
  <si>
    <t>Wt.</t>
  </si>
  <si>
    <t>lb</t>
  </si>
  <si>
    <t>Wt. g</t>
  </si>
  <si>
    <t>oz      OR       lb      OR    lb    oz</t>
  </si>
  <si>
    <t>1Kg ≈ 0.4536 lb</t>
  </si>
  <si>
    <t>Kg</t>
  </si>
  <si>
    <t>oz</t>
  </si>
  <si>
    <t>Wt. g   OR  Wt. Kg</t>
  </si>
  <si>
    <t>lb oz</t>
  </si>
  <si>
    <t>lb  oz</t>
  </si>
  <si>
    <t>Weight &amp; Volume Converters</t>
  </si>
  <si>
    <t>Vol. 1</t>
  </si>
  <si>
    <t xml:space="preserve">Wt. 1 </t>
  </si>
  <si>
    <t>Vol. 2</t>
  </si>
  <si>
    <t>Wt. 2</t>
  </si>
  <si>
    <t>Wt. ̸ Vol. Conversion</t>
  </si>
  <si>
    <t>Kg ̸ litre</t>
  </si>
  <si>
    <t>Wt. ̸ Vol.</t>
  </si>
  <si>
    <r>
      <rPr>
        <sz val="10"/>
        <color rgb="FF000000"/>
        <rFont val="Times New Roman"/>
        <family val="1"/>
      </rPr>
      <t xml:space="preserve">lb ̸ gall. </t>
    </r>
    <r>
      <rPr>
        <b/>
        <sz val="10"/>
        <color rgb="FFFF0000"/>
        <rFont val="Times New Roman"/>
        <family val="1"/>
      </rPr>
      <t>UK</t>
    </r>
  </si>
  <si>
    <t>g ̸ litre</t>
  </si>
  <si>
    <r>
      <rPr>
        <sz val="10"/>
        <color rgb="FF000000"/>
        <rFont val="Times New Roman"/>
        <family val="1"/>
      </rPr>
      <t xml:space="preserve">oz ̸ pt. </t>
    </r>
    <r>
      <rPr>
        <b/>
        <sz val="10"/>
        <color rgb="FFFF0000"/>
        <rFont val="Times New Roman"/>
        <family val="1"/>
      </rPr>
      <t>UK</t>
    </r>
  </si>
  <si>
    <t>ml</t>
  </si>
  <si>
    <t>Fluid</t>
  </si>
  <si>
    <r>
      <rPr>
        <b/>
        <u/>
        <sz val="10"/>
        <color rgb="FF000000"/>
        <rFont val="Times New Roman"/>
        <family val="1"/>
      </rPr>
      <t xml:space="preserve">&amp; </t>
    </r>
    <r>
      <rPr>
        <b/>
        <sz val="10"/>
        <color rgb="FFFF0000"/>
        <rFont val="Times New Roman"/>
        <family val="1"/>
      </rPr>
      <t>US</t>
    </r>
  </si>
  <si>
    <r>
      <rPr>
        <sz val="10"/>
        <color rgb="FF000000"/>
        <rFont val="Times New Roman"/>
        <family val="1"/>
      </rPr>
      <t>lb ̸ gall.</t>
    </r>
    <r>
      <rPr>
        <b/>
        <sz val="10"/>
        <color rgb="FFFF00FF"/>
        <rFont val="Times New Roman"/>
        <family val="1"/>
      </rPr>
      <t xml:space="preserve"> US</t>
    </r>
  </si>
  <si>
    <t>Wt. ̸ Vol</t>
  </si>
  <si>
    <r>
      <rPr>
        <sz val="10"/>
        <color rgb="FF000000"/>
        <rFont val="Times New Roman"/>
        <family val="1"/>
      </rPr>
      <t>oz ̸ pt</t>
    </r>
    <r>
      <rPr>
        <b/>
        <sz val="10"/>
        <color rgb="FFFF00FF"/>
        <rFont val="Times New Roman"/>
        <family val="1"/>
      </rPr>
      <t xml:space="preserve"> US</t>
    </r>
  </si>
  <si>
    <r>
      <rPr>
        <sz val="10"/>
        <color rgb="FF000000"/>
        <rFont val="Times New Roman"/>
        <family val="1"/>
      </rPr>
      <t xml:space="preserve">fl oz </t>
    </r>
    <r>
      <rPr>
        <b/>
        <sz val="10"/>
        <color rgb="FFFF00FF"/>
        <rFont val="Times New Roman"/>
        <family val="1"/>
      </rPr>
      <t>US</t>
    </r>
  </si>
  <si>
    <r>
      <rPr>
        <sz val="10"/>
        <color rgb="FF000000"/>
        <rFont val="Times New Roman"/>
        <family val="1"/>
      </rPr>
      <t>fl oz</t>
    </r>
    <r>
      <rPr>
        <sz val="10"/>
        <color rgb="FFFF0000"/>
        <rFont val="Times New Roman"/>
        <family val="1"/>
      </rPr>
      <t xml:space="preserve"> Imp</t>
    </r>
  </si>
  <si>
    <t>fl oz</t>
  </si>
  <si>
    <t>OG Correction For Wines/Beers etc.</t>
  </si>
  <si>
    <t>Present OG</t>
  </si>
  <si>
    <t>OG required</t>
  </si>
  <si>
    <t>Present Vol. (litres)</t>
  </si>
  <si>
    <t>Topping Up Vol. (litres)</t>
  </si>
  <si>
    <t>New Vol. (litres)</t>
  </si>
  <si>
    <t>The "Present OG" must be equal to or higher than the "OG required"</t>
  </si>
  <si>
    <t>All gravites are assumed to be at room temp. or compensated for.</t>
  </si>
  <si>
    <t>SG ̸ Vol. Converter</t>
  </si>
  <si>
    <t xml:space="preserve">For an SG of </t>
  </si>
  <si>
    <t>&amp; an initial volume of</t>
  </si>
  <si>
    <t>litres when DILUTED.</t>
  </si>
  <si>
    <t xml:space="preserve">Temperature Converter </t>
  </si>
  <si>
    <r>
      <rPr>
        <sz val="11"/>
        <rFont val="Times New Roman"/>
        <family val="1"/>
      </rPr>
      <t>°</t>
    </r>
    <r>
      <rPr>
        <sz val="10"/>
        <rFont val="Times New Roman"/>
        <family val="1"/>
      </rPr>
      <t>C</t>
    </r>
  </si>
  <si>
    <t>Deg</t>
  </si>
  <si>
    <r>
      <rPr>
        <sz val="11"/>
        <rFont val="Times New Roman"/>
        <family val="1"/>
      </rPr>
      <t>°</t>
    </r>
    <r>
      <rPr>
        <sz val="10"/>
        <rFont val="Times New Roman"/>
        <family val="1"/>
      </rPr>
      <t>F</t>
    </r>
  </si>
  <si>
    <t>UK Proof &amp; % Converters</t>
  </si>
  <si>
    <r>
      <rPr>
        <b/>
        <sz val="10"/>
        <color rgb="FFFF0000"/>
        <rFont val="Times New Roman"/>
        <family val="1"/>
      </rPr>
      <t>UK</t>
    </r>
    <r>
      <rPr>
        <b/>
        <sz val="10"/>
        <color rgb="FF000000"/>
        <rFont val="Times New Roman"/>
        <family val="1"/>
      </rPr>
      <t xml:space="preserve"> ̸ </t>
    </r>
    <r>
      <rPr>
        <b/>
        <sz val="10"/>
        <color rgb="FFFF00FF"/>
        <rFont val="Times New Roman"/>
        <family val="1"/>
      </rPr>
      <t>US</t>
    </r>
    <r>
      <rPr>
        <b/>
        <sz val="10"/>
        <color rgb="FFFF0000"/>
        <rFont val="Times New Roman"/>
        <family val="1"/>
      </rPr>
      <t xml:space="preserve"> </t>
    </r>
    <r>
      <rPr>
        <b/>
        <sz val="10"/>
        <color rgb="FF000000"/>
        <rFont val="Times New Roman"/>
        <family val="1"/>
      </rPr>
      <t>Proof Converters</t>
    </r>
  </si>
  <si>
    <t>% ABV</t>
  </si>
  <si>
    <r>
      <rPr>
        <b/>
        <sz val="10"/>
        <color rgb="FFFF0000"/>
        <rFont val="Times New Roman"/>
        <family val="1"/>
      </rPr>
      <t>UK</t>
    </r>
    <r>
      <rPr>
        <b/>
        <sz val="11"/>
        <rFont val="Times New Roman"/>
        <family val="1"/>
      </rPr>
      <t>°</t>
    </r>
  </si>
  <si>
    <t>% ABW</t>
  </si>
  <si>
    <r>
      <rPr>
        <b/>
        <sz val="10"/>
        <color rgb="FFFF00FF"/>
        <rFont val="Times New Roman"/>
        <family val="1"/>
      </rPr>
      <t>US</t>
    </r>
    <r>
      <rPr>
        <b/>
        <sz val="11"/>
        <rFont val="Times New Roman"/>
        <family val="1"/>
      </rPr>
      <t>°</t>
    </r>
  </si>
  <si>
    <t>Proof</t>
  </si>
  <si>
    <t>ABV ̸ Proof converter</t>
  </si>
  <si>
    <t>ABW ̸ Proof converter</t>
  </si>
  <si>
    <t>(Note: these calc's are approx.)</t>
  </si>
  <si>
    <r>
      <rPr>
        <sz val="10"/>
        <color rgb="FF000000"/>
        <rFont val="Times New Roman"/>
        <family val="1"/>
      </rPr>
      <t xml:space="preserve">Proof max. </t>
    </r>
    <r>
      <rPr>
        <sz val="10"/>
        <color rgb="FFFF0000"/>
        <rFont val="Times New Roman"/>
        <family val="1"/>
      </rPr>
      <t>UK 175</t>
    </r>
    <r>
      <rPr>
        <sz val="11"/>
        <color rgb="FF000000"/>
        <rFont val="Times New Roman"/>
        <family val="1"/>
      </rPr>
      <t>°</t>
    </r>
    <r>
      <rPr>
        <sz val="10"/>
        <rFont val="Times New Roman"/>
        <family val="1"/>
      </rPr>
      <t xml:space="preserve"> ̸ </t>
    </r>
    <r>
      <rPr>
        <sz val="10"/>
        <color rgb="FFFF00FF"/>
        <rFont val="Times New Roman"/>
        <family val="1"/>
      </rPr>
      <t>USA 200</t>
    </r>
    <r>
      <rPr>
        <sz val="11"/>
        <color rgb="FF000000"/>
        <rFont val="Times New Roman"/>
        <family val="1"/>
      </rPr>
      <t>°</t>
    </r>
    <r>
      <rPr>
        <sz val="10"/>
        <rFont val="Times New Roman"/>
        <family val="1"/>
      </rPr>
      <t xml:space="preserve">. All temperatures are assumed to be at around 20°C. </t>
    </r>
    <r>
      <rPr>
        <sz val="10"/>
        <color rgb="FFFF0000"/>
        <rFont val="Times New Roman"/>
        <family val="1"/>
      </rPr>
      <t>Just try other calc's for 100% ABV or 100% ABW!</t>
    </r>
    <r>
      <rPr>
        <sz val="10"/>
        <color rgb="FF000000"/>
        <rFont val="Times New Roman"/>
        <family val="1"/>
      </rPr>
      <t xml:space="preserve"> (BUT, to me, 100% ABV implies 100% ABW.)</t>
    </r>
  </si>
  <si>
    <t>SG to % ABV Calculators</t>
  </si>
  <si>
    <t>Simple ABV Estimator</t>
  </si>
  <si>
    <r>
      <rPr>
        <b/>
        <sz val="11"/>
        <rFont val="Times New Roman"/>
        <family val="1"/>
      </rPr>
      <t>°</t>
    </r>
    <r>
      <rPr>
        <b/>
        <sz val="10"/>
        <rFont val="Times New Roman"/>
        <family val="1"/>
      </rPr>
      <t xml:space="preserve">C </t>
    </r>
  </si>
  <si>
    <t xml:space="preserve">Original Gravity </t>
  </si>
  <si>
    <r>
      <rPr>
        <sz val="12"/>
        <rFont val="Times New Roman"/>
        <family val="1"/>
      </rPr>
      <t>°</t>
    </r>
    <r>
      <rPr>
        <sz val="10"/>
        <rFont val="Times New Roman"/>
        <family val="1"/>
      </rPr>
      <t xml:space="preserve">F </t>
    </r>
  </si>
  <si>
    <t>Original Gravity</t>
  </si>
  <si>
    <t>Calibration Temp.</t>
  </si>
  <si>
    <r>
      <rPr>
        <sz val="10"/>
        <color rgb="FFFF0000"/>
        <rFont val="Times New Roman"/>
        <family val="1"/>
      </rPr>
      <t xml:space="preserve">Calibration temperatures &amp; wort/must temperatures are taken into account for </t>
    </r>
    <r>
      <rPr>
        <b/>
        <sz val="10"/>
        <rFont val="Times New Roman"/>
        <family val="1"/>
      </rPr>
      <t>all</t>
    </r>
    <r>
      <rPr>
        <sz val="10"/>
        <color rgb="FFFF0000"/>
        <rFont val="Times New Roman"/>
        <family val="1"/>
      </rPr>
      <t xml:space="preserve"> SG readings.</t>
    </r>
  </si>
  <si>
    <t>Final Gravity</t>
  </si>
  <si>
    <t>Liquid Temp.</t>
  </si>
  <si>
    <t>% ABV (approx)</t>
  </si>
  <si>
    <r>
      <rPr>
        <b/>
        <sz val="10"/>
        <rFont val="Times New Roman"/>
        <family val="1"/>
      </rPr>
      <t>OG</t>
    </r>
    <r>
      <rPr>
        <sz val="10"/>
        <rFont val="Times New Roman"/>
        <family val="1"/>
      </rPr>
      <t xml:space="preserve"> Measured</t>
    </r>
  </si>
  <si>
    <t>Temperatures are NOT taken into considaration in these two calc's.</t>
  </si>
  <si>
    <r>
      <rPr>
        <b/>
        <sz val="10"/>
        <rFont val="Times New Roman"/>
        <family val="1"/>
      </rPr>
      <t>OG</t>
    </r>
    <r>
      <rPr>
        <sz val="10"/>
        <rFont val="Times New Roman"/>
        <family val="1"/>
      </rPr>
      <t xml:space="preserve"> Corrected</t>
    </r>
  </si>
  <si>
    <t xml:space="preserve">Calibration Temp. </t>
  </si>
  <si>
    <t>Using the simpler "brewers degrees"</t>
  </si>
  <si>
    <r>
      <rPr>
        <sz val="10"/>
        <color rgb="FFFF0000"/>
        <rFont val="Times New Roman"/>
        <family val="1"/>
      </rPr>
      <t>Using the simpler `brewers degrees` - equal to (SG-1000)</t>
    </r>
    <r>
      <rPr>
        <sz val="11"/>
        <rFont val="Times New Roman"/>
        <family val="1"/>
      </rPr>
      <t>°</t>
    </r>
    <r>
      <rPr>
        <sz val="10"/>
        <rFont val="Times New Roman"/>
        <family val="1"/>
      </rPr>
      <t>. Example: a SG of 993 is represented by (993-1000 ) = -7</t>
    </r>
    <r>
      <rPr>
        <sz val="11"/>
        <rFont val="Times New Roman"/>
        <family val="1"/>
      </rPr>
      <t>°</t>
    </r>
  </si>
  <si>
    <r>
      <rPr>
        <b/>
        <sz val="10"/>
        <rFont val="Times New Roman"/>
        <family val="1"/>
      </rPr>
      <t>FG</t>
    </r>
    <r>
      <rPr>
        <sz val="10"/>
        <rFont val="Times New Roman"/>
        <family val="1"/>
      </rPr>
      <t xml:space="preserve"> Measured</t>
    </r>
  </si>
  <si>
    <r>
      <rPr>
        <b/>
        <sz val="10"/>
        <rFont val="Times New Roman"/>
        <family val="1"/>
      </rPr>
      <t>FG</t>
    </r>
    <r>
      <rPr>
        <sz val="10"/>
        <rFont val="Times New Roman"/>
        <family val="1"/>
      </rPr>
      <t xml:space="preserve"> Corrected</t>
    </r>
  </si>
  <si>
    <t>ABV (approx.)</t>
  </si>
  <si>
    <t>OR</t>
  </si>
  <si>
    <t>using the simpler "brewers degrees"</t>
  </si>
  <si>
    <t>This is mainly used for beers.</t>
  </si>
  <si>
    <t>Wort ̸ Must  Temp.</t>
  </si>
  <si>
    <t>Measured Gravity</t>
  </si>
  <si>
    <t>Corrected Gravity</t>
  </si>
  <si>
    <r>
      <rPr>
        <sz val="10"/>
        <color rgb="FF000000"/>
        <rFont val="Times New Roman"/>
        <family val="1"/>
      </rPr>
      <t>(</t>
    </r>
    <r>
      <rPr>
        <sz val="11"/>
        <rFont val="Times New Roman"/>
        <family val="1"/>
      </rPr>
      <t>°</t>
    </r>
    <r>
      <rPr>
        <sz val="10"/>
        <rFont val="Times New Roman"/>
        <family val="1"/>
      </rPr>
      <t>Bx, P, B &amp; Bé)</t>
    </r>
  </si>
  <si>
    <t>SG</t>
  </si>
  <si>
    <r>
      <rPr>
        <sz val="11"/>
        <rFont val="Times New Roman"/>
        <family val="1"/>
      </rPr>
      <t>°</t>
    </r>
    <r>
      <rPr>
        <sz val="10"/>
        <rFont val="Times New Roman"/>
        <family val="1"/>
      </rPr>
      <t>Brix ̸ Plato ̸ Balling</t>
    </r>
  </si>
  <si>
    <r>
      <rPr>
        <sz val="11"/>
        <rFont val="Times New Roman"/>
        <family val="1"/>
      </rPr>
      <t>°</t>
    </r>
    <r>
      <rPr>
        <sz val="10"/>
        <rFont val="Times New Roman"/>
        <family val="1"/>
      </rPr>
      <t>Baumé</t>
    </r>
  </si>
  <si>
    <t xml:space="preserve">Temperatures of around 20°C are assumed. </t>
  </si>
  <si>
    <t>Brix, Plato &amp; Balling are scales of sweetness based on sucrose solutions &amp; they give very similar results, to within a few decimal places &amp; therefore can be assumed to be the same for our purposes. The minimum amount of "sugar" that can be added is zero, hence the minimum value of the three scales is also zero.</t>
  </si>
  <si>
    <t>Refractometer Calibration</t>
  </si>
  <si>
    <t>Calibrated Hydrometer Reading</t>
  </si>
  <si>
    <t>Refractometer Reading (°Brix)</t>
  </si>
  <si>
    <r>
      <rPr>
        <sz val="10"/>
        <color rgb="FF000000"/>
        <rFont val="Times New Roman"/>
        <family val="1"/>
      </rPr>
      <t xml:space="preserve"> Generally, 1</t>
    </r>
    <r>
      <rPr>
        <sz val="11"/>
        <rFont val="Times New Roman"/>
        <family val="1"/>
      </rPr>
      <t>°</t>
    </r>
    <r>
      <rPr>
        <sz val="10"/>
        <rFont val="Times New Roman"/>
        <family val="1"/>
      </rPr>
      <t>P is considered as 1004 (or just 4 brewers degrees) SG.</t>
    </r>
  </si>
  <si>
    <t>Corrected Reading (°Brix)</t>
  </si>
  <si>
    <t>Priming Sparkling Wines, Ciders, Meads &amp; Beers &amp; Their Associated Pressures</t>
  </si>
  <si>
    <t>Vol.</t>
  </si>
  <si>
    <t>Brew ̸ resting temp.</t>
  </si>
  <si>
    <t>Sugar added to</t>
  </si>
  <si>
    <t>Pressure</t>
  </si>
  <si>
    <t>Where 1 level 5ml tsp sugar =</t>
  </si>
  <si>
    <r>
      <rPr>
        <sz val="10"/>
        <color rgb="FF000000"/>
        <rFont val="Times New Roman"/>
        <family val="1"/>
      </rPr>
      <t>CO</t>
    </r>
    <r>
      <rPr>
        <sz val="8"/>
        <rFont val="Times New Roman"/>
        <family val="1"/>
      </rPr>
      <t>2</t>
    </r>
    <r>
      <rPr>
        <sz val="10"/>
        <rFont val="Times New Roman"/>
        <family val="1"/>
      </rPr>
      <t xml:space="preserve"> ̸ litre</t>
    </r>
  </si>
  <si>
    <t>(Approx.)</t>
  </si>
  <si>
    <t>Sugar weight ̸ vol.</t>
  </si>
  <si>
    <t>Unit</t>
  </si>
  <si>
    <t>tsp</t>
  </si>
  <si>
    <t>Max.</t>
  </si>
  <si>
    <t>A max. temp. of 30°C</t>
  </si>
  <si>
    <t xml:space="preserve"> 4 rec.</t>
  </si>
  <si>
    <t xml:space="preserve"> is catered for.</t>
  </si>
  <si>
    <t>Alternatively</t>
  </si>
  <si>
    <t>For a temperature of</t>
  </si>
  <si>
    <t>Priming sugar used</t>
  </si>
  <si>
    <t>This is equivalent to</t>
  </si>
  <si>
    <t>level 5ml tsp ̸ litre.</t>
  </si>
  <si>
    <t>OR, for a</t>
  </si>
  <si>
    <r>
      <rPr>
        <b/>
        <u/>
        <sz val="12"/>
        <color rgb="FF000000"/>
        <rFont val="Times New Roman"/>
        <family val="1"/>
      </rPr>
      <t>BMI Calculator</t>
    </r>
    <r>
      <rPr>
        <b/>
        <sz val="12"/>
        <color rgb="FF000000"/>
        <rFont val="Times New Roman"/>
        <family val="1"/>
      </rPr>
      <t xml:space="preserve">                                                                                                       </t>
    </r>
    <r>
      <rPr>
        <b/>
        <u/>
        <sz val="12"/>
        <color rgb="FF000000"/>
        <rFont val="Times New Roman"/>
        <family val="1"/>
      </rPr>
      <t>Waist to Height Ratio Calculator</t>
    </r>
  </si>
  <si>
    <t>Length ̸ Height Conversions</t>
  </si>
  <si>
    <t>METRIC</t>
  </si>
  <si>
    <t>IMPERIAL</t>
  </si>
  <si>
    <t>ft.</t>
  </si>
  <si>
    <t>in.</t>
  </si>
  <si>
    <t>in. only</t>
  </si>
  <si>
    <t>cm</t>
  </si>
  <si>
    <t>Height</t>
  </si>
  <si>
    <t>in</t>
  </si>
  <si>
    <t>Waist measurement</t>
  </si>
  <si>
    <t>Fatty!</t>
  </si>
  <si>
    <t>k</t>
  </si>
  <si>
    <t>Weight</t>
  </si>
  <si>
    <t>st</t>
  </si>
  <si>
    <t xml:space="preserve">  ft.   in.    </t>
  </si>
  <si>
    <t>Ratio (Women)</t>
  </si>
  <si>
    <t xml:space="preserve">BMI (Body Mass Index)  = </t>
  </si>
  <si>
    <t>Ratio (Men)</t>
  </si>
  <si>
    <t xml:space="preserve">Less than 20 </t>
  </si>
  <si>
    <t>Underweight</t>
  </si>
  <si>
    <t>Waist to Height Ratio</t>
  </si>
  <si>
    <t>Between 20-25</t>
  </si>
  <si>
    <t>Normal</t>
  </si>
  <si>
    <t>Between 25-30</t>
  </si>
  <si>
    <t>Overweight</t>
  </si>
  <si>
    <t>&lt;35</t>
  </si>
  <si>
    <t>Abnormally thin</t>
  </si>
  <si>
    <t>Over 30</t>
  </si>
  <si>
    <t>Obese</t>
  </si>
  <si>
    <t>35-42</t>
  </si>
  <si>
    <t>Extremely thin</t>
  </si>
  <si>
    <t>35-43</t>
  </si>
  <si>
    <r>
      <rPr>
        <b/>
        <sz val="11"/>
        <color rgb="FFFF0000"/>
        <rFont val="Times New Roman"/>
        <family val="1"/>
      </rPr>
      <t>WARNING!</t>
    </r>
    <r>
      <rPr>
        <b/>
        <sz val="10"/>
        <color rgb="FF000000"/>
        <rFont val="Arial"/>
        <family val="2"/>
      </rPr>
      <t xml:space="preserve">  Do not use this if you are of a sensitive nature.</t>
    </r>
  </si>
  <si>
    <t>42-45</t>
  </si>
  <si>
    <t>Slender &amp; healthy</t>
  </si>
  <si>
    <t>43-46</t>
  </si>
  <si>
    <t>45-49</t>
  </si>
  <si>
    <t>Healthy</t>
  </si>
  <si>
    <t>46-53</t>
  </si>
  <si>
    <t>NOTE:-</t>
  </si>
  <si>
    <t>49-54</t>
  </si>
  <si>
    <t>53-58</t>
  </si>
  <si>
    <t>The "BMI" &amp; the "Waist to Height Ratio" calculators are not to the same scale &amp; therefore not comparable.</t>
  </si>
  <si>
    <t>54-58</t>
  </si>
  <si>
    <t>Seriously overweight</t>
  </si>
  <si>
    <t>58-63</t>
  </si>
  <si>
    <t>&gt;58</t>
  </si>
  <si>
    <t>Morbidly obese</t>
  </si>
  <si>
    <t>&gt;63</t>
  </si>
  <si>
    <t xml:space="preserve">Alternatively, your waist to height ratio should not generally exceed about 50%. </t>
  </si>
  <si>
    <t>1 unit alcohol =</t>
  </si>
  <si>
    <t>Note:- 1 unit in these Calc's =</t>
  </si>
  <si>
    <t>ml alcohol</t>
  </si>
  <si>
    <t>Country</t>
  </si>
  <si>
    <t xml:space="preserve">ml      OR      g  </t>
  </si>
  <si>
    <t>Bottle ̸ glass size</t>
  </si>
  <si>
    <t>No. of bottles ̸ glasses</t>
  </si>
  <si>
    <t>Units</t>
  </si>
  <si>
    <t>For</t>
  </si>
  <si>
    <t>Australia</t>
  </si>
  <si>
    <t>Austria</t>
  </si>
  <si>
    <t>Canada</t>
  </si>
  <si>
    <r>
      <rPr>
        <b/>
        <sz val="10"/>
        <color rgb="FFFF00FF"/>
        <rFont val="Times New Roman"/>
        <family val="1"/>
      </rPr>
      <t>US</t>
    </r>
    <r>
      <rPr>
        <sz val="10"/>
        <color rgb="FF000000"/>
        <rFont val="Arial"/>
        <family val="2"/>
      </rPr>
      <t xml:space="preserve"> fl oz</t>
    </r>
  </si>
  <si>
    <t>Denmark</t>
  </si>
  <si>
    <t>Finland</t>
  </si>
  <si>
    <t>France</t>
  </si>
  <si>
    <t>ALWAYS WORK ON A COPY OF THIS SPREADSHEET</t>
  </si>
  <si>
    <t>Hungary</t>
  </si>
  <si>
    <t>Iceland</t>
  </si>
  <si>
    <t>Ireland (Eire)</t>
  </si>
  <si>
    <t>Italy</t>
  </si>
  <si>
    <t>Approx. Freezing Point</t>
  </si>
  <si>
    <t>Japan</t>
  </si>
  <si>
    <t>Netherlands</t>
  </si>
  <si>
    <r>
      <rPr>
        <sz val="10"/>
        <color rgb="FFFF0000"/>
        <rFont val="Times New Roman"/>
        <family val="1"/>
      </rPr>
      <t xml:space="preserve">NOTE:- Very </t>
    </r>
    <r>
      <rPr>
        <u/>
        <sz val="10"/>
        <rFont val="Times New Roman"/>
        <family val="1"/>
      </rPr>
      <t>inaccurate</t>
    </r>
    <r>
      <rPr>
        <sz val="10"/>
        <rFont val="Times New Roman"/>
        <family val="1"/>
      </rPr>
      <t xml:space="preserve"> for ABV's &gt; 80.</t>
    </r>
  </si>
  <si>
    <t>New Zealand</t>
  </si>
  <si>
    <t>Poland</t>
  </si>
  <si>
    <t>Portugal</t>
  </si>
  <si>
    <t>Wine &amp; Beer Sugar Stages</t>
  </si>
  <si>
    <t>For use when sugars etc. are added at different stages or times.</t>
  </si>
  <si>
    <t>Spain</t>
  </si>
  <si>
    <t>Initial gravity (stage 1)</t>
  </si>
  <si>
    <t xml:space="preserve"> =HOOKUP(H5,'Data Sheet'!AFf:AG36,^v)</t>
  </si>
  <si>
    <t>What???</t>
  </si>
  <si>
    <t>Effective O. G.</t>
  </si>
  <si>
    <t>UK</t>
  </si>
  <si>
    <t>Measured gravity (stage 2)</t>
  </si>
  <si>
    <t>Amended gravity</t>
  </si>
  <si>
    <t>End gravity</t>
  </si>
  <si>
    <t>Measured gravity (stage 3)</t>
  </si>
  <si>
    <t>% ABV (exc. primer)</t>
  </si>
  <si>
    <t>Other 3</t>
  </si>
  <si>
    <t>Final measured gravity</t>
  </si>
  <si>
    <t>Hydrometer readings errors of ± 1 can lead to errors of over 0.3% ABV.</t>
  </si>
  <si>
    <t>Other 2</t>
  </si>
  <si>
    <t>When using this calculator, it is vital to take gravity readings before &amp; after the sugars, syrups &amp; malts etc. have been mixed in.</t>
  </si>
  <si>
    <t xml:space="preserve">Other 1 </t>
  </si>
  <si>
    <r>
      <rPr>
        <sz val="10"/>
        <color rgb="FF000000"/>
        <rFont val="Times New Roman"/>
        <family val="1"/>
      </rPr>
      <t>SG of ethyl alcohol at 20</t>
    </r>
    <r>
      <rPr>
        <sz val="11"/>
        <rFont val="Times New Roman"/>
        <family val="1"/>
      </rPr>
      <t>°</t>
    </r>
    <r>
      <rPr>
        <sz val="10"/>
        <rFont val="Times New Roman"/>
        <family val="1"/>
      </rPr>
      <t>C =</t>
    </r>
  </si>
  <si>
    <r>
      <rPr>
        <sz val="9"/>
        <color rgb="FF969696"/>
        <rFont val="Times New Roman"/>
        <family val="1"/>
      </rPr>
      <t xml:space="preserve">    </t>
    </r>
    <r>
      <rPr>
        <sz val="10"/>
        <rFont val="Arial"/>
        <family val="2"/>
      </rPr>
      <t xml:space="preserve"> (789.4  Nom.)</t>
    </r>
  </si>
  <si>
    <t xml:space="preserve">Leave "non-entries" blank or "0". </t>
  </si>
  <si>
    <r>
      <rPr>
        <sz val="10"/>
        <color rgb="FF000000"/>
        <rFont val="Times New Roman"/>
        <family val="1"/>
      </rPr>
      <t>Kg ̸ m</t>
    </r>
    <r>
      <rPr>
        <sz val="12"/>
        <rFont val="Times New Roman"/>
        <family val="1"/>
      </rPr>
      <t>³</t>
    </r>
    <r>
      <rPr>
        <sz val="10"/>
        <rFont val="Times New Roman"/>
        <family val="1"/>
      </rPr>
      <t xml:space="preserve"> </t>
    </r>
  </si>
  <si>
    <t>Name</t>
  </si>
  <si>
    <t>Vol. 3</t>
  </si>
  <si>
    <r>
      <rPr>
        <sz val="10"/>
        <color theme="0" tint="-4.9989318521683403E-2"/>
        <rFont val="Calibri"/>
        <family val="2"/>
      </rPr>
      <t>≈</t>
    </r>
    <r>
      <rPr>
        <sz val="10"/>
        <color theme="0" tint="-4.9989318521683403E-2"/>
        <rFont val="Arial"/>
        <family val="2"/>
      </rPr>
      <t>($F$36:£F£39)+SUM($F150:$F$ 511), )&amp; ̸ "&amp;F(K56*P105*R105/ (M105*D5),1)&amp;" sex"&amp;W11SE/A6*B2</t>
    </r>
  </si>
  <si>
    <t>SUMMARY</t>
  </si>
  <si>
    <t>Conker &amp; Cabbage Mead</t>
  </si>
  <si>
    <t>Pre-heat</t>
  </si>
  <si>
    <t>Post-heat</t>
  </si>
  <si>
    <t>Original Vol. (after racking)</t>
  </si>
  <si>
    <t>litres</t>
  </si>
  <si>
    <t>vol. used inc. any top-up water</t>
  </si>
  <si>
    <t>"New" Vol.</t>
  </si>
  <si>
    <t>litres (Vol. 1 + Vol. 3)</t>
  </si>
  <si>
    <t xml:space="preserve"> =(-0.0684226,POWER(D66,-1.55082))),1)</t>
  </si>
  <si>
    <t>"New" S. G.</t>
  </si>
  <si>
    <t>approx.</t>
  </si>
  <si>
    <t>calc.</t>
  </si>
  <si>
    <t>Priming sugar added</t>
  </si>
  <si>
    <t>% ABV (approx.)</t>
  </si>
  <si>
    <t>% assumed (0 nominally)</t>
  </si>
  <si>
    <t>"New" brew % ABV</t>
  </si>
  <si>
    <r>
      <rPr>
        <sz val="10"/>
        <color rgb="FF000000"/>
        <rFont val="Times New Roman"/>
        <family val="1"/>
      </rPr>
      <t>Split the racked wine'cider ̸beer into two parts, "Vol. 1" &amp; "Vol. 2". Heat "Vol. 2" for 25-30 mins at a temperature of between 80-85</t>
    </r>
    <r>
      <rPr>
        <sz val="11"/>
        <rFont val="Times New Roman"/>
        <family val="1"/>
      </rPr>
      <t>°</t>
    </r>
    <r>
      <rPr>
        <sz val="10"/>
        <rFont val="Times New Roman"/>
        <family val="1"/>
      </rPr>
      <t>C (ethyl alcohol boils at about 78</t>
    </r>
    <r>
      <rPr>
        <sz val="11"/>
        <rFont val="Times New Roman"/>
        <family val="1"/>
      </rPr>
      <t>°</t>
    </r>
    <r>
      <rPr>
        <sz val="10"/>
        <rFont val="Times New Roman"/>
        <family val="1"/>
      </rPr>
      <t>C). After heating this reduced vol. becomes "Vol. 3" which may be topped-up as required .When cool, mix the wines/ciders, prime as required &amp; bottle.</t>
    </r>
  </si>
  <si>
    <t>Note:- Reducing any sugar in the recipe would be the much better option, but not the primer.</t>
  </si>
  <si>
    <t>Some Typical  Serving Temperatures.</t>
  </si>
  <si>
    <t>Notes</t>
  </si>
  <si>
    <t>Wine /Cider Style</t>
  </si>
  <si>
    <r>
      <rPr>
        <b/>
        <sz val="10"/>
        <color rgb="FF000000"/>
        <rFont val="Times New Roman"/>
        <family val="1"/>
      </rPr>
      <t xml:space="preserve">Temp. </t>
    </r>
    <r>
      <rPr>
        <b/>
        <sz val="11"/>
        <rFont val="Times New Roman"/>
        <family val="1"/>
      </rPr>
      <t>°</t>
    </r>
    <r>
      <rPr>
        <b/>
        <sz val="10"/>
        <rFont val="Times New Roman"/>
        <family val="1"/>
      </rPr>
      <t>C</t>
    </r>
  </si>
  <si>
    <t>Standard Room Temperature</t>
  </si>
  <si>
    <t>Storage (Cellar) Temperature</t>
  </si>
  <si>
    <t>13-17</t>
  </si>
  <si>
    <t xml:space="preserve">Full Bodied Red Wines  </t>
  </si>
  <si>
    <t>16-18</t>
  </si>
  <si>
    <t>Medium Bodied Red Wines</t>
  </si>
  <si>
    <t>13-16</t>
  </si>
  <si>
    <t>Red Sparkling Wines</t>
  </si>
  <si>
    <t>10-14</t>
  </si>
  <si>
    <t>in = cm</t>
  </si>
  <si>
    <t>Rosé Light Bodied Red Wines</t>
  </si>
  <si>
    <t>10-16</t>
  </si>
  <si>
    <t>lb = Kg</t>
  </si>
  <si>
    <t>Rosé Sparkling Wines</t>
  </si>
  <si>
    <t>8-12</t>
  </si>
  <si>
    <t>Full Bodied White Wines</t>
  </si>
  <si>
    <t>12-16</t>
  </si>
  <si>
    <t>Medium Bodied White Wines</t>
  </si>
  <si>
    <t>10-12</t>
  </si>
  <si>
    <t xml:space="preserve">Full Bodied Dessert Wines </t>
  </si>
  <si>
    <t>Light Bodied Dry White Wines</t>
  </si>
  <si>
    <t>7-11</t>
  </si>
  <si>
    <t>White Sparkling Wines</t>
  </si>
  <si>
    <t>6-10</t>
  </si>
  <si>
    <t>Light Bodied Dessert Wines</t>
  </si>
  <si>
    <t>6-11</t>
  </si>
  <si>
    <t>Proper Ciders</t>
  </si>
  <si>
    <t>Most Commercial Ciders</t>
  </si>
  <si>
    <t>V. Cold</t>
  </si>
  <si>
    <r>
      <rPr>
        <sz val="10"/>
        <color rgb="FF000000"/>
        <rFont val="Times New Roman"/>
        <family val="1"/>
      </rPr>
      <t xml:space="preserve"> NOTE:- All temperatures are given in </t>
    </r>
    <r>
      <rPr>
        <sz val="11"/>
        <rFont val="Times New Roman"/>
        <family val="1"/>
      </rPr>
      <t>°</t>
    </r>
    <r>
      <rPr>
        <sz val="10"/>
        <rFont val="Times New Roman"/>
        <family val="1"/>
      </rPr>
      <t xml:space="preserve">Celsius.   As stated, these are only typical values, some wines may indeed have a different ideal temperatures ranges. </t>
    </r>
  </si>
  <si>
    <r>
      <rPr>
        <b/>
        <sz val="10"/>
        <color rgb="FF7F7F7F"/>
        <rFont val="Times New Roman"/>
        <family val="1"/>
      </rPr>
      <t>SOME TYPICAL WINE PARAMETERS.</t>
    </r>
    <r>
      <rPr>
        <b/>
        <sz val="10"/>
        <color rgb="FF808080"/>
        <rFont val="Times New Roman"/>
        <family val="1"/>
      </rPr>
      <t xml:space="preserve"> Adapted from "Must" by Professor Gerry Fowles. If used, treat as a rough guide only as the figures below are VERY arbitrary.</t>
    </r>
  </si>
  <si>
    <t>h</t>
  </si>
  <si>
    <t xml:space="preserve">WINE TYPE </t>
  </si>
  <si>
    <t>DRY WHITE</t>
  </si>
  <si>
    <t>DRY RED</t>
  </si>
  <si>
    <t>ROSÉ</t>
  </si>
  <si>
    <t xml:space="preserve">SWEET WHITE </t>
  </si>
  <si>
    <t xml:space="preserve">SWEET RED </t>
  </si>
  <si>
    <t>DESSERT</t>
  </si>
  <si>
    <t>SUMMARY FOR THE FINISHED WINE ̸ CIDER ETC.</t>
  </si>
  <si>
    <t xml:space="preserve"> Name:- </t>
  </si>
  <si>
    <t>Rosé</t>
  </si>
  <si>
    <t>EDITABLE CELL. Insert your own quantities ̸ data.</t>
  </si>
  <si>
    <t xml:space="preserve"> (FRUIT)</t>
  </si>
  <si>
    <t xml:space="preserve">(PORT) </t>
  </si>
  <si>
    <t>O.G.</t>
  </si>
  <si>
    <t>April fool!</t>
  </si>
  <si>
    <t>ALCOHOL</t>
  </si>
  <si>
    <t>EDITABLE CELL. No information available, value has been "guesstimated".</t>
  </si>
  <si>
    <t>% ALC ABV</t>
  </si>
  <si>
    <t xml:space="preserve">10-13 </t>
  </si>
  <si>
    <t>11-13</t>
  </si>
  <si>
    <t>11-12</t>
  </si>
  <si>
    <t xml:space="preserve">12-15 </t>
  </si>
  <si>
    <t>13-18</t>
  </si>
  <si>
    <t>17-20</t>
  </si>
  <si>
    <t>Many good wines could possibly not fit within these limits, but beware of any recipes displaying vast differences.</t>
  </si>
  <si>
    <t>F.G. (Before sweetening)</t>
  </si>
  <si>
    <t>ACIDITY</t>
  </si>
  <si>
    <t>% (expressed in terms of the tartaric equivalent)</t>
  </si>
  <si>
    <t>NON-EDITABLE. Giving alternative ingredients that may be used.</t>
  </si>
  <si>
    <t xml:space="preserve">% ACID </t>
  </si>
  <si>
    <t>0.50-0.70</t>
  </si>
  <si>
    <t>0.50-0.65</t>
  </si>
  <si>
    <t>0.60-0.75</t>
  </si>
  <si>
    <t>0.50-0.75</t>
  </si>
  <si>
    <t>0.40-0.65</t>
  </si>
  <si>
    <t>0.55-0.65</t>
  </si>
  <si>
    <t>0.40-0.50</t>
  </si>
  <si>
    <t>F.G. (After sweetening)</t>
  </si>
  <si>
    <t>TANNIN</t>
  </si>
  <si>
    <t>%</t>
  </si>
  <si>
    <r>
      <rPr>
        <sz val="10"/>
        <color rgb="FF000000"/>
        <rFont val="Times New Roman"/>
        <family val="1"/>
      </rPr>
      <t xml:space="preserve">NON-EDITABLE. The cell value </t>
    </r>
    <r>
      <rPr>
        <b/>
        <sz val="10"/>
        <color rgb="FFFFCC99"/>
        <rFont val="Arial"/>
        <family val="2"/>
      </rPr>
      <t>MAY be low</t>
    </r>
    <r>
      <rPr>
        <sz val="10"/>
        <color rgb="FF000000"/>
        <rFont val="Arial"/>
        <family val="2"/>
      </rPr>
      <t xml:space="preserve"> (for wines).</t>
    </r>
  </si>
  <si>
    <t>% TANNIN</t>
  </si>
  <si>
    <t xml:space="preserve">&lt;0.04 </t>
  </si>
  <si>
    <t xml:space="preserve">0.09-0.3 </t>
  </si>
  <si>
    <t xml:space="preserve">0.04-0.09 </t>
  </si>
  <si>
    <t>0.15-0.3</t>
  </si>
  <si>
    <t>0.2-0.3</t>
  </si>
  <si>
    <t>STYLE</t>
  </si>
  <si>
    <t>Dry:  FG &lt;995;  Med. Dry;  FG 995-1005;  Med. Sweet FG 1005-1015;  Sweet; FG 1015-1025;  Dessert FG &gt;1025.</t>
  </si>
  <si>
    <r>
      <rPr>
        <sz val="10"/>
        <color rgb="FF000000"/>
        <rFont val="Times New Roman"/>
        <family val="1"/>
      </rPr>
      <t xml:space="preserve">NON-EDITABLE. The cell value </t>
    </r>
    <r>
      <rPr>
        <b/>
        <sz val="10"/>
        <color rgb="FFFF9900"/>
        <rFont val="Arial"/>
        <family val="2"/>
      </rPr>
      <t>MAY be high</t>
    </r>
    <r>
      <rPr>
        <sz val="10"/>
        <color rgb="FF000000"/>
        <rFont val="Arial"/>
        <family val="2"/>
      </rPr>
      <t xml:space="preserve"> (for wines).</t>
    </r>
  </si>
  <si>
    <t>Dry</t>
  </si>
  <si>
    <t>Med. Dry</t>
  </si>
  <si>
    <t>Med.</t>
  </si>
  <si>
    <t xml:space="preserve">Med. Sweet </t>
  </si>
  <si>
    <t>Sweet</t>
  </si>
  <si>
    <t>Dessert</t>
  </si>
  <si>
    <t>Waste</t>
  </si>
  <si>
    <t>Sugar</t>
  </si>
  <si>
    <t>Acid</t>
  </si>
  <si>
    <t>Tannin</t>
  </si>
  <si>
    <t>"Carbs"</t>
  </si>
  <si>
    <t>Pectin</t>
  </si>
  <si>
    <t>N</t>
  </si>
  <si>
    <t>K</t>
  </si>
  <si>
    <t>B1</t>
  </si>
  <si>
    <t>B3</t>
  </si>
  <si>
    <t>B5</t>
  </si>
  <si>
    <t>B6</t>
  </si>
  <si>
    <r>
      <rPr>
        <sz val="10"/>
        <color rgb="FF000000"/>
        <rFont val="Times New Roman"/>
        <family val="1"/>
      </rPr>
      <t xml:space="preserve">    </t>
    </r>
    <r>
      <rPr>
        <sz val="12"/>
        <color rgb="FF3366FF"/>
        <rFont val="Times New Roman"/>
        <family val="1"/>
      </rPr>
      <t>↑</t>
    </r>
    <r>
      <rPr>
        <sz val="10"/>
        <color rgb="FF000000"/>
        <rFont val="Arial"/>
        <family val="2"/>
      </rPr>
      <t xml:space="preserve"> This </t>
    </r>
    <r>
      <rPr>
        <sz val="10"/>
        <color rgb="FF3366FF"/>
        <rFont val="Arial"/>
        <family val="2"/>
      </rPr>
      <t>latter figure</t>
    </r>
    <r>
      <rPr>
        <sz val="10"/>
        <color rgb="FF000000"/>
        <rFont val="Arial"/>
        <family val="2"/>
      </rPr>
      <t xml:space="preserve"> includes pulp, lees, syphoning losses &amp; an allowance for any sweetening ̸ priming sugars used for that "Final Vol".</t>
    </r>
  </si>
  <si>
    <r>
      <rPr>
        <sz val="10"/>
        <color rgb="FF000000"/>
        <rFont val="Times New Roman"/>
        <family val="1"/>
      </rPr>
      <t xml:space="preserve">NON-EDITABLE. The cell value </t>
    </r>
    <r>
      <rPr>
        <b/>
        <sz val="10"/>
        <color rgb="FFFF0000"/>
        <rFont val="Arial"/>
        <family val="2"/>
      </rPr>
      <t>MAY be too high</t>
    </r>
    <r>
      <rPr>
        <sz val="10"/>
        <color rgb="FF000000"/>
        <rFont val="Arial"/>
        <family val="2"/>
      </rPr>
      <t>.</t>
    </r>
  </si>
  <si>
    <t>Ingredient:</t>
  </si>
  <si>
    <t>Mineral ̸ Vit. Mg ̸ 100g</t>
  </si>
  <si>
    <t>Main Acid</t>
  </si>
  <si>
    <t>(Expressed as the equivalent amount of tartaric acid.)</t>
  </si>
  <si>
    <r>
      <rPr>
        <sz val="9"/>
        <color rgb="FF000000"/>
        <rFont val="Times New Roman"/>
        <family val="1"/>
      </rPr>
      <t>The "</t>
    </r>
    <r>
      <rPr>
        <sz val="10"/>
        <color rgb="FF0000FF"/>
        <rFont val="Times New Roman"/>
        <family val="1"/>
      </rPr>
      <t>Mat. Time</t>
    </r>
    <r>
      <rPr>
        <sz val="10"/>
        <color rgb="FF000000"/>
        <rFont val="Times New Roman"/>
        <family val="1"/>
      </rPr>
      <t xml:space="preserve">" is the minimum bulk </t>
    </r>
    <r>
      <rPr>
        <b/>
        <u/>
        <sz val="10"/>
        <rFont val="Times New Roman"/>
        <family val="1"/>
      </rPr>
      <t>Mat</t>
    </r>
    <r>
      <rPr>
        <sz val="10"/>
        <rFont val="Times New Roman"/>
        <family val="1"/>
      </rPr>
      <t xml:space="preserve">uration </t>
    </r>
    <r>
      <rPr>
        <b/>
        <u/>
        <sz val="10"/>
        <rFont val="Times New Roman"/>
        <family val="1"/>
      </rPr>
      <t>Time</t>
    </r>
    <r>
      <rPr>
        <sz val="10"/>
        <rFont val="Times New Roman"/>
        <family val="1"/>
      </rPr>
      <t xml:space="preserve"> in MONTHS for that ingredient.</t>
    </r>
  </si>
  <si>
    <t>N (nit)</t>
  </si>
  <si>
    <t>K (pot)</t>
  </si>
  <si>
    <t>Primary Ferment (Days)</t>
  </si>
  <si>
    <t xml:space="preserve">Mat. Time </t>
  </si>
  <si>
    <t>Assumed Wastage</t>
  </si>
  <si>
    <t>FRUIT</t>
  </si>
  <si>
    <t>OTHER ADDED INGREDIENTS</t>
  </si>
  <si>
    <r>
      <rPr>
        <b/>
        <sz val="10"/>
        <color rgb="FFFF0000"/>
        <rFont val="Times New Roman"/>
        <family val="1"/>
      </rPr>
      <t>FRUIT</t>
    </r>
    <r>
      <rPr>
        <sz val="10"/>
        <color rgb="FFFF0000"/>
        <rFont val="Times New Roman"/>
        <family val="1"/>
      </rPr>
      <t xml:space="preserve"> - </t>
    </r>
    <r>
      <rPr>
        <u/>
        <sz val="10"/>
        <color rgb="FF969696"/>
        <rFont val="Arial"/>
        <family val="2"/>
      </rPr>
      <t>These grey figures are used in the calculations &amp; are editable</t>
    </r>
  </si>
  <si>
    <t>If known</t>
  </si>
  <si>
    <t>Note, all calculations are approx.</t>
  </si>
  <si>
    <t>The main "B" Vitamins</t>
  </si>
  <si>
    <t>SUGAR</t>
  </si>
  <si>
    <t>(nom. 1300)</t>
  </si>
  <si>
    <t>APPLE</t>
  </si>
  <si>
    <t>EATING</t>
  </si>
  <si>
    <t>M</t>
  </si>
  <si>
    <t>Thiamine</t>
  </si>
  <si>
    <t>ACID REDUCING AGENT (approx.)</t>
  </si>
  <si>
    <t xml:space="preserve">      "</t>
  </si>
  <si>
    <t>COOKING</t>
  </si>
  <si>
    <t>B2</t>
  </si>
  <si>
    <t>Riboflavin</t>
  </si>
  <si>
    <t>ACID (approx.)</t>
  </si>
  <si>
    <t>CRAB</t>
  </si>
  <si>
    <t>Niacin</t>
  </si>
  <si>
    <t>Poo!</t>
  </si>
  <si>
    <t>APRICOT</t>
  </si>
  <si>
    <t>FLESH</t>
  </si>
  <si>
    <t>Pantothenic acid</t>
  </si>
  <si>
    <t>But just how big &amp; how juicy is a lemon?</t>
  </si>
  <si>
    <t xml:space="preserve">        "</t>
  </si>
  <si>
    <t>DRIED</t>
  </si>
  <si>
    <t>Pyridoxine ̸ pyridoxal ̸ pyridoxamine</t>
  </si>
  <si>
    <t>N ̸ A</t>
  </si>
  <si>
    <t>TANNIN (approx.)</t>
  </si>
  <si>
    <r>
      <rPr>
        <sz val="10"/>
        <color rgb="FF808080"/>
        <rFont val="Times New Roman"/>
        <family val="1"/>
      </rPr>
      <t>BANANA</t>
    </r>
    <r>
      <rPr>
        <sz val="10"/>
        <color rgb="FFFF0000"/>
        <rFont val="Times New Roman"/>
        <family val="1"/>
      </rPr>
      <t xml:space="preserve"> - </t>
    </r>
    <r>
      <rPr>
        <b/>
        <sz val="10"/>
        <color rgb="FF808080"/>
        <rFont val="Arial"/>
        <family val="2"/>
      </rPr>
      <t>NO SKINS!</t>
    </r>
  </si>
  <si>
    <t>B7</t>
  </si>
  <si>
    <t>Biotin</t>
  </si>
  <si>
    <t>g  tea OR  ≈</t>
  </si>
  <si>
    <t>level tsp</t>
  </si>
  <si>
    <t xml:space="preserve">       "</t>
  </si>
  <si>
    <t>B9</t>
  </si>
  <si>
    <t>Folic acid</t>
  </si>
  <si>
    <t>Any data given for tannin is un-reliable, especially for tea, careful design of your recipes is much better than adding additional tanning. Read the instructions BEFORE adding any tannin.</t>
  </si>
  <si>
    <t>BILBERRY</t>
  </si>
  <si>
    <t>-</t>
  </si>
  <si>
    <t>C</t>
  </si>
  <si>
    <t>B12</t>
  </si>
  <si>
    <t>Cyanocobalamin</t>
  </si>
  <si>
    <t xml:space="preserve">Tea tannin is not the same as grape tannin, neither is most shop-bought tannins as they are made, apparently, from re-cycling chestnut ̸ oak trees etc. Teas typically contain 6-14% tannin. </t>
  </si>
  <si>
    <t>BLACKBERRY</t>
  </si>
  <si>
    <t>C/M</t>
  </si>
  <si>
    <t>BLACKCURRANT</t>
  </si>
  <si>
    <t>BLUEBERRY</t>
  </si>
  <si>
    <t>CHERRY + pits</t>
  </si>
  <si>
    <t>Approximate Must Totals (g)</t>
  </si>
  <si>
    <t xml:space="preserve">            "</t>
  </si>
  <si>
    <t xml:space="preserve">SOUR </t>
  </si>
  <si>
    <t>Sugars</t>
  </si>
  <si>
    <t>CRANBERRY</t>
  </si>
  <si>
    <t>DAMSON</t>
  </si>
  <si>
    <t>DATE</t>
  </si>
  <si>
    <t>ELDERBERRY</t>
  </si>
  <si>
    <t>Nutrient &amp; Vitamin Section (mg)</t>
  </si>
  <si>
    <t>JUICE</t>
  </si>
  <si>
    <t>Total nutrient &amp; vitamin supplied by the "ingredients"</t>
  </si>
  <si>
    <t>FIGS</t>
  </si>
  <si>
    <t xml:space="preserve">   "</t>
  </si>
  <si>
    <t>GOOSEBERRY</t>
  </si>
  <si>
    <t>tablet(s) vit. B complex give(s) a total of</t>
  </si>
  <si>
    <t xml:space="preserve">             "</t>
  </si>
  <si>
    <t>hide</t>
  </si>
  <si>
    <t xml:space="preserve">must requirements/litre </t>
  </si>
  <si>
    <t>Hide</t>
  </si>
  <si>
    <t>mg/l N</t>
  </si>
  <si>
    <t>mg/l P</t>
  </si>
  <si>
    <t>mg/tab</t>
  </si>
  <si>
    <t>Assume 1 level 5ml tsp nutrient &amp; 1 vit. B tablet ≈ 1 rounded tsp "Energiser"</t>
  </si>
  <si>
    <r>
      <rPr>
        <sz val="10"/>
        <color rgb="FF000000"/>
        <rFont val="Times New Roman"/>
        <family val="1"/>
      </rPr>
      <t xml:space="preserve">Any </t>
    </r>
    <r>
      <rPr>
        <b/>
        <sz val="10"/>
        <color rgb="FFFF0000"/>
        <rFont val="Arial"/>
        <family val="2"/>
      </rPr>
      <t>RED</t>
    </r>
    <r>
      <rPr>
        <sz val="10"/>
        <color rgb="FF000000"/>
        <rFont val="Arial"/>
        <family val="2"/>
      </rPr>
      <t xml:space="preserve"> figures denote deficiencies</t>
    </r>
  </si>
  <si>
    <t>GRAPE</t>
  </si>
  <si>
    <t>NO SKIN</t>
  </si>
  <si>
    <t>T</t>
  </si>
  <si>
    <r>
      <rPr>
        <sz val="10"/>
        <color rgb="FF808080"/>
        <rFont val="Times New Roman"/>
        <family val="1"/>
      </rPr>
      <t xml:space="preserve">GRAPE JUICE  </t>
    </r>
    <r>
      <rPr>
        <sz val="10"/>
        <color rgb="FFFF0000"/>
        <rFont val="Arial"/>
        <family val="2"/>
      </rPr>
      <t>ml</t>
    </r>
  </si>
  <si>
    <t>WHITE</t>
  </si>
  <si>
    <t>ADDING SWEETENING SUGAR</t>
  </si>
  <si>
    <t xml:space="preserve">                 "         ml</t>
  </si>
  <si>
    <t>RED</t>
  </si>
  <si>
    <t>FOR STILL WINES &amp; CIDERS ONLY, ADD SUGAR SOLN. AFTER STABILIZATION. Always use potassium sorbate before adding any sweetening sugar unless "sugar feeding".</t>
  </si>
  <si>
    <r>
      <rPr>
        <sz val="10"/>
        <color rgb="FF808080"/>
        <rFont val="Times New Roman"/>
        <family val="1"/>
      </rPr>
      <t xml:space="preserve">GRAPE CONC. </t>
    </r>
    <r>
      <rPr>
        <sz val="10"/>
        <color rgb="FFFF0000"/>
        <rFont val="Arial"/>
        <family val="2"/>
      </rPr>
      <t xml:space="preserve">g </t>
    </r>
  </si>
  <si>
    <t>Sweetening sugar to be used</t>
  </si>
  <si>
    <r>
      <rPr>
        <sz val="10"/>
        <color rgb="FF808080"/>
        <rFont val="Times New Roman"/>
        <family val="1"/>
      </rPr>
      <t xml:space="preserve">               "           </t>
    </r>
    <r>
      <rPr>
        <sz val="10"/>
        <color rgb="FFFF0000"/>
        <rFont val="Arial"/>
        <family val="2"/>
      </rPr>
      <t xml:space="preserve">g </t>
    </r>
  </si>
  <si>
    <t xml:space="preserve">               "           ml</t>
  </si>
  <si>
    <t>Style ̸ Approx. commercial equiv.</t>
  </si>
  <si>
    <t>Dry ̸ 1</t>
  </si>
  <si>
    <t>Medium Dry ̸ 2</t>
  </si>
  <si>
    <t>Medium ̸ 3</t>
  </si>
  <si>
    <t>Medium Sweet ̸ 4</t>
  </si>
  <si>
    <t>Sweet ̸ 5</t>
  </si>
  <si>
    <t>Desert ̸ 6</t>
  </si>
  <si>
    <t>&lt;998</t>
  </si>
  <si>
    <t>998-1005</t>
  </si>
  <si>
    <t>1005-1010</t>
  </si>
  <si>
    <t>1010-1015</t>
  </si>
  <si>
    <t>1015-1020</t>
  </si>
  <si>
    <t>1020+</t>
  </si>
  <si>
    <t>GRAPEFRUIT</t>
  </si>
  <si>
    <t>Approx sweetening sugar (g ̸ 750ml bottle)</t>
  </si>
  <si>
    <t>0-8.3</t>
  </si>
  <si>
    <t>8.3-22</t>
  </si>
  <si>
    <t>22-33</t>
  </si>
  <si>
    <t>33-43</t>
  </si>
  <si>
    <t>43-52</t>
  </si>
  <si>
    <t>52+</t>
  </si>
  <si>
    <t xml:space="preserve">Approx sweetening sugar </t>
  </si>
  <si>
    <t>GREENGAGE</t>
  </si>
  <si>
    <t>GUAVA</t>
  </si>
  <si>
    <t>HONEY (1 lb = 454g)</t>
  </si>
  <si>
    <t>TOPPING-UP WATER STATUS</t>
  </si>
  <si>
    <t>KIWIFRUIT</t>
  </si>
  <si>
    <t>This assumes that the any vegetables (cells B143:F147) are catered for as per cell L13. Use the figures below as a VERY APPROX. GUIDE only.</t>
  </si>
  <si>
    <r>
      <rPr>
        <sz val="10"/>
        <color rgb="FF808080"/>
        <rFont val="Times New Roman"/>
        <family val="1"/>
      </rPr>
      <t xml:space="preserve">LEMON </t>
    </r>
    <r>
      <rPr>
        <sz val="10"/>
        <color rgb="FFFF0000"/>
        <rFont val="Arial"/>
        <family val="2"/>
      </rPr>
      <t>(1 fruit ≈ 30ml juice)</t>
    </r>
  </si>
  <si>
    <t xml:space="preserve">Approx. ingredient vol. </t>
  </si>
  <si>
    <t>litres (exc. "topping-up" water)</t>
  </si>
  <si>
    <t>LITCHI (LYCHEE)</t>
  </si>
  <si>
    <t xml:space="preserve">Calculated "topping-up" water </t>
  </si>
  <si>
    <t>litres, when adding water to a recipe, always err on the side caution as you can add more later if required. The converse is rather more difficult to do!</t>
  </si>
  <si>
    <t>LOGANBERRY</t>
  </si>
  <si>
    <t>MANGO</t>
  </si>
  <si>
    <t>MEDLAR</t>
  </si>
  <si>
    <t xml:space="preserve">FINAL BOTTLED VOLUME </t>
  </si>
  <si>
    <t>MELON</t>
  </si>
  <si>
    <t>Assume a "wastage" vol. of</t>
  </si>
  <si>
    <t>MULBERRY</t>
  </si>
  <si>
    <t>Assume ingredient "wastage" vol. of</t>
  </si>
  <si>
    <t>ml (for solid ingredients - fruit skins/purées etc.)</t>
  </si>
  <si>
    <t>NECTARINE</t>
  </si>
  <si>
    <t>Giving a design must volume of</t>
  </si>
  <si>
    <t>litres excl. any sweetening sugar</t>
  </si>
  <si>
    <t>ORANGE</t>
  </si>
  <si>
    <t>ACTUAL MUST VOLUME USED</t>
  </si>
  <si>
    <r>
      <rPr>
        <sz val="10"/>
        <color rgb="FF000000"/>
        <rFont val="Times New Roman"/>
        <family val="1"/>
      </rPr>
      <t xml:space="preserve">litres (actual vol. </t>
    </r>
    <r>
      <rPr>
        <u/>
        <sz val="10"/>
        <rFont val="Times New Roman"/>
        <family val="1"/>
      </rPr>
      <t xml:space="preserve">used </t>
    </r>
    <r>
      <rPr>
        <sz val="10"/>
        <rFont val="Times New Roman"/>
        <family val="1"/>
      </rPr>
      <t>- allows for losses &amp; sweetening sugar when added to finished wine).</t>
    </r>
  </si>
  <si>
    <t>litres after fermentation, racking, this allows for any sweetering.</t>
  </si>
  <si>
    <t>OTHER</t>
  </si>
  <si>
    <t>ACTUAL MUST O.G.</t>
  </si>
  <si>
    <t>ACTUAL MUST F.G.</t>
  </si>
  <si>
    <t>PAPAYA (Pawpaw)</t>
  </si>
  <si>
    <t>ACTUAL MUST % ABV</t>
  </si>
  <si>
    <t>PASSION FRUIT</t>
  </si>
  <si>
    <t>PEACH</t>
  </si>
  <si>
    <t>CALORIE ̸ UNIT COUNTER (Un-primed)</t>
  </si>
  <si>
    <t>UK pints</t>
  </si>
  <si>
    <t>Litres</t>
  </si>
  <si>
    <t>US pints</t>
  </si>
  <si>
    <t>PEAR</t>
  </si>
  <si>
    <t>For a bottle ̸ glass size of</t>
  </si>
  <si>
    <r>
      <rPr>
        <sz val="10"/>
        <color rgb="FF000000"/>
        <rFont val="Times New Roman"/>
        <family val="1"/>
      </rPr>
      <t>ml.</t>
    </r>
    <r>
      <rPr>
        <sz val="10"/>
        <color rgb="FFFF0000"/>
        <rFont val="Arial"/>
        <family val="2"/>
      </rPr>
      <t xml:space="preserve">  (Mainly for diabetes suffers. All figures are approximate.)</t>
    </r>
  </si>
  <si>
    <t>PERSIMMON (Sharon fruit)</t>
  </si>
  <si>
    <t>Calories from the alcohol</t>
  </si>
  <si>
    <t>PINEAPPLE</t>
  </si>
  <si>
    <t>Calories from the sweetening sugar</t>
  </si>
  <si>
    <t>PLUM</t>
  </si>
  <si>
    <t>Cals from the residual sugars</t>
  </si>
  <si>
    <t xml:space="preserve">     "</t>
  </si>
  <si>
    <t>Total calories</t>
  </si>
  <si>
    <t>PRUNES</t>
  </si>
  <si>
    <t>Carbohydrates</t>
  </si>
  <si>
    <t>QUINCE</t>
  </si>
  <si>
    <t>Units of alcohol (UK)</t>
  </si>
  <si>
    <t>RAISINS ̸ SULTANAS ̸ CURRANTS</t>
  </si>
  <si>
    <t>RASPBERRY</t>
  </si>
  <si>
    <t>REDCURRANT</t>
  </si>
  <si>
    <t>PRIMING CIDERS &amp; SPARKLING WINES</t>
  </si>
  <si>
    <t>RHUBARB ▼</t>
  </si>
  <si>
    <t xml:space="preserve">         "</t>
  </si>
  <si>
    <t>Assume that 1000g rhubarb gives</t>
  </si>
  <si>
    <t>ml juice</t>
  </si>
  <si>
    <t>PRIMING SUGAR added</t>
  </si>
  <si>
    <t>(750ml used nominally)</t>
  </si>
  <si>
    <t>OR, for a bottle sized</t>
  </si>
  <si>
    <t>SG (ave)</t>
  </si>
  <si>
    <t xml:space="preserve">Cals/g </t>
  </si>
  <si>
    <t xml:space="preserve">Carbs/g </t>
  </si>
  <si>
    <t>"Brewing" ̸ resting temp</t>
  </si>
  <si>
    <r>
      <rPr>
        <sz val="11"/>
        <rFont val="Times New Roman"/>
        <family val="1"/>
      </rPr>
      <t>°</t>
    </r>
    <r>
      <rPr>
        <sz val="10"/>
        <rFont val="Times New Roman"/>
        <family val="1"/>
      </rPr>
      <t>C (Max. 30)</t>
    </r>
  </si>
  <si>
    <r>
      <rPr>
        <sz val="10"/>
        <color rgb="FF000000"/>
        <rFont val="Times New Roman"/>
        <family val="1"/>
      </rPr>
      <t xml:space="preserve">▼ Technically rhubarb is a vegetable. DO NOT USE ALUMINIUM utensils as the acids present in this vegetable will react with this &amp; </t>
    </r>
    <r>
      <rPr>
        <b/>
        <i/>
        <u/>
        <sz val="10"/>
        <rFont val="Times New Roman"/>
        <family val="1"/>
      </rPr>
      <t>may,</t>
    </r>
    <r>
      <rPr>
        <sz val="10"/>
        <rFont val="Times New Roman"/>
        <family val="1"/>
      </rPr>
      <t>ultimately lead to Alzheimer's disease.</t>
    </r>
  </si>
  <si>
    <t>Carbonation (Volumes CO2)</t>
  </si>
  <si>
    <t>NOTE:- I would recommend 4 volumes as the absolute maximum for wines &amp; use 1.7-2.6 volumes generally for ciders &amp; beers.</t>
  </si>
  <si>
    <t>/ ml</t>
  </si>
  <si>
    <t>Carbonation</t>
  </si>
  <si>
    <t>EFFECTIVE O.G. (After priming)</t>
  </si>
  <si>
    <t>EFFECTIVE F.G. (After priming)</t>
  </si>
  <si>
    <t>SLOE</t>
  </si>
  <si>
    <t>ALCOHOL (After priming)</t>
  </si>
  <si>
    <t>STRAWBERRY</t>
  </si>
  <si>
    <t>TANGERINE</t>
  </si>
  <si>
    <t>CALORIE ̸ UNIT COUNTER (After Priming)</t>
  </si>
  <si>
    <t xml:space="preserve">           "</t>
  </si>
  <si>
    <t>WATERMELON</t>
  </si>
  <si>
    <t>WHITECURRANT</t>
  </si>
  <si>
    <t>TINS</t>
  </si>
  <si>
    <t>The above figures must be "0" when PRIMING</t>
  </si>
  <si>
    <t>(Check labels for sugar content)</t>
  </si>
  <si>
    <r>
      <rPr>
        <b/>
        <u/>
        <sz val="10"/>
        <color rgb="FFFF0000"/>
        <rFont val="Times New Roman"/>
        <family val="1"/>
      </rPr>
      <t>TINS</t>
    </r>
    <r>
      <rPr>
        <u/>
        <sz val="10"/>
        <color rgb="FFFF0000"/>
        <rFont val="Times New Roman"/>
        <family val="1"/>
      </rPr>
      <t xml:space="preserve"> -</t>
    </r>
    <r>
      <rPr>
        <sz val="10"/>
        <color rgb="FF969696"/>
        <rFont val="Arial"/>
        <family val="2"/>
      </rPr>
      <t xml:space="preserve"> These grey figures are used in the calculations &amp; are editable</t>
    </r>
  </si>
  <si>
    <t>The sugars are shown here for tinned goods.</t>
  </si>
  <si>
    <t>APRICOTS</t>
  </si>
  <si>
    <t>CHERRY</t>
  </si>
  <si>
    <t>FRUIT SALAD</t>
  </si>
  <si>
    <t>SUGAR SOLUTIONS (Syrups)</t>
  </si>
  <si>
    <t>These tables can be used when making sugar solutions.</t>
  </si>
  <si>
    <t>1 level 5ml tsp sugar =</t>
  </si>
  <si>
    <t>Sugar (sucrose)</t>
  </si>
  <si>
    <t>BLACK CHERRIES</t>
  </si>
  <si>
    <t>A gravity of about 1300 is a good practical guide.</t>
  </si>
  <si>
    <t>Figures are approximate &amp; are temperature dependant.</t>
  </si>
  <si>
    <r>
      <rPr>
        <sz val="10"/>
        <color rgb="FF000000"/>
        <rFont val="Times New Roman"/>
        <family val="1"/>
      </rPr>
      <t xml:space="preserve">For a fixed gravity of </t>
    </r>
    <r>
      <rPr>
        <b/>
        <sz val="10"/>
        <color rgb="FFFF0000"/>
        <rFont val="Arial"/>
        <family val="2"/>
      </rPr>
      <t>1300</t>
    </r>
  </si>
  <si>
    <t>Wt. Sugar</t>
  </si>
  <si>
    <t>Vol. water</t>
  </si>
  <si>
    <t>Final Vol.</t>
  </si>
  <si>
    <t xml:space="preserve">For a fixed Wt. of sugar &amp; a fixed Vol. of water </t>
  </si>
  <si>
    <t>S. G.</t>
  </si>
  <si>
    <t>PEACHES</t>
  </si>
  <si>
    <t>PEARS</t>
  </si>
  <si>
    <t>Sucrose</t>
  </si>
  <si>
    <t>"Sugar" wt. ̸ tsp</t>
  </si>
  <si>
    <t>Dextrose</t>
  </si>
  <si>
    <t>RHUBARB</t>
  </si>
  <si>
    <t>STRAWBERRIES</t>
  </si>
  <si>
    <t>SOME OTHER DRIED FRUITS</t>
  </si>
  <si>
    <t>FORTIFYING WINES</t>
  </si>
  <si>
    <t>Dried Fruit</t>
  </si>
  <si>
    <t>Sugar %</t>
  </si>
  <si>
    <t>Fresh Fruit Equiv. Wt.</t>
  </si>
  <si>
    <t>A method of calculating the amount of spirit required to fortify a wine.</t>
  </si>
  <si>
    <t>Purée per litre</t>
  </si>
  <si>
    <t>JUICES</t>
  </si>
  <si>
    <t>Spirit % ABV</t>
  </si>
  <si>
    <t>Vodka used</t>
  </si>
  <si>
    <t>(Check labels for sugar, preservatives &amp; purées)</t>
  </si>
  <si>
    <t>g ̸ 100ml</t>
  </si>
  <si>
    <t>Blueberry</t>
  </si>
  <si>
    <t>Wine % ABV</t>
  </si>
  <si>
    <t>The sugars are shown here for juices. Any potassium sorbate added to the juice  prevents fermentation.</t>
  </si>
  <si>
    <t>Elderberry</t>
  </si>
  <si>
    <t>Desired % ABV</t>
  </si>
  <si>
    <t>Mango</t>
  </si>
  <si>
    <t>Wine vol.</t>
  </si>
  <si>
    <t>Mulberry</t>
  </si>
  <si>
    <t>Spirit vol. required</t>
  </si>
  <si>
    <t>Peaches</t>
  </si>
  <si>
    <t>Final fortified wine vol.</t>
  </si>
  <si>
    <t>Pineapple</t>
  </si>
  <si>
    <t>Prunes (plums)</t>
  </si>
  <si>
    <t>"FIVE ALIVE"</t>
  </si>
  <si>
    <t>Strawberry</t>
  </si>
  <si>
    <t>Other 4</t>
  </si>
  <si>
    <t>ABV for FINISHED, DRY wines/ciders etc.</t>
  </si>
  <si>
    <t>RIBENA</t>
  </si>
  <si>
    <t>Measured O.G.</t>
  </si>
  <si>
    <t>If your measured figures, just enter your own gravities &amp; get the corrected % ABV figure.</t>
  </si>
  <si>
    <t>CONC.</t>
  </si>
  <si>
    <t>Measured F.G.</t>
  </si>
  <si>
    <r>
      <rPr>
        <sz val="10"/>
        <color rgb="FF7F7F7F"/>
        <rFont val="Times New Roman"/>
        <family val="1"/>
      </rPr>
      <t xml:space="preserve">LOWICZ SYRUP </t>
    </r>
    <r>
      <rPr>
        <sz val="8"/>
        <rFont val="Times New Roman"/>
        <family val="1"/>
      </rPr>
      <t>(Rasp. / Cherry )</t>
    </r>
  </si>
  <si>
    <t>Other 1</t>
  </si>
  <si>
    <t>Alcohol  % ABV</t>
  </si>
  <si>
    <t>PRUNE</t>
  </si>
  <si>
    <t>OTHER 3</t>
  </si>
  <si>
    <t>OTHER 2</t>
  </si>
  <si>
    <t>RECIPE SCALING</t>
  </si>
  <si>
    <t>OTHER 1</t>
  </si>
  <si>
    <t>Knickers!</t>
  </si>
  <si>
    <t>Purée waste factor, this is assumed nominally set at "10", see cell L59 for details.</t>
  </si>
  <si>
    <t xml:space="preserve">Liquid measures </t>
  </si>
  <si>
    <t>Old Vol.</t>
  </si>
  <si>
    <t xml:space="preserve">Dry measures </t>
  </si>
  <si>
    <t>Old Wt.</t>
  </si>
  <si>
    <t>Assumed Boil Loss</t>
  </si>
  <si>
    <t>VEGETABLES</t>
  </si>
  <si>
    <t xml:space="preserve">Litres </t>
  </si>
  <si>
    <t>UK pts.</t>
  </si>
  <si>
    <t>US pts.</t>
  </si>
  <si>
    <t>lb.     oz</t>
  </si>
  <si>
    <t xml:space="preserve">"Finished" Wine Vol. </t>
  </si>
  <si>
    <t>Fruit 1</t>
  </si>
  <si>
    <r>
      <rPr>
        <b/>
        <u/>
        <sz val="10"/>
        <color rgb="FFFF0000"/>
        <rFont val="Times New Roman"/>
        <family val="1"/>
      </rPr>
      <t>VEGETABLES</t>
    </r>
    <r>
      <rPr>
        <u/>
        <sz val="10"/>
        <color rgb="FFFF0000"/>
        <rFont val="Times New Roman"/>
        <family val="1"/>
      </rPr>
      <t xml:space="preserve"> - </t>
    </r>
    <r>
      <rPr>
        <sz val="10"/>
        <color rgb="FF969696"/>
        <rFont val="Arial"/>
        <family val="2"/>
      </rPr>
      <t>These grey figures are used in the calculations &amp; are editable</t>
    </r>
  </si>
  <si>
    <t>Boil Loss</t>
  </si>
  <si>
    <t>Juice 1</t>
  </si>
  <si>
    <t>Fruit 2</t>
  </si>
  <si>
    <t>BEETROOT</t>
  </si>
  <si>
    <t>Juice 2</t>
  </si>
  <si>
    <t>Fruit 3</t>
  </si>
  <si>
    <t>CARROT</t>
  </si>
  <si>
    <t>Juice 3</t>
  </si>
  <si>
    <t>CELERY</t>
  </si>
  <si>
    <t>MARROW</t>
  </si>
  <si>
    <t>PARSNIP</t>
  </si>
  <si>
    <r>
      <rPr>
        <sz val="10"/>
        <color rgb="FF000000"/>
        <rFont val="Times New Roman"/>
        <family val="1"/>
      </rPr>
      <t>Sugar (</t>
    </r>
    <r>
      <rPr>
        <sz val="10"/>
        <color rgb="FFCC3399"/>
        <rFont val="Arial"/>
        <family val="2"/>
      </rPr>
      <t>g</t>
    </r>
    <r>
      <rPr>
        <sz val="10"/>
        <color rgb="FF000000"/>
        <rFont val="Arial"/>
        <family val="2"/>
      </rPr>
      <t xml:space="preserve">)          </t>
    </r>
    <r>
      <rPr>
        <sz val="8"/>
        <color rgb="FFCC3399"/>
        <rFont val="Arial"/>
        <family val="2"/>
      </rPr>
      <t>Note the units used.</t>
    </r>
  </si>
  <si>
    <t xml:space="preserve">Pectic enzyme </t>
  </si>
  <si>
    <t>POTATO</t>
  </si>
  <si>
    <r>
      <rPr>
        <sz val="10"/>
        <color rgb="FF000000"/>
        <rFont val="Times New Roman"/>
        <family val="1"/>
      </rPr>
      <t>Hot water (</t>
    </r>
    <r>
      <rPr>
        <sz val="10"/>
        <color rgb="FFCC3399"/>
        <rFont val="Arial"/>
        <family val="2"/>
      </rPr>
      <t>ml</t>
    </r>
    <r>
      <rPr>
        <sz val="10"/>
        <color rgb="FF000000"/>
        <rFont val="Arial"/>
        <family val="2"/>
      </rPr>
      <t xml:space="preserve">)   </t>
    </r>
    <r>
      <rPr>
        <sz val="8"/>
        <color rgb="FFCC3399"/>
        <rFont val="Arial"/>
        <family val="2"/>
      </rPr>
      <t>Note the units used.</t>
    </r>
  </si>
  <si>
    <t>Nutrient</t>
  </si>
  <si>
    <t>Bentonite</t>
  </si>
  <si>
    <t>TCP TASTE ̸ AROMAS</t>
  </si>
  <si>
    <t>These can be reduced by just adding 10ml supermarket orange juice per litre of must to nullify most chloramines.</t>
  </si>
  <si>
    <t>Free for to use - Not for sale.</t>
  </si>
  <si>
    <t>I love Glenys Vicars!</t>
  </si>
  <si>
    <t>HYDROMETER S.G. CORRECTION</t>
  </si>
  <si>
    <t>MISC. CONVERTERS</t>
  </si>
  <si>
    <t>Hello sailor!</t>
  </si>
  <si>
    <r>
      <rPr>
        <sz val="12"/>
        <rFont val="Times New Roman"/>
        <family val="1"/>
      </rPr>
      <t>°</t>
    </r>
    <r>
      <rPr>
        <sz val="10"/>
        <rFont val="Times New Roman"/>
        <family val="1"/>
      </rPr>
      <t xml:space="preserve">C </t>
    </r>
  </si>
  <si>
    <r>
      <rPr>
        <sz val="10"/>
        <color rgb="FFFF0000"/>
        <rFont val="Arial"/>
        <family val="2"/>
      </rPr>
      <t>UK</t>
    </r>
    <r>
      <rPr>
        <sz val="10"/>
        <color rgb="FF000000"/>
        <rFont val="Arial"/>
        <family val="2"/>
      </rPr>
      <t xml:space="preserve"> pts.</t>
    </r>
  </si>
  <si>
    <r>
      <rPr>
        <sz val="10"/>
        <color rgb="FFFF0000"/>
        <rFont val="Arial"/>
        <family val="2"/>
      </rPr>
      <t>US</t>
    </r>
    <r>
      <rPr>
        <sz val="10"/>
        <color rgb="FF585858"/>
        <rFont val="Arial"/>
        <family val="2"/>
      </rPr>
      <t xml:space="preserve"> pts.</t>
    </r>
  </si>
  <si>
    <t>lb.</t>
  </si>
  <si>
    <t>Calibrated Temp.</t>
  </si>
  <si>
    <t>NOTES:-</t>
  </si>
  <si>
    <t>F.G. &amp; ABV PREDICTOR</t>
  </si>
  <si>
    <t>For wine ̸ cider musts etc. (but NOT for beers) &amp; assuming the fermentation has not become "stuck".</t>
  </si>
  <si>
    <t>Design volume</t>
  </si>
  <si>
    <t>litres (inc. losses)</t>
  </si>
  <si>
    <t>Effective ̸ final volume</t>
  </si>
  <si>
    <t>litres (at present ̸ bottling)</t>
  </si>
  <si>
    <t>Temp</t>
  </si>
  <si>
    <t>OG</t>
  </si>
  <si>
    <t>FG</t>
  </si>
  <si>
    <t>°C</t>
  </si>
  <si>
    <t>CO2</t>
  </si>
  <si>
    <t>Sugar Equiv.</t>
  </si>
  <si>
    <t>ABV</t>
  </si>
  <si>
    <t>0 ̸ 0</t>
  </si>
  <si>
    <t xml:space="preserve">NOTES:- </t>
  </si>
  <si>
    <t>Wine Type</t>
  </si>
  <si>
    <t>Dry White Table</t>
  </si>
  <si>
    <t>Dry Red Table</t>
  </si>
  <si>
    <t>Rose Table</t>
  </si>
  <si>
    <t>Sweet White</t>
  </si>
  <si>
    <t>Sweet Red</t>
  </si>
  <si>
    <t>Dessert (Fruit)</t>
  </si>
  <si>
    <t>Dessert (Port)</t>
  </si>
  <si>
    <t>% Acid of Must (As Tartaric Acid)</t>
  </si>
  <si>
    <t>0.35 - 0.55</t>
  </si>
  <si>
    <t>0.35 - 0.5</t>
  </si>
  <si>
    <t>0.45 - 0.6</t>
  </si>
  <si>
    <t>0.35 - 0.6</t>
  </si>
  <si>
    <t>0.25 - 0.5</t>
  </si>
  <si>
    <t>0.4 - 0.5</t>
  </si>
  <si>
    <t>0.25 - 0.35</t>
  </si>
  <si>
    <t>% Acid of Finished Wine (As Tartaric Acid)</t>
  </si>
  <si>
    <t>0.50 - 0.70</t>
  </si>
  <si>
    <t>0.50 - 0.65</t>
  </si>
  <si>
    <t>0.60 - 0.75</t>
  </si>
  <si>
    <t>0.5 - 0.75</t>
  </si>
  <si>
    <t>0.40 - 0.65</t>
  </si>
  <si>
    <t>0.55 - 0.65</t>
  </si>
  <si>
    <t>0.40 - 0.50</t>
  </si>
  <si>
    <t>Insert your own figures</t>
  </si>
  <si>
    <t>Calculated Values</t>
  </si>
  <si>
    <t>Adjusting Acidity Following Titration</t>
  </si>
  <si>
    <t>Strength of NaOH</t>
  </si>
  <si>
    <t>ml of wine / must tested</t>
  </si>
  <si>
    <t>Volume of wine / must</t>
  </si>
  <si>
    <t>ml of NaOH used to neutralise wine / must</t>
  </si>
  <si>
    <t>Desired acidity of wine (as % tartaric)</t>
  </si>
  <si>
    <t>moles of NaOH to neutralise test sample</t>
  </si>
  <si>
    <t>moles</t>
  </si>
  <si>
    <t>moles of NaOH to neutralise 100ml</t>
  </si>
  <si>
    <t>moles of NaOH to neutralise volume of wine</t>
  </si>
  <si>
    <t>moles of acid in test sample</t>
  </si>
  <si>
    <t>moles of acid in 100ml</t>
  </si>
  <si>
    <t>moles of acid in volume of wine</t>
  </si>
  <si>
    <t>Acidity as % sulphuric acid</t>
  </si>
  <si>
    <t>Acidity as % tartaric acid</t>
  </si>
  <si>
    <t>Desired acidity as tartaric (number of moles acid per 100ml)</t>
  </si>
  <si>
    <t>Excess in acidity of wine (as tartaric)</t>
  </si>
  <si>
    <t>Shortfall in acidity of wine (as tartaric)</t>
  </si>
  <si>
    <t>To Increase Acidity to Desired Level Add</t>
  </si>
  <si>
    <t>Tartaric Acid OR</t>
  </si>
  <si>
    <t>Citric Acid OR</t>
  </si>
  <si>
    <t>Malic Acid</t>
  </si>
  <si>
    <t>To Decrease Acidity to Desired Level Add</t>
  </si>
  <si>
    <r>
      <rPr>
        <sz val="10"/>
        <color rgb="FF000000"/>
        <rFont val="Arial"/>
        <family val="2"/>
      </rPr>
      <t>Precipitated Chalk (CaCO</t>
    </r>
    <r>
      <rPr>
        <vertAlign val="subscript"/>
        <sz val="10"/>
        <rFont val="Arial"/>
        <family val="2"/>
      </rPr>
      <t>3</t>
    </r>
    <r>
      <rPr>
        <vertAlign val="superscript"/>
        <sz val="10"/>
        <rFont val="Arial"/>
        <family val="2"/>
      </rPr>
      <t>)</t>
    </r>
  </si>
  <si>
    <r>
      <rPr>
        <sz val="10"/>
        <color rgb="FF000000"/>
        <rFont val="Arial"/>
        <family val="2"/>
      </rPr>
      <t>Potassium Bicarbonate (KHCO</t>
    </r>
    <r>
      <rPr>
        <sz val="6"/>
        <rFont val="Arial"/>
        <family val="2"/>
      </rPr>
      <t>3</t>
    </r>
    <r>
      <rPr>
        <sz val="10"/>
        <rFont val="Arial"/>
        <family val="2"/>
      </rPr>
      <t>)</t>
    </r>
  </si>
  <si>
    <r>
      <rPr>
        <sz val="10"/>
        <color rgb="FF000000"/>
        <rFont val="Arial"/>
        <family val="2"/>
      </rPr>
      <t>Sodium Bicarbonate (NaHCO</t>
    </r>
    <r>
      <rPr>
        <sz val="6"/>
        <rFont val="Arial"/>
        <family val="2"/>
      </rPr>
      <t>3</t>
    </r>
    <r>
      <rPr>
        <sz val="10"/>
        <rFont val="Arial"/>
        <family val="2"/>
      </rPr>
      <t>)</t>
    </r>
  </si>
  <si>
    <t>(UK Measures)</t>
  </si>
  <si>
    <t>&amp;</t>
  </si>
  <si>
    <t>Denotes "editable" cells.</t>
  </si>
  <si>
    <t>All figures are approximate &amp; ignore any garnishings.</t>
  </si>
  <si>
    <t xml:space="preserve">It is fair to assume that a "drop" is approx. 0.05-0.06ml in size, this gives about 400-500 drops in one "shot" (25ml in the UK) &amp; can safely be ignored in our calculations. </t>
  </si>
  <si>
    <t>A "dash" or "splash" is approx. 2-3 ml &amp; can be considered to be 0.1 of a shot, so 3 dashes = 0.3 shots etc.</t>
  </si>
  <si>
    <t>Cocktail Name:</t>
  </si>
  <si>
    <t>Shots</t>
  </si>
  <si>
    <t xml:space="preserve">Cals ̸ </t>
  </si>
  <si>
    <t xml:space="preserve">Carbs ̸ </t>
  </si>
  <si>
    <t>Mixers</t>
  </si>
  <si>
    <t>Notes:-</t>
  </si>
  <si>
    <t>Tequila Sunrise</t>
  </si>
  <si>
    <t>(25ml)</t>
  </si>
  <si>
    <t>100ml</t>
  </si>
  <si>
    <t>Cals</t>
  </si>
  <si>
    <t>Carbs</t>
  </si>
  <si>
    <t>Spirits (in general)</t>
  </si>
  <si>
    <t>Apple juice</t>
  </si>
  <si>
    <t>Absinthe</t>
  </si>
  <si>
    <t>Apple juice (fresh)</t>
  </si>
  <si>
    <t>Advocaat</t>
  </si>
  <si>
    <t>Amarula Cream</t>
  </si>
  <si>
    <t>Angostura bitters</t>
  </si>
  <si>
    <t xml:space="preserve">Aperol Aperitivo </t>
  </si>
  <si>
    <t>Coconut cream</t>
  </si>
  <si>
    <t>Coke</t>
  </si>
  <si>
    <t>Bacardi rum</t>
  </si>
  <si>
    <t>Cranberry juice</t>
  </si>
  <si>
    <t>Bénédictine Dom Liqueur</t>
  </si>
  <si>
    <t>Cranberry juice (fresh)</t>
  </si>
  <si>
    <t>Brandy</t>
  </si>
  <si>
    <t>Cream (single)</t>
  </si>
  <si>
    <t>Bourbon</t>
  </si>
  <si>
    <t>Double Cream</t>
  </si>
  <si>
    <t xml:space="preserve">Cachaça </t>
  </si>
  <si>
    <t>Campari</t>
  </si>
  <si>
    <t>Cognac</t>
  </si>
  <si>
    <t>Elderflower cordial</t>
  </si>
  <si>
    <t>Cointreau</t>
  </si>
  <si>
    <t>Cointreau Triple Sec</t>
  </si>
  <si>
    <t xml:space="preserve">Creme De Mure liqueur (blackberry) </t>
  </si>
  <si>
    <t>Ginger ale</t>
  </si>
  <si>
    <t>Cuarenta Y Tres liqueur</t>
  </si>
  <si>
    <t>Grape juice (red)</t>
  </si>
  <si>
    <t>De Kuyper Blue Curaçao</t>
  </si>
  <si>
    <t>Grape juice (white)</t>
  </si>
  <si>
    <t>De Kuyper Cherry Brandy Liqueur</t>
  </si>
  <si>
    <t>Grenadine</t>
  </si>
  <si>
    <t xml:space="preserve">De Kuyper Crème De Cacao </t>
  </si>
  <si>
    <t>De Kuyper Crème De Cassis</t>
  </si>
  <si>
    <t xml:space="preserve">De Kuyper Crème De Menthe </t>
  </si>
  <si>
    <t>De Kuyper Raspberry Liqueur</t>
  </si>
  <si>
    <t>Lemon juice</t>
  </si>
  <si>
    <t>De Kuyper Triple Sec</t>
  </si>
  <si>
    <t>Lemon juice (fresh)</t>
  </si>
  <si>
    <t>Lemonade</t>
  </si>
  <si>
    <t>Disaronno Amaretto Almond Liqueur</t>
  </si>
  <si>
    <t>Domaine de Canton ginger liqueur</t>
  </si>
  <si>
    <t>Lime cordial</t>
  </si>
  <si>
    <t>Lime juice</t>
  </si>
  <si>
    <t>Fig Liqueur</t>
  </si>
  <si>
    <t>Lime juice (fresh)</t>
  </si>
  <si>
    <t>Galliano</t>
  </si>
  <si>
    <t>Gin</t>
  </si>
  <si>
    <t>Milk</t>
  </si>
  <si>
    <t>Leblon Cachaça</t>
  </si>
  <si>
    <t>Orange juice</t>
  </si>
  <si>
    <t>Malibu</t>
  </si>
  <si>
    <t>Orange juice (fresh)</t>
  </si>
  <si>
    <t>Maraschino liqueur</t>
  </si>
  <si>
    <t xml:space="preserve">Noilly Prat </t>
  </si>
  <si>
    <t>Orange Curacao</t>
  </si>
  <si>
    <t>Passion fruit juice</t>
  </si>
  <si>
    <t>Peach Schnapps</t>
  </si>
  <si>
    <t>Passion fruit juice (bottled)</t>
  </si>
  <si>
    <t>Pimm’s No. 1</t>
  </si>
  <si>
    <t>Peach juice</t>
  </si>
  <si>
    <t>Port</t>
  </si>
  <si>
    <t>Peach puree</t>
  </si>
  <si>
    <t>Rum (white or dark)</t>
  </si>
  <si>
    <t>Pineapple juice</t>
  </si>
  <si>
    <t>Sake</t>
  </si>
  <si>
    <t>Sherry (dry)</t>
  </si>
  <si>
    <t>Soda water</t>
  </si>
  <si>
    <t>Sherry (sweet)</t>
  </si>
  <si>
    <t>Sugar syrup</t>
  </si>
  <si>
    <t>Sloe gin liqueur</t>
  </si>
  <si>
    <t>Tomato juice</t>
  </si>
  <si>
    <t>Tequila</t>
  </si>
  <si>
    <t>Tonic water</t>
  </si>
  <si>
    <t>Tia Maria (coffee) liqueur</t>
  </si>
  <si>
    <t>Tio Pepe Fino sherry</t>
  </si>
  <si>
    <t>Worcestershire Sauce</t>
  </si>
  <si>
    <t>Vermouth</t>
  </si>
  <si>
    <t>Mixers (solid)</t>
  </si>
  <si>
    <t>No.</t>
  </si>
  <si>
    <t>V(ml)</t>
  </si>
  <si>
    <r>
      <rPr>
        <sz val="10"/>
        <color rgb="FF000000"/>
        <rFont val="Times New Roman"/>
        <family val="1"/>
      </rPr>
      <t>Vol.</t>
    </r>
    <r>
      <rPr>
        <sz val="9"/>
        <rFont val="Times New Roman"/>
        <family val="1"/>
      </rPr>
      <t xml:space="preserve"> (ml)</t>
    </r>
  </si>
  <si>
    <t>Vodka</t>
  </si>
  <si>
    <t>Whisky</t>
  </si>
  <si>
    <t>Egg (medium)</t>
  </si>
  <si>
    <t>Wine (red ̸ white dessert)</t>
  </si>
  <si>
    <t>Egg white (medium)</t>
  </si>
  <si>
    <t>Wine (red ̸ white dry)</t>
  </si>
  <si>
    <t xml:space="preserve">Wine Sparkling </t>
  </si>
  <si>
    <t>Ice (crushed)</t>
  </si>
  <si>
    <t>Ice (cubes)</t>
  </si>
  <si>
    <t>Hello cheeky!</t>
  </si>
  <si>
    <t>dimensions (mm)</t>
  </si>
  <si>
    <t>(ignoring the density)</t>
  </si>
  <si>
    <t>HIDE</t>
  </si>
  <si>
    <t>Jam Name</t>
  </si>
  <si>
    <t>SUGAR CALCULATED</t>
  </si>
  <si>
    <t>Insert your own figures in the yellow boxes.</t>
  </si>
  <si>
    <t>WATER CALCULATED</t>
  </si>
  <si>
    <t>No information available, value has been "guesstimated".</t>
  </si>
  <si>
    <t>ACID ADDED (Tartaric ̸ Citric ̸ Malic)</t>
  </si>
  <si>
    <t>For "fine tuning" the acid &amp; pectin content of the jam.</t>
  </si>
  <si>
    <t>PECTIN ADDED (Powder)</t>
  </si>
  <si>
    <t>Jammy!</t>
  </si>
  <si>
    <t>TOTAL ACID</t>
  </si>
  <si>
    <r>
      <rPr>
        <sz val="10"/>
        <color rgb="FF000000"/>
        <rFont val="Times New Roman"/>
        <family val="1"/>
      </rPr>
      <t xml:space="preserve">  Higher values lead to a better "set". Aim for at least a "</t>
    </r>
    <r>
      <rPr>
        <b/>
        <sz val="10"/>
        <color rgb="FFFF00FF"/>
        <rFont val="Arial"/>
        <family val="2"/>
      </rPr>
      <t>Medium</t>
    </r>
    <r>
      <rPr>
        <sz val="10"/>
        <color rgb="FF000000"/>
        <rFont val="Arial"/>
        <family val="2"/>
      </rPr>
      <t>".</t>
    </r>
  </si>
  <si>
    <r>
      <rPr>
        <sz val="10"/>
        <color rgb="FF000000"/>
        <rFont val="Times New Roman"/>
        <family val="1"/>
      </rPr>
      <t xml:space="preserve">Higher values lead to a better "set". Aim for at least a </t>
    </r>
    <r>
      <rPr>
        <b/>
        <sz val="10"/>
        <color rgb="FFFF00FF"/>
        <rFont val="Arial"/>
        <family val="2"/>
      </rPr>
      <t>"Medium"</t>
    </r>
    <r>
      <rPr>
        <sz val="10"/>
        <color rgb="FF000000"/>
        <rFont val="Arial"/>
        <family val="2"/>
      </rPr>
      <t>.</t>
    </r>
  </si>
  <si>
    <t>TOTAL PECTIN</t>
  </si>
  <si>
    <t>ESTIMATED INITIAL VOLUME</t>
  </si>
  <si>
    <r>
      <rPr>
        <sz val="10"/>
        <color rgb="FF000000"/>
        <rFont val="Times New Roman"/>
        <family val="1"/>
      </rPr>
      <t>ml</t>
    </r>
    <r>
      <rPr>
        <sz val="10"/>
        <color rgb="FFFF0000"/>
        <rFont val="Arial"/>
        <family val="2"/>
      </rPr>
      <t xml:space="preserve"> (approx.)</t>
    </r>
  </si>
  <si>
    <t>litres (allows for excessive "boiling up")</t>
  </si>
  <si>
    <t>Please read the "Disclaimer" before using this spreadsheet.</t>
  </si>
  <si>
    <t>"Stone"</t>
  </si>
  <si>
    <t>Usable</t>
  </si>
  <si>
    <t>Water</t>
  </si>
  <si>
    <t>Cooking</t>
  </si>
  <si>
    <t>Factor</t>
  </si>
  <si>
    <t>Added ml</t>
  </si>
  <si>
    <t>Added g</t>
  </si>
  <si>
    <t>Time (min)</t>
  </si>
  <si>
    <t>GENERAL NOTES</t>
  </si>
  <si>
    <t>COOK</t>
  </si>
  <si>
    <t>EAT</t>
  </si>
  <si>
    <t>Ripe</t>
  </si>
  <si>
    <t xml:space="preserve">          "</t>
  </si>
  <si>
    <t>Under-ripe</t>
  </si>
  <si>
    <t>60+</t>
  </si>
  <si>
    <t>BANANA</t>
  </si>
  <si>
    <t>35+</t>
  </si>
  <si>
    <t>BLACK</t>
  </si>
  <si>
    <t>20+</t>
  </si>
  <si>
    <t>25+</t>
  </si>
  <si>
    <t>15+</t>
  </si>
  <si>
    <t>LEMON</t>
  </si>
  <si>
    <t>LITCHI</t>
  </si>
  <si>
    <t>Flesh</t>
  </si>
  <si>
    <t>30+</t>
  </si>
  <si>
    <t>PAPAYA</t>
  </si>
  <si>
    <t>75+</t>
  </si>
  <si>
    <t xml:space="preserve">PERSIMMON </t>
  </si>
  <si>
    <t>(Sharon Fruit)</t>
  </si>
  <si>
    <t>Dried</t>
  </si>
  <si>
    <r>
      <rPr>
        <sz val="10"/>
        <color rgb="FF000000"/>
        <rFont val="Times New Roman"/>
        <family val="1"/>
      </rPr>
      <t>RHUBARB</t>
    </r>
    <r>
      <rPr>
        <b/>
        <sz val="10"/>
        <rFont val="Arial"/>
        <family val="2"/>
      </rPr>
      <t xml:space="preserve"> </t>
    </r>
    <r>
      <rPr>
        <b/>
        <sz val="10"/>
        <color rgb="FFFF0000"/>
        <rFont val="Arial"/>
        <family val="2"/>
      </rPr>
      <t>▼</t>
    </r>
  </si>
  <si>
    <t>Hulled</t>
  </si>
  <si>
    <t>10+</t>
  </si>
  <si>
    <t>OTHER 4</t>
  </si>
  <si>
    <t>MOST THE ABOVE CELLS  ARE EDITABLE</t>
  </si>
  <si>
    <t xml:space="preserve">▼ DO NOT USE ALUMINIUM utensils as the acids present in this vegetable will react with these &amp; MAY ultimately lead to Alzheimer's disease. </t>
  </si>
  <si>
    <t>USER ̸ RECIPE NOTES:-</t>
  </si>
  <si>
    <r>
      <rPr>
        <sz val="10"/>
        <color rgb="FF000000"/>
        <rFont val="Times New Roman"/>
        <family val="1"/>
      </rPr>
      <t xml:space="preserve">PECTIC ENZYME REQUIRED </t>
    </r>
    <r>
      <rPr>
        <sz val="10"/>
        <color rgb="FFFF0000"/>
        <rFont val="Arial"/>
        <family val="2"/>
      </rPr>
      <t>(min.)</t>
    </r>
  </si>
  <si>
    <r>
      <rPr>
        <sz val="10"/>
        <color rgb="FF000000"/>
        <rFont val="Times New Roman"/>
        <family val="1"/>
      </rPr>
      <t>BENTONITE</t>
    </r>
    <r>
      <rPr>
        <sz val="10"/>
        <color rgb="FFFF0000"/>
        <rFont val="Arial"/>
        <family val="2"/>
      </rPr>
      <t xml:space="preserve"> (optional)</t>
    </r>
  </si>
  <si>
    <t>Final ̸effective starting volume</t>
  </si>
  <si>
    <t>US</t>
  </si>
  <si>
    <r>
      <rPr>
        <b/>
        <sz val="10"/>
        <color rgb="FFFF0000"/>
        <rFont val="Times New Roman"/>
        <family val="1"/>
      </rPr>
      <t>UK</t>
    </r>
    <r>
      <rPr>
        <sz val="10"/>
        <rFont val="Times New Roman"/>
        <family val="1"/>
      </rPr>
      <t xml:space="preserve"> </t>
    </r>
    <r>
      <rPr>
        <sz val="10"/>
        <color rgb="FF000000"/>
        <rFont val="Arial"/>
        <family val="2"/>
      </rPr>
      <t>pt</t>
    </r>
  </si>
  <si>
    <t>Safe Drinking Recommendations</t>
  </si>
  <si>
    <r>
      <rPr>
        <b/>
        <u val="double"/>
        <sz val="36"/>
        <color rgb="FF000000"/>
        <rFont val="Times New Roman"/>
        <family val="1"/>
      </rPr>
      <t>P</t>
    </r>
    <r>
      <rPr>
        <b/>
        <u val="double"/>
        <sz val="28"/>
        <color rgb="FF000000"/>
        <rFont val="Times New Roman"/>
        <family val="1"/>
      </rPr>
      <t xml:space="preserve">ete's </t>
    </r>
    <r>
      <rPr>
        <b/>
        <u val="double"/>
        <sz val="36"/>
        <color rgb="FF000000"/>
        <rFont val="Times New Roman"/>
        <family val="1"/>
      </rPr>
      <t>G</t>
    </r>
    <r>
      <rPr>
        <b/>
        <u val="double"/>
        <sz val="28"/>
        <color rgb="FF000000"/>
        <rFont val="Times New Roman"/>
        <family val="1"/>
      </rPr>
      <t xml:space="preserve">eneral </t>
    </r>
    <r>
      <rPr>
        <b/>
        <u val="double"/>
        <sz val="36"/>
        <color rgb="FF000000"/>
        <rFont val="Times New Roman"/>
        <family val="1"/>
      </rPr>
      <t>C</t>
    </r>
    <r>
      <rPr>
        <b/>
        <u val="double"/>
        <sz val="28"/>
        <color rgb="FF000000"/>
        <rFont val="Times New Roman"/>
        <family val="1"/>
      </rPr>
      <t>alc's.</t>
    </r>
  </si>
  <si>
    <t>Denotes an "editable" cell, add your own data.</t>
  </si>
  <si>
    <r>
      <rPr>
        <b/>
        <u val="double"/>
        <sz val="36"/>
        <rFont val="Times New Roman"/>
        <family val="1"/>
      </rPr>
      <t>P</t>
    </r>
    <r>
      <rPr>
        <b/>
        <u val="double"/>
        <sz val="28"/>
        <rFont val="Times New Roman"/>
        <family val="1"/>
      </rPr>
      <t xml:space="preserve">ete's </t>
    </r>
    <r>
      <rPr>
        <b/>
        <u val="double"/>
        <sz val="36"/>
        <rFont val="Times New Roman"/>
        <family val="1"/>
      </rPr>
      <t>W</t>
    </r>
    <r>
      <rPr>
        <b/>
        <u val="double"/>
        <sz val="28"/>
        <rFont val="Times New Roman"/>
        <family val="1"/>
      </rPr>
      <t xml:space="preserve">ine </t>
    </r>
    <r>
      <rPr>
        <b/>
        <u val="double"/>
        <sz val="36"/>
        <rFont val="Times New Roman"/>
        <family val="1"/>
      </rPr>
      <t>&amp;</t>
    </r>
    <r>
      <rPr>
        <b/>
        <u val="double"/>
        <sz val="28"/>
        <rFont val="Times New Roman"/>
        <family val="1"/>
      </rPr>
      <t xml:space="preserve"> </t>
    </r>
    <r>
      <rPr>
        <b/>
        <u val="double"/>
        <sz val="36"/>
        <rFont val="Times New Roman"/>
        <family val="1"/>
      </rPr>
      <t>C</t>
    </r>
    <r>
      <rPr>
        <b/>
        <u val="double"/>
        <sz val="28"/>
        <rFont val="Times New Roman"/>
        <family val="1"/>
      </rPr>
      <t xml:space="preserve">ider </t>
    </r>
    <r>
      <rPr>
        <b/>
        <u val="double"/>
        <sz val="36"/>
        <rFont val="Times New Roman"/>
        <family val="1"/>
      </rPr>
      <t>C</t>
    </r>
    <r>
      <rPr>
        <b/>
        <u val="double"/>
        <sz val="28"/>
        <rFont val="Times New Roman"/>
        <family val="1"/>
      </rPr>
      <t>alculator</t>
    </r>
  </si>
  <si>
    <r>
      <rPr>
        <b/>
        <u val="double"/>
        <sz val="36"/>
        <rFont val="Times New Roman"/>
        <family val="1"/>
      </rPr>
      <t>P</t>
    </r>
    <r>
      <rPr>
        <b/>
        <u val="double"/>
        <sz val="26"/>
        <rFont val="Times New Roman"/>
        <family val="1"/>
      </rPr>
      <t xml:space="preserve">ete's </t>
    </r>
    <r>
      <rPr>
        <b/>
        <u val="double"/>
        <sz val="36"/>
        <rFont val="Times New Roman"/>
        <family val="1"/>
      </rPr>
      <t>C</t>
    </r>
    <r>
      <rPr>
        <b/>
        <u val="double"/>
        <sz val="28"/>
        <rFont val="Times New Roman"/>
        <family val="1"/>
      </rPr>
      <t xml:space="preserve">ocktail </t>
    </r>
    <r>
      <rPr>
        <b/>
        <u val="double"/>
        <sz val="36"/>
        <rFont val="Times New Roman"/>
        <family val="1"/>
      </rPr>
      <t>U</t>
    </r>
    <r>
      <rPr>
        <b/>
        <u val="double"/>
        <sz val="28"/>
        <rFont val="Times New Roman"/>
        <family val="1"/>
      </rPr>
      <t xml:space="preserve">nit </t>
    </r>
    <r>
      <rPr>
        <b/>
        <u val="double"/>
        <sz val="36"/>
        <rFont val="Times New Roman"/>
        <family val="1"/>
      </rPr>
      <t>C</t>
    </r>
    <r>
      <rPr>
        <b/>
        <u val="double"/>
        <sz val="28"/>
        <rFont val="Times New Roman"/>
        <family val="1"/>
      </rPr>
      <t>alculator</t>
    </r>
  </si>
  <si>
    <r>
      <rPr>
        <b/>
        <u val="double"/>
        <sz val="36"/>
        <rFont val="Times New Roman"/>
        <family val="1"/>
      </rPr>
      <t>P</t>
    </r>
    <r>
      <rPr>
        <b/>
        <u val="double"/>
        <sz val="28"/>
        <rFont val="Times New Roman"/>
        <family val="1"/>
      </rPr>
      <t xml:space="preserve">ete's </t>
    </r>
    <r>
      <rPr>
        <b/>
        <u val="double"/>
        <sz val="36"/>
        <rFont val="Times New Roman"/>
        <family val="1"/>
      </rPr>
      <t>J</t>
    </r>
    <r>
      <rPr>
        <b/>
        <u val="double"/>
        <sz val="28"/>
        <rFont val="Times New Roman"/>
        <family val="1"/>
      </rPr>
      <t xml:space="preserve">am </t>
    </r>
    <r>
      <rPr>
        <b/>
        <u val="double"/>
        <sz val="36"/>
        <rFont val="Times New Roman"/>
        <family val="1"/>
      </rPr>
      <t>C</t>
    </r>
    <r>
      <rPr>
        <b/>
        <u val="double"/>
        <sz val="28"/>
        <rFont val="Times New Roman"/>
        <family val="1"/>
      </rPr>
      <t>alculator</t>
    </r>
  </si>
  <si>
    <r>
      <t>Inc. Volume CO</t>
    </r>
    <r>
      <rPr>
        <u/>
        <sz val="12"/>
        <rFont val="Times New Roman"/>
        <family val="1"/>
      </rPr>
      <t xml:space="preserve">2  Converters to PSI or Atm. or Bar </t>
    </r>
  </si>
  <si>
    <r>
      <t>fl oz</t>
    </r>
    <r>
      <rPr>
        <sz val="10"/>
        <color rgb="FFFF0000"/>
        <rFont val="Times New Roman"/>
        <family val="1"/>
      </rPr>
      <t xml:space="preserve"> </t>
    </r>
    <r>
      <rPr>
        <b/>
        <sz val="10"/>
        <color rgb="FFFF0000"/>
        <rFont val="Times New Roman"/>
        <family val="1"/>
      </rPr>
      <t>UK</t>
    </r>
  </si>
  <si>
    <t>Version 1.0</t>
  </si>
  <si>
    <t>SUGGESTED PAN MIN. VOLUME</t>
  </si>
  <si>
    <r>
      <rPr>
        <b/>
        <sz val="10"/>
        <color indexed="10"/>
        <rFont val="Times New Roman"/>
        <family val="1"/>
      </rPr>
      <t>Disclaime</t>
    </r>
    <r>
      <rPr>
        <b/>
        <sz val="10"/>
        <color rgb="FFFF0000"/>
        <rFont val="Times New Roman"/>
        <family val="1"/>
      </rPr>
      <t>r:</t>
    </r>
    <r>
      <rPr>
        <sz val="10"/>
        <color indexed="23"/>
        <rFont val="Times New Roman"/>
        <family val="1"/>
      </rPr>
      <t xml:space="preserve"> </t>
    </r>
    <r>
      <rPr>
        <sz val="10"/>
        <rFont val="Times New Roman"/>
        <family val="1"/>
      </rPr>
      <t>E&amp;OE. No responsibility is assumed or implied as a result of using this spreadsheet. Free for use. Not for sale.</t>
    </r>
  </si>
  <si>
    <r>
      <rPr>
        <b/>
        <sz val="10"/>
        <color indexed="10"/>
        <rFont val="Times New Roman"/>
        <family val="1"/>
      </rPr>
      <t>Disclaimer</t>
    </r>
    <r>
      <rPr>
        <b/>
        <sz val="10"/>
        <color rgb="FFFF0000"/>
        <rFont val="Times New Roman"/>
        <family val="1"/>
      </rPr>
      <t>:</t>
    </r>
    <r>
      <rPr>
        <b/>
        <sz val="10"/>
        <rFont val="Times New Roman"/>
        <family val="1"/>
      </rPr>
      <t xml:space="preserve"> </t>
    </r>
    <r>
      <rPr>
        <sz val="10"/>
        <rFont val="Times New Roman"/>
        <family val="1"/>
      </rPr>
      <t xml:space="preserve">E&amp;OE. </t>
    </r>
    <r>
      <rPr>
        <sz val="10"/>
        <color indexed="23"/>
        <rFont val="Times New Roman"/>
        <family val="1"/>
      </rPr>
      <t>No</t>
    </r>
    <r>
      <rPr>
        <sz val="10"/>
        <color indexed="8"/>
        <rFont val="Times New Roman"/>
        <family val="1"/>
      </rPr>
      <t xml:space="preserve"> responsibility is assumed or implied as a result of using this spreadsheet. Free for use. Not for sale.</t>
    </r>
  </si>
  <si>
    <r>
      <rPr>
        <b/>
        <sz val="36"/>
        <color rgb="FF000000"/>
        <rFont val="Times New Roman"/>
        <family val="1"/>
      </rPr>
      <t xml:space="preserve">  </t>
    </r>
    <r>
      <rPr>
        <b/>
        <u val="double"/>
        <sz val="36"/>
        <color rgb="FF000000"/>
        <rFont val="Times New Roman"/>
        <family val="1"/>
      </rPr>
      <t>P</t>
    </r>
    <r>
      <rPr>
        <b/>
        <u val="double"/>
        <sz val="28"/>
        <color rgb="FF000000"/>
        <rFont val="Times New Roman"/>
        <family val="1"/>
      </rPr>
      <t xml:space="preserve">ete's </t>
    </r>
    <r>
      <rPr>
        <b/>
        <u val="double"/>
        <sz val="36"/>
        <color rgb="FF000000"/>
        <rFont val="Times New Roman"/>
        <family val="1"/>
      </rPr>
      <t>NAWB</t>
    </r>
    <r>
      <rPr>
        <b/>
        <u val="double"/>
        <sz val="28"/>
        <color rgb="FF000000"/>
        <rFont val="Times New Roman"/>
        <family val="1"/>
      </rPr>
      <t xml:space="preserve"> </t>
    </r>
    <r>
      <rPr>
        <b/>
        <u val="double"/>
        <sz val="36"/>
        <color rgb="FF000000"/>
        <rFont val="Times New Roman"/>
        <family val="1"/>
      </rPr>
      <t>W</t>
    </r>
    <r>
      <rPr>
        <b/>
        <u val="double"/>
        <sz val="28"/>
        <color rgb="FF000000"/>
        <rFont val="Times New Roman"/>
        <family val="1"/>
      </rPr>
      <t xml:space="preserve">ine, </t>
    </r>
    <r>
      <rPr>
        <b/>
        <u val="double"/>
        <sz val="36"/>
        <color rgb="FF000000"/>
        <rFont val="Times New Roman"/>
        <family val="1"/>
      </rPr>
      <t>C</t>
    </r>
    <r>
      <rPr>
        <b/>
        <u val="double"/>
        <sz val="28"/>
        <color rgb="FF000000"/>
        <rFont val="Times New Roman"/>
        <family val="1"/>
      </rPr>
      <t xml:space="preserve">ider </t>
    </r>
    <r>
      <rPr>
        <b/>
        <u val="double"/>
        <sz val="36"/>
        <color rgb="FF000000"/>
        <rFont val="Times New Roman"/>
        <family val="1"/>
      </rPr>
      <t>&amp; J</t>
    </r>
    <r>
      <rPr>
        <b/>
        <u val="double"/>
        <sz val="28"/>
        <color rgb="FF000000"/>
        <rFont val="Times New Roman"/>
        <family val="1"/>
      </rPr>
      <t xml:space="preserve">am </t>
    </r>
    <r>
      <rPr>
        <b/>
        <u val="double"/>
        <sz val="36"/>
        <color rgb="FF000000"/>
        <rFont val="Times New Roman"/>
        <family val="1"/>
      </rPr>
      <t>E</t>
    </r>
    <r>
      <rPr>
        <b/>
        <u val="double"/>
        <sz val="28"/>
        <color rgb="FF000000"/>
        <rFont val="Times New Roman"/>
        <family val="1"/>
      </rPr>
      <t xml:space="preserve">tc. </t>
    </r>
    <r>
      <rPr>
        <b/>
        <u val="double"/>
        <sz val="36"/>
        <color rgb="FF000000"/>
        <rFont val="Times New Roman"/>
        <family val="1"/>
      </rPr>
      <t>C</t>
    </r>
    <r>
      <rPr>
        <b/>
        <u val="double"/>
        <sz val="28"/>
        <color rgb="FF000000"/>
        <rFont val="Times New Roman"/>
        <family val="1"/>
      </rPr>
      <t>alc's</t>
    </r>
    <r>
      <rPr>
        <b/>
        <u val="double"/>
        <sz val="36"/>
        <color rgb="FF000000"/>
        <rFont val="Times New Roman"/>
        <family val="1"/>
      </rPr>
      <t xml:space="preserve">. </t>
    </r>
  </si>
  <si>
    <t>National Association of Wine and Beer Makers</t>
  </si>
  <si>
    <t>Copyright Peter J. Laycock 28~10~'24</t>
  </si>
  <si>
    <t xml:space="preserve">Copyright Peter J. Laycock 28~10~'24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</si>
</sst>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0_ ;[Red]\-0.00\ "/>
    <numFmt numFmtId="165" formatCode="[$£-809]* \ #,##0.00"/>
    <numFmt numFmtId="166" formatCode="0.00\ ;[Red]0.00\ "/>
    <numFmt numFmtId="167" formatCode="0.0"/>
    <numFmt numFmtId="168" formatCode="0.00000"/>
    <numFmt numFmtId="169" formatCode="0.000"/>
    <numFmt numFmtId="170" formatCode="0\ ;[Red]0\ "/>
    <numFmt numFmtId="171" formatCode="0.0%"/>
    <numFmt numFmtId="172" formatCode="&quot;$&quot;#,##0.00"/>
    <numFmt numFmtId="173" formatCode="0.0000"/>
    <numFmt numFmtId="174" formatCode="#,##0.000"/>
    <numFmt numFmtId="175" formatCode="&quot;£&quot;#,##0.00"/>
    <numFmt numFmtId="176" formatCode="#,##0.0"/>
  </numFmts>
  <fonts count="193">
    <font>
      <sz val="10"/>
      <color rgb="FF000000"/>
      <name val="Arial"/>
      <charset val="134"/>
    </font>
    <font>
      <sz val="10.5"/>
      <color rgb="FF000000"/>
      <name val="Times New Roman"/>
      <family val="1"/>
    </font>
    <font>
      <sz val="11"/>
      <color rgb="FF000000"/>
      <name val="Times New Roman"/>
      <family val="1"/>
    </font>
    <font>
      <sz val="9"/>
      <color rgb="FFC0C0C0"/>
      <name val="Times New Roman"/>
      <family val="1"/>
    </font>
    <font>
      <sz val="8"/>
      <color rgb="FFC0C0C0"/>
      <name val="Times New Roman"/>
      <family val="1"/>
    </font>
    <font>
      <b/>
      <u/>
      <sz val="12"/>
      <color rgb="FF000000"/>
      <name val="Times New Roman"/>
      <family val="1"/>
    </font>
    <font>
      <b/>
      <u/>
      <sz val="12"/>
      <color rgb="FFFF0000"/>
      <name val="Times New Roman"/>
      <family val="1"/>
    </font>
    <font>
      <sz val="10"/>
      <color rgb="FF000000"/>
      <name val="Times New Roman"/>
      <family val="1"/>
    </font>
    <font>
      <b/>
      <u/>
      <sz val="10"/>
      <color rgb="FFFF00FF"/>
      <name val="Times New Roman"/>
      <family val="1"/>
    </font>
    <font>
      <b/>
      <sz val="10"/>
      <color rgb="FFFF0000"/>
      <name val="Times New Roman"/>
      <family val="1"/>
    </font>
    <font>
      <sz val="10"/>
      <color rgb="FFC0C0C0"/>
      <name val="Times New Roman"/>
      <family val="1"/>
    </font>
    <font>
      <u/>
      <sz val="10"/>
      <color rgb="FF0000FF"/>
      <name val="Times New Roman"/>
      <family val="1"/>
    </font>
    <font>
      <sz val="10.5"/>
      <color rgb="FFFF0000"/>
      <name val="Times New Roman"/>
      <family val="1"/>
    </font>
    <font>
      <sz val="10.5"/>
      <color rgb="FFFFFFFF"/>
      <name val="Times New Roman"/>
      <family val="1"/>
    </font>
    <font>
      <b/>
      <sz val="10.5"/>
      <color rgb="FFFF0000"/>
      <name val="Times New Roman"/>
      <family val="1"/>
    </font>
    <font>
      <sz val="10"/>
      <color rgb="FFFF0000"/>
      <name val="Times New Roman"/>
      <family val="1"/>
    </font>
    <font>
      <sz val="10"/>
      <color rgb="FFFFFFFF"/>
      <name val="Times New Roman"/>
      <family val="1"/>
    </font>
    <font>
      <b/>
      <sz val="14"/>
      <color rgb="FFFF0000"/>
      <name val="Times New Roman"/>
      <family val="1"/>
    </font>
    <font>
      <sz val="10"/>
      <color rgb="FFFF00FF"/>
      <name val="Times New Roman"/>
      <family val="1"/>
    </font>
    <font>
      <sz val="10"/>
      <color rgb="FF339966"/>
      <name val="Times New Roman"/>
      <family val="1"/>
    </font>
    <font>
      <u/>
      <sz val="8"/>
      <color rgb="FF0000FF"/>
      <name val="Times New Roman"/>
      <family val="1"/>
    </font>
    <font>
      <b/>
      <u/>
      <sz val="10"/>
      <color rgb="FF000000"/>
      <name val="Times New Roman"/>
      <family val="1"/>
    </font>
    <font>
      <b/>
      <sz val="12"/>
      <color rgb="FFFF0000"/>
      <name val="Times New Roman"/>
      <family val="1"/>
    </font>
    <font>
      <sz val="8"/>
      <color rgb="FF808080"/>
      <name val="Times New Roman"/>
      <family val="1"/>
    </font>
    <font>
      <sz val="8"/>
      <color rgb="FFFFFFFF"/>
      <name val="Times New Roman"/>
      <family val="1"/>
    </font>
    <font>
      <sz val="8"/>
      <color rgb="FF000000"/>
      <name val="Times New Roman"/>
      <family val="1"/>
    </font>
    <font>
      <b/>
      <u/>
      <sz val="20"/>
      <color rgb="FF000000"/>
      <name val="Times New Roman"/>
      <family val="1"/>
    </font>
    <font>
      <b/>
      <sz val="10"/>
      <color rgb="FF000000"/>
      <name val="Times New Roman"/>
      <family val="1"/>
    </font>
    <font>
      <b/>
      <sz val="10.5"/>
      <color rgb="FF000000"/>
      <name val="Times New Roman"/>
      <family val="1"/>
    </font>
    <font>
      <b/>
      <u/>
      <sz val="14"/>
      <color rgb="FF000000"/>
      <name val="Times New Roman"/>
      <family val="1"/>
    </font>
    <font>
      <b/>
      <u/>
      <sz val="10"/>
      <color rgb="FFFF0000"/>
      <name val="Times New Roman"/>
      <family val="1"/>
    </font>
    <font>
      <sz val="10"/>
      <color rgb="FF969696"/>
      <name val="Times New Roman"/>
      <family val="1"/>
    </font>
    <font>
      <sz val="9"/>
      <color rgb="FF969696"/>
      <name val="Times New Roman"/>
      <family val="1"/>
    </font>
    <font>
      <b/>
      <i/>
      <sz val="12"/>
      <color rgb="FF000000"/>
      <name val="Times New Roman"/>
      <family val="1"/>
    </font>
    <font>
      <sz val="11"/>
      <color rgb="FFFFFFFF"/>
      <name val="Times New Roman"/>
      <family val="1"/>
    </font>
    <font>
      <b/>
      <i/>
      <sz val="12"/>
      <color rgb="FFFFFFFF"/>
      <name val="Times New Roman"/>
      <family val="1"/>
    </font>
    <font>
      <sz val="10"/>
      <color rgb="FFF2F2F2"/>
      <name val="Times New Roman"/>
      <family val="1"/>
    </font>
    <font>
      <sz val="9"/>
      <color rgb="FF000000"/>
      <name val="Times New Roman"/>
      <family val="1"/>
    </font>
    <font>
      <sz val="10"/>
      <color rgb="FF000000"/>
      <name val="Arial"/>
      <family val="2"/>
    </font>
    <font>
      <sz val="8"/>
      <color rgb="FFBFBFBF"/>
      <name val="Times New Roman"/>
      <family val="1"/>
    </font>
    <font>
      <b/>
      <u/>
      <sz val="16"/>
      <color rgb="FF000000"/>
      <name val="Arial"/>
      <family val="2"/>
    </font>
    <font>
      <sz val="8"/>
      <color rgb="FFC0C0C0"/>
      <name val="Arial"/>
      <family val="2"/>
    </font>
    <font>
      <sz val="11"/>
      <color rgb="FF000000"/>
      <name val="Arial"/>
      <family val="2"/>
    </font>
    <font>
      <b/>
      <u/>
      <sz val="10"/>
      <color rgb="FF000000"/>
      <name val="Arial"/>
      <family val="2"/>
    </font>
    <font>
      <sz val="8"/>
      <color rgb="FF969696"/>
      <name val="Arial"/>
      <family val="2"/>
    </font>
    <font>
      <b/>
      <u/>
      <sz val="10.5"/>
      <color rgb="FF000000"/>
      <name val="Times New Roman"/>
      <family val="1"/>
    </font>
    <font>
      <b/>
      <u/>
      <sz val="11"/>
      <color rgb="FF000000"/>
      <name val="Times New Roman"/>
      <family val="1"/>
    </font>
    <font>
      <b/>
      <u/>
      <sz val="10.5"/>
      <color rgb="FFFF0000"/>
      <name val="Times New Roman"/>
      <family val="1"/>
    </font>
    <font>
      <sz val="14"/>
      <color rgb="FFF2F2F2"/>
      <name val="Times New Roman"/>
      <family val="1"/>
    </font>
    <font>
      <sz val="10"/>
      <color rgb="FF3366FF"/>
      <name val="Times New Roman"/>
      <family val="1"/>
    </font>
    <font>
      <sz val="11"/>
      <color rgb="FF048698"/>
      <name val="Times New Roman"/>
      <family val="1"/>
    </font>
    <font>
      <sz val="6.5"/>
      <color rgb="FF000000"/>
      <name val="Times New Roman"/>
      <family val="1"/>
    </font>
    <font>
      <u/>
      <sz val="9"/>
      <color rgb="FF0000FF"/>
      <name val="Times New Roman"/>
      <family val="1"/>
    </font>
    <font>
      <u/>
      <sz val="11"/>
      <color rgb="FF0000FF"/>
      <name val="Times New Roman"/>
      <family val="1"/>
    </font>
    <font>
      <sz val="10.5"/>
      <color rgb="FF7F7F7F"/>
      <name val="Times New Roman"/>
      <family val="1"/>
    </font>
    <font>
      <sz val="10.5"/>
      <color rgb="FFF2F2F2"/>
      <name val="Times New Roman"/>
      <family val="1"/>
    </font>
    <font>
      <sz val="10"/>
      <color rgb="FF7F7F7F"/>
      <name val="Times New Roman"/>
      <family val="1"/>
    </font>
    <font>
      <sz val="10"/>
      <name val="Times New Roman"/>
      <family val="1"/>
    </font>
    <font>
      <b/>
      <sz val="10"/>
      <color rgb="FF969696"/>
      <name val="Times New Roman"/>
      <family val="1"/>
    </font>
    <font>
      <sz val="10"/>
      <color rgb="FF808080"/>
      <name val="Times New Roman"/>
      <family val="1"/>
    </font>
    <font>
      <sz val="10"/>
      <color rgb="FFFF6600"/>
      <name val="Times New Roman"/>
      <family val="1"/>
    </font>
    <font>
      <u/>
      <sz val="10"/>
      <color rgb="FFFF0000"/>
      <name val="Times New Roman"/>
      <family val="1"/>
    </font>
    <font>
      <b/>
      <i/>
      <sz val="10"/>
      <color rgb="FFFF0000"/>
      <name val="Times New Roman"/>
      <family val="1"/>
    </font>
    <font>
      <b/>
      <u/>
      <sz val="10"/>
      <color rgb="FF808080"/>
      <name val="Times New Roman"/>
      <family val="1"/>
    </font>
    <font>
      <sz val="9"/>
      <color rgb="FFFF0000"/>
      <name val="Times New Roman"/>
      <family val="1"/>
    </font>
    <font>
      <b/>
      <u/>
      <sz val="10.5"/>
      <color rgb="FF808080"/>
      <name val="Times New Roman"/>
      <family val="1"/>
    </font>
    <font>
      <sz val="10.5"/>
      <color rgb="FF808080"/>
      <name val="Times New Roman"/>
      <family val="1"/>
    </font>
    <font>
      <sz val="11"/>
      <color rgb="FF808080"/>
      <name val="Times New Roman"/>
      <family val="1"/>
    </font>
    <font>
      <sz val="8"/>
      <color rgb="FF7F7F7F"/>
      <name val="Times New Roman"/>
      <family val="1"/>
    </font>
    <font>
      <sz val="7"/>
      <color rgb="FF000000"/>
      <name val="Times New Roman"/>
      <family val="1"/>
    </font>
    <font>
      <u/>
      <sz val="12"/>
      <color rgb="FF0000FF"/>
      <name val="Times New Roman"/>
      <family val="1"/>
    </font>
    <font>
      <sz val="6"/>
      <color rgb="FFF2F2F2"/>
      <name val="Times New Roman"/>
      <family val="1"/>
    </font>
    <font>
      <b/>
      <u/>
      <sz val="9"/>
      <color rgb="FF000000"/>
      <name val="Times New Roman"/>
      <family val="1"/>
    </font>
    <font>
      <sz val="10"/>
      <color rgb="FF0000FF"/>
      <name val="Times New Roman"/>
      <family val="1"/>
    </font>
    <font>
      <b/>
      <i/>
      <u/>
      <sz val="10"/>
      <color rgb="FFFF0000"/>
      <name val="Times New Roman"/>
      <family val="1"/>
    </font>
    <font>
      <sz val="10"/>
      <color rgb="FF963634"/>
      <name val="Times New Roman"/>
      <family val="1"/>
    </font>
    <font>
      <b/>
      <sz val="9"/>
      <color rgb="FFFF0000"/>
      <name val="Times New Roman"/>
      <family val="1"/>
    </font>
    <font>
      <b/>
      <sz val="16"/>
      <color rgb="FF963634"/>
      <name val="Times New Roman"/>
      <family val="1"/>
    </font>
    <font>
      <sz val="10"/>
      <color rgb="FF244062"/>
      <name val="Times New Roman"/>
      <family val="1"/>
    </font>
    <font>
      <sz val="10.5"/>
      <color rgb="FF963634"/>
      <name val="Times New Roman"/>
      <family val="1"/>
    </font>
    <font>
      <sz val="10"/>
      <color rgb="FF333333"/>
      <name val="Times New Roman"/>
      <family val="1"/>
    </font>
    <font>
      <sz val="10"/>
      <color rgb="FF666699"/>
      <name val="Times New Roman"/>
      <family val="1"/>
    </font>
    <font>
      <b/>
      <sz val="10"/>
      <color rgb="FFF2F2F2"/>
      <name val="Times New Roman"/>
      <family val="1"/>
    </font>
    <font>
      <sz val="10"/>
      <color rgb="FF339933"/>
      <name val="Times New Roman"/>
      <family val="1"/>
    </font>
    <font>
      <sz val="10"/>
      <color rgb="FFA5A5A5"/>
      <name val="Times New Roman"/>
      <family val="1"/>
    </font>
    <font>
      <sz val="9.5"/>
      <color rgb="FFFF0000"/>
      <name val="Times New Roman"/>
      <family val="1"/>
    </font>
    <font>
      <sz val="10"/>
      <color rgb="FF585858"/>
      <name val="Times New Roman"/>
      <family val="1"/>
    </font>
    <font>
      <i/>
      <sz val="11"/>
      <color rgb="FF000000"/>
      <name val="Times New Roman"/>
      <family val="1"/>
    </font>
    <font>
      <sz val="1"/>
      <color rgb="FFFFFFFF"/>
      <name val="Times New Roman"/>
      <family val="1"/>
    </font>
    <font>
      <sz val="11"/>
      <color rgb="FFFF0000"/>
      <name val="Times New Roman"/>
      <family val="1"/>
    </font>
    <font>
      <sz val="8"/>
      <color rgb="FF969696"/>
      <name val="Times New Roman"/>
      <family val="1"/>
    </font>
    <font>
      <b/>
      <sz val="16"/>
      <color rgb="FFC0C0C0"/>
      <name val="Times New Roman"/>
      <family val="1"/>
    </font>
    <font>
      <sz val="10"/>
      <color rgb="FF7E7E7E"/>
      <name val="Times New Roman"/>
      <family val="1"/>
    </font>
    <font>
      <sz val="9"/>
      <color rgb="FF7E7E7E"/>
      <name val="Times New Roman"/>
      <family val="1"/>
    </font>
    <font>
      <b/>
      <sz val="11"/>
      <color rgb="FF000000"/>
      <name val="Times New Roman"/>
      <family val="1"/>
    </font>
    <font>
      <b/>
      <u/>
      <sz val="11.5"/>
      <color rgb="FF000000"/>
      <name val="Times New Roman"/>
      <family val="1"/>
    </font>
    <font>
      <b/>
      <sz val="10"/>
      <color rgb="FFFF00FF"/>
      <name val="Times New Roman"/>
      <family val="1"/>
    </font>
    <font>
      <sz val="8.5"/>
      <color rgb="FF000000"/>
      <name val="Times New Roman"/>
      <family val="1"/>
    </font>
    <font>
      <sz val="10"/>
      <color indexed="8"/>
      <name val="Times New Roman"/>
      <family val="1"/>
    </font>
    <font>
      <sz val="9.5"/>
      <color rgb="FF000000"/>
      <name val="Times New Roman"/>
      <family val="1"/>
    </font>
    <font>
      <sz val="11"/>
      <color rgb="FF538DD5"/>
      <name val="Times New Roman"/>
      <family val="1"/>
    </font>
    <font>
      <sz val="8"/>
      <color rgb="FFF2F2F2"/>
      <name val="Times New Roman"/>
      <family val="1"/>
    </font>
    <font>
      <u/>
      <sz val="10"/>
      <color rgb="FF000000"/>
      <name val="Times New Roman"/>
      <family val="1"/>
    </font>
    <font>
      <b/>
      <sz val="11"/>
      <color rgb="FFFF0000"/>
      <name val="Times New Roman"/>
      <family val="1"/>
    </font>
    <font>
      <b/>
      <sz val="16"/>
      <color rgb="FFFF0000"/>
      <name val="Times New Roman"/>
      <family val="1"/>
    </font>
    <font>
      <b/>
      <u/>
      <sz val="11"/>
      <color rgb="FF7F7F7F"/>
      <name val="Times New Roman"/>
      <family val="1"/>
    </font>
    <font>
      <sz val="9"/>
      <color rgb="FFFFFFFF"/>
      <name val="Times New Roman"/>
      <family val="1"/>
    </font>
    <font>
      <sz val="10"/>
      <color theme="0" tint="-4.9989318521683403E-2"/>
      <name val="Times New Roman"/>
      <family val="1"/>
    </font>
    <font>
      <u/>
      <sz val="8"/>
      <color rgb="FFF2F2F2"/>
      <name val="Times New Roman"/>
      <family val="1"/>
    </font>
    <font>
      <u/>
      <sz val="11"/>
      <color rgb="FF000000"/>
      <name val="Times New Roman"/>
      <family val="1"/>
    </font>
    <font>
      <sz val="11"/>
      <color rgb="FF000000"/>
      <name val="Calibri"/>
      <family val="2"/>
    </font>
    <font>
      <b/>
      <sz val="60"/>
      <color rgb="FF800080"/>
      <name val="Times New Roman"/>
      <family val="1"/>
    </font>
    <font>
      <sz val="12"/>
      <color rgb="FF000000"/>
      <name val="Times New Roman"/>
      <family val="1"/>
    </font>
    <font>
      <u/>
      <sz val="14"/>
      <color rgb="FF000000"/>
      <name val="Times New Roman"/>
      <family val="1"/>
    </font>
    <font>
      <u/>
      <sz val="22"/>
      <color rgb="FF0000FF"/>
      <name val="Times New Roman"/>
      <family val="1"/>
    </font>
    <font>
      <u/>
      <sz val="20"/>
      <color rgb="FF0000FF"/>
      <name val="Times New Roman"/>
      <family val="1"/>
    </font>
    <font>
      <sz val="11"/>
      <color rgb="FF969696"/>
      <name val="Times New Roman"/>
      <family val="1"/>
    </font>
    <font>
      <u/>
      <sz val="16"/>
      <color rgb="FF0000FF"/>
      <name val="Times New Roman"/>
      <family val="1"/>
    </font>
    <font>
      <sz val="60"/>
      <color rgb="FF800080"/>
      <name val="Times New Roman"/>
      <family val="1"/>
    </font>
    <font>
      <sz val="7.5"/>
      <color rgb="FF000000"/>
      <name val="Times New Roman"/>
      <family val="1"/>
    </font>
    <font>
      <b/>
      <sz val="11"/>
      <color rgb="FF333333"/>
      <name val="Calibri"/>
      <family val="2"/>
    </font>
    <font>
      <sz val="11"/>
      <color rgb="FF333399"/>
      <name val="Calibri"/>
      <family val="2"/>
    </font>
    <font>
      <b/>
      <sz val="13"/>
      <color rgb="FF003366"/>
      <name val="Calibri"/>
      <family val="2"/>
    </font>
    <font>
      <b/>
      <sz val="15"/>
      <color rgb="FF003366"/>
      <name val="Calibri"/>
      <family val="2"/>
    </font>
    <font>
      <b/>
      <sz val="11"/>
      <color rgb="FFFF9900"/>
      <name val="Calibri"/>
      <family val="2"/>
    </font>
    <font>
      <b/>
      <sz val="11"/>
      <color rgb="FF000000"/>
      <name val="Calibri"/>
      <family val="2"/>
    </font>
    <font>
      <sz val="11"/>
      <color rgb="FF000000"/>
      <name val="Book Antiqua"/>
      <family val="1"/>
    </font>
    <font>
      <u/>
      <sz val="11"/>
      <color rgb="FF0000FF"/>
      <name val="Calibri"/>
      <family val="2"/>
    </font>
    <font>
      <sz val="11"/>
      <color indexed="8"/>
      <name val="Times New Roman"/>
      <family val="1"/>
    </font>
    <font>
      <b/>
      <sz val="10"/>
      <color rgb="FFFF00FF"/>
      <name val="Arial"/>
      <family val="2"/>
    </font>
    <font>
      <sz val="10"/>
      <color rgb="FFFF0000"/>
      <name val="Arial"/>
      <family val="2"/>
    </font>
    <font>
      <b/>
      <sz val="10"/>
      <name val="Arial"/>
      <family val="2"/>
    </font>
    <font>
      <b/>
      <sz val="10"/>
      <color rgb="FFFF0000"/>
      <name val="Arial"/>
      <family val="2"/>
    </font>
    <font>
      <b/>
      <sz val="10"/>
      <color rgb="FF000000"/>
      <name val="Arial"/>
      <family val="2"/>
    </font>
    <font>
      <sz val="9"/>
      <name val="Times New Roman"/>
      <family val="1"/>
    </font>
    <font>
      <vertAlign val="subscript"/>
      <sz val="10"/>
      <name val="Arial"/>
      <family val="2"/>
    </font>
    <font>
      <vertAlign val="superscript"/>
      <sz val="10"/>
      <name val="Arial"/>
      <family val="2"/>
    </font>
    <font>
      <sz val="6"/>
      <name val="Arial"/>
      <family val="2"/>
    </font>
    <font>
      <sz val="10"/>
      <name val="Arial"/>
      <family val="2"/>
    </font>
    <font>
      <b/>
      <sz val="10"/>
      <color rgb="FF7F7F7F"/>
      <name val="Times New Roman"/>
      <family val="1"/>
    </font>
    <font>
      <b/>
      <sz val="10"/>
      <color rgb="FF808080"/>
      <name val="Times New Roman"/>
      <family val="1"/>
    </font>
    <font>
      <b/>
      <sz val="10"/>
      <color rgb="FFFFCC99"/>
      <name val="Arial"/>
      <family val="2"/>
    </font>
    <font>
      <b/>
      <sz val="10"/>
      <color rgb="FFFF9900"/>
      <name val="Arial"/>
      <family val="2"/>
    </font>
    <font>
      <sz val="12"/>
      <color rgb="FF3366FF"/>
      <name val="Times New Roman"/>
      <family val="1"/>
    </font>
    <font>
      <sz val="10"/>
      <color rgb="FF3366FF"/>
      <name val="Arial"/>
      <family val="2"/>
    </font>
    <font>
      <b/>
      <u/>
      <sz val="10"/>
      <name val="Times New Roman"/>
      <family val="1"/>
    </font>
    <font>
      <u/>
      <sz val="10"/>
      <color rgb="FF969696"/>
      <name val="Arial"/>
      <family val="2"/>
    </font>
    <font>
      <b/>
      <sz val="10"/>
      <color rgb="FF808080"/>
      <name val="Arial"/>
      <family val="2"/>
    </font>
    <font>
      <u/>
      <sz val="10"/>
      <name val="Times New Roman"/>
      <family val="1"/>
    </font>
    <font>
      <sz val="11"/>
      <name val="Times New Roman"/>
      <family val="1"/>
    </font>
    <font>
      <b/>
      <i/>
      <u/>
      <sz val="10"/>
      <name val="Times New Roman"/>
      <family val="1"/>
    </font>
    <font>
      <sz val="10"/>
      <color rgb="FF969696"/>
      <name val="Arial"/>
      <family val="2"/>
    </font>
    <font>
      <sz val="8"/>
      <name val="Times New Roman"/>
      <family val="1"/>
    </font>
    <font>
      <sz val="10"/>
      <color rgb="FFCC3399"/>
      <name val="Arial"/>
      <family val="2"/>
    </font>
    <font>
      <sz val="8"/>
      <color rgb="FFCC3399"/>
      <name val="Arial"/>
      <family val="2"/>
    </font>
    <font>
      <sz val="12"/>
      <name val="Times New Roman"/>
      <family val="1"/>
    </font>
    <font>
      <sz val="10"/>
      <color rgb="FF585858"/>
      <name val="Arial"/>
      <family val="2"/>
    </font>
    <font>
      <b/>
      <sz val="10"/>
      <color rgb="FFCC00FF"/>
      <name val="Times New Roman"/>
      <family val="1"/>
    </font>
    <font>
      <b/>
      <sz val="11"/>
      <name val="Times New Roman"/>
      <family val="1"/>
    </font>
    <font>
      <b/>
      <sz val="10"/>
      <name val="Times New Roman"/>
      <family val="1"/>
    </font>
    <font>
      <b/>
      <sz val="12"/>
      <color rgb="FF000000"/>
      <name val="Times New Roman"/>
      <family val="1"/>
    </font>
    <font>
      <sz val="10"/>
      <color theme="0" tint="-4.9989318521683403E-2"/>
      <name val="Calibri"/>
      <family val="2"/>
    </font>
    <font>
      <sz val="10"/>
      <color theme="0" tint="-4.9989318521683403E-2"/>
      <name val="Arial"/>
      <family val="2"/>
    </font>
    <font>
      <sz val="10"/>
      <color rgb="FFFF0000"/>
      <name val="Times New Roman"/>
      <family val="1"/>
    </font>
    <font>
      <sz val="9"/>
      <color rgb="FFC0C0C0"/>
      <name val="Times New Roman"/>
      <family val="1"/>
    </font>
    <font>
      <b/>
      <sz val="10"/>
      <color indexed="10"/>
      <name val="Times New Roman"/>
      <family val="1"/>
    </font>
    <font>
      <b/>
      <sz val="10"/>
      <color rgb="FFFF66FF"/>
      <name val="Times New Roman"/>
      <family val="1"/>
    </font>
    <font>
      <b/>
      <u/>
      <sz val="18"/>
      <color rgb="FF000000"/>
      <name val="Arial"/>
      <family val="2"/>
    </font>
    <font>
      <sz val="2"/>
      <color rgb="FF000000"/>
      <name val="Times New Roman"/>
      <family val="1"/>
    </font>
    <font>
      <sz val="2"/>
      <color rgb="FF000000"/>
      <name val="Sugarskin BTN"/>
      <charset val="134"/>
    </font>
    <font>
      <b/>
      <u val="double"/>
      <sz val="24"/>
      <color rgb="FF000000"/>
      <name val="Times New Roman"/>
      <family val="1"/>
    </font>
    <font>
      <b/>
      <u val="double"/>
      <sz val="36"/>
      <color rgb="FF000000"/>
      <name val="Times New Roman"/>
      <family val="1"/>
    </font>
    <font>
      <b/>
      <u val="double"/>
      <sz val="28"/>
      <color rgb="FF000000"/>
      <name val="Times New Roman"/>
      <family val="1"/>
    </font>
    <font>
      <sz val="8"/>
      <color theme="0" tint="-0.499984740745262"/>
      <name val="Times New Roman"/>
      <family val="1"/>
    </font>
    <font>
      <b/>
      <u val="double"/>
      <sz val="36"/>
      <name val="Times New Roman"/>
      <family val="1"/>
    </font>
    <font>
      <b/>
      <u val="double"/>
      <sz val="24"/>
      <name val="Times New Roman"/>
      <family val="1"/>
    </font>
    <font>
      <b/>
      <u val="double"/>
      <sz val="28"/>
      <name val="Times New Roman"/>
      <family val="1"/>
    </font>
    <font>
      <b/>
      <u val="double"/>
      <sz val="26"/>
      <name val="Times New Roman"/>
      <family val="1"/>
    </font>
    <font>
      <u/>
      <sz val="12"/>
      <color rgb="FF000000"/>
      <name val="Times New Roman"/>
      <family val="1"/>
    </font>
    <font>
      <u/>
      <sz val="12"/>
      <name val="Times New Roman"/>
      <family val="1"/>
    </font>
    <font>
      <sz val="8"/>
      <color rgb="FFFF0000"/>
      <name val="Times New Roman"/>
      <family val="1"/>
    </font>
    <font>
      <sz val="8"/>
      <color theme="0"/>
      <name val="Times New Roman"/>
      <family val="1"/>
    </font>
    <font>
      <i/>
      <sz val="10"/>
      <color rgb="FF000000"/>
      <name val="Times New Roman"/>
      <family val="1"/>
    </font>
    <font>
      <b/>
      <sz val="9"/>
      <color rgb="FF000000"/>
      <name val="Times New Roman"/>
      <family val="1"/>
    </font>
    <font>
      <u/>
      <sz val="8"/>
      <color rgb="FF969696"/>
      <name val="Times New Roman"/>
      <family val="1"/>
    </font>
    <font>
      <b/>
      <i/>
      <sz val="14"/>
      <color indexed="10"/>
      <name val="Times New Roman"/>
      <family val="1"/>
    </font>
    <font>
      <b/>
      <sz val="36"/>
      <color rgb="FF000000"/>
      <name val="Times New Roman"/>
      <family val="1"/>
    </font>
    <font>
      <sz val="9"/>
      <color theme="0" tint="-0.499984740745262"/>
      <name val="Times New Roman"/>
      <family val="1"/>
    </font>
    <font>
      <sz val="9"/>
      <color theme="0" tint="-0.249977111117893"/>
      <name val="Times New Roman"/>
      <family val="1"/>
    </font>
    <font>
      <sz val="10"/>
      <color indexed="10"/>
      <name val="Times New Roman"/>
      <family val="1"/>
    </font>
    <font>
      <sz val="10"/>
      <color indexed="23"/>
      <name val="Times New Roman"/>
      <family val="1"/>
    </font>
    <font>
      <u/>
      <sz val="11"/>
      <color indexed="12"/>
      <name val="Times New Roman"/>
      <family val="1"/>
    </font>
    <font>
      <sz val="6"/>
      <color rgb="FF808080"/>
      <name val="Times New Roman"/>
      <family val="1"/>
    </font>
  </fonts>
  <fills count="32">
    <fill>
      <patternFill patternType="none"/>
    </fill>
    <fill>
      <patternFill patternType="gray125"/>
    </fill>
    <fill>
      <patternFill patternType="solid">
        <fgColor rgb="FFFFFFFF"/>
        <bgColor rgb="FFFFFFFF"/>
      </patternFill>
    </fill>
    <fill>
      <patternFill patternType="solid">
        <fgColor rgb="FFFFFF99"/>
        <bgColor rgb="FFFFFFFF"/>
      </patternFill>
    </fill>
    <fill>
      <patternFill patternType="solid">
        <fgColor rgb="FFCCFFCC"/>
        <bgColor rgb="FFFFFFFF"/>
      </patternFill>
    </fill>
    <fill>
      <patternFill patternType="solid">
        <fgColor rgb="FFCCFFFF"/>
        <bgColor rgb="FFFFFFFF"/>
      </patternFill>
    </fill>
    <fill>
      <patternFill patternType="solid">
        <fgColor rgb="FFF2F2F2"/>
        <bgColor rgb="FFFFFFFF"/>
      </patternFill>
    </fill>
    <fill>
      <patternFill patternType="solid">
        <fgColor rgb="FFC0504D"/>
        <bgColor rgb="FFFFFFFF"/>
      </patternFill>
    </fill>
    <fill>
      <patternFill patternType="solid">
        <fgColor theme="0" tint="-4.9989318521683403E-2"/>
        <bgColor rgb="FFFFFFFF"/>
      </patternFill>
    </fill>
    <fill>
      <patternFill patternType="solid">
        <fgColor rgb="FFFFCC99"/>
        <bgColor rgb="FFFFFFFF"/>
      </patternFill>
    </fill>
    <fill>
      <patternFill patternType="solid">
        <fgColor rgb="FFFF9900"/>
        <bgColor rgb="FFFFFFFF"/>
      </patternFill>
    </fill>
    <fill>
      <patternFill patternType="solid">
        <fgColor rgb="FFFF0000"/>
        <bgColor rgb="FFFFFFFF"/>
      </patternFill>
    </fill>
    <fill>
      <patternFill patternType="solid">
        <fgColor theme="0"/>
        <bgColor rgb="FFFFFFFF"/>
      </patternFill>
    </fill>
    <fill>
      <patternFill patternType="solid">
        <fgColor rgb="FFFF00FF"/>
        <bgColor rgb="FFFFFFFF"/>
      </patternFill>
    </fill>
    <fill>
      <patternFill patternType="solid">
        <fgColor rgb="FFFFFF00"/>
        <bgColor rgb="FFFFFFFF"/>
      </patternFill>
    </fill>
    <fill>
      <patternFill patternType="solid">
        <fgColor rgb="FFFF6600"/>
        <bgColor rgb="FFFFFFFF"/>
      </patternFill>
    </fill>
    <fill>
      <patternFill patternType="solid">
        <fgColor indexed="43"/>
        <bgColor indexed="26"/>
      </patternFill>
    </fill>
    <fill>
      <patternFill patternType="solid">
        <fgColor indexed="43"/>
        <bgColor indexed="64"/>
      </patternFill>
    </fill>
    <fill>
      <patternFill patternType="solid">
        <fgColor rgb="FF00FF00"/>
        <bgColor rgb="FFFFFFFF"/>
      </patternFill>
    </fill>
    <fill>
      <patternFill patternType="solid">
        <fgColor rgb="FFFFCC00"/>
        <bgColor rgb="FFFFFFFF"/>
      </patternFill>
    </fill>
    <fill>
      <patternFill patternType="solid">
        <fgColor rgb="FFFF8080"/>
        <bgColor rgb="FFFFFFFF"/>
      </patternFill>
    </fill>
    <fill>
      <patternFill patternType="solid">
        <fgColor rgb="FF99CCFF"/>
        <bgColor rgb="FFFFFFFF"/>
      </patternFill>
    </fill>
    <fill>
      <patternFill patternType="solid">
        <fgColor rgb="FFC0C0C0"/>
        <bgColor rgb="FFFFFFFF"/>
      </patternFill>
    </fill>
    <fill>
      <patternFill patternType="solid">
        <fgColor rgb="FFCCCCFF"/>
        <bgColor rgb="FFFFFFFF"/>
      </patternFill>
    </fill>
    <fill>
      <patternFill patternType="solid">
        <fgColor rgb="FFFF99CC"/>
        <bgColor rgb="FFFFFFFF"/>
      </patternFill>
    </fill>
    <fill>
      <patternFill patternType="solid">
        <fgColor rgb="FFFFFFCC"/>
        <bgColor rgb="FFFFFFFF"/>
      </patternFill>
    </fill>
    <fill>
      <patternFill patternType="solid">
        <fgColor rgb="FFCC99FF"/>
        <bgColor rgb="FFFFFFFF"/>
      </patternFill>
    </fill>
    <fill>
      <patternFill patternType="solid">
        <fgColor rgb="FFFFFF99"/>
        <bgColor indexed="64"/>
      </patternFill>
    </fill>
    <fill>
      <patternFill patternType="solid">
        <fgColor indexed="9"/>
        <bgColor indexed="64"/>
      </patternFill>
    </fill>
    <fill>
      <patternFill patternType="solid">
        <fgColor theme="0"/>
        <bgColor indexed="64"/>
      </patternFill>
    </fill>
    <fill>
      <patternFill patternType="solid">
        <fgColor indexed="65"/>
        <bgColor indexed="26"/>
      </patternFill>
    </fill>
    <fill>
      <patternFill patternType="solid">
        <fgColor theme="0"/>
        <bgColor indexed="26"/>
      </patternFill>
    </fill>
  </fills>
  <borders count="130">
    <border>
      <left/>
      <right/>
      <top/>
      <bottom/>
      <diagonal/>
    </border>
    <border>
      <left style="thin">
        <color rgb="FF969696"/>
      </left>
      <right style="thin">
        <color rgb="FF969696"/>
      </right>
      <top style="thin">
        <color rgb="FF969696"/>
      </top>
      <bottom style="thin">
        <color rgb="FF969696"/>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A5A5A5"/>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D8D8D8"/>
      </left>
      <right style="thin">
        <color rgb="FF000000"/>
      </right>
      <top style="thin">
        <color rgb="FF000000"/>
      </top>
      <bottom/>
      <diagonal/>
    </border>
    <border>
      <left style="thin">
        <color rgb="FFD8D8D8"/>
      </left>
      <right/>
      <top style="thin">
        <color rgb="FF000000"/>
      </top>
      <bottom/>
      <diagonal/>
    </border>
    <border>
      <left style="thin">
        <color rgb="FFD8D8D8"/>
      </left>
      <right style="thin">
        <color rgb="FF000000"/>
      </right>
      <top/>
      <bottom/>
      <diagonal/>
    </border>
    <border>
      <left style="thin">
        <color rgb="FFD8D8D8"/>
      </left>
      <right/>
      <top/>
      <bottom/>
      <diagonal/>
    </border>
    <border>
      <left style="thin">
        <color rgb="FFD8D8D8"/>
      </left>
      <right/>
      <top style="thin">
        <color rgb="FF000000"/>
      </top>
      <bottom style="thin">
        <color rgb="FF000000"/>
      </bottom>
      <diagonal/>
    </border>
    <border>
      <left/>
      <right style="thin">
        <color rgb="FFD8D8D8"/>
      </right>
      <top style="thin">
        <color rgb="FF000000"/>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bottom style="thin">
        <color auto="1"/>
      </bottom>
      <diagonal/>
    </border>
    <border>
      <left/>
      <right/>
      <top/>
      <bottom style="thin">
        <color auto="1"/>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000000"/>
      </right>
      <top/>
      <bottom style="thin">
        <color auto="1"/>
      </bottom>
      <diagonal/>
    </border>
    <border>
      <left/>
      <right style="thin">
        <color rgb="FF969696"/>
      </right>
      <top style="thin">
        <color rgb="FF969696"/>
      </top>
      <bottom style="thin">
        <color rgb="FF969696"/>
      </bottom>
      <diagonal/>
    </border>
    <border>
      <left style="thin">
        <color rgb="FF969696"/>
      </left>
      <right/>
      <top/>
      <bottom style="thin">
        <color rgb="FF969696"/>
      </bottom>
      <diagonal/>
    </border>
    <border>
      <left/>
      <right style="thin">
        <color rgb="FF969696"/>
      </right>
      <top/>
      <bottom style="thin">
        <color rgb="FF969696"/>
      </bottom>
      <diagonal/>
    </border>
    <border>
      <left style="thin">
        <color rgb="FFD8D8D8"/>
      </left>
      <right style="thin">
        <color rgb="FF000000"/>
      </right>
      <top style="thin">
        <color rgb="FF000000"/>
      </top>
      <bottom style="thin">
        <color rgb="FF000000"/>
      </bottom>
      <diagonal/>
    </border>
    <border>
      <left/>
      <right/>
      <top/>
      <bottom style="thin">
        <color rgb="FF969696"/>
      </bottom>
      <diagonal/>
    </border>
    <border>
      <left style="thin">
        <color rgb="FF969696"/>
      </left>
      <right style="thin">
        <color rgb="FF969696"/>
      </right>
      <top style="thin">
        <color rgb="FF969696"/>
      </top>
      <bottom/>
      <diagonal/>
    </border>
    <border>
      <left style="thin">
        <color rgb="FF969696"/>
      </left>
      <right/>
      <top style="thin">
        <color rgb="FF969696"/>
      </top>
      <bottom/>
      <diagonal/>
    </border>
    <border>
      <left/>
      <right style="thin">
        <color rgb="FF969696"/>
      </right>
      <top style="thin">
        <color rgb="FF969696"/>
      </top>
      <bottom/>
      <diagonal/>
    </border>
    <border>
      <left/>
      <right style="thin">
        <color rgb="FF969696"/>
      </right>
      <top/>
      <bottom/>
      <diagonal/>
    </border>
    <border>
      <left style="thin">
        <color rgb="FF969696"/>
      </left>
      <right style="thin">
        <color rgb="FF969696"/>
      </right>
      <top/>
      <bottom style="thin">
        <color rgb="FF969696"/>
      </bottom>
      <diagonal/>
    </border>
    <border>
      <left style="thin">
        <color rgb="FF969696"/>
      </left>
      <right style="thin">
        <color rgb="FF969696"/>
      </right>
      <top/>
      <bottom/>
      <diagonal/>
    </border>
    <border>
      <left style="thin">
        <color rgb="FF969696"/>
      </left>
      <right/>
      <top/>
      <bottom/>
      <diagonal/>
    </border>
    <border>
      <left/>
      <right style="thin">
        <color rgb="FFF2F2F2"/>
      </right>
      <top/>
      <bottom/>
      <diagonal/>
    </border>
    <border>
      <left/>
      <right/>
      <top style="thin">
        <color rgb="FF969696"/>
      </top>
      <bottom/>
      <diagonal/>
    </border>
    <border>
      <left style="thin">
        <color rgb="FFF2F2F2"/>
      </left>
      <right style="thin">
        <color rgb="FFF2F2F2"/>
      </right>
      <top/>
      <bottom/>
      <diagonal/>
    </border>
    <border>
      <left style="thin">
        <color rgb="FFF2F2F2"/>
      </left>
      <right style="thin">
        <color rgb="FFF2F2F2"/>
      </right>
      <top style="thin">
        <color rgb="FF969696"/>
      </top>
      <bottom/>
      <diagonal/>
    </border>
    <border>
      <left style="thin">
        <color rgb="FFF2F2F2"/>
      </left>
      <right style="thin">
        <color rgb="FF969696"/>
      </right>
      <top style="thin">
        <color rgb="FF969696"/>
      </top>
      <bottom/>
      <diagonal/>
    </border>
    <border>
      <left style="thin">
        <color rgb="FFF2F2F2"/>
      </left>
      <right style="thin">
        <color rgb="FFF2F2F2"/>
      </right>
      <top/>
      <bottom style="thin">
        <color rgb="FF969696"/>
      </bottom>
      <diagonal/>
    </border>
    <border>
      <left style="thin">
        <color rgb="FFF2F2F2"/>
      </left>
      <right style="thin">
        <color rgb="FF969696"/>
      </right>
      <top/>
      <bottom style="thin">
        <color rgb="FF969696"/>
      </bottom>
      <diagonal/>
    </border>
    <border>
      <left style="thin">
        <color rgb="FFD8D8D8"/>
      </left>
      <right style="thin">
        <color rgb="FFD8D8D8"/>
      </right>
      <top style="thin">
        <color rgb="FFD8D8D8"/>
      </top>
      <bottom style="thin">
        <color rgb="FFD8D8D8"/>
      </bottom>
      <diagonal/>
    </border>
    <border>
      <left style="thin">
        <color rgb="FF000000"/>
      </left>
      <right/>
      <top/>
      <bottom style="thin">
        <color rgb="FFD8D8D8"/>
      </bottom>
      <diagonal/>
    </border>
    <border>
      <left/>
      <right/>
      <top/>
      <bottom style="thin">
        <color rgb="FFD8D8D8"/>
      </bottom>
      <diagonal/>
    </border>
    <border>
      <left/>
      <right style="thin">
        <color rgb="FF000000"/>
      </right>
      <top/>
      <bottom style="thin">
        <color rgb="FFD8D8D8"/>
      </bottom>
      <diagonal/>
    </border>
    <border>
      <left style="thin">
        <color rgb="FF000000"/>
      </left>
      <right style="thin">
        <color rgb="FF000000"/>
      </right>
      <top/>
      <bottom style="thin">
        <color rgb="FFD8D8D8"/>
      </bottom>
      <diagonal/>
    </border>
    <border>
      <left style="thin">
        <color rgb="FF000000"/>
      </left>
      <right/>
      <top style="thin">
        <color rgb="FFD8D8D8"/>
      </top>
      <bottom/>
      <diagonal/>
    </border>
    <border>
      <left/>
      <right/>
      <top style="thin">
        <color rgb="FFD8D8D8"/>
      </top>
      <bottom/>
      <diagonal/>
    </border>
    <border>
      <left/>
      <right style="thin">
        <color rgb="FF000000"/>
      </right>
      <top style="thin">
        <color rgb="FFD8D8D8"/>
      </top>
      <bottom/>
      <diagonal/>
    </border>
    <border>
      <left style="thin">
        <color rgb="FF000000"/>
      </left>
      <right style="thin">
        <color rgb="FF000000"/>
      </right>
      <top style="thin">
        <color rgb="FFD8D8D8"/>
      </top>
      <bottom/>
      <diagonal/>
    </border>
    <border>
      <left style="thin">
        <color rgb="FF7E7E7E"/>
      </left>
      <right style="thin">
        <color rgb="FF000000"/>
      </right>
      <top/>
      <bottom/>
      <diagonal/>
    </border>
    <border>
      <left style="thin">
        <color rgb="FF7E7E7E"/>
      </left>
      <right style="thin">
        <color rgb="FF000000"/>
      </right>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D8D8D8"/>
      </right>
      <top style="thin">
        <color rgb="FF000000"/>
      </top>
      <bottom style="thin">
        <color rgb="FF000000"/>
      </bottom>
      <diagonal/>
    </border>
    <border>
      <left style="thin">
        <color rgb="FF000000"/>
      </left>
      <right style="thin">
        <color rgb="FF969696"/>
      </right>
      <top style="thin">
        <color rgb="FF000000"/>
      </top>
      <bottom/>
      <diagonal/>
    </border>
    <border>
      <left style="thin">
        <color rgb="FF969696"/>
      </left>
      <right style="thin">
        <color rgb="FF000000"/>
      </right>
      <top style="thin">
        <color rgb="FF000000"/>
      </top>
      <bottom/>
      <diagonal/>
    </border>
    <border>
      <left/>
      <right style="thin">
        <color rgb="FF969696"/>
      </right>
      <top style="thin">
        <color rgb="FF000000"/>
      </top>
      <bottom/>
      <diagonal/>
    </border>
    <border>
      <left style="thin">
        <color rgb="FF000000"/>
      </left>
      <right style="thin">
        <color rgb="FF969696"/>
      </right>
      <top style="thin">
        <color rgb="FF000000"/>
      </top>
      <bottom style="thin">
        <color rgb="FF000000"/>
      </bottom>
      <diagonal/>
    </border>
    <border>
      <left style="thin">
        <color rgb="FF969696"/>
      </left>
      <right style="thin">
        <color rgb="FF000000"/>
      </right>
      <top style="thin">
        <color rgb="FF000000"/>
      </top>
      <bottom style="thin">
        <color rgb="FF000000"/>
      </bottom>
      <diagonal/>
    </border>
    <border>
      <left/>
      <right style="thin">
        <color rgb="FF969696"/>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000000"/>
      </left>
      <right style="double">
        <color rgb="FF000000"/>
      </right>
      <top style="thin">
        <color rgb="FF000000"/>
      </top>
      <bottom/>
      <diagonal/>
    </border>
    <border>
      <left style="thin">
        <color rgb="FF000000"/>
      </left>
      <right style="double">
        <color rgb="FF000000"/>
      </right>
      <top/>
      <bottom/>
      <diagonal/>
    </border>
    <border>
      <left style="thin">
        <color rgb="FF969696"/>
      </left>
      <right style="thin">
        <color rgb="FF000000"/>
      </right>
      <top/>
      <bottom/>
      <diagonal/>
    </border>
    <border>
      <left style="thin">
        <color rgb="FF000000"/>
      </left>
      <right style="double">
        <color rgb="FF000000"/>
      </right>
      <top style="thin">
        <color rgb="FFD8D8D8"/>
      </top>
      <bottom style="thin">
        <color rgb="FF000000"/>
      </bottom>
      <diagonal/>
    </border>
    <border>
      <left/>
      <right style="thin">
        <color rgb="FF969696"/>
      </right>
      <top style="thin">
        <color rgb="FFD8D8D8"/>
      </top>
      <bottom style="thin">
        <color rgb="FF000000"/>
      </bottom>
      <diagonal/>
    </border>
    <border>
      <left style="thin">
        <color rgb="FF969696"/>
      </left>
      <right style="thin">
        <color rgb="FF000000"/>
      </right>
      <top style="thin">
        <color rgb="FFD8D8D8"/>
      </top>
      <bottom style="thin">
        <color rgb="FF000000"/>
      </bottom>
      <diagonal/>
    </border>
    <border>
      <left style="thin">
        <color rgb="FF000000"/>
      </left>
      <right/>
      <top style="thin">
        <color rgb="FF000000"/>
      </top>
      <bottom style="thin">
        <color rgb="FFD8D8D8"/>
      </bottom>
      <diagonal/>
    </border>
    <border>
      <left/>
      <right style="thin">
        <color rgb="FF000000"/>
      </right>
      <top style="thin">
        <color rgb="FF000000"/>
      </top>
      <bottom style="thin">
        <color rgb="FFD8D8D8"/>
      </bottom>
      <diagonal/>
    </border>
    <border>
      <left style="thin">
        <color rgb="FF000000"/>
      </left>
      <right style="double">
        <color rgb="FF000000"/>
      </right>
      <top style="thin">
        <color rgb="FF000000"/>
      </top>
      <bottom style="thin">
        <color rgb="FFD8D8D8"/>
      </bottom>
      <diagonal/>
    </border>
    <border>
      <left/>
      <right style="thin">
        <color rgb="FF969696"/>
      </right>
      <top style="thin">
        <color rgb="FF000000"/>
      </top>
      <bottom style="thin">
        <color rgb="FFD8D8D8"/>
      </bottom>
      <diagonal/>
    </border>
    <border>
      <left style="thin">
        <color rgb="FF969696"/>
      </left>
      <right style="thin">
        <color rgb="FF000000"/>
      </right>
      <top style="thin">
        <color rgb="FF000000"/>
      </top>
      <bottom style="thin">
        <color rgb="FFD8D8D8"/>
      </bottom>
      <diagonal/>
    </border>
    <border>
      <left style="thin">
        <color rgb="FF000000"/>
      </left>
      <right/>
      <top style="thin">
        <color rgb="FFD8D8D8"/>
      </top>
      <bottom style="thin">
        <color rgb="FF000000"/>
      </bottom>
      <diagonal/>
    </border>
    <border>
      <left/>
      <right style="thin">
        <color rgb="FF000000"/>
      </right>
      <top style="thin">
        <color rgb="FFD8D8D8"/>
      </top>
      <bottom style="thin">
        <color rgb="FF000000"/>
      </bottom>
      <diagonal/>
    </border>
    <border>
      <left style="thin">
        <color rgb="FF000000"/>
      </left>
      <right style="double">
        <color rgb="FF000000"/>
      </right>
      <top/>
      <bottom style="thin">
        <color rgb="FF000000"/>
      </bottom>
      <diagonal/>
    </border>
    <border>
      <left/>
      <right style="thin">
        <color rgb="FF969696"/>
      </right>
      <top/>
      <bottom style="thin">
        <color rgb="FF000000"/>
      </bottom>
      <diagonal/>
    </border>
    <border>
      <left style="thin">
        <color rgb="FF969696"/>
      </left>
      <right style="thin">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top/>
      <bottom style="thin">
        <color rgb="FFBFBFBF"/>
      </bottom>
      <diagonal/>
    </border>
    <border>
      <left style="thin">
        <color rgb="FF000000"/>
      </left>
      <right style="thin">
        <color rgb="FF000000"/>
      </right>
      <top style="double">
        <color rgb="FF000000"/>
      </top>
      <bottom style="thin">
        <color rgb="FF000000"/>
      </bottom>
      <diagonal/>
    </border>
    <border>
      <left style="thin">
        <color rgb="FF000000"/>
      </left>
      <right style="thin">
        <color rgb="FFD8D8D8"/>
      </right>
      <top style="thin">
        <color rgb="FF000000"/>
      </top>
      <bottom/>
      <diagonal/>
    </border>
    <border>
      <left style="thin">
        <color rgb="FFD8D8D8"/>
      </left>
      <right style="thin">
        <color rgb="FFD8D8D8"/>
      </right>
      <top style="thin">
        <color rgb="FF000000"/>
      </top>
      <bottom/>
      <diagonal/>
    </border>
    <border>
      <left style="thin">
        <color rgb="FF000000"/>
      </left>
      <right style="thin">
        <color rgb="FFD8D8D8"/>
      </right>
      <top/>
      <bottom style="thin">
        <color rgb="FF000000"/>
      </bottom>
      <diagonal/>
    </border>
    <border>
      <left style="thin">
        <color rgb="FFD8D8D8"/>
      </left>
      <right style="thin">
        <color rgb="FFD8D8D8"/>
      </right>
      <top/>
      <bottom style="thin">
        <color rgb="FF000000"/>
      </bottom>
      <diagonal/>
    </border>
    <border>
      <left style="thin">
        <color rgb="FFD8D8D8"/>
      </left>
      <right/>
      <top/>
      <bottom style="thin">
        <color rgb="FF000000"/>
      </bottom>
      <diagonal/>
    </border>
    <border>
      <left/>
      <right style="thin">
        <color rgb="FFC0C0C0"/>
      </right>
      <top/>
      <bottom style="thin">
        <color rgb="FF000000"/>
      </bottom>
      <diagonal/>
    </border>
    <border>
      <left style="thin">
        <color rgb="FFC0C0C0"/>
      </left>
      <right style="thin">
        <color rgb="FF000000"/>
      </right>
      <top/>
      <bottom style="thin">
        <color rgb="FF000000"/>
      </bottom>
      <diagonal/>
    </border>
    <border>
      <left/>
      <right style="thin">
        <color rgb="FFC0C0C0"/>
      </right>
      <top style="thin">
        <color rgb="FF000000"/>
      </top>
      <bottom style="thin">
        <color rgb="FFD8D8D8"/>
      </bottom>
      <diagonal/>
    </border>
    <border>
      <left style="thin">
        <color rgb="FFC0C0C0"/>
      </left>
      <right style="thin">
        <color rgb="FF000000"/>
      </right>
      <top style="thin">
        <color rgb="FF000000"/>
      </top>
      <bottom style="thin">
        <color rgb="FFD8D8D8"/>
      </bottom>
      <diagonal/>
    </border>
    <border>
      <left/>
      <right style="thin">
        <color rgb="FFC0C0C0"/>
      </right>
      <top style="thin">
        <color rgb="FFD8D8D8"/>
      </top>
      <bottom style="thin">
        <color rgb="FF000000"/>
      </bottom>
      <diagonal/>
    </border>
    <border>
      <left style="thin">
        <color rgb="FFC0C0C0"/>
      </left>
      <right style="thin">
        <color rgb="FF000000"/>
      </right>
      <top style="thin">
        <color rgb="FFD8D8D8"/>
      </top>
      <bottom style="thin">
        <color rgb="FF000000"/>
      </bottom>
      <diagonal/>
    </border>
    <border>
      <left style="double">
        <color rgb="FF000000"/>
      </left>
      <right style="thin">
        <color rgb="FF000000"/>
      </right>
      <top style="thin">
        <color rgb="FF000000"/>
      </top>
      <bottom style="thin">
        <color rgb="FFD8D8D8"/>
      </bottom>
      <diagonal/>
    </border>
    <border>
      <left style="thin">
        <color rgb="FF000000"/>
      </left>
      <right style="thin">
        <color rgb="FF000000"/>
      </right>
      <top style="thin">
        <color rgb="FF000000"/>
      </top>
      <bottom style="thin">
        <color rgb="FFD8D8D8"/>
      </bottom>
      <diagonal/>
    </border>
    <border>
      <left style="double">
        <color rgb="FF000000"/>
      </left>
      <right style="thin">
        <color rgb="FF000000"/>
      </right>
      <top style="thin">
        <color rgb="FFD8D8D8"/>
      </top>
      <bottom style="thin">
        <color rgb="FF000000"/>
      </bottom>
      <diagonal/>
    </border>
    <border>
      <left style="thin">
        <color rgb="FF000000"/>
      </left>
      <right style="thin">
        <color rgb="FF000000"/>
      </right>
      <top style="thin">
        <color rgb="FFD8D8D8"/>
      </top>
      <bottom style="thin">
        <color rgb="FF000000"/>
      </bottom>
      <diagonal/>
    </border>
    <border>
      <left/>
      <right/>
      <top/>
      <bottom style="thin">
        <color rgb="FFBFBFBF"/>
      </bottom>
      <diagonal/>
    </border>
    <border>
      <left/>
      <right style="thin">
        <color rgb="FF000000"/>
      </right>
      <top/>
      <bottom style="thin">
        <color rgb="FFBFBFBF"/>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right/>
      <top/>
      <bottom style="thick">
        <color rgb="FFC0C0C0"/>
      </bottom>
      <diagonal/>
    </border>
    <border>
      <left/>
      <right/>
      <top/>
      <bottom style="medium">
        <color rgb="FFC0C0C0"/>
      </bottom>
      <diagonal/>
    </border>
    <border>
      <left style="thin">
        <color rgb="FFC0C0C0"/>
      </left>
      <right style="thin">
        <color rgb="FFC0C0C0"/>
      </right>
      <top style="thin">
        <color rgb="FFC0C0C0"/>
      </top>
      <bottom style="thin">
        <color rgb="FFC0C0C0"/>
      </bottom>
      <diagonal/>
    </border>
    <border>
      <left/>
      <right/>
      <top/>
      <bottom style="medium">
        <color rgb="FF333399"/>
      </bottom>
      <diagonal/>
    </border>
    <border>
      <left/>
      <right/>
      <top style="thin">
        <color rgb="FF333399"/>
      </top>
      <bottom style="double">
        <color rgb="FF333399"/>
      </bottom>
      <diagonal/>
    </border>
    <border>
      <left/>
      <right/>
      <top/>
      <bottom style="thick">
        <color rgb="FF333399"/>
      </bottom>
      <diagonal/>
    </border>
    <border>
      <left style="thin">
        <color auto="1"/>
      </left>
      <right/>
      <top/>
      <bottom/>
      <diagonal/>
    </border>
  </borders>
  <cellStyleXfs count="276">
    <xf numFmtId="0" fontId="0" fillId="0" borderId="0"/>
    <xf numFmtId="0" fontId="121" fillId="9" borderId="122"/>
    <xf numFmtId="9" fontId="2" fillId="0" borderId="0"/>
    <xf numFmtId="0" fontId="120" fillId="22" borderId="121"/>
    <xf numFmtId="165" fontId="2" fillId="0" borderId="0"/>
    <xf numFmtId="9" fontId="2" fillId="0" borderId="0"/>
    <xf numFmtId="0" fontId="53" fillId="0" borderId="0">
      <alignment vertical="top"/>
    </xf>
    <xf numFmtId="0" fontId="38" fillId="0" borderId="0"/>
    <xf numFmtId="0" fontId="120" fillId="22" borderId="121"/>
    <xf numFmtId="0" fontId="110" fillId="18" borderId="0"/>
    <xf numFmtId="0" fontId="110" fillId="4" borderId="0"/>
    <xf numFmtId="0" fontId="110" fillId="23" borderId="0"/>
    <xf numFmtId="0" fontId="124" fillId="22" borderId="122"/>
    <xf numFmtId="0" fontId="120" fillId="22" borderId="121"/>
    <xf numFmtId="0" fontId="110" fillId="4" borderId="0"/>
    <xf numFmtId="0" fontId="110" fillId="4" borderId="0"/>
    <xf numFmtId="0" fontId="110" fillId="0" borderId="0"/>
    <xf numFmtId="0" fontId="122" fillId="0" borderId="124"/>
    <xf numFmtId="0" fontId="110" fillId="24" borderId="0"/>
    <xf numFmtId="0" fontId="110" fillId="23" borderId="0"/>
    <xf numFmtId="0" fontId="2" fillId="25" borderId="125"/>
    <xf numFmtId="0" fontId="2" fillId="25" borderId="125"/>
    <xf numFmtId="0" fontId="121" fillId="9" borderId="122"/>
    <xf numFmtId="0" fontId="110" fillId="23" borderId="0"/>
    <xf numFmtId="0" fontId="121" fillId="9" borderId="122"/>
    <xf numFmtId="0" fontId="110" fillId="23" borderId="0"/>
    <xf numFmtId="0" fontId="2" fillId="0" borderId="0"/>
    <xf numFmtId="0" fontId="110" fillId="24" borderId="0"/>
    <xf numFmtId="0" fontId="110" fillId="23" borderId="0"/>
    <xf numFmtId="0" fontId="125" fillId="0" borderId="127"/>
    <xf numFmtId="0" fontId="2" fillId="0" borderId="0"/>
    <xf numFmtId="0" fontId="110" fillId="23" borderId="0"/>
    <xf numFmtId="0" fontId="124" fillId="22" borderId="122"/>
    <xf numFmtId="0" fontId="110" fillId="9" borderId="0"/>
    <xf numFmtId="0" fontId="110" fillId="23" borderId="0"/>
    <xf numFmtId="0" fontId="124" fillId="22" borderId="122"/>
    <xf numFmtId="0" fontId="110" fillId="23" borderId="0"/>
    <xf numFmtId="0" fontId="110" fillId="23" borderId="0"/>
    <xf numFmtId="0" fontId="110" fillId="24" borderId="0"/>
    <xf numFmtId="0" fontId="110" fillId="24" borderId="0"/>
    <xf numFmtId="0" fontId="110" fillId="24" borderId="0"/>
    <xf numFmtId="0" fontId="110" fillId="24" borderId="0"/>
    <xf numFmtId="0" fontId="110" fillId="24" borderId="0"/>
    <xf numFmtId="0" fontId="110" fillId="24" borderId="0"/>
    <xf numFmtId="0" fontId="110" fillId="24" borderId="0"/>
    <xf numFmtId="0" fontId="121" fillId="9" borderId="122"/>
    <xf numFmtId="0" fontId="110" fillId="4" borderId="0"/>
    <xf numFmtId="0" fontId="121" fillId="9" borderId="122"/>
    <xf numFmtId="0" fontId="110" fillId="4" borderId="0"/>
    <xf numFmtId="0" fontId="7" fillId="0" borderId="0"/>
    <xf numFmtId="0" fontId="110" fillId="4" borderId="0"/>
    <xf numFmtId="0" fontId="120" fillId="22" borderId="121"/>
    <xf numFmtId="0" fontId="121" fillId="9" borderId="122"/>
    <xf numFmtId="0" fontId="110" fillId="4" borderId="0"/>
    <xf numFmtId="0" fontId="121" fillId="9" borderId="122"/>
    <xf numFmtId="0" fontId="110" fillId="4" borderId="0"/>
    <xf numFmtId="0" fontId="121" fillId="9" borderId="122"/>
    <xf numFmtId="0" fontId="110" fillId="4" borderId="0"/>
    <xf numFmtId="0" fontId="110" fillId="26" borderId="0"/>
    <xf numFmtId="0" fontId="110" fillId="26" borderId="0"/>
    <xf numFmtId="0" fontId="110" fillId="26" borderId="0"/>
    <xf numFmtId="0" fontId="110" fillId="26" borderId="0"/>
    <xf numFmtId="0" fontId="110" fillId="26" borderId="0"/>
    <xf numFmtId="0" fontId="110" fillId="26" borderId="0"/>
    <xf numFmtId="0" fontId="110" fillId="26" borderId="0"/>
    <xf numFmtId="0" fontId="110" fillId="26" borderId="0"/>
    <xf numFmtId="0" fontId="2" fillId="25" borderId="125"/>
    <xf numFmtId="0" fontId="110" fillId="26" borderId="0"/>
    <xf numFmtId="0" fontId="110" fillId="19" borderId="0"/>
    <xf numFmtId="0" fontId="110" fillId="5" borderId="0"/>
    <xf numFmtId="9" fontId="2" fillId="0" borderId="0"/>
    <xf numFmtId="0" fontId="110" fillId="5" borderId="0"/>
    <xf numFmtId="0" fontId="110" fillId="5" borderId="0"/>
    <xf numFmtId="0" fontId="110" fillId="5" borderId="0"/>
    <xf numFmtId="0" fontId="110" fillId="5" borderId="0"/>
    <xf numFmtId="0" fontId="110" fillId="5" borderId="0"/>
    <xf numFmtId="0" fontId="110" fillId="5" borderId="0"/>
    <xf numFmtId="0" fontId="110" fillId="5" borderId="0"/>
    <xf numFmtId="0" fontId="2" fillId="25" borderId="125"/>
    <xf numFmtId="0" fontId="110" fillId="5" borderId="0"/>
    <xf numFmtId="0" fontId="110" fillId="9" borderId="0"/>
    <xf numFmtId="0" fontId="110" fillId="9" borderId="0"/>
    <xf numFmtId="0" fontId="110" fillId="9" borderId="0"/>
    <xf numFmtId="0" fontId="110" fillId="9" borderId="0"/>
    <xf numFmtId="0" fontId="124" fillId="22" borderId="122"/>
    <xf numFmtId="0" fontId="110" fillId="9" borderId="0"/>
    <xf numFmtId="0" fontId="124" fillId="22" borderId="122"/>
    <xf numFmtId="0" fontId="110" fillId="9" borderId="0"/>
    <xf numFmtId="0" fontId="124" fillId="22" borderId="122"/>
    <xf numFmtId="0" fontId="110" fillId="9" borderId="0"/>
    <xf numFmtId="0" fontId="124" fillId="22" borderId="122"/>
    <xf numFmtId="0" fontId="110" fillId="9" borderId="0"/>
    <xf numFmtId="0" fontId="110" fillId="21" borderId="0"/>
    <xf numFmtId="0" fontId="110" fillId="21" borderId="0"/>
    <xf numFmtId="0" fontId="110" fillId="21" borderId="0"/>
    <xf numFmtId="0" fontId="110" fillId="21" borderId="0"/>
    <xf numFmtId="0" fontId="110" fillId="21" borderId="0"/>
    <xf numFmtId="0" fontId="110" fillId="21" borderId="0"/>
    <xf numFmtId="0" fontId="110" fillId="21" borderId="0"/>
    <xf numFmtId="0" fontId="2" fillId="0" borderId="0"/>
    <xf numFmtId="0" fontId="110" fillId="21" borderId="0"/>
    <xf numFmtId="0" fontId="110" fillId="21" borderId="0"/>
    <xf numFmtId="0" fontId="110" fillId="20" borderId="0"/>
    <xf numFmtId="0" fontId="110" fillId="20" borderId="0"/>
    <xf numFmtId="0" fontId="2" fillId="25" borderId="125"/>
    <xf numFmtId="0" fontId="110" fillId="20" borderId="0"/>
    <xf numFmtId="0" fontId="110" fillId="20" borderId="0"/>
    <xf numFmtId="0" fontId="110" fillId="20" borderId="0"/>
    <xf numFmtId="0" fontId="110" fillId="20" borderId="0"/>
    <xf numFmtId="0" fontId="110" fillId="20" borderId="0"/>
    <xf numFmtId="0" fontId="110" fillId="20" borderId="0"/>
    <xf numFmtId="0" fontId="110" fillId="20" borderId="0"/>
    <xf numFmtId="0" fontId="110" fillId="18" borderId="0"/>
    <xf numFmtId="0" fontId="110" fillId="18" borderId="0"/>
    <xf numFmtId="0" fontId="110" fillId="18" borderId="0"/>
    <xf numFmtId="0" fontId="110" fillId="18" borderId="0"/>
    <xf numFmtId="0" fontId="121" fillId="9" borderId="122"/>
    <xf numFmtId="0" fontId="110" fillId="18" borderId="0"/>
    <xf numFmtId="0" fontId="120" fillId="22" borderId="121"/>
    <xf numFmtId="0" fontId="110" fillId="18" borderId="0"/>
    <xf numFmtId="0" fontId="110" fillId="18" borderId="0"/>
    <xf numFmtId="0" fontId="110" fillId="18" borderId="0"/>
    <xf numFmtId="0" fontId="110" fillId="26" borderId="0"/>
    <xf numFmtId="0" fontId="110" fillId="26" borderId="0"/>
    <xf numFmtId="0" fontId="110" fillId="26" borderId="0"/>
    <xf numFmtId="0" fontId="110" fillId="26" borderId="0"/>
    <xf numFmtId="0" fontId="110" fillId="26" borderId="0"/>
    <xf numFmtId="0" fontId="38" fillId="0" borderId="0"/>
    <xf numFmtId="0" fontId="110" fillId="26" borderId="0"/>
    <xf numFmtId="0" fontId="110" fillId="26" borderId="0"/>
    <xf numFmtId="0" fontId="110" fillId="26" borderId="0"/>
    <xf numFmtId="0" fontId="110" fillId="26" borderId="0"/>
    <xf numFmtId="0" fontId="110" fillId="21" borderId="0"/>
    <xf numFmtId="0" fontId="53" fillId="0" borderId="0">
      <alignment vertical="top"/>
    </xf>
    <xf numFmtId="0" fontId="110" fillId="21" borderId="0"/>
    <xf numFmtId="0" fontId="110" fillId="21" borderId="0"/>
    <xf numFmtId="0" fontId="110" fillId="21" borderId="0"/>
    <xf numFmtId="0" fontId="110" fillId="21" borderId="0"/>
    <xf numFmtId="0" fontId="110" fillId="21" borderId="0"/>
    <xf numFmtId="0" fontId="110" fillId="21" borderId="0"/>
    <xf numFmtId="0" fontId="110" fillId="21" borderId="0"/>
    <xf numFmtId="0" fontId="110" fillId="21" borderId="0"/>
    <xf numFmtId="0" fontId="110" fillId="19" borderId="0"/>
    <xf numFmtId="0" fontId="110" fillId="19" borderId="0"/>
    <xf numFmtId="0" fontId="110" fillId="19" borderId="0"/>
    <xf numFmtId="0" fontId="110" fillId="19" borderId="0"/>
    <xf numFmtId="0" fontId="110" fillId="19" borderId="0"/>
    <xf numFmtId="0" fontId="110" fillId="19" borderId="0"/>
    <xf numFmtId="0" fontId="110" fillId="19" borderId="0"/>
    <xf numFmtId="0" fontId="110" fillId="19" borderId="0"/>
    <xf numFmtId="0" fontId="124" fillId="22" borderId="122"/>
    <xf numFmtId="0" fontId="124" fillId="22" borderId="122"/>
    <xf numFmtId="0" fontId="125" fillId="0" borderId="127"/>
    <xf numFmtId="0" fontId="124" fillId="22" borderId="122"/>
    <xf numFmtId="0" fontId="2" fillId="25" borderId="125"/>
    <xf numFmtId="0" fontId="124" fillId="22" borderId="122"/>
    <xf numFmtId="0" fontId="124" fillId="22" borderId="122"/>
    <xf numFmtId="0" fontId="124" fillId="22" borderId="122"/>
    <xf numFmtId="0" fontId="124" fillId="22" borderId="122"/>
    <xf numFmtId="0" fontId="120" fillId="22" borderId="121"/>
    <xf numFmtId="165" fontId="2" fillId="0" borderId="0"/>
    <xf numFmtId="165" fontId="2" fillId="0" borderId="0"/>
    <xf numFmtId="0" fontId="123" fillId="0" borderId="128"/>
    <xf numFmtId="0" fontId="123" fillId="0" borderId="126"/>
    <xf numFmtId="0" fontId="123" fillId="0" borderId="126"/>
    <xf numFmtId="0" fontId="120" fillId="22" borderId="121"/>
    <xf numFmtId="0" fontId="123" fillId="0" borderId="126"/>
    <xf numFmtId="0" fontId="123" fillId="0" borderId="126"/>
    <xf numFmtId="0" fontId="2" fillId="0" borderId="0"/>
    <xf numFmtId="0" fontId="123" fillId="0" borderId="126"/>
    <xf numFmtId="0" fontId="2" fillId="0" borderId="0"/>
    <xf numFmtId="0" fontId="123" fillId="0" borderId="126"/>
    <xf numFmtId="0" fontId="125" fillId="0" borderId="127"/>
    <xf numFmtId="0" fontId="2" fillId="0" borderId="0"/>
    <xf numFmtId="0" fontId="123" fillId="0" borderId="128"/>
    <xf numFmtId="0" fontId="122" fillId="0" borderId="123"/>
    <xf numFmtId="0" fontId="122" fillId="0" borderId="124"/>
    <xf numFmtId="0" fontId="120" fillId="22" borderId="121"/>
    <xf numFmtId="0" fontId="122" fillId="0" borderId="124"/>
    <xf numFmtId="0" fontId="122" fillId="0" borderId="124"/>
    <xf numFmtId="0" fontId="122" fillId="0" borderId="124"/>
    <xf numFmtId="0" fontId="122" fillId="0" borderId="124"/>
    <xf numFmtId="0" fontId="125" fillId="0" borderId="127"/>
    <xf numFmtId="0" fontId="122" fillId="0" borderId="123"/>
    <xf numFmtId="9" fontId="2" fillId="0" borderId="0"/>
    <xf numFmtId="0" fontId="53" fillId="0" borderId="0">
      <alignment vertical="top"/>
    </xf>
    <xf numFmtId="9" fontId="2" fillId="0" borderId="0"/>
    <xf numFmtId="0" fontId="53" fillId="0" borderId="0">
      <alignment vertical="top"/>
    </xf>
    <xf numFmtId="9" fontId="2" fillId="0" borderId="0"/>
    <xf numFmtId="0" fontId="127" fillId="0" borderId="0"/>
    <xf numFmtId="9" fontId="2" fillId="0" borderId="0"/>
    <xf numFmtId="0" fontId="53" fillId="0" borderId="0">
      <alignment vertical="top"/>
    </xf>
    <xf numFmtId="0" fontId="53" fillId="0" borderId="0">
      <alignment vertical="top"/>
    </xf>
    <xf numFmtId="0" fontId="2" fillId="25" borderId="125"/>
    <xf numFmtId="0" fontId="121" fillId="9" borderId="122"/>
    <xf numFmtId="0" fontId="2" fillId="25" borderId="125"/>
    <xf numFmtId="0" fontId="121" fillId="9" borderId="122"/>
    <xf numFmtId="0" fontId="2" fillId="25" borderId="125"/>
    <xf numFmtId="0" fontId="121" fillId="9" borderId="122"/>
    <xf numFmtId="0" fontId="2" fillId="25" borderId="125"/>
    <xf numFmtId="0" fontId="121" fillId="9" borderId="122"/>
    <xf numFmtId="0" fontId="121" fillId="9" borderId="122"/>
    <xf numFmtId="0" fontId="128" fillId="0" borderId="0"/>
    <xf numFmtId="0" fontId="2" fillId="0" borderId="0"/>
    <xf numFmtId="0" fontId="38" fillId="0" borderId="0"/>
    <xf numFmtId="0" fontId="7" fillId="0" borderId="0"/>
    <xf numFmtId="0" fontId="2" fillId="0" borderId="0"/>
    <xf numFmtId="0" fontId="2" fillId="0" borderId="0"/>
    <xf numFmtId="0" fontId="2" fillId="0" borderId="0"/>
    <xf numFmtId="0" fontId="2" fillId="0" borderId="0"/>
    <xf numFmtId="0" fontId="110" fillId="0" borderId="0"/>
    <xf numFmtId="0" fontId="2" fillId="0" borderId="0"/>
    <xf numFmtId="0" fontId="110" fillId="0" borderId="0"/>
    <xf numFmtId="0" fontId="38" fillId="0" borderId="0"/>
    <xf numFmtId="0" fontId="110" fillId="0" borderId="0"/>
    <xf numFmtId="0" fontId="2" fillId="0" borderId="0"/>
    <xf numFmtId="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8" fillId="0" borderId="0"/>
    <xf numFmtId="0" fontId="7" fillId="0" borderId="0"/>
    <xf numFmtId="0" fontId="2" fillId="0" borderId="0"/>
    <xf numFmtId="0" fontId="126" fillId="0" borderId="0"/>
    <xf numFmtId="0" fontId="2" fillId="25" borderId="125"/>
    <xf numFmtId="0" fontId="2" fillId="25" borderId="125"/>
    <xf numFmtId="0" fontId="2" fillId="25" borderId="125"/>
    <xf numFmtId="0" fontId="2" fillId="25" borderId="125"/>
    <xf numFmtId="0" fontId="2" fillId="25" borderId="125"/>
    <xf numFmtId="0" fontId="2" fillId="25" borderId="125"/>
    <xf numFmtId="0" fontId="2" fillId="25" borderId="125"/>
    <xf numFmtId="0" fontId="2" fillId="25" borderId="125"/>
    <xf numFmtId="0" fontId="2" fillId="25" borderId="125"/>
    <xf numFmtId="0" fontId="2" fillId="25" borderId="125"/>
    <xf numFmtId="0" fontId="2" fillId="25" borderId="125"/>
    <xf numFmtId="9" fontId="110" fillId="0" borderId="0"/>
    <xf numFmtId="0" fontId="2" fillId="25" borderId="125"/>
    <xf numFmtId="0" fontId="120" fillId="22" borderId="121"/>
    <xf numFmtId="0" fontId="2" fillId="25" borderId="125"/>
    <xf numFmtId="0" fontId="2" fillId="25" borderId="125"/>
    <xf numFmtId="0" fontId="2" fillId="25" borderId="125"/>
    <xf numFmtId="0" fontId="2" fillId="25" borderId="125"/>
    <xf numFmtId="0" fontId="2" fillId="25" borderId="125"/>
    <xf numFmtId="0" fontId="2" fillId="25" borderId="125"/>
    <xf numFmtId="0" fontId="2" fillId="25" borderId="125"/>
    <xf numFmtId="0" fontId="120" fillId="22" borderId="121"/>
    <xf numFmtId="0" fontId="120" fillId="22" borderId="121"/>
    <xf numFmtId="0" fontId="120" fillId="22" borderId="121"/>
    <xf numFmtId="0" fontId="120" fillId="22" borderId="121"/>
    <xf numFmtId="0" fontId="120" fillId="22" borderId="121"/>
    <xf numFmtId="9" fontId="2" fillId="0" borderId="0"/>
    <xf numFmtId="9" fontId="2" fillId="0" borderId="0"/>
    <xf numFmtId="9" fontId="2" fillId="0" borderId="0"/>
    <xf numFmtId="9" fontId="2" fillId="0" borderId="0"/>
    <xf numFmtId="9" fontId="110" fillId="0" borderId="0"/>
    <xf numFmtId="9" fontId="2" fillId="0" borderId="0"/>
    <xf numFmtId="9" fontId="2" fillId="0" borderId="0"/>
    <xf numFmtId="9" fontId="2" fillId="0" borderId="0"/>
    <xf numFmtId="9" fontId="2" fillId="0" borderId="0"/>
    <xf numFmtId="9" fontId="2" fillId="0" borderId="0"/>
    <xf numFmtId="0" fontId="125" fillId="0" borderId="127"/>
    <xf numFmtId="0" fontId="125" fillId="0" borderId="127"/>
    <xf numFmtId="0" fontId="125" fillId="0" borderId="127"/>
    <xf numFmtId="0" fontId="125" fillId="0" borderId="127"/>
    <xf numFmtId="0" fontId="125" fillId="0" borderId="127"/>
    <xf numFmtId="0" fontId="125" fillId="0" borderId="127"/>
    <xf numFmtId="0" fontId="125" fillId="0" borderId="127"/>
    <xf numFmtId="0" fontId="125" fillId="0" borderId="127"/>
    <xf numFmtId="0" fontId="125" fillId="0" borderId="127"/>
    <xf numFmtId="0" fontId="125" fillId="0" borderId="127"/>
    <xf numFmtId="0" fontId="149" fillId="0" borderId="0"/>
  </cellStyleXfs>
  <cellXfs count="1546">
    <xf numFmtId="0" fontId="0" fillId="0" borderId="0" xfId="0"/>
    <xf numFmtId="0" fontId="1" fillId="0" borderId="0" xfId="49" applyFont="1"/>
    <xf numFmtId="0" fontId="2" fillId="0" borderId="0" xfId="49" applyFont="1"/>
    <xf numFmtId="0" fontId="1" fillId="2" borderId="0" xfId="49" applyFont="1" applyFill="1" applyProtection="1">
      <protection hidden="1"/>
    </xf>
    <xf numFmtId="0" fontId="2" fillId="2" borderId="0" xfId="49" applyFont="1" applyFill="1" applyProtection="1">
      <protection hidden="1"/>
    </xf>
    <xf numFmtId="0" fontId="4" fillId="2" borderId="0" xfId="0" applyFont="1" applyFill="1" applyProtection="1">
      <protection hidden="1"/>
    </xf>
    <xf numFmtId="1" fontId="7" fillId="2" borderId="0" xfId="49" applyNumberFormat="1" applyFill="1" applyAlignment="1" applyProtection="1">
      <alignment horizontal="right"/>
      <protection hidden="1"/>
    </xf>
    <xf numFmtId="0" fontId="7" fillId="3" borderId="1" xfId="49" applyFill="1" applyBorder="1" applyAlignment="1" applyProtection="1">
      <alignment horizontal="right"/>
      <protection hidden="1"/>
    </xf>
    <xf numFmtId="0" fontId="7" fillId="4" borderId="1" xfId="49" applyFill="1" applyBorder="1" applyAlignment="1" applyProtection="1">
      <alignment horizontal="right"/>
      <protection hidden="1"/>
    </xf>
    <xf numFmtId="0" fontId="7" fillId="3" borderId="0" xfId="49" applyFill="1" applyAlignment="1" applyProtection="1">
      <alignment horizontal="right"/>
      <protection locked="0"/>
    </xf>
    <xf numFmtId="0" fontId="7" fillId="2" borderId="0" xfId="49" applyFill="1" applyAlignment="1" applyProtection="1">
      <alignment horizontal="right"/>
      <protection hidden="1"/>
    </xf>
    <xf numFmtId="167" fontId="7" fillId="2" borderId="0" xfId="49" applyNumberFormat="1" applyFill="1" applyAlignment="1" applyProtection="1">
      <alignment horizontal="right"/>
      <protection hidden="1"/>
    </xf>
    <xf numFmtId="167" fontId="9" fillId="2" borderId="0" xfId="49" applyNumberFormat="1" applyFont="1" applyFill="1" applyAlignment="1" applyProtection="1">
      <alignment horizontal="right"/>
      <protection hidden="1"/>
    </xf>
    <xf numFmtId="0" fontId="10" fillId="2" borderId="0" xfId="0" applyFont="1" applyFill="1" applyProtection="1">
      <protection hidden="1"/>
    </xf>
    <xf numFmtId="0" fontId="7" fillId="2" borderId="2" xfId="49" applyFill="1" applyBorder="1" applyAlignment="1" applyProtection="1">
      <alignment horizontal="center"/>
      <protection hidden="1"/>
    </xf>
    <xf numFmtId="167" fontId="7" fillId="2" borderId="2" xfId="49" applyNumberFormat="1" applyFill="1" applyBorder="1" applyAlignment="1" applyProtection="1">
      <alignment horizontal="center"/>
      <protection hidden="1"/>
    </xf>
    <xf numFmtId="0" fontId="7" fillId="2" borderId="4" xfId="49" applyFill="1" applyBorder="1" applyAlignment="1" applyProtection="1">
      <alignment horizontal="center"/>
      <protection hidden="1"/>
    </xf>
    <xf numFmtId="0" fontId="7" fillId="2" borderId="3" xfId="49" applyFill="1" applyBorder="1" applyAlignment="1" applyProtection="1">
      <alignment horizontal="center"/>
      <protection hidden="1"/>
    </xf>
    <xf numFmtId="0" fontId="7" fillId="2" borderId="7" xfId="49" applyFill="1" applyBorder="1" applyAlignment="1" applyProtection="1">
      <alignment horizontal="center"/>
      <protection hidden="1"/>
    </xf>
    <xf numFmtId="0" fontId="7" fillId="2" borderId="6" xfId="49" applyFill="1" applyBorder="1" applyAlignment="1" applyProtection="1">
      <alignment horizontal="center"/>
      <protection hidden="1"/>
    </xf>
    <xf numFmtId="0" fontId="7" fillId="3" borderId="7" xfId="49" applyFill="1" applyBorder="1" applyAlignment="1" applyProtection="1">
      <alignment horizontal="center"/>
      <protection locked="0"/>
    </xf>
    <xf numFmtId="0" fontId="7" fillId="0" borderId="7" xfId="49" applyBorder="1" applyAlignment="1" applyProtection="1">
      <alignment horizontal="center"/>
      <protection locked="0"/>
    </xf>
    <xf numFmtId="0" fontId="7" fillId="0" borderId="7" xfId="49" applyBorder="1" applyAlignment="1" applyProtection="1">
      <alignment horizontal="center"/>
      <protection hidden="1"/>
    </xf>
    <xf numFmtId="0" fontId="7" fillId="0" borderId="8" xfId="49" applyBorder="1" applyAlignment="1" applyProtection="1">
      <alignment horizontal="center"/>
      <protection locked="0"/>
    </xf>
    <xf numFmtId="0" fontId="7" fillId="0" borderId="8" xfId="49" applyBorder="1" applyAlignment="1" applyProtection="1">
      <alignment horizontal="center"/>
      <protection hidden="1"/>
    </xf>
    <xf numFmtId="0" fontId="7" fillId="4" borderId="8" xfId="49" applyFill="1" applyBorder="1" applyAlignment="1" applyProtection="1">
      <alignment horizontal="center"/>
      <protection locked="0"/>
    </xf>
    <xf numFmtId="0" fontId="1" fillId="2" borderId="0" xfId="49" applyFont="1" applyFill="1" applyAlignment="1" applyProtection="1">
      <alignment horizontal="left"/>
      <protection hidden="1"/>
    </xf>
    <xf numFmtId="0" fontId="12" fillId="2" borderId="0" xfId="49" applyFont="1" applyFill="1" applyProtection="1">
      <protection hidden="1"/>
    </xf>
    <xf numFmtId="0" fontId="13" fillId="2" borderId="0" xfId="49" applyFont="1" applyFill="1" applyProtection="1">
      <protection hidden="1"/>
    </xf>
    <xf numFmtId="0" fontId="1" fillId="0" borderId="0" xfId="49" applyFont="1" applyProtection="1">
      <protection hidden="1"/>
    </xf>
    <xf numFmtId="0" fontId="15" fillId="2" borderId="0" xfId="49" applyFont="1" applyFill="1" applyProtection="1">
      <protection hidden="1"/>
    </xf>
    <xf numFmtId="0" fontId="7" fillId="2" borderId="0" xfId="49" applyFill="1" applyAlignment="1" applyProtection="1">
      <alignment wrapText="1"/>
      <protection hidden="1"/>
    </xf>
    <xf numFmtId="165" fontId="7" fillId="2" borderId="0" xfId="4" applyFont="1" applyFill="1" applyAlignment="1" applyProtection="1">
      <alignment horizontal="center"/>
      <protection hidden="1"/>
    </xf>
    <xf numFmtId="0" fontId="7" fillId="2" borderId="0" xfId="49" applyFill="1" applyAlignment="1" applyProtection="1">
      <alignment vertical="center"/>
      <protection hidden="1"/>
    </xf>
    <xf numFmtId="0" fontId="7" fillId="2" borderId="0" xfId="49" applyFill="1" applyAlignment="1" applyProtection="1">
      <alignment vertical="center" wrapText="1"/>
      <protection hidden="1"/>
    </xf>
    <xf numFmtId="165" fontId="16" fillId="2" borderId="0" xfId="4" applyFont="1" applyFill="1" applyAlignment="1" applyProtection="1">
      <alignment vertical="center" wrapText="1"/>
      <protection hidden="1"/>
    </xf>
    <xf numFmtId="165" fontId="7" fillId="2" borderId="0" xfId="4" applyFont="1" applyFill="1" applyAlignment="1" applyProtection="1">
      <alignment vertical="center" wrapText="1"/>
      <protection hidden="1"/>
    </xf>
    <xf numFmtId="0" fontId="16" fillId="2" borderId="0" xfId="49" applyFont="1" applyFill="1" applyProtection="1">
      <protection hidden="1"/>
    </xf>
    <xf numFmtId="0" fontId="18" fillId="2" borderId="9" xfId="49" applyFont="1" applyFill="1" applyBorder="1" applyAlignment="1" applyProtection="1">
      <alignment horizontal="center"/>
      <protection hidden="1"/>
    </xf>
    <xf numFmtId="1" fontId="7" fillId="2" borderId="9" xfId="49" applyNumberFormat="1" applyFill="1" applyBorder="1" applyAlignment="1" applyProtection="1">
      <alignment horizontal="center"/>
      <protection hidden="1"/>
    </xf>
    <xf numFmtId="0" fontId="7" fillId="2" borderId="11" xfId="49" applyFill="1" applyBorder="1" applyAlignment="1" applyProtection="1">
      <alignment horizontal="center"/>
      <protection hidden="1"/>
    </xf>
    <xf numFmtId="0" fontId="18" fillId="2" borderId="11" xfId="49" applyFont="1" applyFill="1" applyBorder="1" applyAlignment="1" applyProtection="1">
      <alignment horizontal="center"/>
      <protection hidden="1"/>
    </xf>
    <xf numFmtId="1" fontId="7" fillId="2" borderId="11" xfId="49" applyNumberFormat="1" applyFill="1" applyBorder="1" applyAlignment="1" applyProtection="1">
      <alignment horizontal="center"/>
      <protection hidden="1"/>
    </xf>
    <xf numFmtId="0" fontId="2" fillId="2" borderId="0" xfId="49" applyFont="1" applyFill="1"/>
    <xf numFmtId="0" fontId="2" fillId="2" borderId="0" xfId="49" applyFont="1" applyFill="1" applyProtection="1">
      <protection locked="0"/>
    </xf>
    <xf numFmtId="0" fontId="19" fillId="0" borderId="8" xfId="49" applyFont="1" applyBorder="1" applyAlignment="1" applyProtection="1">
      <alignment horizontal="center"/>
      <protection locked="0"/>
    </xf>
    <xf numFmtId="0" fontId="4" fillId="2" borderId="0" xfId="49" applyFont="1" applyFill="1" applyAlignment="1" applyProtection="1">
      <alignment horizontal="right"/>
      <protection hidden="1"/>
    </xf>
    <xf numFmtId="0" fontId="0" fillId="0" borderId="0" xfId="0" applyProtection="1">
      <protection hidden="1"/>
    </xf>
    <xf numFmtId="0" fontId="20" fillId="2" borderId="0" xfId="6" applyFont="1" applyFill="1" applyAlignment="1" applyProtection="1">
      <alignment horizontal="right"/>
      <protection hidden="1"/>
    </xf>
    <xf numFmtId="0" fontId="11" fillId="2" borderId="0" xfId="6" applyFont="1" applyFill="1" applyAlignment="1" applyProtection="1">
      <alignment horizontal="right"/>
      <protection hidden="1"/>
    </xf>
    <xf numFmtId="2" fontId="15" fillId="2" borderId="0" xfId="49" applyNumberFormat="1" applyFont="1" applyFill="1" applyAlignment="1" applyProtection="1">
      <alignment horizontal="left"/>
      <protection hidden="1"/>
    </xf>
    <xf numFmtId="0" fontId="7" fillId="0" borderId="10" xfId="49" applyBorder="1" applyAlignment="1" applyProtection="1">
      <alignment horizontal="left"/>
      <protection locked="0"/>
    </xf>
    <xf numFmtId="0" fontId="7" fillId="2" borderId="0" xfId="49" applyFill="1" applyAlignment="1" applyProtection="1">
      <alignment horizontal="center"/>
      <protection locked="0"/>
    </xf>
    <xf numFmtId="0" fontId="22" fillId="2" borderId="0" xfId="49" applyFont="1" applyFill="1" applyAlignment="1" applyProtection="1">
      <alignment horizontal="center" vertical="center" wrapText="1"/>
      <protection hidden="1"/>
    </xf>
    <xf numFmtId="0" fontId="22" fillId="2" borderId="10" xfId="49" applyFont="1" applyFill="1" applyBorder="1" applyAlignment="1" applyProtection="1">
      <alignment horizontal="center" vertical="center" wrapText="1"/>
      <protection hidden="1"/>
    </xf>
    <xf numFmtId="1" fontId="1" fillId="2" borderId="0" xfId="49" applyNumberFormat="1" applyFont="1" applyFill="1" applyProtection="1">
      <protection hidden="1"/>
    </xf>
    <xf numFmtId="0" fontId="24" fillId="2" borderId="0" xfId="49" applyFont="1" applyFill="1" applyAlignment="1" applyProtection="1">
      <alignment horizontal="right"/>
      <protection hidden="1"/>
    </xf>
    <xf numFmtId="0" fontId="25" fillId="0" borderId="0" xfId="211" applyFont="1" applyAlignment="1" applyProtection="1">
      <alignment wrapText="1"/>
      <protection hidden="1"/>
    </xf>
    <xf numFmtId="0" fontId="2" fillId="0" borderId="0" xfId="211"/>
    <xf numFmtId="0" fontId="2" fillId="0" borderId="0" xfId="211" applyAlignment="1">
      <alignment horizontal="center"/>
    </xf>
    <xf numFmtId="0" fontId="2" fillId="0" borderId="0" xfId="211" applyProtection="1">
      <protection hidden="1"/>
    </xf>
    <xf numFmtId="0" fontId="4" fillId="2" borderId="0" xfId="211" applyFont="1" applyFill="1" applyAlignment="1" applyProtection="1">
      <alignment wrapText="1"/>
      <protection hidden="1"/>
    </xf>
    <xf numFmtId="0" fontId="25" fillId="2" borderId="0" xfId="49" applyFont="1" applyFill="1" applyAlignment="1" applyProtection="1">
      <alignment wrapText="1"/>
      <protection hidden="1"/>
    </xf>
    <xf numFmtId="0" fontId="20" fillId="2" borderId="0" xfId="187" applyFont="1" applyFill="1" applyAlignment="1" applyProtection="1">
      <alignment horizontal="right" wrapText="1"/>
      <protection hidden="1"/>
    </xf>
    <xf numFmtId="0" fontId="25" fillId="2" borderId="0" xfId="211" applyFont="1" applyFill="1" applyAlignment="1" applyProtection="1">
      <alignment wrapText="1"/>
      <protection hidden="1"/>
    </xf>
    <xf numFmtId="0" fontId="7" fillId="2" borderId="0" xfId="211" applyFont="1" applyFill="1" applyAlignment="1" applyProtection="1">
      <alignment horizontal="right" wrapText="1"/>
      <protection hidden="1"/>
    </xf>
    <xf numFmtId="0" fontId="7" fillId="2" borderId="0" xfId="211" applyFont="1" applyFill="1" applyProtection="1">
      <protection hidden="1"/>
    </xf>
    <xf numFmtId="0" fontId="11" fillId="2" borderId="0" xfId="187" applyFont="1" applyFill="1" applyAlignment="1" applyProtection="1">
      <alignment horizontal="right"/>
      <protection hidden="1"/>
    </xf>
    <xf numFmtId="0" fontId="1" fillId="2" borderId="0" xfId="211" applyFont="1" applyFill="1" applyAlignment="1" applyProtection="1">
      <alignment horizontal="left"/>
      <protection hidden="1"/>
    </xf>
    <xf numFmtId="0" fontId="7" fillId="2" borderId="4" xfId="211" applyFont="1" applyFill="1" applyBorder="1" applyAlignment="1" applyProtection="1">
      <alignment horizontal="center" wrapText="1"/>
      <protection hidden="1"/>
    </xf>
    <xf numFmtId="0" fontId="7" fillId="2" borderId="4" xfId="211" applyFont="1" applyFill="1" applyBorder="1" applyAlignment="1" applyProtection="1">
      <alignment horizontal="center"/>
      <protection hidden="1"/>
    </xf>
    <xf numFmtId="0" fontId="7" fillId="2" borderId="4" xfId="211" applyFont="1" applyFill="1" applyBorder="1" applyAlignment="1" applyProtection="1">
      <alignment vertical="top"/>
      <protection hidden="1"/>
    </xf>
    <xf numFmtId="0" fontId="7" fillId="0" borderId="7" xfId="211" applyFont="1" applyBorder="1" applyAlignment="1" applyProtection="1">
      <alignment horizontal="center" wrapText="1"/>
      <protection hidden="1"/>
    </xf>
    <xf numFmtId="0" fontId="7" fillId="0" borderId="7" xfId="211" applyFont="1" applyBorder="1" applyAlignment="1" applyProtection="1">
      <alignment horizontal="center"/>
      <protection hidden="1"/>
    </xf>
    <xf numFmtId="0" fontId="7" fillId="2" borderId="7" xfId="211" applyFont="1" applyFill="1" applyBorder="1" applyAlignment="1" applyProtection="1">
      <alignment horizontal="center" wrapText="1"/>
      <protection hidden="1"/>
    </xf>
    <xf numFmtId="0" fontId="15" fillId="0" borderId="7" xfId="211" applyFont="1" applyBorder="1" applyAlignment="1" applyProtection="1">
      <alignment horizontal="right" vertical="top"/>
      <protection hidden="1"/>
    </xf>
    <xf numFmtId="0" fontId="7" fillId="0" borderId="8" xfId="211" applyFont="1" applyBorder="1" applyAlignment="1" applyProtection="1">
      <alignment horizontal="center"/>
      <protection hidden="1"/>
    </xf>
    <xf numFmtId="0" fontId="7" fillId="5" borderId="8" xfId="49" applyFill="1" applyBorder="1" applyProtection="1">
      <protection locked="0"/>
    </xf>
    <xf numFmtId="0" fontId="7" fillId="5" borderId="8" xfId="211" applyFont="1" applyFill="1" applyBorder="1" applyAlignment="1" applyProtection="1">
      <alignment horizontal="center"/>
      <protection locked="0"/>
    </xf>
    <xf numFmtId="0" fontId="7" fillId="0" borderId="8" xfId="49" applyBorder="1" applyProtection="1">
      <protection hidden="1"/>
    </xf>
    <xf numFmtId="0" fontId="7" fillId="5" borderId="8" xfId="211" applyFont="1" applyFill="1" applyBorder="1" applyProtection="1">
      <protection locked="0"/>
    </xf>
    <xf numFmtId="0" fontId="7" fillId="3" borderId="8" xfId="211" applyFont="1" applyFill="1" applyBorder="1" applyAlignment="1" applyProtection="1">
      <alignment horizontal="center"/>
      <protection locked="0"/>
    </xf>
    <xf numFmtId="0" fontId="7" fillId="5" borderId="0" xfId="211" applyFont="1" applyFill="1" applyProtection="1">
      <protection locked="0"/>
    </xf>
    <xf numFmtId="0" fontId="26" fillId="2" borderId="0" xfId="49" applyFont="1" applyFill="1" applyProtection="1">
      <protection hidden="1"/>
    </xf>
    <xf numFmtId="0" fontId="29" fillId="2" borderId="0" xfId="49" applyFont="1" applyFill="1" applyAlignment="1" applyProtection="1">
      <alignment horizontal="left"/>
      <protection hidden="1"/>
    </xf>
    <xf numFmtId="0" fontId="7" fillId="3" borderId="8" xfId="211" applyFont="1" applyFill="1" applyBorder="1" applyProtection="1">
      <protection hidden="1"/>
    </xf>
    <xf numFmtId="9" fontId="7" fillId="5" borderId="8" xfId="211" applyNumberFormat="1" applyFont="1" applyFill="1" applyBorder="1" applyProtection="1">
      <protection hidden="1"/>
    </xf>
    <xf numFmtId="0" fontId="31" fillId="2" borderId="0" xfId="49" applyFont="1" applyFill="1" applyAlignment="1" applyProtection="1">
      <alignment horizontal="right"/>
      <protection hidden="1"/>
    </xf>
    <xf numFmtId="0" fontId="7" fillId="0" borderId="4" xfId="211" applyFont="1" applyBorder="1" applyAlignment="1" applyProtection="1">
      <alignment horizontal="center"/>
      <protection hidden="1"/>
    </xf>
    <xf numFmtId="0" fontId="1" fillId="2" borderId="4" xfId="211" applyFont="1" applyFill="1" applyBorder="1" applyAlignment="1" applyProtection="1">
      <alignment vertical="top"/>
      <protection hidden="1"/>
    </xf>
    <xf numFmtId="0" fontId="1" fillId="2" borderId="4" xfId="49" applyFont="1" applyFill="1" applyBorder="1" applyAlignment="1" applyProtection="1">
      <alignment vertical="top"/>
      <protection hidden="1"/>
    </xf>
    <xf numFmtId="0" fontId="7" fillId="2" borderId="7" xfId="211" applyFont="1" applyFill="1" applyBorder="1" applyAlignment="1" applyProtection="1">
      <alignment horizontal="center"/>
      <protection hidden="1"/>
    </xf>
    <xf numFmtId="0" fontId="12" fillId="0" borderId="7" xfId="211" applyFont="1" applyBorder="1" applyAlignment="1" applyProtection="1">
      <alignment horizontal="right" vertical="top"/>
      <protection hidden="1"/>
    </xf>
    <xf numFmtId="0" fontId="1" fillId="0" borderId="8" xfId="211" applyFont="1" applyBorder="1" applyProtection="1">
      <protection hidden="1"/>
    </xf>
    <xf numFmtId="0" fontId="29" fillId="2" borderId="0" xfId="49" applyFont="1" applyFill="1" applyAlignment="1" applyProtection="1">
      <alignment horizontal="center"/>
      <protection hidden="1"/>
    </xf>
    <xf numFmtId="0" fontId="2" fillId="2" borderId="0" xfId="211" applyFill="1" applyProtection="1">
      <protection hidden="1"/>
    </xf>
    <xf numFmtId="0" fontId="7" fillId="2" borderId="0" xfId="211" applyFont="1" applyFill="1" applyAlignment="1" applyProtection="1">
      <alignment horizontal="center"/>
      <protection hidden="1"/>
    </xf>
    <xf numFmtId="0" fontId="7" fillId="2" borderId="0" xfId="224" applyFont="1" applyFill="1" applyProtection="1">
      <protection hidden="1"/>
    </xf>
    <xf numFmtId="0" fontId="1" fillId="2" borderId="0" xfId="211" applyFont="1" applyFill="1" applyProtection="1">
      <protection hidden="1"/>
    </xf>
    <xf numFmtId="0" fontId="12" fillId="0" borderId="5" xfId="211" applyFont="1" applyBorder="1" applyAlignment="1" applyProtection="1">
      <alignment horizontal="right" vertical="top"/>
      <protection hidden="1"/>
    </xf>
    <xf numFmtId="0" fontId="1" fillId="0" borderId="12" xfId="211" applyFont="1" applyBorder="1" applyProtection="1">
      <protection hidden="1"/>
    </xf>
    <xf numFmtId="9" fontId="7" fillId="5" borderId="8" xfId="211" applyNumberFormat="1" applyFont="1" applyFill="1" applyBorder="1" applyAlignment="1" applyProtection="1">
      <alignment horizontal="center"/>
      <protection locked="0"/>
    </xf>
    <xf numFmtId="0" fontId="33" fillId="2" borderId="9" xfId="49" applyFont="1" applyFill="1" applyBorder="1" applyAlignment="1" applyProtection="1">
      <alignment wrapText="1"/>
      <protection hidden="1"/>
    </xf>
    <xf numFmtId="0" fontId="13" fillId="2" borderId="0" xfId="211" applyFont="1" applyFill="1" applyAlignment="1" applyProtection="1">
      <alignment horizontal="center"/>
      <protection hidden="1"/>
    </xf>
    <xf numFmtId="0" fontId="34" fillId="2" borderId="0" xfId="211" applyFont="1" applyFill="1" applyProtection="1">
      <protection hidden="1"/>
    </xf>
    <xf numFmtId="0" fontId="35" fillId="2" borderId="0" xfId="49" applyFont="1" applyFill="1" applyAlignment="1" applyProtection="1">
      <alignment vertical="center" wrapText="1"/>
      <protection hidden="1"/>
    </xf>
    <xf numFmtId="0" fontId="13" fillId="2" borderId="8" xfId="211" applyFont="1" applyFill="1" applyBorder="1" applyProtection="1">
      <protection hidden="1"/>
    </xf>
    <xf numFmtId="0" fontId="1" fillId="0" borderId="8" xfId="211" applyFont="1" applyBorder="1" applyProtection="1">
      <protection locked="0"/>
    </xf>
    <xf numFmtId="0" fontId="7" fillId="2" borderId="4" xfId="211" applyFont="1" applyFill="1" applyBorder="1" applyProtection="1">
      <protection hidden="1"/>
    </xf>
    <xf numFmtId="0" fontId="7" fillId="2" borderId="8" xfId="211" applyFont="1" applyFill="1" applyBorder="1" applyAlignment="1" applyProtection="1">
      <alignment horizontal="center"/>
      <protection hidden="1"/>
    </xf>
    <xf numFmtId="0" fontId="7" fillId="0" borderId="8" xfId="211" applyFont="1" applyBorder="1" applyProtection="1">
      <protection hidden="1"/>
    </xf>
    <xf numFmtId="0" fontId="7" fillId="2" borderId="8" xfId="211" applyFont="1" applyFill="1" applyBorder="1" applyProtection="1">
      <protection hidden="1"/>
    </xf>
    <xf numFmtId="0" fontId="13" fillId="2" borderId="0" xfId="211" applyFont="1" applyFill="1" applyProtection="1">
      <protection hidden="1"/>
    </xf>
    <xf numFmtId="0" fontId="1" fillId="2" borderId="0" xfId="211" applyFont="1" applyFill="1" applyAlignment="1" applyProtection="1">
      <alignment horizontal="center"/>
      <protection hidden="1"/>
    </xf>
    <xf numFmtId="0" fontId="37" fillId="2" borderId="0" xfId="211" applyFont="1" applyFill="1" applyAlignment="1" applyProtection="1">
      <alignment vertical="top" wrapText="1"/>
      <protection hidden="1"/>
    </xf>
    <xf numFmtId="0" fontId="2" fillId="0" borderId="0" xfId="214" applyFont="1"/>
    <xf numFmtId="0" fontId="38" fillId="0" borderId="0" xfId="7"/>
    <xf numFmtId="0" fontId="40" fillId="2" borderId="0" xfId="16" applyFont="1" applyFill="1" applyProtection="1">
      <protection hidden="1"/>
    </xf>
    <xf numFmtId="0" fontId="2" fillId="2" borderId="0" xfId="212" applyFont="1" applyFill="1" applyProtection="1">
      <protection hidden="1"/>
    </xf>
    <xf numFmtId="14" fontId="41" fillId="2" borderId="0" xfId="214" applyNumberFormat="1" applyFont="1" applyFill="1" applyAlignment="1" applyProtection="1">
      <alignment horizontal="left"/>
      <protection hidden="1"/>
    </xf>
    <xf numFmtId="0" fontId="42" fillId="2" borderId="0" xfId="16" applyFont="1" applyFill="1" applyProtection="1">
      <protection hidden="1"/>
    </xf>
    <xf numFmtId="49" fontId="43" fillId="2" borderId="0" xfId="49" applyNumberFormat="1" applyFont="1" applyFill="1" applyProtection="1">
      <protection hidden="1"/>
    </xf>
    <xf numFmtId="0" fontId="38" fillId="2" borderId="8" xfId="7" applyFill="1" applyBorder="1" applyAlignment="1" applyProtection="1">
      <alignment vertical="center" wrapText="1"/>
      <protection hidden="1"/>
    </xf>
    <xf numFmtId="0" fontId="38" fillId="2" borderId="8" xfId="7" applyFill="1" applyBorder="1" applyAlignment="1" applyProtection="1">
      <alignment horizontal="center" vertical="center" wrapText="1"/>
      <protection hidden="1"/>
    </xf>
    <xf numFmtId="0" fontId="38" fillId="2" borderId="8" xfId="7" applyFill="1" applyBorder="1" applyProtection="1">
      <protection hidden="1"/>
    </xf>
    <xf numFmtId="0" fontId="38" fillId="2" borderId="8" xfId="7" applyFill="1" applyBorder="1" applyAlignment="1" applyProtection="1">
      <alignment horizontal="center"/>
      <protection hidden="1"/>
    </xf>
    <xf numFmtId="0" fontId="38" fillId="2" borderId="0" xfId="7" applyFill="1" applyProtection="1">
      <protection hidden="1"/>
    </xf>
    <xf numFmtId="0" fontId="0" fillId="3" borderId="4" xfId="49" applyFont="1" applyFill="1" applyBorder="1" applyProtection="1">
      <protection hidden="1"/>
    </xf>
    <xf numFmtId="0" fontId="0" fillId="2" borderId="18" xfId="49" applyFont="1" applyFill="1" applyBorder="1" applyProtection="1">
      <protection hidden="1"/>
    </xf>
    <xf numFmtId="0" fontId="0" fillId="2" borderId="0" xfId="49" applyFont="1" applyFill="1" applyProtection="1">
      <protection hidden="1"/>
    </xf>
    <xf numFmtId="0" fontId="43" fillId="2" borderId="0" xfId="7" applyFont="1" applyFill="1" applyProtection="1">
      <protection hidden="1"/>
    </xf>
    <xf numFmtId="0" fontId="2" fillId="2" borderId="0" xfId="212" applyFont="1" applyFill="1"/>
    <xf numFmtId="0" fontId="38" fillId="3" borderId="0" xfId="7" applyFill="1" applyProtection="1">
      <protection locked="0"/>
    </xf>
    <xf numFmtId="0" fontId="38" fillId="2" borderId="0" xfId="7" applyFill="1"/>
    <xf numFmtId="168" fontId="38" fillId="7" borderId="0" xfId="7" applyNumberFormat="1" applyFill="1"/>
    <xf numFmtId="2" fontId="0" fillId="2" borderId="19" xfId="0" applyNumberFormat="1" applyFill="1" applyBorder="1" applyProtection="1">
      <protection hidden="1"/>
    </xf>
    <xf numFmtId="2" fontId="38" fillId="2" borderId="20" xfId="7" applyNumberFormat="1" applyFill="1" applyBorder="1" applyProtection="1">
      <protection hidden="1"/>
    </xf>
    <xf numFmtId="168" fontId="38" fillId="7" borderId="0" xfId="7" applyNumberFormat="1" applyFill="1" applyProtection="1">
      <protection hidden="1"/>
    </xf>
    <xf numFmtId="0" fontId="38" fillId="0" borderId="0" xfId="7" applyProtection="1">
      <protection hidden="1"/>
    </xf>
    <xf numFmtId="0" fontId="43" fillId="2" borderId="0" xfId="7" applyFont="1" applyFill="1" applyAlignment="1" applyProtection="1">
      <alignment wrapText="1"/>
      <protection hidden="1"/>
    </xf>
    <xf numFmtId="11" fontId="38" fillId="2" borderId="0" xfId="7" applyNumberFormat="1" applyFill="1" applyProtection="1">
      <protection hidden="1"/>
    </xf>
    <xf numFmtId="2" fontId="38" fillId="2" borderId="19" xfId="7" applyNumberFormat="1" applyFill="1" applyBorder="1" applyProtection="1">
      <protection hidden="1"/>
    </xf>
    <xf numFmtId="2" fontId="38" fillId="2" borderId="21" xfId="7" applyNumberFormat="1" applyFill="1" applyBorder="1" applyProtection="1">
      <protection hidden="1"/>
    </xf>
    <xf numFmtId="2" fontId="38" fillId="2" borderId="0" xfId="7" applyNumberFormat="1" applyFill="1" applyProtection="1">
      <protection hidden="1"/>
    </xf>
    <xf numFmtId="1" fontId="38" fillId="2" borderId="0" xfId="7" applyNumberFormat="1" applyFill="1" applyProtection="1">
      <protection hidden="1"/>
    </xf>
    <xf numFmtId="0" fontId="43" fillId="2" borderId="0" xfId="212" applyFont="1" applyFill="1" applyProtection="1">
      <protection locked="0"/>
    </xf>
    <xf numFmtId="0" fontId="2" fillId="2" borderId="0" xfId="214" applyFont="1" applyFill="1" applyProtection="1">
      <protection hidden="1"/>
    </xf>
    <xf numFmtId="0" fontId="44" fillId="2" borderId="0" xfId="214" applyFont="1" applyFill="1" applyAlignment="1" applyProtection="1">
      <alignment horizontal="right"/>
      <protection hidden="1"/>
    </xf>
    <xf numFmtId="0" fontId="2" fillId="2" borderId="0" xfId="214" applyFont="1" applyFill="1"/>
    <xf numFmtId="0" fontId="2" fillId="0" borderId="0" xfId="0" applyFont="1"/>
    <xf numFmtId="2" fontId="2" fillId="0" borderId="0" xfId="0" applyNumberFormat="1" applyFont="1"/>
    <xf numFmtId="2" fontId="2" fillId="2" borderId="0" xfId="0" applyNumberFormat="1" applyFont="1" applyFill="1" applyProtection="1">
      <protection hidden="1"/>
    </xf>
    <xf numFmtId="0" fontId="4" fillId="2" borderId="0" xfId="99" applyFont="1" applyFill="1" applyProtection="1">
      <protection hidden="1"/>
    </xf>
    <xf numFmtId="0" fontId="7" fillId="2" borderId="0" xfId="49" applyFill="1" applyAlignment="1" applyProtection="1">
      <alignment horizontal="centerContinuous"/>
      <protection hidden="1"/>
    </xf>
    <xf numFmtId="0" fontId="29" fillId="2" borderId="0" xfId="49" applyFont="1" applyFill="1" applyProtection="1">
      <protection hidden="1"/>
    </xf>
    <xf numFmtId="2" fontId="29" fillId="2" borderId="0" xfId="49" applyNumberFormat="1" applyFont="1" applyFill="1" applyProtection="1">
      <protection hidden="1"/>
    </xf>
    <xf numFmtId="0" fontId="4" fillId="2" borderId="0" xfId="99" applyFont="1" applyFill="1" applyAlignment="1" applyProtection="1">
      <alignment horizontal="center"/>
      <protection hidden="1"/>
    </xf>
    <xf numFmtId="0" fontId="1" fillId="2" borderId="0" xfId="49" applyFont="1" applyFill="1" applyAlignment="1" applyProtection="1">
      <alignment horizontal="centerContinuous"/>
      <protection hidden="1"/>
    </xf>
    <xf numFmtId="0" fontId="1" fillId="2" borderId="0" xfId="49" applyFont="1" applyFill="1" applyAlignment="1" applyProtection="1">
      <alignment horizontal="centerContinuous" vertical="top"/>
      <protection hidden="1"/>
    </xf>
    <xf numFmtId="0" fontId="45" fillId="2" borderId="0" xfId="49" applyFont="1" applyFill="1" applyProtection="1">
      <protection hidden="1"/>
    </xf>
    <xf numFmtId="0" fontId="7" fillId="0" borderId="0" xfId="0" applyFont="1" applyAlignment="1" applyProtection="1">
      <alignment horizontal="left"/>
      <protection hidden="1"/>
    </xf>
    <xf numFmtId="167" fontId="7" fillId="2" borderId="22" xfId="49" applyNumberFormat="1" applyFill="1" applyBorder="1" applyProtection="1">
      <protection hidden="1"/>
    </xf>
    <xf numFmtId="0" fontId="11" fillId="2" borderId="2" xfId="6" applyFont="1" applyFill="1" applyBorder="1" applyAlignment="1" applyProtection="1">
      <alignment horizontal="left"/>
      <protection hidden="1"/>
    </xf>
    <xf numFmtId="167" fontId="7" fillId="2" borderId="24" xfId="49" applyNumberFormat="1" applyFill="1" applyBorder="1" applyProtection="1">
      <protection hidden="1"/>
    </xf>
    <xf numFmtId="0" fontId="11" fillId="2" borderId="10" xfId="6" applyFont="1" applyFill="1" applyBorder="1" applyAlignment="1" applyProtection="1">
      <alignment horizontal="left"/>
      <protection hidden="1"/>
    </xf>
    <xf numFmtId="2" fontId="7" fillId="2" borderId="25" xfId="0" applyNumberFormat="1" applyFont="1" applyFill="1" applyBorder="1" applyAlignment="1" applyProtection="1">
      <alignment horizontal="right"/>
      <protection hidden="1"/>
    </xf>
    <xf numFmtId="0" fontId="49" fillId="2" borderId="12" xfId="49" applyFont="1" applyFill="1" applyBorder="1" applyProtection="1">
      <protection hidden="1"/>
    </xf>
    <xf numFmtId="0" fontId="7" fillId="3" borderId="26" xfId="0" applyFont="1" applyFill="1" applyBorder="1" applyProtection="1">
      <protection locked="0"/>
    </xf>
    <xf numFmtId="0" fontId="11" fillId="0" borderId="13" xfId="6" applyFont="1" applyBorder="1" applyAlignment="1" applyProtection="1">
      <protection hidden="1"/>
    </xf>
    <xf numFmtId="0" fontId="11" fillId="2" borderId="12" xfId="6" applyFont="1" applyFill="1" applyBorder="1" applyAlignment="1" applyProtection="1">
      <alignment horizontal="left"/>
      <protection hidden="1"/>
    </xf>
    <xf numFmtId="0" fontId="50" fillId="0" borderId="0" xfId="0" applyFont="1" applyProtection="1">
      <protection hidden="1"/>
    </xf>
    <xf numFmtId="0" fontId="7" fillId="2" borderId="0" xfId="49" applyFill="1" applyAlignment="1" applyProtection="1">
      <alignment vertical="top" wrapText="1"/>
      <protection hidden="1"/>
    </xf>
    <xf numFmtId="0" fontId="7" fillId="0" borderId="4" xfId="0" applyFont="1" applyBorder="1" applyAlignment="1" applyProtection="1">
      <alignment horizontal="center"/>
      <protection hidden="1"/>
    </xf>
    <xf numFmtId="2" fontId="7" fillId="2" borderId="0" xfId="49" applyNumberFormat="1" applyFill="1" applyProtection="1">
      <protection hidden="1"/>
    </xf>
    <xf numFmtId="0" fontId="7" fillId="2" borderId="7" xfId="49" applyFill="1" applyBorder="1" applyAlignment="1" applyProtection="1">
      <alignment horizontal="center" vertical="top"/>
      <protection hidden="1"/>
    </xf>
    <xf numFmtId="0" fontId="7" fillId="2" borderId="0" xfId="49" applyFill="1" applyAlignment="1" applyProtection="1">
      <alignment vertical="top"/>
      <protection hidden="1"/>
    </xf>
    <xf numFmtId="0" fontId="7" fillId="3" borderId="4" xfId="49" applyFill="1" applyBorder="1" applyAlignment="1" applyProtection="1">
      <alignment horizontal="center"/>
      <protection locked="0"/>
    </xf>
    <xf numFmtId="9" fontId="7" fillId="3" borderId="9" xfId="49" applyNumberFormat="1" applyFill="1" applyBorder="1" applyAlignment="1" applyProtection="1">
      <alignment horizontal="center"/>
      <protection locked="0"/>
    </xf>
    <xf numFmtId="0" fontId="7" fillId="0" borderId="2" xfId="49" applyBorder="1" applyProtection="1">
      <protection hidden="1"/>
    </xf>
    <xf numFmtId="0" fontId="7" fillId="0" borderId="9" xfId="49" applyBorder="1" applyAlignment="1" applyProtection="1">
      <alignment horizontal="center"/>
      <protection hidden="1"/>
    </xf>
    <xf numFmtId="0" fontId="7" fillId="3" borderId="16" xfId="49" applyFill="1" applyBorder="1" applyAlignment="1" applyProtection="1">
      <alignment horizontal="center"/>
      <protection locked="0"/>
    </xf>
    <xf numFmtId="9" fontId="7" fillId="3" borderId="0" xfId="49" applyNumberFormat="1" applyFill="1" applyAlignment="1" applyProtection="1">
      <alignment horizontal="center"/>
      <protection locked="0"/>
    </xf>
    <xf numFmtId="0" fontId="7" fillId="0" borderId="10" xfId="49" applyBorder="1" applyProtection="1">
      <protection hidden="1"/>
    </xf>
    <xf numFmtId="0" fontId="7" fillId="0" borderId="0" xfId="49" applyAlignment="1" applyProtection="1">
      <alignment horizontal="center"/>
      <protection hidden="1"/>
    </xf>
    <xf numFmtId="0" fontId="15" fillId="0" borderId="10" xfId="49" applyFont="1" applyBorder="1" applyProtection="1">
      <protection hidden="1"/>
    </xf>
    <xf numFmtId="9" fontId="7" fillId="3" borderId="15" xfId="49" applyNumberFormat="1" applyFill="1" applyBorder="1" applyAlignment="1" applyProtection="1">
      <alignment horizontal="center"/>
      <protection locked="0"/>
    </xf>
    <xf numFmtId="0" fontId="2" fillId="2" borderId="0" xfId="49" applyFont="1" applyFill="1" applyAlignment="1" applyProtection="1">
      <alignment horizontal="centerContinuous"/>
      <protection hidden="1"/>
    </xf>
    <xf numFmtId="0" fontId="7" fillId="3" borderId="0" xfId="49" applyFill="1" applyProtection="1">
      <protection locked="0"/>
    </xf>
    <xf numFmtId="169" fontId="7" fillId="2" borderId="0" xfId="49" applyNumberFormat="1" applyFill="1" applyProtection="1">
      <protection hidden="1"/>
    </xf>
    <xf numFmtId="0" fontId="7" fillId="3" borderId="7" xfId="49" applyFill="1" applyBorder="1" applyProtection="1">
      <protection locked="0"/>
    </xf>
    <xf numFmtId="167" fontId="57" fillId="2" borderId="4" xfId="0" applyNumberFormat="1" applyFont="1" applyFill="1" applyBorder="1" applyAlignment="1" applyProtection="1">
      <alignment horizontal="right"/>
      <protection hidden="1"/>
    </xf>
    <xf numFmtId="167" fontId="57" fillId="2" borderId="7" xfId="49" applyNumberFormat="1" applyFont="1" applyFill="1" applyBorder="1" applyAlignment="1" applyProtection="1">
      <alignment horizontal="right"/>
      <protection hidden="1"/>
    </xf>
    <xf numFmtId="0" fontId="7" fillId="0" borderId="1" xfId="0" applyFont="1" applyBorder="1" applyProtection="1">
      <protection hidden="1"/>
    </xf>
    <xf numFmtId="0" fontId="7" fillId="2" borderId="1" xfId="0" applyFont="1" applyFill="1" applyBorder="1" applyProtection="1">
      <protection hidden="1"/>
    </xf>
    <xf numFmtId="0" fontId="7" fillId="2" borderId="33" xfId="218" applyFont="1" applyFill="1" applyBorder="1" applyProtection="1">
      <protection hidden="1"/>
    </xf>
    <xf numFmtId="0" fontId="7" fillId="2" borderId="34" xfId="218" applyFont="1" applyFill="1" applyBorder="1" applyProtection="1">
      <protection hidden="1"/>
    </xf>
    <xf numFmtId="0" fontId="21" fillId="2" borderId="11" xfId="49" applyFont="1" applyFill="1" applyBorder="1" applyProtection="1">
      <protection hidden="1"/>
    </xf>
    <xf numFmtId="0" fontId="1" fillId="2" borderId="0" xfId="0" applyFont="1" applyFill="1" applyProtection="1">
      <protection hidden="1"/>
    </xf>
    <xf numFmtId="1" fontId="7" fillId="2" borderId="11" xfId="0" applyNumberFormat="1" applyFont="1" applyFill="1" applyBorder="1" applyProtection="1">
      <protection hidden="1"/>
    </xf>
    <xf numFmtId="0" fontId="11" fillId="0" borderId="6" xfId="6" applyFont="1" applyBorder="1" applyAlignment="1" applyProtection="1">
      <alignment horizontal="left"/>
      <protection hidden="1"/>
    </xf>
    <xf numFmtId="2" fontId="7" fillId="2" borderId="4" xfId="0" applyNumberFormat="1" applyFont="1" applyFill="1" applyBorder="1" applyProtection="1">
      <protection hidden="1"/>
    </xf>
    <xf numFmtId="2" fontId="7" fillId="2" borderId="7" xfId="0" applyNumberFormat="1" applyFont="1" applyFill="1" applyBorder="1" applyProtection="1">
      <protection hidden="1"/>
    </xf>
    <xf numFmtId="0" fontId="11" fillId="0" borderId="0" xfId="6" applyFont="1" applyAlignment="1" applyProtection="1">
      <alignment horizontal="right"/>
      <protection hidden="1"/>
    </xf>
    <xf numFmtId="0" fontId="31" fillId="2" borderId="0" xfId="49" applyFont="1" applyFill="1" applyProtection="1">
      <protection hidden="1"/>
    </xf>
    <xf numFmtId="1" fontId="59" fillId="2" borderId="16" xfId="49" applyNumberFormat="1" applyFont="1" applyFill="1" applyBorder="1" applyProtection="1">
      <protection hidden="1"/>
    </xf>
    <xf numFmtId="2" fontId="31" fillId="2" borderId="16" xfId="49" applyNumberFormat="1" applyFont="1" applyFill="1" applyBorder="1" applyProtection="1">
      <protection hidden="1"/>
    </xf>
    <xf numFmtId="2" fontId="7" fillId="2" borderId="16" xfId="49" applyNumberFormat="1" applyFill="1" applyBorder="1" applyProtection="1">
      <protection hidden="1"/>
    </xf>
    <xf numFmtId="167" fontId="7" fillId="2" borderId="16" xfId="49" applyNumberFormat="1" applyFill="1" applyBorder="1" applyProtection="1">
      <protection hidden="1"/>
    </xf>
    <xf numFmtId="0" fontId="9" fillId="3" borderId="0" xfId="99" applyFont="1" applyFill="1" applyProtection="1">
      <protection hidden="1"/>
    </xf>
    <xf numFmtId="0" fontId="7" fillId="4" borderId="0" xfId="49" applyFill="1" applyProtection="1">
      <protection hidden="1"/>
    </xf>
    <xf numFmtId="0" fontId="7" fillId="5" borderId="0" xfId="49" applyFill="1" applyAlignment="1" applyProtection="1">
      <alignment horizontal="left"/>
      <protection hidden="1"/>
    </xf>
    <xf numFmtId="2" fontId="7" fillId="9" borderId="0" xfId="49" applyNumberFormat="1" applyFill="1" applyProtection="1">
      <protection hidden="1"/>
    </xf>
    <xf numFmtId="0" fontId="7" fillId="10" borderId="0" xfId="0" applyFont="1" applyFill="1" applyAlignment="1" applyProtection="1">
      <alignment wrapText="1"/>
      <protection hidden="1"/>
    </xf>
    <xf numFmtId="0" fontId="15" fillId="11" borderId="0" xfId="0" applyFont="1" applyFill="1" applyAlignment="1" applyProtection="1">
      <alignment wrapText="1"/>
      <protection hidden="1"/>
    </xf>
    <xf numFmtId="0" fontId="7" fillId="2" borderId="9" xfId="49" applyFill="1" applyBorder="1" applyProtection="1">
      <protection hidden="1"/>
    </xf>
    <xf numFmtId="0" fontId="36" fillId="12" borderId="3" xfId="49" applyFont="1" applyFill="1" applyBorder="1" applyProtection="1">
      <protection hidden="1"/>
    </xf>
    <xf numFmtId="0" fontId="60" fillId="2" borderId="0" xfId="49" applyFont="1" applyFill="1" applyAlignment="1" applyProtection="1">
      <alignment horizontal="left" wrapText="1"/>
      <protection hidden="1"/>
    </xf>
    <xf numFmtId="0" fontId="7" fillId="2" borderId="32" xfId="49" applyFill="1" applyBorder="1" applyAlignment="1" applyProtection="1">
      <alignment vertical="center"/>
      <protection hidden="1"/>
    </xf>
    <xf numFmtId="0" fontId="7" fillId="2" borderId="32" xfId="49" applyFill="1" applyBorder="1" applyProtection="1">
      <protection hidden="1"/>
    </xf>
    <xf numFmtId="0" fontId="7" fillId="2" borderId="35" xfId="49" applyFill="1" applyBorder="1" applyProtection="1">
      <protection hidden="1"/>
    </xf>
    <xf numFmtId="0" fontId="54" fillId="2" borderId="0" xfId="49" applyFont="1" applyFill="1" applyProtection="1">
      <protection hidden="1"/>
    </xf>
    <xf numFmtId="0" fontId="31" fillId="2" borderId="1" xfId="49" applyFont="1" applyFill="1" applyBorder="1" applyAlignment="1" applyProtection="1">
      <alignment horizontal="center"/>
      <protection hidden="1"/>
    </xf>
    <xf numFmtId="1" fontId="31" fillId="2" borderId="1" xfId="49" applyNumberFormat="1" applyFont="1" applyFill="1" applyBorder="1" applyAlignment="1" applyProtection="1">
      <alignment horizontal="center"/>
      <protection hidden="1"/>
    </xf>
    <xf numFmtId="167" fontId="31" fillId="2" borderId="1" xfId="49" applyNumberFormat="1" applyFont="1" applyFill="1" applyBorder="1" applyAlignment="1" applyProtection="1">
      <alignment horizontal="center"/>
      <protection hidden="1"/>
    </xf>
    <xf numFmtId="0" fontId="31" fillId="2" borderId="37" xfId="49" applyFont="1" applyFill="1" applyBorder="1" applyAlignment="1" applyProtection="1">
      <alignment horizontal="center"/>
      <protection hidden="1"/>
    </xf>
    <xf numFmtId="167" fontId="31" fillId="2" borderId="38" xfId="49" applyNumberFormat="1" applyFont="1" applyFill="1" applyBorder="1" applyAlignment="1" applyProtection="1">
      <alignment horizontal="center"/>
      <protection hidden="1"/>
    </xf>
    <xf numFmtId="2" fontId="31" fillId="2" borderId="38" xfId="49" applyNumberFormat="1" applyFont="1" applyFill="1" applyBorder="1" applyAlignment="1" applyProtection="1">
      <alignment horizontal="center"/>
      <protection hidden="1"/>
    </xf>
    <xf numFmtId="0" fontId="31" fillId="0" borderId="1" xfId="49" applyFont="1" applyBorder="1" applyAlignment="1" applyProtection="1">
      <alignment horizontal="center"/>
      <protection hidden="1"/>
    </xf>
    <xf numFmtId="1" fontId="31" fillId="0" borderId="1" xfId="49" applyNumberFormat="1" applyFont="1" applyBorder="1" applyAlignment="1" applyProtection="1">
      <alignment horizontal="center"/>
      <protection hidden="1"/>
    </xf>
    <xf numFmtId="1" fontId="31" fillId="0" borderId="1" xfId="49" applyNumberFormat="1" applyFont="1" applyBorder="1" applyAlignment="1" applyProtection="1">
      <alignment horizontal="center" wrapText="1"/>
      <protection hidden="1"/>
    </xf>
    <xf numFmtId="2" fontId="31" fillId="0" borderId="1" xfId="49" applyNumberFormat="1" applyFont="1" applyBorder="1" applyAlignment="1" applyProtection="1">
      <alignment horizontal="center"/>
      <protection hidden="1"/>
    </xf>
    <xf numFmtId="2" fontId="31" fillId="2" borderId="1" xfId="49" applyNumberFormat="1" applyFont="1" applyFill="1" applyBorder="1" applyAlignment="1" applyProtection="1">
      <alignment horizontal="center"/>
      <protection hidden="1"/>
    </xf>
    <xf numFmtId="170" fontId="31" fillId="0" borderId="1" xfId="49" applyNumberFormat="1" applyFont="1" applyBorder="1" applyAlignment="1" applyProtection="1">
      <alignment horizontal="center"/>
      <protection hidden="1"/>
    </xf>
    <xf numFmtId="0" fontId="31" fillId="6" borderId="1" xfId="49" applyFont="1" applyFill="1" applyBorder="1" applyProtection="1">
      <protection hidden="1"/>
    </xf>
    <xf numFmtId="166" fontId="31" fillId="0" borderId="1" xfId="49" applyNumberFormat="1" applyFont="1" applyBorder="1" applyAlignment="1" applyProtection="1">
      <alignment horizontal="center"/>
      <protection hidden="1"/>
    </xf>
    <xf numFmtId="1" fontId="7" fillId="13" borderId="1" xfId="49" applyNumberFormat="1" applyFill="1" applyBorder="1" applyProtection="1">
      <protection hidden="1"/>
    </xf>
    <xf numFmtId="0" fontId="7" fillId="13" borderId="1" xfId="49" applyFill="1" applyBorder="1" applyProtection="1">
      <protection hidden="1"/>
    </xf>
    <xf numFmtId="0" fontId="2" fillId="0" borderId="34" xfId="0" applyFont="1" applyBorder="1" applyProtection="1">
      <protection hidden="1"/>
    </xf>
    <xf numFmtId="0" fontId="61" fillId="2" borderId="0" xfId="49" applyFont="1" applyFill="1" applyAlignment="1" applyProtection="1">
      <alignment wrapText="1"/>
      <protection hidden="1"/>
    </xf>
    <xf numFmtId="0" fontId="16" fillId="0" borderId="15" xfId="49" applyFont="1" applyBorder="1" applyProtection="1">
      <protection hidden="1"/>
    </xf>
    <xf numFmtId="0" fontId="7" fillId="2" borderId="0" xfId="49" applyFill="1" applyProtection="1">
      <protection hidden="1"/>
    </xf>
    <xf numFmtId="0" fontId="60" fillId="2" borderId="0" xfId="49" applyFont="1" applyFill="1" applyAlignment="1" applyProtection="1">
      <alignment horizontal="center" wrapText="1"/>
      <protection hidden="1"/>
    </xf>
    <xf numFmtId="0" fontId="7" fillId="2" borderId="39" xfId="49" applyFill="1" applyBorder="1" applyAlignment="1" applyProtection="1">
      <alignment horizontal="center"/>
      <protection hidden="1"/>
    </xf>
    <xf numFmtId="0" fontId="62" fillId="2" borderId="0" xfId="49" applyFont="1" applyFill="1" applyAlignment="1" applyProtection="1">
      <alignment horizontal="center" wrapText="1"/>
      <protection hidden="1"/>
    </xf>
    <xf numFmtId="167" fontId="7" fillId="2" borderId="15" xfId="49" applyNumberFormat="1" applyFill="1" applyBorder="1" applyProtection="1">
      <protection hidden="1"/>
    </xf>
    <xf numFmtId="0" fontId="7" fillId="3" borderId="39" xfId="49" applyFill="1" applyBorder="1" applyAlignment="1" applyProtection="1">
      <alignment horizontal="center"/>
      <protection locked="0"/>
    </xf>
    <xf numFmtId="0" fontId="59" fillId="2" borderId="15" xfId="49" applyFont="1" applyFill="1" applyBorder="1" applyProtection="1">
      <protection hidden="1"/>
    </xf>
    <xf numFmtId="167" fontId="7" fillId="2" borderId="15" xfId="49" applyNumberFormat="1" applyFill="1" applyBorder="1" applyAlignment="1" applyProtection="1">
      <alignment wrapText="1"/>
      <protection hidden="1"/>
    </xf>
    <xf numFmtId="167" fontId="7" fillId="2" borderId="8" xfId="49" applyNumberFormat="1" applyFill="1" applyBorder="1" applyAlignment="1" applyProtection="1">
      <alignment horizontal="center"/>
      <protection hidden="1"/>
    </xf>
    <xf numFmtId="0" fontId="15" fillId="2" borderId="0" xfId="49" applyFont="1" applyFill="1" applyAlignment="1" applyProtection="1">
      <alignment horizontal="center"/>
      <protection hidden="1"/>
    </xf>
    <xf numFmtId="0" fontId="7" fillId="2" borderId="44" xfId="49" applyFill="1" applyBorder="1" applyAlignment="1" applyProtection="1">
      <alignment horizontal="left"/>
      <protection hidden="1"/>
    </xf>
    <xf numFmtId="0" fontId="7" fillId="2" borderId="0" xfId="0" applyFont="1" applyFill="1" applyAlignment="1" applyProtection="1">
      <alignment wrapText="1"/>
      <protection hidden="1"/>
    </xf>
    <xf numFmtId="0" fontId="59" fillId="0" borderId="0" xfId="49" applyFont="1" applyProtection="1">
      <protection locked="0"/>
    </xf>
    <xf numFmtId="0" fontId="31" fillId="0" borderId="0" xfId="49" applyFont="1" applyProtection="1">
      <protection locked="0"/>
    </xf>
    <xf numFmtId="0" fontId="31" fillId="0" borderId="0" xfId="49" applyFont="1" applyAlignment="1" applyProtection="1">
      <alignment horizontal="right"/>
      <protection locked="0"/>
    </xf>
    <xf numFmtId="0" fontId="31" fillId="4" borderId="0" xfId="49" applyFont="1" applyFill="1" applyProtection="1">
      <protection locked="0"/>
    </xf>
    <xf numFmtId="0" fontId="59" fillId="0" borderId="0" xfId="0" applyFont="1" applyProtection="1">
      <protection locked="0"/>
    </xf>
    <xf numFmtId="0" fontId="31" fillId="4" borderId="0" xfId="49" applyFont="1" applyFill="1" applyAlignment="1" applyProtection="1">
      <alignment horizontal="right"/>
      <protection locked="0"/>
    </xf>
    <xf numFmtId="0" fontId="7" fillId="0" borderId="0" xfId="0" applyFont="1" applyProtection="1">
      <protection locked="0"/>
    </xf>
    <xf numFmtId="0" fontId="59" fillId="0" borderId="0" xfId="49" applyFont="1" applyAlignment="1" applyProtection="1">
      <alignment horizontal="left"/>
      <protection locked="0"/>
    </xf>
    <xf numFmtId="0" fontId="12" fillId="2" borderId="0" xfId="49" applyFont="1" applyFill="1" applyAlignment="1" applyProtection="1">
      <alignment horizontal="center"/>
      <protection hidden="1"/>
    </xf>
    <xf numFmtId="0" fontId="15" fillId="0" borderId="0" xfId="49" applyFont="1" applyAlignment="1" applyProtection="1">
      <alignment horizontal="left"/>
      <protection locked="0"/>
    </xf>
    <xf numFmtId="0" fontId="64" fillId="0" borderId="0" xfId="49" applyFont="1" applyAlignment="1" applyProtection="1">
      <alignment horizontal="left"/>
      <protection locked="0"/>
    </xf>
    <xf numFmtId="0" fontId="65" fillId="2" borderId="0" xfId="49" applyFont="1" applyFill="1" applyProtection="1">
      <protection hidden="1"/>
    </xf>
    <xf numFmtId="0" fontId="15" fillId="14" borderId="0" xfId="49" applyFont="1" applyFill="1" applyAlignment="1" applyProtection="1">
      <alignment horizontal="center"/>
      <protection hidden="1"/>
    </xf>
    <xf numFmtId="0" fontId="2" fillId="0" borderId="48" xfId="0" applyFont="1" applyBorder="1" applyProtection="1">
      <protection hidden="1"/>
    </xf>
    <xf numFmtId="0" fontId="31" fillId="14" borderId="48" xfId="49" applyFont="1" applyFill="1" applyBorder="1" applyAlignment="1" applyProtection="1">
      <alignment horizontal="center"/>
      <protection hidden="1"/>
    </xf>
    <xf numFmtId="0" fontId="31" fillId="0" borderId="49" xfId="49" applyFont="1" applyBorder="1" applyProtection="1">
      <protection hidden="1"/>
    </xf>
    <xf numFmtId="169" fontId="31" fillId="0" borderId="0" xfId="49" applyNumberFormat="1" applyFont="1" applyProtection="1">
      <protection locked="0"/>
    </xf>
    <xf numFmtId="0" fontId="15" fillId="0" borderId="0" xfId="49" applyFont="1" applyAlignment="1" applyProtection="1">
      <alignment horizontal="center"/>
      <protection hidden="1"/>
    </xf>
    <xf numFmtId="169" fontId="31" fillId="4" borderId="0" xfId="49" applyNumberFormat="1" applyFont="1" applyFill="1" applyProtection="1">
      <protection locked="0"/>
    </xf>
    <xf numFmtId="169" fontId="7" fillId="0" borderId="0" xfId="0" applyNumberFormat="1" applyFont="1" applyProtection="1">
      <protection locked="0"/>
    </xf>
    <xf numFmtId="0" fontId="31" fillId="15" borderId="0" xfId="49" applyFont="1" applyFill="1" applyAlignment="1" applyProtection="1">
      <alignment horizontal="right"/>
      <protection locked="0"/>
    </xf>
    <xf numFmtId="169" fontId="2" fillId="0" borderId="0" xfId="0" applyNumberFormat="1" applyFont="1" applyProtection="1">
      <protection locked="0"/>
    </xf>
    <xf numFmtId="0" fontId="15" fillId="0" borderId="0" xfId="49" applyFont="1" applyAlignment="1" applyProtection="1">
      <alignment horizontal="center"/>
      <protection locked="0"/>
    </xf>
    <xf numFmtId="0" fontId="31" fillId="14" borderId="0" xfId="49" applyFont="1" applyFill="1" applyAlignment="1" applyProtection="1">
      <alignment horizontal="center"/>
      <protection hidden="1"/>
    </xf>
    <xf numFmtId="167" fontId="31" fillId="14" borderId="0" xfId="49" applyNumberFormat="1" applyFont="1" applyFill="1" applyAlignment="1" applyProtection="1">
      <alignment horizontal="center"/>
      <protection hidden="1"/>
    </xf>
    <xf numFmtId="0" fontId="2" fillId="0" borderId="50" xfId="0" applyFont="1" applyBorder="1" applyProtection="1">
      <protection hidden="1"/>
    </xf>
    <xf numFmtId="0" fontId="31" fillId="14" borderId="50" xfId="49" applyFont="1" applyFill="1" applyBorder="1" applyAlignment="1" applyProtection="1">
      <alignment horizontal="center"/>
      <protection hidden="1"/>
    </xf>
    <xf numFmtId="167" fontId="31" fillId="0" borderId="0" xfId="49" applyNumberFormat="1" applyFont="1" applyProtection="1">
      <protection locked="0"/>
    </xf>
    <xf numFmtId="0" fontId="66" fillId="2" borderId="0" xfId="49" applyFont="1" applyFill="1" applyAlignment="1" applyProtection="1">
      <alignment horizontal="center"/>
      <protection hidden="1"/>
    </xf>
    <xf numFmtId="0" fontId="67" fillId="2" borderId="0" xfId="99" applyFont="1" applyFill="1" applyProtection="1">
      <protection hidden="1"/>
    </xf>
    <xf numFmtId="2" fontId="7" fillId="2" borderId="0" xfId="49" applyNumberFormat="1" applyFill="1" applyAlignment="1" applyProtection="1">
      <alignment horizontal="center"/>
      <protection hidden="1"/>
    </xf>
    <xf numFmtId="0" fontId="15" fillId="0" borderId="0" xfId="49" applyFont="1" applyAlignment="1" applyProtection="1">
      <alignment horizontal="right"/>
      <protection hidden="1"/>
    </xf>
    <xf numFmtId="0" fontId="7" fillId="3" borderId="55" xfId="49" applyFill="1" applyBorder="1" applyAlignment="1" applyProtection="1">
      <alignment horizontal="center"/>
      <protection locked="0"/>
    </xf>
    <xf numFmtId="0" fontId="7" fillId="0" borderId="15" xfId="49" applyBorder="1" applyProtection="1">
      <protection hidden="1"/>
    </xf>
    <xf numFmtId="2" fontId="59" fillId="2" borderId="0" xfId="49" applyNumberFormat="1" applyFont="1" applyFill="1" applyAlignment="1" applyProtection="1">
      <alignment horizontal="center"/>
      <protection hidden="1"/>
    </xf>
    <xf numFmtId="2" fontId="59" fillId="2" borderId="0" xfId="49" applyNumberFormat="1" applyFont="1" applyFill="1" applyAlignment="1" applyProtection="1">
      <alignment horizontal="center" vertical="top"/>
      <protection hidden="1"/>
    </xf>
    <xf numFmtId="0" fontId="15" fillId="2" borderId="5" xfId="49" applyFont="1" applyFill="1" applyBorder="1" applyAlignment="1" applyProtection="1">
      <alignment horizontal="center"/>
      <protection hidden="1"/>
    </xf>
    <xf numFmtId="171" fontId="57" fillId="3" borderId="0" xfId="49" applyNumberFormat="1" applyFont="1" applyFill="1" applyAlignment="1" applyProtection="1">
      <alignment horizontal="center"/>
      <protection locked="0"/>
    </xf>
    <xf numFmtId="167" fontId="7" fillId="2" borderId="7" xfId="49" applyNumberFormat="1" applyFill="1" applyBorder="1" applyProtection="1">
      <protection hidden="1"/>
    </xf>
    <xf numFmtId="1" fontId="7" fillId="2" borderId="10" xfId="0" applyNumberFormat="1" applyFont="1" applyFill="1" applyBorder="1" applyAlignment="1" applyProtection="1">
      <alignment horizontal="center"/>
      <protection hidden="1"/>
    </xf>
    <xf numFmtId="1" fontId="7" fillId="2" borderId="16" xfId="0" applyNumberFormat="1" applyFont="1" applyFill="1" applyBorder="1" applyAlignment="1" applyProtection="1">
      <alignment horizontal="center"/>
      <protection hidden="1"/>
    </xf>
    <xf numFmtId="1" fontId="15" fillId="2" borderId="0" xfId="49" applyNumberFormat="1" applyFont="1" applyFill="1" applyAlignment="1" applyProtection="1">
      <alignment horizontal="left"/>
      <protection hidden="1"/>
    </xf>
    <xf numFmtId="0" fontId="7" fillId="2" borderId="10" xfId="0" applyFont="1" applyFill="1" applyBorder="1" applyAlignment="1" applyProtection="1">
      <alignment horizontal="center"/>
      <protection hidden="1"/>
    </xf>
    <xf numFmtId="0" fontId="7" fillId="2" borderId="16" xfId="0" applyFont="1" applyFill="1" applyBorder="1" applyAlignment="1" applyProtection="1">
      <alignment horizontal="center"/>
      <protection hidden="1"/>
    </xf>
    <xf numFmtId="1" fontId="7" fillId="2" borderId="0" xfId="49" applyNumberFormat="1" applyFill="1" applyAlignment="1" applyProtection="1">
      <alignment horizontal="left"/>
      <protection hidden="1"/>
    </xf>
    <xf numFmtId="1" fontId="7" fillId="2" borderId="56" xfId="0" applyNumberFormat="1" applyFont="1" applyFill="1" applyBorder="1" applyAlignment="1" applyProtection="1">
      <alignment horizontal="center"/>
      <protection hidden="1"/>
    </xf>
    <xf numFmtId="1" fontId="7" fillId="2" borderId="59" xfId="0" applyNumberFormat="1" applyFont="1" applyFill="1" applyBorder="1" applyAlignment="1" applyProtection="1">
      <alignment horizontal="center"/>
      <protection hidden="1"/>
    </xf>
    <xf numFmtId="1" fontId="27" fillId="0" borderId="63" xfId="0" applyNumberFormat="1" applyFont="1" applyBorder="1" applyAlignment="1" applyProtection="1">
      <alignment horizontal="center"/>
      <protection hidden="1"/>
    </xf>
    <xf numFmtId="167" fontId="7" fillId="2" borderId="10" xfId="0" applyNumberFormat="1" applyFont="1" applyFill="1" applyBorder="1" applyAlignment="1" applyProtection="1">
      <alignment horizontal="center"/>
      <protection hidden="1"/>
    </xf>
    <xf numFmtId="167" fontId="7" fillId="2" borderId="16" xfId="0" applyNumberFormat="1" applyFont="1" applyFill="1" applyBorder="1" applyAlignment="1" applyProtection="1">
      <alignment horizontal="center"/>
      <protection hidden="1"/>
    </xf>
    <xf numFmtId="167" fontId="7" fillId="2" borderId="5" xfId="49" applyNumberFormat="1" applyFill="1" applyBorder="1" applyAlignment="1" applyProtection="1">
      <alignment horizontal="center"/>
      <protection hidden="1"/>
    </xf>
    <xf numFmtId="167" fontId="7" fillId="2" borderId="7" xfId="49" applyNumberFormat="1" applyFill="1" applyBorder="1" applyAlignment="1" applyProtection="1">
      <alignment horizontal="center"/>
      <protection hidden="1"/>
    </xf>
    <xf numFmtId="0" fontId="72" fillId="2" borderId="0" xfId="49" applyFont="1" applyFill="1" applyProtection="1">
      <protection hidden="1"/>
    </xf>
    <xf numFmtId="0" fontId="73" fillId="0" borderId="10" xfId="6" applyFont="1" applyBorder="1" applyAlignment="1" applyProtection="1">
      <protection hidden="1"/>
    </xf>
    <xf numFmtId="0" fontId="74" fillId="3" borderId="10" xfId="49" applyFont="1" applyFill="1" applyBorder="1" applyAlignment="1" applyProtection="1">
      <alignment horizontal="right"/>
      <protection locked="0"/>
    </xf>
    <xf numFmtId="2" fontId="7" fillId="2" borderId="10" xfId="0" applyNumberFormat="1" applyFont="1" applyFill="1" applyBorder="1" applyProtection="1">
      <protection hidden="1"/>
    </xf>
    <xf numFmtId="167" fontId="7" fillId="2" borderId="10" xfId="0" applyNumberFormat="1" applyFont="1" applyFill="1" applyBorder="1" applyProtection="1">
      <protection hidden="1"/>
    </xf>
    <xf numFmtId="167" fontId="7" fillId="2" borderId="5" xfId="49" applyNumberFormat="1" applyFill="1" applyBorder="1" applyAlignment="1" applyProtection="1">
      <alignment horizontal="right"/>
      <protection hidden="1"/>
    </xf>
    <xf numFmtId="0" fontId="75" fillId="2" borderId="0" xfId="0" applyFont="1" applyFill="1" applyProtection="1">
      <protection hidden="1"/>
    </xf>
    <xf numFmtId="0" fontId="27" fillId="3" borderId="12" xfId="49" applyFont="1" applyFill="1" applyBorder="1" applyAlignment="1" applyProtection="1">
      <alignment horizontal="right"/>
      <protection locked="0"/>
    </xf>
    <xf numFmtId="0" fontId="21" fillId="2" borderId="14" xfId="127" applyFont="1" applyFill="1" applyBorder="1" applyProtection="1">
      <protection hidden="1"/>
    </xf>
    <xf numFmtId="0" fontId="27" fillId="3" borderId="13" xfId="49" applyFont="1" applyFill="1" applyBorder="1" applyProtection="1">
      <protection locked="0"/>
    </xf>
    <xf numFmtId="1" fontId="7" fillId="2" borderId="15" xfId="49" applyNumberFormat="1" applyFill="1" applyBorder="1" applyAlignment="1" applyProtection="1">
      <alignment horizontal="right"/>
      <protection hidden="1"/>
    </xf>
    <xf numFmtId="1" fontId="7" fillId="2" borderId="0" xfId="0" applyNumberFormat="1" applyFont="1" applyFill="1" applyAlignment="1" applyProtection="1">
      <alignment horizontal="right"/>
      <protection hidden="1"/>
    </xf>
    <xf numFmtId="0" fontId="15" fillId="2" borderId="10" xfId="0" applyFont="1" applyFill="1" applyBorder="1" applyAlignment="1" applyProtection="1">
      <alignment horizontal="right"/>
      <protection hidden="1"/>
    </xf>
    <xf numFmtId="0" fontId="15" fillId="2" borderId="0" xfId="0" applyFont="1" applyFill="1" applyAlignment="1" applyProtection="1">
      <alignment horizontal="right"/>
      <protection hidden="1"/>
    </xf>
    <xf numFmtId="1" fontId="7" fillId="2" borderId="56" xfId="0" applyNumberFormat="1" applyFont="1" applyFill="1" applyBorder="1" applyAlignment="1" applyProtection="1">
      <alignment horizontal="right"/>
      <protection hidden="1"/>
    </xf>
    <xf numFmtId="1" fontId="7" fillId="2" borderId="58" xfId="49" applyNumberFormat="1" applyFill="1" applyBorder="1" applyAlignment="1" applyProtection="1">
      <alignment horizontal="right"/>
      <protection hidden="1"/>
    </xf>
    <xf numFmtId="1" fontId="7" fillId="2" borderId="57" xfId="0" applyNumberFormat="1" applyFont="1" applyFill="1" applyBorder="1" applyAlignment="1" applyProtection="1">
      <alignment horizontal="right"/>
      <protection hidden="1"/>
    </xf>
    <xf numFmtId="1" fontId="27" fillId="2" borderId="10" xfId="0" applyNumberFormat="1" applyFont="1" applyFill="1" applyBorder="1" applyAlignment="1" applyProtection="1">
      <alignment horizontal="right"/>
      <protection hidden="1"/>
    </xf>
    <xf numFmtId="1" fontId="27" fillId="2" borderId="15" xfId="49" applyNumberFormat="1" applyFont="1" applyFill="1" applyBorder="1" applyAlignment="1" applyProtection="1">
      <alignment horizontal="right"/>
      <protection hidden="1"/>
    </xf>
    <xf numFmtId="1" fontId="27" fillId="2" borderId="0" xfId="0" applyNumberFormat="1" applyFont="1" applyFill="1" applyAlignment="1" applyProtection="1">
      <alignment horizontal="right" wrapText="1"/>
      <protection hidden="1"/>
    </xf>
    <xf numFmtId="167" fontId="7" fillId="2" borderId="10" xfId="0" applyNumberFormat="1" applyFont="1" applyFill="1" applyBorder="1" applyAlignment="1" applyProtection="1">
      <alignment horizontal="right"/>
      <protection hidden="1"/>
    </xf>
    <xf numFmtId="167" fontId="7" fillId="2" borderId="15" xfId="127" applyNumberFormat="1" applyFont="1" applyFill="1" applyBorder="1" applyAlignment="1" applyProtection="1">
      <alignment horizontal="right"/>
      <protection hidden="1"/>
    </xf>
    <xf numFmtId="167" fontId="7" fillId="2" borderId="0" xfId="0" applyNumberFormat="1" applyFont="1" applyFill="1" applyAlignment="1" applyProtection="1">
      <alignment horizontal="right"/>
      <protection hidden="1"/>
    </xf>
    <xf numFmtId="167" fontId="7" fillId="2" borderId="6" xfId="127" applyNumberFormat="1" applyFont="1" applyFill="1" applyBorder="1" applyAlignment="1" applyProtection="1">
      <alignment horizontal="right"/>
      <protection hidden="1"/>
    </xf>
    <xf numFmtId="167" fontId="7" fillId="2" borderId="11" xfId="49" applyNumberFormat="1" applyFill="1" applyBorder="1" applyAlignment="1" applyProtection="1">
      <alignment horizontal="right"/>
      <protection hidden="1"/>
    </xf>
    <xf numFmtId="0" fontId="30" fillId="2" borderId="0" xfId="49" applyFont="1" applyFill="1" applyAlignment="1" applyProtection="1">
      <alignment horizontal="right"/>
      <protection hidden="1"/>
    </xf>
    <xf numFmtId="0" fontId="7" fillId="2" borderId="2" xfId="217"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0" borderId="4" xfId="99" applyFont="1" applyBorder="1" applyAlignment="1" applyProtection="1">
      <alignment horizontal="center"/>
      <protection hidden="1"/>
    </xf>
    <xf numFmtId="1" fontId="7" fillId="0" borderId="8" xfId="0" applyNumberFormat="1" applyFont="1" applyBorder="1" applyAlignment="1" applyProtection="1">
      <alignment horizontal="center"/>
      <protection hidden="1"/>
    </xf>
    <xf numFmtId="1" fontId="7" fillId="0" borderId="7" xfId="215" applyNumberFormat="1" applyFont="1" applyBorder="1" applyAlignment="1" applyProtection="1">
      <alignment horizontal="center"/>
      <protection hidden="1"/>
    </xf>
    <xf numFmtId="0" fontId="7" fillId="2" borderId="10" xfId="49" applyFill="1" applyBorder="1" applyAlignment="1" applyProtection="1">
      <alignment wrapText="1"/>
      <protection hidden="1"/>
    </xf>
    <xf numFmtId="0" fontId="7" fillId="2" borderId="15" xfId="49" applyFill="1" applyBorder="1" applyAlignment="1" applyProtection="1">
      <alignment wrapText="1"/>
      <protection hidden="1"/>
    </xf>
    <xf numFmtId="2" fontId="7" fillId="2" borderId="0" xfId="49" applyNumberFormat="1" applyFill="1" applyAlignment="1" applyProtection="1">
      <alignment wrapText="1"/>
      <protection hidden="1"/>
    </xf>
    <xf numFmtId="0" fontId="7" fillId="3" borderId="16" xfId="0" applyFont="1" applyFill="1" applyBorder="1" applyAlignment="1" applyProtection="1">
      <alignment horizontal="center"/>
      <protection locked="0"/>
    </xf>
    <xf numFmtId="0" fontId="7" fillId="2" borderId="0" xfId="0" applyFont="1" applyFill="1" applyAlignment="1" applyProtection="1">
      <alignment vertical="top" wrapText="1"/>
      <protection hidden="1"/>
    </xf>
    <xf numFmtId="2" fontId="7" fillId="2" borderId="0" xfId="218" applyNumberFormat="1" applyFont="1" applyFill="1" applyProtection="1">
      <protection hidden="1"/>
    </xf>
    <xf numFmtId="2" fontId="7" fillId="2" borderId="8" xfId="49" applyNumberFormat="1" applyFill="1" applyBorder="1" applyAlignment="1" applyProtection="1">
      <alignment horizontal="center"/>
      <protection hidden="1"/>
    </xf>
    <xf numFmtId="0" fontId="2" fillId="2" borderId="0" xfId="218" applyFill="1" applyProtection="1">
      <protection hidden="1"/>
    </xf>
    <xf numFmtId="0" fontId="77" fillId="2" borderId="0" xfId="49" applyFont="1" applyFill="1" applyAlignment="1" applyProtection="1">
      <alignment vertical="center" wrapText="1"/>
      <protection hidden="1"/>
    </xf>
    <xf numFmtId="167" fontId="15" fillId="2" borderId="0" xfId="49" applyNumberFormat="1" applyFont="1" applyFill="1" applyAlignment="1" applyProtection="1">
      <alignment horizontal="left"/>
      <protection hidden="1"/>
    </xf>
    <xf numFmtId="167" fontId="78" fillId="2" borderId="0" xfId="49" applyNumberFormat="1" applyFont="1" applyFill="1" applyAlignment="1" applyProtection="1">
      <alignment horizontal="left"/>
      <protection hidden="1"/>
    </xf>
    <xf numFmtId="0" fontId="79" fillId="2" borderId="0" xfId="0" applyFont="1" applyFill="1" applyProtection="1">
      <protection hidden="1"/>
    </xf>
    <xf numFmtId="0" fontId="12" fillId="2" borderId="0" xfId="0" applyFont="1" applyFill="1" applyProtection="1">
      <protection hidden="1"/>
    </xf>
    <xf numFmtId="0" fontId="1" fillId="2" borderId="0" xfId="218" applyFont="1" applyFill="1" applyAlignment="1" applyProtection="1">
      <alignment horizontal="left"/>
      <protection hidden="1"/>
    </xf>
    <xf numFmtId="0" fontId="75" fillId="2" borderId="0" xfId="49" applyFont="1" applyFill="1" applyAlignment="1" applyProtection="1">
      <alignment horizontal="left"/>
      <protection hidden="1"/>
    </xf>
    <xf numFmtId="2" fontId="15" fillId="2" borderId="0" xfId="49" applyNumberFormat="1" applyFont="1" applyFill="1" applyProtection="1">
      <protection hidden="1"/>
    </xf>
    <xf numFmtId="2" fontId="7" fillId="0" borderId="7" xfId="49" applyNumberFormat="1" applyBorder="1" applyAlignment="1" applyProtection="1">
      <alignment horizontal="center"/>
      <protection hidden="1"/>
    </xf>
    <xf numFmtId="2" fontId="7" fillId="0" borderId="6" xfId="49" applyNumberFormat="1" applyBorder="1" applyAlignment="1" applyProtection="1">
      <alignment horizontal="center"/>
      <protection hidden="1"/>
    </xf>
    <xf numFmtId="2" fontId="7" fillId="2" borderId="7" xfId="49" applyNumberFormat="1" applyFill="1" applyBorder="1" applyAlignment="1" applyProtection="1">
      <alignment horizontal="center"/>
      <protection hidden="1"/>
    </xf>
    <xf numFmtId="2" fontId="7" fillId="0" borderId="16" xfId="49" applyNumberFormat="1" applyBorder="1" applyAlignment="1" applyProtection="1">
      <alignment horizontal="center"/>
      <protection hidden="1"/>
    </xf>
    <xf numFmtId="169" fontId="7" fillId="0" borderId="15" xfId="49" applyNumberFormat="1" applyBorder="1" applyAlignment="1" applyProtection="1">
      <alignment horizontal="center"/>
      <protection hidden="1"/>
    </xf>
    <xf numFmtId="169" fontId="7" fillId="2" borderId="8" xfId="49" applyNumberFormat="1" applyFill="1" applyBorder="1" applyAlignment="1" applyProtection="1">
      <alignment horizontal="center"/>
      <protection hidden="1"/>
    </xf>
    <xf numFmtId="0" fontId="7" fillId="2" borderId="4" xfId="217" applyFont="1" applyFill="1" applyBorder="1" applyAlignment="1" applyProtection="1">
      <alignment horizontal="center"/>
      <protection hidden="1"/>
    </xf>
    <xf numFmtId="1" fontId="7" fillId="2" borderId="7" xfId="49" applyNumberFormat="1" applyFill="1" applyBorder="1" applyAlignment="1" applyProtection="1">
      <alignment horizontal="center"/>
      <protection hidden="1"/>
    </xf>
    <xf numFmtId="2" fontId="1" fillId="0" borderId="16" xfId="49" applyNumberFormat="1" applyFont="1" applyBorder="1" applyAlignment="1" applyProtection="1">
      <alignment horizontal="center"/>
      <protection hidden="1"/>
    </xf>
    <xf numFmtId="169" fontId="1" fillId="0" borderId="15" xfId="49" applyNumberFormat="1" applyFont="1" applyBorder="1" applyAlignment="1" applyProtection="1">
      <alignment horizontal="center"/>
      <protection hidden="1"/>
    </xf>
    <xf numFmtId="167" fontId="7" fillId="2" borderId="14" xfId="49" applyNumberFormat="1" applyFill="1" applyBorder="1" applyProtection="1">
      <protection hidden="1"/>
    </xf>
    <xf numFmtId="167" fontId="7" fillId="2" borderId="13" xfId="49" applyNumberFormat="1" applyFill="1" applyBorder="1" applyProtection="1">
      <protection hidden="1"/>
    </xf>
    <xf numFmtId="167" fontId="80" fillId="2" borderId="7" xfId="49" applyNumberFormat="1" applyFont="1" applyFill="1" applyBorder="1" applyAlignment="1" applyProtection="1">
      <alignment horizontal="center"/>
      <protection hidden="1"/>
    </xf>
    <xf numFmtId="169" fontId="7" fillId="0" borderId="8" xfId="49" applyNumberFormat="1" applyBorder="1" applyAlignment="1" applyProtection="1">
      <alignment horizontal="center"/>
      <protection hidden="1"/>
    </xf>
    <xf numFmtId="0" fontId="23" fillId="0" borderId="0" xfId="49" applyFont="1" applyProtection="1">
      <protection locked="0"/>
    </xf>
    <xf numFmtId="167" fontId="31" fillId="0" borderId="0" xfId="49" applyNumberFormat="1" applyFont="1" applyAlignment="1" applyProtection="1">
      <alignment horizontal="right"/>
      <protection locked="0"/>
    </xf>
    <xf numFmtId="167" fontId="31" fillId="4" borderId="0" xfId="49" applyNumberFormat="1" applyFont="1" applyFill="1" applyAlignment="1" applyProtection="1">
      <alignment horizontal="right"/>
      <protection locked="0"/>
    </xf>
    <xf numFmtId="0" fontId="56" fillId="0" borderId="0" xfId="0" applyFont="1" applyProtection="1">
      <protection locked="0"/>
    </xf>
    <xf numFmtId="167" fontId="31" fillId="4" borderId="0" xfId="49" applyNumberFormat="1" applyFont="1" applyFill="1" applyProtection="1">
      <protection locked="0"/>
    </xf>
    <xf numFmtId="174" fontId="31" fillId="4" borderId="0" xfId="49" applyNumberFormat="1" applyFont="1" applyFill="1" applyProtection="1">
      <protection locked="0"/>
    </xf>
    <xf numFmtId="174" fontId="31" fillId="0" borderId="0" xfId="49" applyNumberFormat="1" applyFont="1" applyProtection="1">
      <protection locked="0"/>
    </xf>
    <xf numFmtId="0" fontId="7" fillId="0" borderId="0" xfId="99" applyFont="1" applyAlignment="1" applyProtection="1">
      <alignment horizontal="right"/>
      <protection locked="0"/>
    </xf>
    <xf numFmtId="0" fontId="56" fillId="4" borderId="0" xfId="49" applyFont="1" applyFill="1" applyProtection="1">
      <protection locked="0"/>
    </xf>
    <xf numFmtId="0" fontId="81" fillId="0" borderId="0" xfId="49" applyFont="1" applyAlignment="1" applyProtection="1">
      <alignment horizontal="right" wrapText="1"/>
      <protection locked="0"/>
    </xf>
    <xf numFmtId="0" fontId="81" fillId="0" borderId="0" xfId="49" applyFont="1" applyAlignment="1" applyProtection="1">
      <alignment horizontal="right"/>
      <protection locked="0"/>
    </xf>
    <xf numFmtId="0" fontId="7" fillId="0" borderId="0" xfId="49" applyProtection="1">
      <protection locked="0"/>
    </xf>
    <xf numFmtId="2" fontId="7" fillId="0" borderId="0" xfId="49" applyNumberFormat="1" applyProtection="1">
      <protection locked="0"/>
    </xf>
    <xf numFmtId="0" fontId="7" fillId="0" borderId="5" xfId="49" applyBorder="1" applyProtection="1">
      <protection hidden="1"/>
    </xf>
    <xf numFmtId="49" fontId="7" fillId="3" borderId="8" xfId="49" applyNumberFormat="1" applyFill="1" applyBorder="1" applyAlignment="1" applyProtection="1">
      <alignment horizontal="center" vertical="center" wrapText="1"/>
      <protection locked="0"/>
    </xf>
    <xf numFmtId="2" fontId="27" fillId="2" borderId="0" xfId="49" applyNumberFormat="1" applyFont="1" applyFill="1" applyAlignment="1" applyProtection="1">
      <alignment horizontal="center" vertical="center" textRotation="90" wrapText="1"/>
      <protection hidden="1"/>
    </xf>
    <xf numFmtId="0" fontId="7" fillId="0" borderId="16" xfId="0" applyFont="1" applyBorder="1" applyAlignment="1" applyProtection="1">
      <alignment horizontal="center"/>
      <protection hidden="1"/>
    </xf>
    <xf numFmtId="2" fontId="15" fillId="2" borderId="0" xfId="49" applyNumberFormat="1" applyFont="1" applyFill="1" applyAlignment="1" applyProtection="1">
      <alignment horizontal="left" vertical="top" wrapText="1"/>
      <protection hidden="1"/>
    </xf>
    <xf numFmtId="2" fontId="31" fillId="2" borderId="0" xfId="49" applyNumberFormat="1" applyFont="1" applyFill="1" applyProtection="1">
      <protection hidden="1"/>
    </xf>
    <xf numFmtId="0" fontId="7" fillId="0" borderId="3" xfId="49" applyBorder="1" applyAlignment="1" applyProtection="1">
      <alignment horizontal="center"/>
      <protection hidden="1"/>
    </xf>
    <xf numFmtId="0" fontId="7" fillId="0" borderId="15" xfId="49" applyBorder="1" applyAlignment="1" applyProtection="1">
      <alignment horizontal="center"/>
      <protection hidden="1"/>
    </xf>
    <xf numFmtId="0" fontId="7" fillId="0" borderId="6" xfId="49" applyBorder="1" applyAlignment="1" applyProtection="1">
      <alignment horizontal="center"/>
      <protection hidden="1"/>
    </xf>
    <xf numFmtId="0" fontId="16" fillId="2" borderId="0" xfId="49" applyFont="1" applyFill="1" applyAlignment="1" applyProtection="1">
      <alignment vertical="center"/>
      <protection hidden="1"/>
    </xf>
    <xf numFmtId="0" fontId="46" fillId="2" borderId="11" xfId="0" applyFont="1" applyFill="1" applyBorder="1" applyAlignment="1" applyProtection="1">
      <alignment wrapText="1"/>
      <protection hidden="1"/>
    </xf>
    <xf numFmtId="0" fontId="7" fillId="0" borderId="2" xfId="0" applyFont="1" applyBorder="1" applyProtection="1">
      <protection hidden="1"/>
    </xf>
    <xf numFmtId="0" fontId="7" fillId="3" borderId="10" xfId="0" applyFont="1" applyFill="1" applyBorder="1" applyAlignment="1" applyProtection="1">
      <alignment horizontal="center"/>
      <protection locked="0"/>
    </xf>
    <xf numFmtId="0" fontId="7" fillId="3" borderId="64" xfId="0" applyFont="1" applyFill="1" applyBorder="1" applyAlignment="1" applyProtection="1">
      <alignment horizontal="center"/>
      <protection locked="0"/>
    </xf>
    <xf numFmtId="167" fontId="7" fillId="3" borderId="5" xfId="0" applyNumberFormat="1" applyFont="1" applyFill="1" applyBorder="1" applyAlignment="1" applyProtection="1">
      <alignment horizontal="center"/>
      <protection locked="0"/>
    </xf>
    <xf numFmtId="167" fontId="7" fillId="3" borderId="65" xfId="0" applyNumberFormat="1" applyFont="1" applyFill="1" applyBorder="1" applyAlignment="1" applyProtection="1">
      <alignment horizontal="center"/>
      <protection locked="0"/>
    </xf>
    <xf numFmtId="167" fontId="7" fillId="2" borderId="5" xfId="0" applyNumberFormat="1" applyFont="1" applyFill="1" applyBorder="1" applyAlignment="1" applyProtection="1">
      <alignment horizontal="center"/>
      <protection hidden="1"/>
    </xf>
    <xf numFmtId="167" fontId="7" fillId="2" borderId="65" xfId="0" applyNumberFormat="1" applyFont="1" applyFill="1" applyBorder="1" applyAlignment="1" applyProtection="1">
      <alignment horizontal="center"/>
      <protection hidden="1"/>
    </xf>
    <xf numFmtId="0" fontId="1" fillId="2" borderId="0" xfId="0" applyFont="1" applyFill="1" applyAlignment="1" applyProtection="1">
      <alignment wrapText="1"/>
      <protection hidden="1"/>
    </xf>
    <xf numFmtId="0" fontId="9" fillId="2" borderId="0" xfId="49" applyFont="1" applyFill="1" applyAlignment="1" applyProtection="1">
      <alignment horizontal="center" vertical="center" textRotation="90" wrapText="1"/>
      <protection hidden="1"/>
    </xf>
    <xf numFmtId="49" fontId="83" fillId="2" borderId="3" xfId="49" applyNumberFormat="1" applyFont="1" applyFill="1" applyBorder="1" applyAlignment="1" applyProtection="1">
      <alignment horizontal="center"/>
      <protection hidden="1"/>
    </xf>
    <xf numFmtId="0" fontId="83" fillId="2" borderId="6" xfId="0" applyFont="1" applyFill="1" applyBorder="1" applyAlignment="1" applyProtection="1">
      <alignment horizontal="center"/>
      <protection hidden="1"/>
    </xf>
    <xf numFmtId="0" fontId="9" fillId="2" borderId="0" xfId="0" applyFont="1" applyFill="1" applyAlignment="1" applyProtection="1">
      <alignment horizontal="center" wrapText="1"/>
      <protection hidden="1"/>
    </xf>
    <xf numFmtId="0" fontId="56" fillId="2" borderId="7" xfId="0" applyFont="1" applyFill="1" applyBorder="1" applyAlignment="1" applyProtection="1">
      <alignment horizontal="center" wrapText="1"/>
      <protection hidden="1"/>
    </xf>
    <xf numFmtId="0" fontId="84" fillId="2" borderId="0" xfId="0" applyFont="1" applyFill="1" applyAlignment="1" applyProtection="1">
      <alignment horizontal="center" wrapText="1"/>
      <protection hidden="1"/>
    </xf>
    <xf numFmtId="0" fontId="83" fillId="3" borderId="12" xfId="0" applyFont="1" applyFill="1" applyBorder="1" applyAlignment="1" applyProtection="1">
      <alignment horizontal="center"/>
      <protection locked="0"/>
    </xf>
    <xf numFmtId="2" fontId="56" fillId="2" borderId="8" xfId="0" applyNumberFormat="1" applyFont="1" applyFill="1" applyBorder="1" applyAlignment="1" applyProtection="1">
      <alignment horizontal="center"/>
      <protection hidden="1"/>
    </xf>
    <xf numFmtId="2" fontId="84" fillId="2" borderId="14" xfId="0" applyNumberFormat="1" applyFont="1" applyFill="1" applyBorder="1" applyAlignment="1" applyProtection="1">
      <alignment horizontal="center"/>
      <protection hidden="1"/>
    </xf>
    <xf numFmtId="0" fontId="83" fillId="3" borderId="10" xfId="0" applyFont="1" applyFill="1" applyBorder="1" applyAlignment="1" applyProtection="1">
      <alignment horizontal="center"/>
      <protection locked="0"/>
    </xf>
    <xf numFmtId="169" fontId="15" fillId="2" borderId="16" xfId="0" applyNumberFormat="1" applyFont="1" applyFill="1" applyBorder="1" applyAlignment="1" applyProtection="1">
      <alignment horizontal="center"/>
      <protection hidden="1"/>
    </xf>
    <xf numFmtId="2" fontId="56" fillId="2" borderId="16" xfId="0" applyNumberFormat="1" applyFont="1" applyFill="1" applyBorder="1" applyAlignment="1" applyProtection="1">
      <alignment horizontal="center"/>
      <protection hidden="1"/>
    </xf>
    <xf numFmtId="2" fontId="84" fillId="2" borderId="15" xfId="0" applyNumberFormat="1" applyFont="1" applyFill="1" applyBorder="1" applyAlignment="1" applyProtection="1">
      <alignment horizontal="center"/>
      <protection hidden="1"/>
    </xf>
    <xf numFmtId="2" fontId="31" fillId="2" borderId="0" xfId="49" applyNumberFormat="1" applyFont="1" applyFill="1" applyAlignment="1" applyProtection="1">
      <alignment horizontal="right"/>
      <protection hidden="1"/>
    </xf>
    <xf numFmtId="0" fontId="83" fillId="3" borderId="10" xfId="49" applyFont="1" applyFill="1" applyBorder="1" applyAlignment="1" applyProtection="1">
      <alignment horizontal="center"/>
      <protection locked="0"/>
    </xf>
    <xf numFmtId="0" fontId="83" fillId="3" borderId="2" xfId="49" applyFont="1" applyFill="1" applyBorder="1" applyAlignment="1" applyProtection="1">
      <alignment horizontal="center"/>
      <protection locked="0"/>
    </xf>
    <xf numFmtId="0" fontId="15" fillId="2" borderId="2" xfId="0" applyFont="1" applyFill="1" applyBorder="1" applyAlignment="1" applyProtection="1">
      <alignment horizontal="center"/>
      <protection hidden="1"/>
    </xf>
    <xf numFmtId="0" fontId="15" fillId="2" borderId="10" xfId="0" applyFont="1" applyFill="1" applyBorder="1" applyAlignment="1" applyProtection="1">
      <alignment horizontal="center"/>
      <protection hidden="1"/>
    </xf>
    <xf numFmtId="0" fontId="85" fillId="2" borderId="0" xfId="49" applyFont="1" applyFill="1" applyAlignment="1" applyProtection="1">
      <alignment horizontal="left"/>
      <protection hidden="1"/>
    </xf>
    <xf numFmtId="0" fontId="85" fillId="2" borderId="0" xfId="49" applyFont="1" applyFill="1" applyAlignment="1" applyProtection="1">
      <alignment horizontal="right"/>
      <protection hidden="1"/>
    </xf>
    <xf numFmtId="0" fontId="86" fillId="2" borderId="8" xfId="49" applyFont="1" applyFill="1" applyBorder="1" applyAlignment="1" applyProtection="1">
      <alignment horizontal="center"/>
      <protection hidden="1"/>
    </xf>
    <xf numFmtId="49" fontId="7" fillId="3" borderId="8" xfId="49" applyNumberFormat="1" applyFill="1" applyBorder="1" applyAlignment="1" applyProtection="1">
      <alignment horizontal="center"/>
      <protection locked="0"/>
    </xf>
    <xf numFmtId="2" fontId="86" fillId="2" borderId="8" xfId="49" applyNumberFormat="1" applyFont="1" applyFill="1" applyBorder="1" applyAlignment="1" applyProtection="1">
      <alignment horizontal="center"/>
      <protection hidden="1"/>
    </xf>
    <xf numFmtId="2" fontId="15" fillId="2" borderId="0" xfId="49" applyNumberFormat="1" applyFont="1" applyFill="1" applyAlignment="1" applyProtection="1">
      <alignment horizontal="right"/>
      <protection hidden="1"/>
    </xf>
    <xf numFmtId="49" fontId="86" fillId="3" borderId="8" xfId="49" applyNumberFormat="1" applyFont="1" applyFill="1" applyBorder="1" applyAlignment="1" applyProtection="1">
      <alignment horizontal="center"/>
      <protection locked="0"/>
    </xf>
    <xf numFmtId="2" fontId="87" fillId="2" borderId="0" xfId="0" applyNumberFormat="1" applyFont="1" applyFill="1" applyProtection="1">
      <protection hidden="1"/>
    </xf>
    <xf numFmtId="0" fontId="88" fillId="2" borderId="66" xfId="49" applyFont="1" applyFill="1" applyBorder="1" applyAlignment="1" applyProtection="1">
      <alignment horizontal="center"/>
      <protection hidden="1"/>
    </xf>
    <xf numFmtId="0" fontId="88" fillId="2" borderId="67" xfId="224" applyFont="1" applyFill="1" applyBorder="1" applyAlignment="1" applyProtection="1">
      <alignment horizontal="center"/>
      <protection hidden="1"/>
    </xf>
    <xf numFmtId="0" fontId="88" fillId="2" borderId="0" xfId="224" applyFont="1" applyFill="1" applyProtection="1">
      <protection hidden="1"/>
    </xf>
    <xf numFmtId="0" fontId="32" fillId="2" borderId="0" xfId="0" applyFont="1" applyFill="1" applyAlignment="1" applyProtection="1">
      <alignment horizontal="center" vertical="top"/>
      <protection hidden="1"/>
    </xf>
    <xf numFmtId="0" fontId="83" fillId="2" borderId="2" xfId="49" applyFont="1" applyFill="1" applyBorder="1" applyAlignment="1" applyProtection="1">
      <alignment horizontal="center"/>
      <protection hidden="1"/>
    </xf>
    <xf numFmtId="0" fontId="83" fillId="2" borderId="5" xfId="49" applyFont="1" applyFill="1" applyBorder="1" applyAlignment="1" applyProtection="1">
      <alignment horizontal="center"/>
      <protection hidden="1"/>
    </xf>
    <xf numFmtId="0" fontId="9" fillId="0" borderId="7" xfId="0" applyFont="1" applyBorder="1" applyAlignment="1" applyProtection="1">
      <alignment horizontal="center"/>
      <protection hidden="1"/>
    </xf>
    <xf numFmtId="0" fontId="56" fillId="0" borderId="16" xfId="0" applyFont="1" applyBorder="1" applyAlignment="1" applyProtection="1">
      <alignment horizontal="center"/>
      <protection hidden="1"/>
    </xf>
    <xf numFmtId="0" fontId="89" fillId="2" borderId="0" xfId="0" applyFont="1" applyFill="1" applyProtection="1">
      <protection hidden="1"/>
    </xf>
    <xf numFmtId="0" fontId="83" fillId="3" borderId="4" xfId="49" applyFont="1" applyFill="1" applyBorder="1" applyAlignment="1" applyProtection="1">
      <alignment horizontal="center"/>
      <protection locked="0"/>
    </xf>
    <xf numFmtId="1" fontId="15" fillId="2" borderId="16" xfId="0" applyNumberFormat="1" applyFont="1" applyFill="1" applyBorder="1" applyAlignment="1" applyProtection="1">
      <alignment horizontal="center"/>
      <protection hidden="1"/>
    </xf>
    <xf numFmtId="2" fontId="56" fillId="2" borderId="2" xfId="49" applyNumberFormat="1" applyFont="1" applyFill="1" applyBorder="1" applyAlignment="1" applyProtection="1">
      <alignment horizontal="center"/>
      <protection hidden="1"/>
    </xf>
    <xf numFmtId="0" fontId="56" fillId="2" borderId="4" xfId="0" applyFont="1" applyFill="1" applyBorder="1" applyAlignment="1" applyProtection="1">
      <alignment horizontal="center"/>
      <protection hidden="1"/>
    </xf>
    <xf numFmtId="0" fontId="83" fillId="3" borderId="16" xfId="49" applyFont="1" applyFill="1" applyBorder="1" applyAlignment="1" applyProtection="1">
      <alignment horizontal="center"/>
      <protection locked="0"/>
    </xf>
    <xf numFmtId="2" fontId="56" fillId="2" borderId="10" xfId="49" applyNumberFormat="1" applyFont="1" applyFill="1" applyBorder="1" applyAlignment="1" applyProtection="1">
      <alignment horizontal="center"/>
      <protection hidden="1"/>
    </xf>
    <xf numFmtId="0" fontId="56" fillId="2" borderId="16" xfId="0" applyFont="1" applyFill="1" applyBorder="1" applyAlignment="1" applyProtection="1">
      <alignment horizontal="center"/>
      <protection hidden="1"/>
    </xf>
    <xf numFmtId="0" fontId="83" fillId="3" borderId="16" xfId="0" applyFont="1" applyFill="1" applyBorder="1" applyAlignment="1" applyProtection="1">
      <alignment horizontal="center"/>
      <protection locked="0"/>
    </xf>
    <xf numFmtId="167" fontId="15" fillId="2" borderId="16" xfId="0" applyNumberFormat="1" applyFont="1" applyFill="1" applyBorder="1" applyAlignment="1" applyProtection="1">
      <alignment horizontal="center"/>
      <protection hidden="1"/>
    </xf>
    <xf numFmtId="0" fontId="83" fillId="3" borderId="7" xfId="49" applyFont="1" applyFill="1" applyBorder="1" applyAlignment="1" applyProtection="1">
      <alignment horizontal="center"/>
      <protection locked="0"/>
    </xf>
    <xf numFmtId="167" fontId="15" fillId="2" borderId="7" xfId="0" applyNumberFormat="1" applyFont="1" applyFill="1" applyBorder="1" applyAlignment="1" applyProtection="1">
      <alignment horizontal="center"/>
      <protection hidden="1"/>
    </xf>
    <xf numFmtId="2" fontId="56" fillId="2" borderId="5" xfId="49" applyNumberFormat="1" applyFont="1" applyFill="1" applyBorder="1" applyAlignment="1" applyProtection="1">
      <alignment horizontal="center"/>
      <protection hidden="1"/>
    </xf>
    <xf numFmtId="0" fontId="56" fillId="2" borderId="7" xfId="0" applyFont="1" applyFill="1" applyBorder="1" applyAlignment="1" applyProtection="1">
      <alignment horizontal="center"/>
      <protection hidden="1"/>
    </xf>
    <xf numFmtId="0" fontId="15" fillId="2" borderId="0" xfId="49" applyFont="1" applyFill="1" applyAlignment="1" applyProtection="1">
      <alignment horizontal="right"/>
      <protection hidden="1"/>
    </xf>
    <xf numFmtId="0" fontId="7" fillId="2" borderId="68" xfId="49" applyFill="1" applyBorder="1" applyAlignment="1" applyProtection="1">
      <alignment horizontal="center"/>
      <protection hidden="1"/>
    </xf>
    <xf numFmtId="0" fontId="7" fillId="0" borderId="8" xfId="0" applyFont="1" applyBorder="1" applyAlignment="1" applyProtection="1">
      <alignment horizontal="center"/>
      <protection hidden="1"/>
    </xf>
    <xf numFmtId="0" fontId="7" fillId="3" borderId="68" xfId="0" applyFont="1" applyFill="1" applyBorder="1" applyAlignment="1" applyProtection="1">
      <alignment horizontal="center"/>
      <protection locked="0"/>
    </xf>
    <xf numFmtId="167" fontId="7" fillId="2" borderId="14" xfId="0" applyNumberFormat="1" applyFont="1" applyFill="1" applyBorder="1" applyAlignment="1" applyProtection="1">
      <alignment horizontal="center"/>
      <protection hidden="1"/>
    </xf>
    <xf numFmtId="2" fontId="7" fillId="3" borderId="0" xfId="0" applyNumberFormat="1" applyFont="1" applyFill="1" applyAlignment="1" applyProtection="1">
      <alignment horizontal="center"/>
      <protection locked="0"/>
    </xf>
    <xf numFmtId="169" fontId="88" fillId="2" borderId="66" xfId="224" applyNumberFormat="1" applyFont="1" applyFill="1" applyBorder="1" applyAlignment="1" applyProtection="1">
      <alignment horizontal="center" wrapText="1"/>
      <protection hidden="1"/>
    </xf>
    <xf numFmtId="169" fontId="88" fillId="2" borderId="67" xfId="224" applyNumberFormat="1" applyFont="1" applyFill="1" applyBorder="1" applyAlignment="1" applyProtection="1">
      <alignment horizontal="center" vertical="center" wrapText="1"/>
      <protection hidden="1"/>
    </xf>
    <xf numFmtId="0" fontId="15" fillId="2" borderId="0" xfId="226" applyFont="1" applyFill="1" applyProtection="1">
      <protection hidden="1"/>
    </xf>
    <xf numFmtId="169" fontId="88" fillId="2" borderId="67" xfId="224" applyNumberFormat="1" applyFont="1" applyFill="1" applyBorder="1" applyAlignment="1" applyProtection="1">
      <alignment horizontal="center"/>
      <protection hidden="1"/>
    </xf>
    <xf numFmtId="0" fontId="37" fillId="2" borderId="7" xfId="0" applyFont="1" applyFill="1" applyBorder="1" applyAlignment="1" applyProtection="1">
      <alignment horizontal="center" wrapText="1"/>
      <protection hidden="1"/>
    </xf>
    <xf numFmtId="0" fontId="7" fillId="2" borderId="6" xfId="0" applyFont="1" applyFill="1" applyBorder="1" applyAlignment="1" applyProtection="1">
      <alignment horizontal="center" wrapText="1"/>
      <protection hidden="1"/>
    </xf>
    <xf numFmtId="169" fontId="88" fillId="2" borderId="0" xfId="224" applyNumberFormat="1" applyFont="1" applyFill="1" applyProtection="1">
      <protection hidden="1"/>
    </xf>
    <xf numFmtId="0" fontId="88" fillId="2" borderId="0" xfId="49" applyFont="1" applyFill="1" applyProtection="1">
      <protection hidden="1"/>
    </xf>
    <xf numFmtId="0" fontId="7" fillId="2" borderId="8" xfId="0" applyFont="1" applyFill="1" applyBorder="1" applyAlignment="1" applyProtection="1">
      <alignment horizontal="center"/>
      <protection hidden="1"/>
    </xf>
    <xf numFmtId="167" fontId="7" fillId="2" borderId="8" xfId="0" applyNumberFormat="1" applyFont="1" applyFill="1" applyBorder="1" applyAlignment="1" applyProtection="1">
      <alignment horizontal="center"/>
      <protection hidden="1"/>
    </xf>
    <xf numFmtId="2" fontId="7" fillId="2" borderId="8" xfId="0" applyNumberFormat="1" applyFont="1" applyFill="1" applyBorder="1" applyAlignment="1" applyProtection="1">
      <alignment horizontal="center"/>
      <protection hidden="1"/>
    </xf>
    <xf numFmtId="0" fontId="7" fillId="2" borderId="0" xfId="226" applyFill="1" applyProtection="1">
      <protection hidden="1"/>
    </xf>
    <xf numFmtId="167" fontId="7" fillId="0" borderId="8" xfId="0" applyNumberFormat="1" applyFont="1" applyBorder="1" applyAlignment="1" applyProtection="1">
      <alignment horizontal="center"/>
      <protection hidden="1"/>
    </xf>
    <xf numFmtId="0" fontId="16" fillId="2" borderId="10" xfId="0" applyFont="1" applyFill="1" applyBorder="1" applyAlignment="1" applyProtection="1">
      <alignment horizontal="left"/>
      <protection hidden="1"/>
    </xf>
    <xf numFmtId="0" fontId="15" fillId="0" borderId="0" xfId="49" applyFont="1" applyAlignment="1" applyProtection="1">
      <alignment vertical="top" wrapText="1"/>
      <protection hidden="1"/>
    </xf>
    <xf numFmtId="0" fontId="31" fillId="0" borderId="0" xfId="49" applyFont="1" applyAlignment="1" applyProtection="1">
      <alignment horizontal="center"/>
      <protection locked="0"/>
    </xf>
    <xf numFmtId="0" fontId="21" fillId="0" borderId="0" xfId="0" applyFont="1" applyAlignment="1" applyProtection="1">
      <alignment horizontal="left"/>
      <protection hidden="1"/>
    </xf>
    <xf numFmtId="0" fontId="7" fillId="2" borderId="9" xfId="226" applyFill="1" applyBorder="1" applyAlignment="1" applyProtection="1">
      <alignment vertical="top" wrapText="1"/>
      <protection hidden="1"/>
    </xf>
    <xf numFmtId="0" fontId="7" fillId="3" borderId="0" xfId="49" applyFill="1" applyAlignment="1" applyProtection="1">
      <alignment horizontal="center"/>
      <protection locked="0"/>
    </xf>
    <xf numFmtId="0" fontId="91" fillId="2" borderId="0" xfId="49" applyFont="1" applyFill="1" applyAlignment="1" applyProtection="1">
      <alignment horizontal="center"/>
      <protection hidden="1"/>
    </xf>
    <xf numFmtId="0" fontId="21" fillId="2" borderId="0" xfId="224" applyFont="1" applyFill="1" applyAlignment="1" applyProtection="1">
      <alignment horizontal="left"/>
      <protection hidden="1"/>
    </xf>
    <xf numFmtId="0" fontId="5" fillId="2" borderId="0" xfId="224" applyFont="1" applyFill="1" applyAlignment="1" applyProtection="1">
      <alignment horizontal="left"/>
      <protection hidden="1"/>
    </xf>
    <xf numFmtId="2" fontId="92" fillId="2" borderId="0" xfId="0" applyNumberFormat="1" applyFont="1" applyFill="1" applyAlignment="1" applyProtection="1">
      <alignment wrapText="1"/>
      <protection hidden="1"/>
    </xf>
    <xf numFmtId="2" fontId="31" fillId="2" borderId="0" xfId="0" applyNumberFormat="1" applyFont="1" applyFill="1" applyAlignment="1" applyProtection="1">
      <alignment wrapText="1"/>
      <protection hidden="1"/>
    </xf>
    <xf numFmtId="169" fontId="7" fillId="0" borderId="8" xfId="0" applyNumberFormat="1" applyFont="1" applyBorder="1" applyAlignment="1" applyProtection="1">
      <alignment horizontal="center"/>
      <protection hidden="1"/>
    </xf>
    <xf numFmtId="169" fontId="7" fillId="0" borderId="14" xfId="0" applyNumberFormat="1" applyFont="1" applyBorder="1" applyAlignment="1" applyProtection="1">
      <alignment horizontal="center"/>
      <protection hidden="1"/>
    </xf>
    <xf numFmtId="0" fontId="2" fillId="2" borderId="0" xfId="49" applyFont="1" applyFill="1" applyAlignment="1" applyProtection="1">
      <alignment horizontal="left"/>
      <protection hidden="1"/>
    </xf>
    <xf numFmtId="2" fontId="7" fillId="3" borderId="8" xfId="49" applyNumberFormat="1" applyFill="1" applyBorder="1" applyAlignment="1" applyProtection="1">
      <alignment horizontal="center"/>
      <protection locked="0"/>
    </xf>
    <xf numFmtId="0" fontId="46" fillId="2" borderId="0" xfId="224" applyFont="1" applyFill="1" applyAlignment="1" applyProtection="1">
      <alignment horizontal="left"/>
      <protection hidden="1"/>
    </xf>
    <xf numFmtId="0" fontId="7" fillId="2" borderId="69" xfId="0" applyFont="1" applyFill="1" applyBorder="1" applyAlignment="1" applyProtection="1">
      <alignment horizontal="center"/>
      <protection hidden="1"/>
    </xf>
    <xf numFmtId="0" fontId="7" fillId="2" borderId="70" xfId="0" applyFont="1" applyFill="1" applyBorder="1" applyAlignment="1" applyProtection="1">
      <alignment horizontal="center"/>
      <protection hidden="1"/>
    </xf>
    <xf numFmtId="0" fontId="7" fillId="2" borderId="71" xfId="0" applyFont="1" applyFill="1" applyBorder="1" applyAlignment="1" applyProtection="1">
      <alignment horizontal="center"/>
      <protection hidden="1"/>
    </xf>
    <xf numFmtId="0" fontId="7" fillId="3" borderId="72" xfId="0" applyFont="1" applyFill="1" applyBorder="1" applyAlignment="1" applyProtection="1">
      <alignment horizontal="center"/>
      <protection locked="0"/>
    </xf>
    <xf numFmtId="0" fontId="7" fillId="3" borderId="73" xfId="0" applyFont="1" applyFill="1" applyBorder="1" applyAlignment="1" applyProtection="1">
      <alignment horizontal="center"/>
      <protection locked="0"/>
    </xf>
    <xf numFmtId="0" fontId="7" fillId="3" borderId="74" xfId="0" applyFont="1" applyFill="1" applyBorder="1" applyAlignment="1" applyProtection="1">
      <alignment horizontal="center"/>
      <protection locked="0"/>
    </xf>
    <xf numFmtId="1" fontId="7" fillId="2" borderId="73" xfId="0" applyNumberFormat="1" applyFont="1" applyFill="1" applyBorder="1" applyAlignment="1" applyProtection="1">
      <alignment horizontal="center"/>
      <protection hidden="1"/>
    </xf>
    <xf numFmtId="0" fontId="2" fillId="0" borderId="0" xfId="49" applyFont="1" applyProtection="1">
      <protection hidden="1"/>
    </xf>
    <xf numFmtId="0" fontId="27" fillId="2" borderId="0" xfId="0" applyFont="1" applyFill="1" applyAlignment="1" applyProtection="1">
      <alignment horizontal="right"/>
      <protection hidden="1"/>
    </xf>
    <xf numFmtId="0" fontId="7" fillId="2" borderId="8" xfId="222" applyFont="1" applyFill="1" applyBorder="1" applyAlignment="1" applyProtection="1">
      <alignment horizontal="center"/>
      <protection hidden="1"/>
    </xf>
    <xf numFmtId="0" fontId="21" fillId="2" borderId="0" xfId="49" applyFont="1" applyFill="1" applyAlignment="1" applyProtection="1">
      <alignment horizontal="right"/>
      <protection hidden="1"/>
    </xf>
    <xf numFmtId="0" fontId="7" fillId="3" borderId="8" xfId="49" applyFill="1" applyBorder="1" applyAlignment="1" applyProtection="1">
      <alignment horizontal="center" wrapText="1"/>
      <protection locked="0"/>
    </xf>
    <xf numFmtId="0" fontId="27" fillId="0" borderId="0" xfId="0" applyFont="1" applyAlignment="1" applyProtection="1">
      <alignment horizontal="right"/>
      <protection hidden="1"/>
    </xf>
    <xf numFmtId="0" fontId="7" fillId="0" borderId="4" xfId="49" applyBorder="1" applyAlignment="1" applyProtection="1">
      <alignment horizontal="center"/>
      <protection hidden="1"/>
    </xf>
    <xf numFmtId="0" fontId="9" fillId="0" borderId="8" xfId="49" applyFont="1" applyBorder="1" applyAlignment="1" applyProtection="1">
      <alignment horizontal="center"/>
      <protection hidden="1"/>
    </xf>
    <xf numFmtId="0" fontId="27" fillId="2" borderId="0" xfId="49" applyFont="1" applyFill="1" applyAlignment="1" applyProtection="1">
      <alignment horizontal="left"/>
      <protection hidden="1"/>
    </xf>
    <xf numFmtId="167" fontId="7" fillId="0" borderId="8" xfId="49" applyNumberFormat="1" applyBorder="1" applyAlignment="1" applyProtection="1">
      <alignment horizontal="center"/>
      <protection hidden="1"/>
    </xf>
    <xf numFmtId="0" fontId="96" fillId="0" borderId="4" xfId="49" applyFont="1" applyBorder="1" applyAlignment="1" applyProtection="1">
      <alignment horizontal="center"/>
      <protection hidden="1"/>
    </xf>
    <xf numFmtId="167" fontId="7" fillId="0" borderId="12" xfId="49" applyNumberFormat="1" applyBorder="1" applyAlignment="1" applyProtection="1">
      <alignment horizontal="center"/>
      <protection hidden="1"/>
    </xf>
    <xf numFmtId="167" fontId="7" fillId="2" borderId="0" xfId="49" applyNumberFormat="1" applyFill="1" applyAlignment="1" applyProtection="1">
      <alignment horizontal="center"/>
      <protection hidden="1"/>
    </xf>
    <xf numFmtId="0" fontId="7" fillId="2" borderId="75" xfId="49" applyFill="1" applyBorder="1" applyAlignment="1" applyProtection="1">
      <alignment horizontal="center"/>
      <protection hidden="1"/>
    </xf>
    <xf numFmtId="0" fontId="7" fillId="2" borderId="76" xfId="49" applyFill="1" applyBorder="1" applyAlignment="1" applyProtection="1">
      <alignment horizontal="center"/>
      <protection hidden="1"/>
    </xf>
    <xf numFmtId="0" fontId="7" fillId="3" borderId="75" xfId="49" applyFill="1" applyBorder="1" applyAlignment="1" applyProtection="1">
      <alignment horizontal="center"/>
      <protection locked="0"/>
    </xf>
    <xf numFmtId="0" fontId="7" fillId="3" borderId="76" xfId="49" applyFill="1" applyBorder="1" applyAlignment="1" applyProtection="1">
      <alignment horizontal="center"/>
      <protection locked="0"/>
    </xf>
    <xf numFmtId="167" fontId="7" fillId="2" borderId="73" xfId="0" applyNumberFormat="1" applyFont="1" applyFill="1" applyBorder="1" applyAlignment="1" applyProtection="1">
      <alignment horizontal="center"/>
      <protection hidden="1"/>
    </xf>
    <xf numFmtId="169" fontId="7" fillId="2" borderId="8" xfId="0" applyNumberFormat="1" applyFont="1" applyFill="1" applyBorder="1" applyAlignment="1" applyProtection="1">
      <alignment horizontal="center"/>
      <protection hidden="1"/>
    </xf>
    <xf numFmtId="0" fontId="25" fillId="2" borderId="0" xfId="49" applyFont="1" applyFill="1" applyAlignment="1" applyProtection="1">
      <alignment horizontal="right" wrapText="1"/>
      <protection hidden="1"/>
    </xf>
    <xf numFmtId="0" fontId="27" fillId="2" borderId="8" xfId="0" applyFont="1" applyFill="1" applyBorder="1" applyAlignment="1" applyProtection="1">
      <alignment horizontal="center"/>
      <protection hidden="1"/>
    </xf>
    <xf numFmtId="0" fontId="56" fillId="0" borderId="14" xfId="0" applyFont="1" applyBorder="1" applyAlignment="1" applyProtection="1">
      <alignment horizontal="center"/>
      <protection hidden="1"/>
    </xf>
    <xf numFmtId="0" fontId="56" fillId="3" borderId="8" xfId="0" applyFont="1" applyFill="1" applyBorder="1" applyAlignment="1" applyProtection="1">
      <alignment horizontal="center"/>
      <protection locked="0"/>
    </xf>
    <xf numFmtId="0" fontId="7" fillId="3" borderId="8" xfId="223" applyFont="1" applyFill="1" applyBorder="1" applyAlignment="1" applyProtection="1">
      <alignment horizontal="center"/>
      <protection locked="0"/>
    </xf>
    <xf numFmtId="167" fontId="7" fillId="0" borderId="77" xfId="0" applyNumberFormat="1" applyFont="1" applyBorder="1" applyAlignment="1" applyProtection="1">
      <alignment horizontal="center"/>
      <protection hidden="1"/>
    </xf>
    <xf numFmtId="167" fontId="56" fillId="2" borderId="77" xfId="0" applyNumberFormat="1" applyFont="1" applyFill="1" applyBorder="1" applyAlignment="1" applyProtection="1">
      <alignment horizontal="center"/>
      <protection hidden="1"/>
    </xf>
    <xf numFmtId="169" fontId="7" fillId="2" borderId="0" xfId="49" applyNumberFormat="1" applyFill="1" applyAlignment="1" applyProtection="1">
      <alignment horizontal="center"/>
      <protection hidden="1"/>
    </xf>
    <xf numFmtId="0" fontId="98" fillId="16" borderId="82" xfId="225" applyFill="1" applyBorder="1" applyAlignment="1" applyProtection="1">
      <alignment horizontal="center"/>
      <protection locked="0"/>
    </xf>
    <xf numFmtId="0" fontId="57" fillId="17" borderId="83" xfId="202" applyFont="1" applyFill="1" applyBorder="1" applyAlignment="1" applyProtection="1">
      <alignment horizontal="center"/>
      <protection locked="0"/>
    </xf>
    <xf numFmtId="2" fontId="98" fillId="0" borderId="84" xfId="202" applyNumberFormat="1" applyFont="1" applyBorder="1" applyAlignment="1" applyProtection="1">
      <alignment horizontal="center"/>
      <protection hidden="1"/>
    </xf>
    <xf numFmtId="0" fontId="56" fillId="3" borderId="4" xfId="0" applyFont="1" applyFill="1" applyBorder="1" applyAlignment="1" applyProtection="1">
      <alignment horizontal="center"/>
      <protection locked="0"/>
    </xf>
    <xf numFmtId="0" fontId="59" fillId="3" borderId="16" xfId="0" applyFont="1" applyFill="1" applyBorder="1" applyAlignment="1" applyProtection="1">
      <alignment horizontal="center"/>
      <protection locked="0"/>
    </xf>
    <xf numFmtId="0" fontId="56" fillId="3" borderId="7" xfId="0" applyFont="1" applyFill="1" applyBorder="1" applyAlignment="1" applyProtection="1">
      <alignment horizontal="center"/>
      <protection locked="0"/>
    </xf>
    <xf numFmtId="2" fontId="56" fillId="0" borderId="14" xfId="0" applyNumberFormat="1" applyFont="1" applyBorder="1" applyAlignment="1" applyProtection="1">
      <alignment horizontal="center"/>
      <protection hidden="1"/>
    </xf>
    <xf numFmtId="2" fontId="7" fillId="0" borderId="4" xfId="0" applyNumberFormat="1" applyFont="1" applyBorder="1" applyAlignment="1" applyProtection="1">
      <alignment horizontal="center"/>
      <protection hidden="1"/>
    </xf>
    <xf numFmtId="175" fontId="7" fillId="2" borderId="7" xfId="224" applyNumberFormat="1" applyFont="1" applyFill="1" applyBorder="1" applyAlignment="1" applyProtection="1">
      <alignment horizontal="center" wrapText="1"/>
      <protection hidden="1"/>
    </xf>
    <xf numFmtId="2" fontId="16" fillId="2" borderId="5" xfId="127" applyNumberFormat="1" applyFont="1" applyFill="1" applyBorder="1" applyAlignment="1" applyProtection="1">
      <alignment horizontal="right"/>
      <protection hidden="1"/>
    </xf>
    <xf numFmtId="0" fontId="7" fillId="3" borderId="7" xfId="224" applyFont="1" applyFill="1" applyBorder="1" applyAlignment="1" applyProtection="1">
      <alignment horizontal="center" wrapText="1"/>
      <protection locked="0"/>
    </xf>
    <xf numFmtId="167" fontId="7" fillId="2" borderId="2" xfId="0" applyNumberFormat="1" applyFont="1" applyFill="1" applyBorder="1" applyAlignment="1" applyProtection="1">
      <alignment horizontal="center"/>
      <protection hidden="1"/>
    </xf>
    <xf numFmtId="0" fontId="7" fillId="3" borderId="12" xfId="224" applyFont="1" applyFill="1" applyBorder="1" applyAlignment="1" applyProtection="1">
      <alignment horizontal="right" wrapText="1"/>
      <protection locked="0"/>
    </xf>
    <xf numFmtId="0" fontId="7" fillId="2" borderId="13" xfId="224" applyFont="1" applyFill="1" applyBorder="1" applyAlignment="1" applyProtection="1">
      <alignment horizontal="left" wrapText="1"/>
      <protection hidden="1"/>
    </xf>
    <xf numFmtId="167" fontId="92" fillId="2" borderId="4" xfId="127" applyNumberFormat="1" applyFont="1" applyFill="1" applyBorder="1" applyAlignment="1" applyProtection="1">
      <alignment horizontal="center" wrapText="1"/>
      <protection hidden="1"/>
    </xf>
    <xf numFmtId="2" fontId="7" fillId="0" borderId="2" xfId="49" applyNumberFormat="1" applyBorder="1" applyAlignment="1" applyProtection="1">
      <alignment horizontal="right"/>
      <protection hidden="1"/>
    </xf>
    <xf numFmtId="0" fontId="7" fillId="2" borderId="3" xfId="224" applyFont="1" applyFill="1" applyBorder="1" applyAlignment="1" applyProtection="1">
      <alignment horizontal="left" wrapText="1"/>
      <protection hidden="1"/>
    </xf>
    <xf numFmtId="0" fontId="94" fillId="2" borderId="0" xfId="0" applyFont="1" applyFill="1" applyAlignment="1" applyProtection="1">
      <alignment horizontal="right"/>
      <protection hidden="1"/>
    </xf>
    <xf numFmtId="0" fontId="2" fillId="2" borderId="0" xfId="49" applyFont="1" applyFill="1" applyAlignment="1" applyProtection="1">
      <alignment horizontal="right"/>
      <protection hidden="1"/>
    </xf>
    <xf numFmtId="0" fontId="7" fillId="2" borderId="85" xfId="0" applyFont="1" applyFill="1" applyBorder="1" applyAlignment="1" applyProtection="1">
      <alignment horizontal="center"/>
      <protection hidden="1"/>
    </xf>
    <xf numFmtId="0" fontId="7" fillId="2" borderId="86" xfId="49" applyFill="1" applyBorder="1" applyAlignment="1" applyProtection="1">
      <alignment horizontal="center"/>
      <protection hidden="1"/>
    </xf>
    <xf numFmtId="0" fontId="7" fillId="2" borderId="87" xfId="49" applyFill="1" applyBorder="1" applyAlignment="1" applyProtection="1">
      <alignment horizontal="center"/>
      <protection hidden="1"/>
    </xf>
    <xf numFmtId="0" fontId="7" fillId="3" borderId="88" xfId="49" applyFill="1" applyBorder="1" applyAlignment="1" applyProtection="1">
      <alignment horizontal="center"/>
      <protection locked="0"/>
    </xf>
    <xf numFmtId="0" fontId="7" fillId="3" borderId="89" xfId="49" applyFill="1" applyBorder="1" applyAlignment="1" applyProtection="1">
      <alignment horizontal="center"/>
      <protection locked="0"/>
    </xf>
    <xf numFmtId="0" fontId="7" fillId="3" borderId="90" xfId="49" applyFill="1" applyBorder="1" applyAlignment="1" applyProtection="1">
      <alignment horizontal="center"/>
      <protection locked="0"/>
    </xf>
    <xf numFmtId="0" fontId="7" fillId="2" borderId="93" xfId="49" applyFill="1" applyBorder="1" applyAlignment="1" applyProtection="1">
      <alignment horizontal="center"/>
      <protection hidden="1"/>
    </xf>
    <xf numFmtId="0" fontId="7" fillId="2" borderId="94" xfId="49" applyFill="1" applyBorder="1" applyAlignment="1" applyProtection="1">
      <alignment horizontal="center"/>
      <protection hidden="1"/>
    </xf>
    <xf numFmtId="0" fontId="7" fillId="2" borderId="95" xfId="49" applyFill="1" applyBorder="1" applyAlignment="1" applyProtection="1">
      <alignment horizontal="center"/>
      <protection hidden="1"/>
    </xf>
    <xf numFmtId="0" fontId="7" fillId="3" borderId="98" xfId="49" applyFill="1" applyBorder="1" applyAlignment="1" applyProtection="1">
      <alignment horizontal="center"/>
      <protection locked="0"/>
    </xf>
    <xf numFmtId="0" fontId="7" fillId="3" borderId="99" xfId="49" applyFill="1" applyBorder="1" applyAlignment="1" applyProtection="1">
      <alignment horizontal="center"/>
      <protection locked="0"/>
    </xf>
    <xf numFmtId="0" fontId="7" fillId="3" borderId="100" xfId="49" applyFill="1" applyBorder="1" applyAlignment="1" applyProtection="1">
      <alignment horizontal="center"/>
      <protection locked="0"/>
    </xf>
    <xf numFmtId="0" fontId="7" fillId="0" borderId="4" xfId="0" applyFont="1" applyBorder="1" applyAlignment="1" applyProtection="1">
      <alignment horizontal="right"/>
      <protection hidden="1"/>
    </xf>
    <xf numFmtId="167" fontId="7" fillId="5" borderId="101" xfId="0" applyNumberFormat="1" applyFont="1" applyFill="1" applyBorder="1" applyAlignment="1" applyProtection="1">
      <alignment horizontal="center"/>
      <protection hidden="1"/>
    </xf>
    <xf numFmtId="0" fontId="7" fillId="5" borderId="16" xfId="49" applyFill="1" applyBorder="1" applyAlignment="1" applyProtection="1">
      <alignment horizontal="right" wrapText="1"/>
      <protection hidden="1"/>
    </xf>
    <xf numFmtId="0" fontId="102" fillId="18" borderId="16" xfId="49" applyFont="1" applyFill="1" applyBorder="1" applyAlignment="1" applyProtection="1">
      <alignment horizontal="right" wrapText="1"/>
      <protection hidden="1"/>
    </xf>
    <xf numFmtId="0" fontId="7" fillId="19" borderId="16" xfId="49" applyFill="1" applyBorder="1" applyAlignment="1" applyProtection="1">
      <alignment horizontal="right" wrapText="1"/>
      <protection hidden="1"/>
    </xf>
    <xf numFmtId="0" fontId="16" fillId="11" borderId="7" xfId="49" applyFont="1" applyFill="1" applyBorder="1" applyAlignment="1" applyProtection="1">
      <alignment horizontal="right" wrapText="1"/>
      <protection hidden="1"/>
    </xf>
    <xf numFmtId="0" fontId="7" fillId="5" borderId="16" xfId="0" applyFont="1" applyFill="1" applyBorder="1" applyAlignment="1" applyProtection="1">
      <alignment horizontal="center" wrapText="1"/>
      <protection hidden="1"/>
    </xf>
    <xf numFmtId="0" fontId="102" fillId="18" borderId="16" xfId="0" applyFont="1" applyFill="1" applyBorder="1" applyAlignment="1" applyProtection="1">
      <alignment horizontal="center" wrapText="1"/>
      <protection hidden="1"/>
    </xf>
    <xf numFmtId="0" fontId="7" fillId="19" borderId="16" xfId="0" applyFont="1" applyFill="1" applyBorder="1" applyAlignment="1" applyProtection="1">
      <alignment horizontal="center" wrapText="1"/>
      <protection hidden="1"/>
    </xf>
    <xf numFmtId="0" fontId="16" fillId="11" borderId="16" xfId="0" applyFont="1" applyFill="1" applyBorder="1" applyAlignment="1" applyProtection="1">
      <alignment horizontal="center" wrapText="1"/>
      <protection hidden="1"/>
    </xf>
    <xf numFmtId="0" fontId="16" fillId="11" borderId="7" xfId="0" applyFont="1" applyFill="1" applyBorder="1" applyAlignment="1" applyProtection="1">
      <alignment horizontal="center" wrapText="1"/>
      <protection hidden="1"/>
    </xf>
    <xf numFmtId="0" fontId="7" fillId="0" borderId="11" xfId="0" applyFont="1" applyBorder="1" applyAlignment="1" applyProtection="1">
      <alignment horizontal="right"/>
      <protection hidden="1"/>
    </xf>
    <xf numFmtId="0" fontId="7" fillId="3" borderId="0" xfId="224" applyFont="1" applyFill="1" applyAlignment="1" applyProtection="1">
      <alignment horizontal="center"/>
      <protection locked="0"/>
    </xf>
    <xf numFmtId="0" fontId="46" fillId="0" borderId="103" xfId="0" applyFont="1" applyBorder="1" applyAlignment="1" applyProtection="1">
      <alignment horizontal="center"/>
      <protection hidden="1"/>
    </xf>
    <xf numFmtId="0" fontId="105" fillId="0" borderId="103" xfId="0" applyFont="1" applyBorder="1" applyAlignment="1" applyProtection="1">
      <alignment horizontal="center"/>
      <protection hidden="1"/>
    </xf>
    <xf numFmtId="0" fontId="2" fillId="2" borderId="0" xfId="49" applyFont="1" applyFill="1" applyAlignment="1" applyProtection="1">
      <alignment horizontal="center"/>
      <protection hidden="1"/>
    </xf>
    <xf numFmtId="2" fontId="7" fillId="0" borderId="7" xfId="0" applyNumberFormat="1" applyFont="1" applyBorder="1" applyAlignment="1" applyProtection="1">
      <alignment horizontal="center"/>
      <protection hidden="1"/>
    </xf>
    <xf numFmtId="0" fontId="7" fillId="3" borderId="4" xfId="0" applyFont="1" applyFill="1" applyBorder="1" applyAlignment="1" applyProtection="1">
      <alignment horizontal="center"/>
      <protection locked="0"/>
    </xf>
    <xf numFmtId="0" fontId="7" fillId="3" borderId="7" xfId="0" applyFont="1" applyFill="1" applyBorder="1" applyAlignment="1" applyProtection="1">
      <alignment horizontal="center"/>
      <protection locked="0"/>
    </xf>
    <xf numFmtId="2" fontId="7" fillId="2" borderId="8" xfId="26" applyNumberFormat="1" applyFont="1" applyFill="1" applyBorder="1" applyAlignment="1" applyProtection="1">
      <alignment horizontal="center"/>
      <protection hidden="1"/>
    </xf>
    <xf numFmtId="0" fontId="7" fillId="3" borderId="0" xfId="49" applyFill="1" applyAlignment="1" applyProtection="1">
      <alignment horizontal="center" wrapText="1"/>
      <protection locked="0"/>
    </xf>
    <xf numFmtId="0" fontId="7" fillId="2" borderId="85" xfId="49" applyFill="1" applyBorder="1" applyAlignment="1" applyProtection="1">
      <alignment horizontal="center"/>
      <protection hidden="1"/>
    </xf>
    <xf numFmtId="0" fontId="7" fillId="2" borderId="73" xfId="49" applyFill="1" applyBorder="1" applyAlignment="1" applyProtection="1">
      <alignment horizontal="center"/>
      <protection hidden="1"/>
    </xf>
    <xf numFmtId="0" fontId="7" fillId="0" borderId="98" xfId="49" applyBorder="1" applyAlignment="1" applyProtection="1">
      <alignment horizontal="center"/>
      <protection hidden="1"/>
    </xf>
    <xf numFmtId="0" fontId="7" fillId="0" borderId="109" xfId="49" applyBorder="1" applyAlignment="1" applyProtection="1">
      <alignment horizontal="center"/>
      <protection hidden="1"/>
    </xf>
    <xf numFmtId="0" fontId="7" fillId="0" borderId="110" xfId="49" applyBorder="1" applyAlignment="1" applyProtection="1">
      <alignment horizontal="center"/>
      <protection hidden="1"/>
    </xf>
    <xf numFmtId="0" fontId="7" fillId="3" borderId="72" xfId="49" applyFill="1" applyBorder="1" applyAlignment="1" applyProtection="1">
      <alignment horizontal="center"/>
      <protection locked="0"/>
    </xf>
    <xf numFmtId="0" fontId="7" fillId="3" borderId="73" xfId="224" applyFont="1" applyFill="1" applyBorder="1" applyAlignment="1" applyProtection="1">
      <alignment horizontal="center" wrapText="1"/>
      <protection locked="0"/>
    </xf>
    <xf numFmtId="0" fontId="7" fillId="3" borderId="93" xfId="0" applyFont="1" applyFill="1" applyBorder="1" applyAlignment="1" applyProtection="1">
      <alignment horizontal="center"/>
      <protection locked="0"/>
    </xf>
    <xf numFmtId="0" fontId="7" fillId="3" borderId="112" xfId="0" applyFont="1" applyFill="1" applyBorder="1" applyAlignment="1" applyProtection="1">
      <alignment horizontal="center"/>
      <protection locked="0"/>
    </xf>
    <xf numFmtId="0" fontId="21" fillId="2" borderId="0" xfId="49" applyFont="1" applyFill="1" applyAlignment="1" applyProtection="1">
      <alignment horizontal="left"/>
      <protection hidden="1"/>
    </xf>
    <xf numFmtId="176" fontId="88" fillId="2" borderId="0" xfId="49" applyNumberFormat="1" applyFont="1" applyFill="1" applyAlignment="1" applyProtection="1">
      <alignment horizontal="center"/>
      <protection hidden="1"/>
    </xf>
    <xf numFmtId="0" fontId="7" fillId="3" borderId="113" xfId="49" applyFill="1" applyBorder="1" applyAlignment="1" applyProtection="1">
      <alignment horizontal="center"/>
      <protection locked="0"/>
    </xf>
    <xf numFmtId="0" fontId="7" fillId="3" borderId="114" xfId="49" applyFill="1" applyBorder="1" applyAlignment="1" applyProtection="1">
      <alignment horizontal="center"/>
      <protection locked="0"/>
    </xf>
    <xf numFmtId="167" fontId="7" fillId="5" borderId="93" xfId="0" applyNumberFormat="1" applyFont="1" applyFill="1" applyBorder="1" applyAlignment="1" applyProtection="1">
      <alignment horizontal="center"/>
      <protection hidden="1"/>
    </xf>
    <xf numFmtId="167" fontId="7" fillId="5" borderId="116" xfId="0" applyNumberFormat="1" applyFont="1" applyFill="1" applyBorder="1" applyAlignment="1" applyProtection="1">
      <alignment horizontal="center"/>
      <protection hidden="1"/>
    </xf>
    <xf numFmtId="167" fontId="7" fillId="5" borderId="88" xfId="0" applyNumberFormat="1" applyFont="1" applyFill="1" applyBorder="1" applyAlignment="1" applyProtection="1">
      <alignment horizontal="center"/>
      <protection hidden="1"/>
    </xf>
    <xf numFmtId="167" fontId="7" fillId="5" borderId="118" xfId="0" applyNumberFormat="1" applyFont="1" applyFill="1" applyBorder="1" applyAlignment="1" applyProtection="1">
      <alignment horizontal="center"/>
      <protection hidden="1"/>
    </xf>
    <xf numFmtId="0" fontId="104" fillId="2" borderId="0" xfId="49" applyFont="1" applyFill="1" applyAlignment="1" applyProtection="1">
      <alignment wrapText="1"/>
      <protection hidden="1"/>
    </xf>
    <xf numFmtId="167" fontId="7" fillId="3" borderId="2" xfId="0" applyNumberFormat="1" applyFont="1" applyFill="1" applyBorder="1" applyAlignment="1" applyProtection="1">
      <alignment horizontal="center"/>
      <protection locked="0"/>
    </xf>
    <xf numFmtId="167" fontId="7" fillId="2" borderId="4" xfId="49" applyNumberFormat="1" applyFill="1" applyBorder="1" applyAlignment="1" applyProtection="1">
      <alignment horizontal="center"/>
      <protection hidden="1"/>
    </xf>
    <xf numFmtId="167" fontId="7" fillId="3" borderId="10" xfId="0" applyNumberFormat="1" applyFont="1" applyFill="1" applyBorder="1" applyAlignment="1" applyProtection="1">
      <alignment horizontal="center"/>
      <protection locked="0"/>
    </xf>
    <xf numFmtId="167" fontId="7" fillId="2" borderId="16" xfId="49" applyNumberFormat="1" applyFill="1" applyBorder="1" applyAlignment="1" applyProtection="1">
      <alignment horizontal="center"/>
      <protection hidden="1"/>
    </xf>
    <xf numFmtId="174" fontId="88" fillId="2" borderId="0" xfId="224" applyNumberFormat="1" applyFont="1" applyFill="1" applyAlignment="1" applyProtection="1">
      <alignment horizontal="center" wrapText="1"/>
      <protection hidden="1"/>
    </xf>
    <xf numFmtId="0" fontId="15" fillId="2" borderId="12" xfId="49" applyFont="1" applyFill="1" applyBorder="1" applyAlignment="1" applyProtection="1">
      <alignment horizontal="left"/>
      <protection hidden="1"/>
    </xf>
    <xf numFmtId="0" fontId="15" fillId="2" borderId="8" xfId="49" applyFont="1" applyFill="1" applyBorder="1" applyAlignment="1" applyProtection="1">
      <alignment horizontal="left"/>
      <protection hidden="1"/>
    </xf>
    <xf numFmtId="0" fontId="27" fillId="2" borderId="4" xfId="0" applyFont="1" applyFill="1" applyBorder="1" applyAlignment="1" applyProtection="1">
      <alignment horizontal="center"/>
      <protection hidden="1"/>
    </xf>
    <xf numFmtId="0" fontId="37" fillId="2" borderId="7" xfId="0" applyFont="1" applyFill="1" applyBorder="1" applyAlignment="1" applyProtection="1">
      <alignment horizontal="center"/>
      <protection hidden="1"/>
    </xf>
    <xf numFmtId="0" fontId="37" fillId="2" borderId="11" xfId="0" applyFont="1" applyFill="1" applyBorder="1" applyAlignment="1" applyProtection="1">
      <alignment horizontal="center"/>
      <protection hidden="1"/>
    </xf>
    <xf numFmtId="0" fontId="59" fillId="2" borderId="10" xfId="0" applyFont="1" applyFill="1" applyBorder="1" applyAlignment="1" applyProtection="1">
      <alignment horizontal="center"/>
      <protection hidden="1"/>
    </xf>
    <xf numFmtId="0" fontId="59" fillId="2" borderId="16" xfId="0" applyFont="1" applyFill="1" applyBorder="1" applyAlignment="1" applyProtection="1">
      <alignment horizontal="center"/>
      <protection hidden="1"/>
    </xf>
    <xf numFmtId="167" fontId="31" fillId="2" borderId="16" xfId="0" applyNumberFormat="1" applyFont="1" applyFill="1" applyBorder="1" applyAlignment="1" applyProtection="1">
      <alignment horizontal="center"/>
      <protection hidden="1"/>
    </xf>
    <xf numFmtId="167" fontId="7" fillId="2" borderId="8" xfId="0" applyNumberFormat="1" applyFont="1" applyFill="1" applyBorder="1" applyAlignment="1" applyProtection="1">
      <alignment horizontal="left"/>
      <protection hidden="1"/>
    </xf>
    <xf numFmtId="167" fontId="59" fillId="2" borderId="12" xfId="0" applyNumberFormat="1" applyFont="1" applyFill="1" applyBorder="1" applyAlignment="1" applyProtection="1">
      <alignment horizontal="center"/>
      <protection hidden="1"/>
    </xf>
    <xf numFmtId="167" fontId="59" fillId="2" borderId="8" xfId="0" applyNumberFormat="1" applyFont="1" applyFill="1" applyBorder="1" applyAlignment="1" applyProtection="1">
      <alignment horizontal="center"/>
      <protection hidden="1"/>
    </xf>
    <xf numFmtId="0" fontId="102" fillId="2" borderId="0" xfId="192" applyFont="1" applyFill="1" applyAlignment="1" applyProtection="1">
      <alignment horizontal="center" wrapText="1"/>
      <protection hidden="1"/>
    </xf>
    <xf numFmtId="0" fontId="27" fillId="0" borderId="8" xfId="0" applyFont="1" applyBorder="1" applyAlignment="1" applyProtection="1">
      <alignment horizontal="center"/>
      <protection hidden="1"/>
    </xf>
    <xf numFmtId="0" fontId="7" fillId="2" borderId="4" xfId="210" applyFont="1" applyFill="1" applyBorder="1" applyAlignment="1" applyProtection="1">
      <alignment horizontal="center"/>
      <protection hidden="1"/>
    </xf>
    <xf numFmtId="0" fontId="7" fillId="2" borderId="16" xfId="210" applyFont="1" applyFill="1" applyBorder="1" applyAlignment="1" applyProtection="1">
      <alignment horizontal="center"/>
      <protection hidden="1"/>
    </xf>
    <xf numFmtId="0" fontId="7" fillId="2" borderId="16" xfId="210" applyFont="1" applyFill="1" applyBorder="1" applyAlignment="1" applyProtection="1">
      <alignment horizontal="left"/>
      <protection hidden="1"/>
    </xf>
    <xf numFmtId="49" fontId="7" fillId="2" borderId="16" xfId="210" applyNumberFormat="1" applyFont="1" applyFill="1" applyBorder="1" applyAlignment="1" applyProtection="1">
      <alignment horizontal="center"/>
      <protection hidden="1"/>
    </xf>
    <xf numFmtId="0" fontId="109" fillId="2" borderId="0" xfId="192" applyFont="1" applyFill="1" applyAlignment="1" applyProtection="1">
      <alignment horizontal="center" wrapText="1"/>
      <protection hidden="1"/>
    </xf>
    <xf numFmtId="49" fontId="7" fillId="2" borderId="16" xfId="210" applyNumberFormat="1" applyFont="1" applyFill="1" applyBorder="1" applyAlignment="1" applyProtection="1">
      <alignment horizontal="left"/>
      <protection hidden="1"/>
    </xf>
    <xf numFmtId="0" fontId="110" fillId="2" borderId="16" xfId="210" applyFill="1" applyBorder="1" applyAlignment="1" applyProtection="1">
      <alignment horizontal="left"/>
      <protection hidden="1"/>
    </xf>
    <xf numFmtId="49" fontId="7" fillId="2" borderId="16" xfId="210" applyNumberFormat="1" applyFont="1" applyFill="1" applyBorder="1" applyAlignment="1" applyProtection="1">
      <alignment horizontal="center" wrapText="1"/>
      <protection hidden="1"/>
    </xf>
    <xf numFmtId="167" fontId="7" fillId="3" borderId="10" xfId="0" applyNumberFormat="1" applyFont="1" applyFill="1" applyBorder="1" applyAlignment="1" applyProtection="1">
      <alignment horizontal="center" wrapText="1"/>
      <protection locked="0"/>
    </xf>
    <xf numFmtId="167" fontId="7" fillId="2" borderId="7" xfId="0" applyNumberFormat="1" applyFont="1" applyFill="1" applyBorder="1" applyAlignment="1" applyProtection="1">
      <alignment horizontal="center"/>
      <protection hidden="1"/>
    </xf>
    <xf numFmtId="167" fontId="7" fillId="3" borderId="10" xfId="49" applyNumberFormat="1" applyFill="1" applyBorder="1" applyAlignment="1" applyProtection="1">
      <alignment horizontal="center"/>
      <protection locked="0"/>
    </xf>
    <xf numFmtId="0" fontId="7" fillId="3" borderId="5" xfId="49" applyFill="1" applyBorder="1" applyAlignment="1" applyProtection="1">
      <alignment horizontal="center"/>
      <protection locked="0"/>
    </xf>
    <xf numFmtId="2" fontId="7" fillId="2" borderId="4" xfId="0" applyNumberFormat="1" applyFont="1" applyFill="1" applyBorder="1" applyAlignment="1" applyProtection="1">
      <alignment horizontal="center"/>
      <protection hidden="1"/>
    </xf>
    <xf numFmtId="0" fontId="7" fillId="3" borderId="16" xfId="26" applyFont="1" applyFill="1" applyBorder="1" applyAlignment="1" applyProtection="1">
      <alignment horizontal="center"/>
      <protection locked="0"/>
    </xf>
    <xf numFmtId="0" fontId="7" fillId="2" borderId="0" xfId="26" applyFont="1" applyFill="1" applyAlignment="1" applyProtection="1">
      <alignment horizontal="left"/>
      <protection hidden="1"/>
    </xf>
    <xf numFmtId="0" fontId="2" fillId="0" borderId="0" xfId="227"/>
    <xf numFmtId="0" fontId="90" fillId="2" borderId="0" xfId="227" applyFont="1" applyFill="1" applyProtection="1">
      <protection hidden="1"/>
    </xf>
    <xf numFmtId="0" fontId="111" fillId="2" borderId="0" xfId="227" applyFont="1" applyFill="1" applyAlignment="1" applyProtection="1">
      <alignment horizontal="center" vertical="top" textRotation="90"/>
      <protection hidden="1"/>
    </xf>
    <xf numFmtId="0" fontId="115" fillId="2" borderId="0" xfId="133" applyFont="1" applyFill="1" applyAlignment="1" applyProtection="1">
      <protection hidden="1"/>
    </xf>
    <xf numFmtId="0" fontId="90" fillId="2" borderId="0" xfId="0" applyFont="1" applyFill="1" applyAlignment="1" applyProtection="1">
      <alignment horizontal="left" vertical="top"/>
      <protection hidden="1"/>
    </xf>
    <xf numFmtId="0" fontId="2" fillId="2" borderId="0" xfId="227" applyFill="1" applyProtection="1">
      <protection hidden="1"/>
    </xf>
    <xf numFmtId="0" fontId="2" fillId="0" borderId="0" xfId="227" applyProtection="1">
      <protection hidden="1"/>
    </xf>
    <xf numFmtId="0" fontId="90" fillId="2" borderId="0" xfId="0" applyFont="1" applyFill="1" applyAlignment="1" applyProtection="1">
      <alignment horizontal="left"/>
      <protection hidden="1"/>
    </xf>
    <xf numFmtId="0" fontId="116" fillId="2" borderId="0" xfId="227" applyFont="1" applyFill="1" applyAlignment="1" applyProtection="1">
      <alignment horizontal="left"/>
      <protection hidden="1"/>
    </xf>
    <xf numFmtId="0" fontId="117" fillId="2" borderId="0" xfId="133" applyFont="1" applyFill="1" applyAlignment="1" applyProtection="1">
      <alignment horizontal="left"/>
      <protection hidden="1"/>
    </xf>
    <xf numFmtId="0" fontId="118" fillId="2" borderId="0" xfId="227" applyFont="1" applyFill="1" applyAlignment="1" applyProtection="1">
      <alignment horizontal="center" vertical="top" textRotation="90"/>
      <protection hidden="1"/>
    </xf>
    <xf numFmtId="0" fontId="69" fillId="2" borderId="0" xfId="0" applyFont="1" applyFill="1" applyAlignment="1" applyProtection="1">
      <alignment horizontal="left" wrapText="1"/>
      <protection hidden="1"/>
    </xf>
    <xf numFmtId="0" fontId="119" fillId="2" borderId="0" xfId="0" applyFont="1" applyFill="1" applyAlignment="1" applyProtection="1">
      <alignment horizontal="left" wrapText="1"/>
      <protection hidden="1"/>
    </xf>
    <xf numFmtId="0" fontId="20" fillId="2" borderId="0" xfId="6" applyFont="1" applyFill="1" applyAlignment="1" applyProtection="1">
      <protection hidden="1"/>
    </xf>
    <xf numFmtId="2" fontId="163" fillId="2" borderId="8" xfId="0" applyNumberFormat="1" applyFont="1" applyFill="1" applyBorder="1" applyAlignment="1" applyProtection="1">
      <alignment horizontal="center"/>
      <protection hidden="1"/>
    </xf>
    <xf numFmtId="1" fontId="163" fillId="2" borderId="8" xfId="0" applyNumberFormat="1" applyFont="1" applyFill="1" applyBorder="1" applyAlignment="1" applyProtection="1">
      <alignment horizontal="center"/>
      <protection hidden="1"/>
    </xf>
    <xf numFmtId="0" fontId="7" fillId="0" borderId="0" xfId="49" applyAlignment="1" applyProtection="1">
      <alignment horizontal="center"/>
      <protection locked="0"/>
    </xf>
    <xf numFmtId="9" fontId="7" fillId="3" borderId="11" xfId="49" applyNumberFormat="1" applyFill="1" applyBorder="1" applyAlignment="1" applyProtection="1">
      <alignment horizontal="center"/>
      <protection locked="0"/>
    </xf>
    <xf numFmtId="0" fontId="9" fillId="3" borderId="8" xfId="0" applyFont="1" applyFill="1" applyBorder="1" applyAlignment="1" applyProtection="1">
      <alignment horizontal="center"/>
      <protection locked="0"/>
    </xf>
    <xf numFmtId="0" fontId="2" fillId="0" borderId="0" xfId="0" applyFont="1" applyAlignment="1" applyProtection="1">
      <alignment horizontal="right"/>
      <protection locked="0"/>
    </xf>
    <xf numFmtId="167" fontId="9" fillId="3" borderId="10" xfId="0" applyNumberFormat="1" applyFont="1" applyFill="1" applyBorder="1" applyAlignment="1" applyProtection="1">
      <alignment horizontal="center" wrapText="1"/>
      <protection locked="0"/>
    </xf>
    <xf numFmtId="167" fontId="9" fillId="2" borderId="16" xfId="49" applyNumberFormat="1" applyFont="1" applyFill="1" applyBorder="1" applyAlignment="1" applyProtection="1">
      <alignment horizontal="center"/>
      <protection hidden="1"/>
    </xf>
    <xf numFmtId="167" fontId="166" fillId="3" borderId="10" xfId="0" applyNumberFormat="1" applyFont="1" applyFill="1" applyBorder="1" applyAlignment="1" applyProtection="1">
      <alignment horizontal="center"/>
      <protection locked="0"/>
    </xf>
    <xf numFmtId="167" fontId="166" fillId="2" borderId="16" xfId="49" applyNumberFormat="1" applyFont="1" applyFill="1" applyBorder="1" applyAlignment="1" applyProtection="1">
      <alignment horizontal="center"/>
      <protection hidden="1"/>
    </xf>
    <xf numFmtId="0" fontId="164" fillId="2" borderId="0" xfId="0" applyFont="1" applyFill="1" applyAlignment="1" applyProtection="1">
      <alignment vertical="top"/>
      <protection hidden="1"/>
    </xf>
    <xf numFmtId="0" fontId="3" fillId="2" borderId="0" xfId="49" applyFont="1" applyFill="1" applyAlignment="1" applyProtection="1">
      <alignment horizontal="right" vertical="top"/>
      <protection hidden="1"/>
    </xf>
    <xf numFmtId="0" fontId="2" fillId="0" borderId="0" xfId="0" applyFont="1" applyProtection="1">
      <protection hidden="1"/>
    </xf>
    <xf numFmtId="0" fontId="2" fillId="0" borderId="0" xfId="0" applyFont="1" applyProtection="1">
      <protection locked="0"/>
    </xf>
    <xf numFmtId="0" fontId="168" fillId="15" borderId="0" xfId="49" applyFont="1" applyFill="1" applyAlignment="1" applyProtection="1">
      <alignment horizontal="center"/>
      <protection hidden="1"/>
    </xf>
    <xf numFmtId="0" fontId="168" fillId="15" borderId="0" xfId="49" applyFont="1" applyFill="1" applyAlignment="1" applyProtection="1">
      <alignment horizontal="left"/>
      <protection hidden="1"/>
    </xf>
    <xf numFmtId="0" fontId="169" fillId="0" borderId="0" xfId="0" applyFont="1" applyAlignment="1" applyProtection="1">
      <alignment horizontal="center"/>
      <protection hidden="1"/>
    </xf>
    <xf numFmtId="169" fontId="168" fillId="2" borderId="8" xfId="49" applyNumberFormat="1" applyFont="1" applyFill="1" applyBorder="1" applyAlignment="1" applyProtection="1">
      <alignment horizontal="left"/>
      <protection hidden="1"/>
    </xf>
    <xf numFmtId="0" fontId="168" fillId="0" borderId="0" xfId="49" applyFont="1" applyAlignment="1" applyProtection="1">
      <alignment horizontal="left"/>
      <protection hidden="1"/>
    </xf>
    <xf numFmtId="167" fontId="168" fillId="0" borderId="0" xfId="49" applyNumberFormat="1" applyFont="1" applyAlignment="1" applyProtection="1">
      <alignment horizontal="left"/>
      <protection hidden="1"/>
    </xf>
    <xf numFmtId="0" fontId="36" fillId="6" borderId="111" xfId="0" applyFont="1" applyFill="1" applyBorder="1" applyAlignment="1">
      <alignment horizontal="center"/>
    </xf>
    <xf numFmtId="0" fontId="53" fillId="0" borderId="0" xfId="6" applyAlignment="1" applyProtection="1">
      <protection hidden="1"/>
    </xf>
    <xf numFmtId="0" fontId="7" fillId="0" borderId="11" xfId="49" applyBorder="1" applyAlignment="1" applyProtection="1">
      <alignment horizontal="center"/>
      <protection hidden="1"/>
    </xf>
    <xf numFmtId="0" fontId="7" fillId="3" borderId="4" xfId="49" applyFill="1" applyBorder="1" applyAlignment="1" applyProtection="1">
      <alignment wrapText="1"/>
      <protection locked="0"/>
    </xf>
    <xf numFmtId="0" fontId="7" fillId="3" borderId="9" xfId="49" applyFill="1" applyBorder="1" applyAlignment="1" applyProtection="1">
      <alignment horizontal="center"/>
      <protection locked="0"/>
    </xf>
    <xf numFmtId="0" fontId="7" fillId="3" borderId="32" xfId="219" applyFont="1" applyFill="1" applyBorder="1" applyAlignment="1" applyProtection="1">
      <alignment horizontal="center"/>
      <protection locked="0"/>
    </xf>
    <xf numFmtId="0" fontId="7" fillId="3" borderId="1" xfId="49" applyFill="1" applyBorder="1" applyProtection="1">
      <protection locked="0"/>
    </xf>
    <xf numFmtId="0" fontId="7" fillId="3" borderId="0" xfId="0" applyFont="1" applyFill="1" applyProtection="1">
      <protection locked="0"/>
    </xf>
    <xf numFmtId="0" fontId="7" fillId="3" borderId="4" xfId="49" applyFill="1" applyBorder="1" applyAlignment="1" applyProtection="1">
      <alignment horizontal="right"/>
      <protection locked="0"/>
    </xf>
    <xf numFmtId="0" fontId="27" fillId="3" borderId="12" xfId="49" applyFont="1" applyFill="1" applyBorder="1" applyAlignment="1" applyProtection="1">
      <alignment horizontal="center"/>
      <protection locked="0"/>
    </xf>
    <xf numFmtId="0" fontId="27" fillId="3" borderId="8" xfId="49" applyFont="1" applyFill="1" applyBorder="1" applyAlignment="1" applyProtection="1">
      <alignment horizontal="center"/>
      <protection locked="0"/>
    </xf>
    <xf numFmtId="0" fontId="31" fillId="0" borderId="0" xfId="49" applyFont="1" applyAlignment="1" applyProtection="1">
      <alignment vertical="center"/>
      <protection locked="0"/>
    </xf>
    <xf numFmtId="2" fontId="15" fillId="0" borderId="0" xfId="49" applyNumberFormat="1" applyFont="1" applyProtection="1">
      <protection locked="0"/>
    </xf>
    <xf numFmtId="0" fontId="69" fillId="0" borderId="0" xfId="0" applyFont="1" applyProtection="1">
      <protection locked="0"/>
    </xf>
    <xf numFmtId="0" fontId="53" fillId="0" borderId="0" xfId="6" applyAlignment="1" applyProtection="1">
      <protection locked="0"/>
    </xf>
    <xf numFmtId="0" fontId="81" fillId="0" borderId="0" xfId="49" applyFont="1" applyAlignment="1" applyProtection="1">
      <alignment horizontal="center" wrapText="1"/>
      <protection locked="0"/>
    </xf>
    <xf numFmtId="0" fontId="31" fillId="0" borderId="47" xfId="49" applyFont="1" applyBorder="1" applyProtection="1">
      <protection locked="0"/>
    </xf>
    <xf numFmtId="167" fontId="31" fillId="0" borderId="47" xfId="49" applyNumberFormat="1" applyFont="1" applyBorder="1" applyProtection="1">
      <protection locked="0"/>
    </xf>
    <xf numFmtId="2" fontId="31" fillId="0" borderId="0" xfId="49" applyNumberFormat="1" applyFont="1" applyProtection="1">
      <protection locked="0"/>
    </xf>
    <xf numFmtId="9" fontId="31" fillId="0" borderId="0" xfId="49" applyNumberFormat="1" applyFont="1" applyProtection="1">
      <protection locked="0"/>
    </xf>
    <xf numFmtId="167" fontId="15" fillId="0" borderId="0" xfId="49" applyNumberFormat="1" applyFont="1" applyProtection="1">
      <protection locked="0"/>
    </xf>
    <xf numFmtId="0" fontId="7" fillId="3" borderId="8" xfId="49" applyFill="1" applyBorder="1" applyAlignment="1" applyProtection="1">
      <alignment horizontal="center"/>
      <protection locked="0"/>
    </xf>
    <xf numFmtId="0" fontId="15" fillId="2" borderId="0" xfId="49" applyFont="1" applyFill="1" applyAlignment="1" applyProtection="1">
      <alignment vertical="center"/>
      <protection hidden="1"/>
    </xf>
    <xf numFmtId="0" fontId="89" fillId="0" borderId="0" xfId="0" applyFont="1" applyProtection="1">
      <protection locked="0"/>
    </xf>
    <xf numFmtId="0" fontId="15" fillId="0" borderId="0" xfId="49" applyFont="1" applyProtection="1">
      <protection locked="0"/>
    </xf>
    <xf numFmtId="0" fontId="15" fillId="0" borderId="0" xfId="0" applyFont="1" applyProtection="1">
      <protection locked="0"/>
    </xf>
    <xf numFmtId="0" fontId="57" fillId="17" borderId="84" xfId="275" applyFont="1" applyFill="1" applyBorder="1" applyProtection="1">
      <protection hidden="1"/>
    </xf>
    <xf numFmtId="0" fontId="2" fillId="2" borderId="0" xfId="0" applyFont="1" applyFill="1" applyAlignment="1" applyProtection="1">
      <alignment horizontal="center"/>
      <protection hidden="1"/>
    </xf>
    <xf numFmtId="0" fontId="7" fillId="2" borderId="0" xfId="49" applyFill="1" applyAlignment="1" applyProtection="1">
      <alignment horizontal="center"/>
      <protection hidden="1"/>
    </xf>
    <xf numFmtId="0" fontId="15" fillId="2" borderId="0" xfId="49" applyFont="1" applyFill="1" applyAlignment="1" applyProtection="1">
      <alignment horizontal="left" vertical="top" wrapText="1"/>
      <protection hidden="1"/>
    </xf>
    <xf numFmtId="0" fontId="7" fillId="2" borderId="0" xfId="49" applyFill="1" applyAlignment="1" applyProtection="1">
      <alignment horizontal="left" wrapText="1"/>
      <protection hidden="1"/>
    </xf>
    <xf numFmtId="0" fontId="7" fillId="2" borderId="0" xfId="0" applyFont="1" applyFill="1" applyAlignment="1" applyProtection="1">
      <alignment horizontal="left"/>
      <protection hidden="1"/>
    </xf>
    <xf numFmtId="0" fontId="7" fillId="2" borderId="0" xfId="49" applyFill="1" applyAlignment="1" applyProtection="1">
      <alignment horizontal="left"/>
      <protection hidden="1"/>
    </xf>
    <xf numFmtId="0" fontId="7" fillId="2" borderId="15" xfId="0" applyFont="1" applyFill="1" applyBorder="1" applyAlignment="1" applyProtection="1">
      <alignment horizontal="right"/>
      <protection hidden="1"/>
    </xf>
    <xf numFmtId="0" fontId="7" fillId="0" borderId="2" xfId="0" applyFont="1" applyBorder="1" applyAlignment="1" applyProtection="1">
      <alignment horizontal="center"/>
      <protection hidden="1"/>
    </xf>
    <xf numFmtId="0" fontId="7" fillId="2" borderId="5" xfId="49" applyFill="1" applyBorder="1" applyAlignment="1" applyProtection="1">
      <alignment horizontal="center"/>
      <protection hidden="1"/>
    </xf>
    <xf numFmtId="0" fontId="7" fillId="2" borderId="12" xfId="49" applyFill="1" applyBorder="1" applyAlignment="1" applyProtection="1">
      <alignment horizontal="center"/>
      <protection hidden="1"/>
    </xf>
    <xf numFmtId="0" fontId="7" fillId="2" borderId="14" xfId="49" applyFill="1" applyBorder="1" applyAlignment="1" applyProtection="1">
      <alignment horizontal="center"/>
      <protection hidden="1"/>
    </xf>
    <xf numFmtId="0" fontId="7" fillId="2" borderId="12" xfId="49" applyFill="1" applyBorder="1" applyProtection="1">
      <protection hidden="1"/>
    </xf>
    <xf numFmtId="0" fontId="7" fillId="2" borderId="0" xfId="0" applyFont="1" applyFill="1" applyAlignment="1" applyProtection="1">
      <alignment horizontal="center"/>
      <protection hidden="1"/>
    </xf>
    <xf numFmtId="2" fontId="7" fillId="0" borderId="8" xfId="0" applyNumberFormat="1" applyFont="1" applyBorder="1" applyAlignment="1" applyProtection="1">
      <alignment horizontal="center"/>
      <protection hidden="1"/>
    </xf>
    <xf numFmtId="0" fontId="7" fillId="2" borderId="10" xfId="223" applyFont="1" applyFill="1" applyBorder="1" applyProtection="1">
      <protection hidden="1"/>
    </xf>
    <xf numFmtId="0" fontId="7" fillId="2" borderId="0" xfId="0" applyFont="1" applyFill="1" applyProtection="1">
      <protection hidden="1"/>
    </xf>
    <xf numFmtId="0" fontId="7" fillId="2" borderId="8" xfId="49" applyFill="1" applyBorder="1" applyAlignment="1" applyProtection="1">
      <alignment horizontal="center"/>
      <protection hidden="1"/>
    </xf>
    <xf numFmtId="2" fontId="7" fillId="2" borderId="12" xfId="49" applyNumberFormat="1" applyFill="1" applyBorder="1" applyAlignment="1" applyProtection="1">
      <alignment horizontal="center"/>
      <protection hidden="1"/>
    </xf>
    <xf numFmtId="0" fontId="15" fillId="2" borderId="0" xfId="49" applyFont="1" applyFill="1" applyAlignment="1" applyProtection="1">
      <alignment horizontal="left"/>
      <protection hidden="1"/>
    </xf>
    <xf numFmtId="0" fontId="7" fillId="2" borderId="2" xfId="49" applyFill="1" applyBorder="1" applyProtection="1">
      <protection hidden="1"/>
    </xf>
    <xf numFmtId="0" fontId="7" fillId="2" borderId="10" xfId="49" applyFill="1" applyBorder="1" applyProtection="1">
      <protection hidden="1"/>
    </xf>
    <xf numFmtId="0" fontId="46" fillId="2" borderId="0" xfId="49" applyFont="1" applyFill="1" applyAlignment="1" applyProtection="1">
      <alignment horizontal="left" wrapText="1"/>
      <protection hidden="1"/>
    </xf>
    <xf numFmtId="167" fontId="7" fillId="2" borderId="0" xfId="49" applyNumberFormat="1" applyFill="1" applyAlignment="1" applyProtection="1">
      <alignment horizontal="left"/>
      <protection hidden="1"/>
    </xf>
    <xf numFmtId="2" fontId="7" fillId="2" borderId="0" xfId="49" applyNumberFormat="1" applyFill="1" applyAlignment="1" applyProtection="1">
      <alignment horizontal="left"/>
      <protection hidden="1"/>
    </xf>
    <xf numFmtId="0" fontId="46" fillId="2" borderId="0" xfId="49" applyFont="1" applyFill="1" applyProtection="1">
      <protection hidden="1"/>
    </xf>
    <xf numFmtId="167" fontId="7" fillId="2" borderId="0" xfId="49" applyNumberFormat="1" applyFill="1" applyAlignment="1" applyProtection="1">
      <alignment horizontal="left" wrapText="1"/>
      <protection hidden="1"/>
    </xf>
    <xf numFmtId="1" fontId="7" fillId="2" borderId="0" xfId="49" applyNumberFormat="1" applyFill="1" applyProtection="1">
      <protection hidden="1"/>
    </xf>
    <xf numFmtId="0" fontId="7" fillId="2" borderId="0" xfId="218" applyFont="1" applyFill="1" applyProtection="1">
      <protection hidden="1"/>
    </xf>
    <xf numFmtId="0" fontId="7" fillId="2" borderId="5" xfId="0" applyFont="1" applyFill="1" applyBorder="1" applyProtection="1">
      <protection hidden="1"/>
    </xf>
    <xf numFmtId="167" fontId="7" fillId="2" borderId="10" xfId="49" applyNumberFormat="1" applyFill="1" applyBorder="1" applyProtection="1">
      <protection hidden="1"/>
    </xf>
    <xf numFmtId="167" fontId="7" fillId="2" borderId="0" xfId="49" applyNumberFormat="1" applyFill="1" applyProtection="1">
      <protection hidden="1"/>
    </xf>
    <xf numFmtId="0" fontId="2" fillId="2" borderId="0" xfId="0" applyFont="1" applyFill="1" applyProtection="1">
      <protection hidden="1"/>
    </xf>
    <xf numFmtId="0" fontId="23" fillId="2" borderId="0" xfId="49" applyFont="1" applyFill="1" applyProtection="1">
      <protection hidden="1"/>
    </xf>
    <xf numFmtId="0" fontId="70" fillId="12" borderId="0" xfId="6" applyFont="1" applyFill="1" applyAlignment="1" applyProtection="1">
      <alignment horizontal="left"/>
      <protection hidden="1"/>
    </xf>
    <xf numFmtId="0" fontId="178" fillId="12" borderId="0" xfId="227" applyFont="1" applyFill="1" applyAlignment="1" applyProtection="1">
      <alignment horizontal="left"/>
      <protection hidden="1"/>
    </xf>
    <xf numFmtId="1" fontId="7" fillId="2" borderId="10" xfId="0" applyNumberFormat="1" applyFont="1" applyFill="1" applyBorder="1" applyAlignment="1" applyProtection="1">
      <alignment horizontal="right"/>
      <protection hidden="1"/>
    </xf>
    <xf numFmtId="1" fontId="36" fillId="6" borderId="2" xfId="49" applyNumberFormat="1" applyFont="1" applyFill="1" applyBorder="1" applyAlignment="1" applyProtection="1">
      <alignment horizontal="center"/>
      <protection hidden="1"/>
    </xf>
    <xf numFmtId="2" fontId="36" fillId="6" borderId="4" xfId="0" applyNumberFormat="1" applyFont="1" applyFill="1" applyBorder="1" applyAlignment="1" applyProtection="1">
      <alignment horizontal="center"/>
      <protection hidden="1"/>
    </xf>
    <xf numFmtId="1" fontId="36" fillId="6" borderId="5" xfId="0" applyNumberFormat="1" applyFont="1" applyFill="1" applyBorder="1" applyAlignment="1" applyProtection="1">
      <alignment horizontal="center"/>
      <protection hidden="1"/>
    </xf>
    <xf numFmtId="2" fontId="36" fillId="6" borderId="7" xfId="0" applyNumberFormat="1" applyFont="1" applyFill="1" applyBorder="1" applyAlignment="1" applyProtection="1">
      <alignment horizontal="center"/>
      <protection hidden="1"/>
    </xf>
    <xf numFmtId="2" fontId="7" fillId="2" borderId="8" xfId="49" applyNumberFormat="1" applyFill="1" applyBorder="1" applyAlignment="1" applyProtection="1">
      <alignment horizontal="center"/>
      <protection locked="0"/>
    </xf>
    <xf numFmtId="0" fontId="112" fillId="2" borderId="0" xfId="0" applyFont="1" applyFill="1" applyProtection="1">
      <protection hidden="1"/>
    </xf>
    <xf numFmtId="0" fontId="112" fillId="2" borderId="0" xfId="0" applyFont="1" applyFill="1" applyAlignment="1" applyProtection="1">
      <alignment horizontal="left"/>
      <protection hidden="1"/>
    </xf>
    <xf numFmtId="0" fontId="170" fillId="2" borderId="0" xfId="49" applyFont="1" applyFill="1" applyProtection="1">
      <protection hidden="1"/>
    </xf>
    <xf numFmtId="0" fontId="112" fillId="2" borderId="0" xfId="227" applyFont="1" applyFill="1" applyProtection="1">
      <protection hidden="1"/>
    </xf>
    <xf numFmtId="0" fontId="7" fillId="3" borderId="8" xfId="224" applyFont="1" applyFill="1" applyBorder="1" applyAlignment="1" applyProtection="1">
      <alignment horizontal="center"/>
      <protection locked="0"/>
    </xf>
    <xf numFmtId="0" fontId="2" fillId="2" borderId="0" xfId="49" applyFont="1" applyFill="1" applyAlignment="1" applyProtection="1">
      <alignment vertical="top"/>
      <protection hidden="1"/>
    </xf>
    <xf numFmtId="0" fontId="36" fillId="6" borderId="12" xfId="0" applyFont="1" applyFill="1" applyBorder="1"/>
    <xf numFmtId="0" fontId="2" fillId="0" borderId="0" xfId="26" applyProtection="1">
      <protection hidden="1"/>
    </xf>
    <xf numFmtId="0" fontId="94" fillId="2" borderId="0" xfId="0" applyFont="1" applyFill="1" applyProtection="1">
      <protection hidden="1"/>
    </xf>
    <xf numFmtId="0" fontId="7" fillId="2" borderId="0" xfId="0" applyFont="1" applyFill="1" applyAlignment="1">
      <alignment horizontal="left"/>
    </xf>
    <xf numFmtId="0" fontId="36" fillId="6" borderId="0" xfId="0" applyFont="1" applyFill="1" applyAlignment="1">
      <alignment horizontal="center"/>
    </xf>
    <xf numFmtId="0" fontId="36" fillId="6" borderId="16" xfId="49" applyFont="1" applyFill="1" applyBorder="1" applyAlignment="1">
      <alignment horizontal="center"/>
    </xf>
    <xf numFmtId="0" fontId="7" fillId="29" borderId="8" xfId="211" applyFont="1" applyFill="1" applyBorder="1" applyAlignment="1" applyProtection="1">
      <alignment horizontal="left"/>
      <protection hidden="1"/>
    </xf>
    <xf numFmtId="0" fontId="7" fillId="29" borderId="8" xfId="211" applyFont="1" applyFill="1" applyBorder="1" applyAlignment="1" applyProtection="1">
      <alignment horizontal="center"/>
      <protection hidden="1"/>
    </xf>
    <xf numFmtId="0" fontId="1" fillId="29" borderId="8" xfId="211" applyFont="1" applyFill="1" applyBorder="1" applyAlignment="1" applyProtection="1">
      <alignment horizontal="right"/>
      <protection hidden="1"/>
    </xf>
    <xf numFmtId="0" fontId="7" fillId="12" borderId="17" xfId="211" applyFont="1" applyFill="1" applyBorder="1" applyAlignment="1" applyProtection="1">
      <alignment horizontal="right"/>
      <protection hidden="1"/>
    </xf>
    <xf numFmtId="0" fontId="7" fillId="2" borderId="9" xfId="49" applyFill="1" applyBorder="1" applyAlignment="1" applyProtection="1">
      <alignment horizontal="center"/>
      <protection hidden="1"/>
    </xf>
    <xf numFmtId="165" fontId="7" fillId="2" borderId="0" xfId="4" applyFont="1" applyFill="1" applyProtection="1">
      <protection hidden="1"/>
    </xf>
    <xf numFmtId="0" fontId="27" fillId="2" borderId="0" xfId="49" applyFont="1" applyFill="1" applyProtection="1">
      <protection hidden="1"/>
    </xf>
    <xf numFmtId="2" fontId="92" fillId="2" borderId="0" xfId="49" applyNumberFormat="1" applyFont="1" applyFill="1" applyProtection="1">
      <protection hidden="1"/>
    </xf>
    <xf numFmtId="0" fontId="27" fillId="2" borderId="0" xfId="0" applyFont="1" applyFill="1" applyProtection="1">
      <protection hidden="1"/>
    </xf>
    <xf numFmtId="0" fontId="93" fillId="2" borderId="0" xfId="0" applyFont="1" applyFill="1" applyProtection="1">
      <protection hidden="1"/>
    </xf>
    <xf numFmtId="0" fontId="180" fillId="0" borderId="0" xfId="0" applyFont="1" applyProtection="1">
      <protection hidden="1"/>
    </xf>
    <xf numFmtId="0" fontId="180" fillId="0" borderId="0" xfId="0" applyFont="1" applyAlignment="1" applyProtection="1">
      <alignment horizontal="right"/>
      <protection hidden="1"/>
    </xf>
    <xf numFmtId="0" fontId="180" fillId="0" borderId="0" xfId="49" applyFont="1" applyProtection="1">
      <protection hidden="1"/>
    </xf>
    <xf numFmtId="0" fontId="181" fillId="0" borderId="0" xfId="0" applyFont="1" applyAlignment="1" applyProtection="1">
      <alignment horizontal="center"/>
      <protection hidden="1"/>
    </xf>
    <xf numFmtId="0" fontId="181" fillId="0" borderId="0" xfId="0" applyFont="1" applyProtection="1">
      <protection hidden="1"/>
    </xf>
    <xf numFmtId="0" fontId="180" fillId="0" borderId="0" xfId="49" applyFont="1" applyAlignment="1" applyProtection="1">
      <alignment horizontal="right"/>
      <protection hidden="1"/>
    </xf>
    <xf numFmtId="167" fontId="181" fillId="0" borderId="0" xfId="218" applyNumberFormat="1" applyFont="1" applyAlignment="1" applyProtection="1">
      <alignment horizontal="center"/>
      <protection hidden="1"/>
    </xf>
    <xf numFmtId="168" fontId="181" fillId="0" borderId="0" xfId="218" applyNumberFormat="1" applyFont="1" applyAlignment="1" applyProtection="1">
      <alignment horizontal="center"/>
      <protection hidden="1"/>
    </xf>
    <xf numFmtId="0" fontId="181" fillId="0" borderId="0" xfId="49" applyFont="1" applyAlignment="1" applyProtection="1">
      <alignment horizontal="left"/>
      <protection hidden="1"/>
    </xf>
    <xf numFmtId="167" fontId="181" fillId="0" borderId="0" xfId="49" applyNumberFormat="1" applyFont="1" applyProtection="1">
      <protection hidden="1"/>
    </xf>
    <xf numFmtId="168" fontId="181" fillId="0" borderId="0" xfId="218" applyNumberFormat="1" applyFont="1" applyProtection="1">
      <protection hidden="1"/>
    </xf>
    <xf numFmtId="0" fontId="181" fillId="0" borderId="0" xfId="218" applyFont="1" applyProtection="1">
      <protection hidden="1"/>
    </xf>
    <xf numFmtId="173" fontId="181" fillId="0" borderId="0" xfId="218" applyNumberFormat="1" applyFont="1" applyProtection="1">
      <protection hidden="1"/>
    </xf>
    <xf numFmtId="167" fontId="181" fillId="0" borderId="0" xfId="218" applyNumberFormat="1" applyFont="1" applyProtection="1">
      <protection hidden="1"/>
    </xf>
    <xf numFmtId="0" fontId="23" fillId="2" borderId="0" xfId="49" applyFont="1" applyFill="1" applyAlignment="1" applyProtection="1">
      <alignment horizontal="right"/>
      <protection hidden="1"/>
    </xf>
    <xf numFmtId="0" fontId="20" fillId="2" borderId="0" xfId="6" applyFont="1" applyFill="1" applyAlignment="1" applyProtection="1">
      <alignment horizontal="left"/>
      <protection hidden="1"/>
    </xf>
    <xf numFmtId="0" fontId="7" fillId="3" borderId="12" xfId="49" applyFill="1" applyBorder="1" applyAlignment="1" applyProtection="1">
      <alignment horizontal="center"/>
      <protection locked="0"/>
    </xf>
    <xf numFmtId="0" fontId="7" fillId="2" borderId="8" xfId="49" applyFill="1" applyBorder="1" applyAlignment="1" applyProtection="1">
      <alignment horizontal="center" wrapText="1"/>
      <protection hidden="1"/>
    </xf>
    <xf numFmtId="0" fontId="27" fillId="2" borderId="0" xfId="49" applyFont="1" applyFill="1" applyAlignment="1" applyProtection="1">
      <alignment horizontal="right"/>
      <protection hidden="1"/>
    </xf>
    <xf numFmtId="0" fontId="7" fillId="2" borderId="12" xfId="49" applyFill="1" applyBorder="1" applyAlignment="1" applyProtection="1">
      <alignment horizontal="left"/>
      <protection hidden="1"/>
    </xf>
    <xf numFmtId="0" fontId="7" fillId="3" borderId="12"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0" fontId="7" fillId="2" borderId="12" xfId="0" applyFont="1" applyFill="1" applyBorder="1" applyAlignment="1" applyProtection="1">
      <alignment horizontal="left"/>
      <protection hidden="1"/>
    </xf>
    <xf numFmtId="0" fontId="7" fillId="2" borderId="10" xfId="0" applyFont="1" applyFill="1" applyBorder="1" applyAlignment="1" applyProtection="1">
      <alignment horizontal="left"/>
      <protection hidden="1"/>
    </xf>
    <xf numFmtId="0" fontId="36" fillId="6" borderId="16" xfId="0" applyFont="1" applyFill="1" applyBorder="1" applyAlignment="1">
      <alignment horizontal="center"/>
    </xf>
    <xf numFmtId="0" fontId="7" fillId="2" borderId="0" xfId="0" applyFont="1" applyFill="1" applyAlignment="1" applyProtection="1">
      <alignment horizontal="left" wrapText="1"/>
      <protection hidden="1"/>
    </xf>
    <xf numFmtId="0" fontId="7" fillId="2" borderId="10" xfId="49" applyFill="1" applyBorder="1" applyAlignment="1" applyProtection="1">
      <alignment horizontal="left"/>
      <protection hidden="1"/>
    </xf>
    <xf numFmtId="0" fontId="7" fillId="0" borderId="10" xfId="0" applyFont="1" applyBorder="1" applyProtection="1">
      <protection hidden="1"/>
    </xf>
    <xf numFmtId="0" fontId="7" fillId="3" borderId="2" xfId="49" applyFill="1" applyBorder="1" applyProtection="1">
      <protection locked="0"/>
    </xf>
    <xf numFmtId="0" fontId="59" fillId="2" borderId="47" xfId="49" applyFont="1" applyFill="1" applyBorder="1" applyAlignment="1" applyProtection="1">
      <alignment horizontal="left" vertical="top" wrapText="1"/>
      <protection hidden="1"/>
    </xf>
    <xf numFmtId="0" fontId="59" fillId="2" borderId="0" xfId="49" applyFont="1" applyFill="1" applyAlignment="1" applyProtection="1">
      <alignment horizontal="left" vertical="top" wrapText="1"/>
      <protection hidden="1"/>
    </xf>
    <xf numFmtId="0" fontId="7" fillId="2" borderId="0" xfId="211" applyFont="1" applyFill="1" applyAlignment="1" applyProtection="1">
      <alignment horizontal="right"/>
      <protection hidden="1"/>
    </xf>
    <xf numFmtId="0" fontId="5" fillId="2" borderId="0" xfId="49" applyFont="1" applyFill="1" applyAlignment="1" applyProtection="1">
      <alignment horizontal="center"/>
      <protection hidden="1"/>
    </xf>
    <xf numFmtId="2" fontId="182" fillId="2" borderId="0" xfId="49" applyNumberFormat="1" applyFont="1" applyFill="1" applyProtection="1">
      <protection hidden="1"/>
    </xf>
    <xf numFmtId="2" fontId="7" fillId="2" borderId="7" xfId="49" applyNumberFormat="1" applyFill="1" applyBorder="1" applyAlignment="1" applyProtection="1">
      <alignment horizontal="center"/>
      <protection locked="0"/>
    </xf>
    <xf numFmtId="0" fontId="7" fillId="0" borderId="0" xfId="49"/>
    <xf numFmtId="0" fontId="7" fillId="0" borderId="0" xfId="0" applyFont="1"/>
    <xf numFmtId="167" fontId="7" fillId="12" borderId="8" xfId="211" applyNumberFormat="1" applyFont="1" applyFill="1" applyBorder="1" applyAlignment="1" applyProtection="1">
      <alignment horizontal="center"/>
      <protection hidden="1"/>
    </xf>
    <xf numFmtId="0" fontId="2" fillId="0" borderId="0" xfId="211" applyAlignment="1" applyProtection="1">
      <alignment horizontal="center"/>
      <protection hidden="1"/>
    </xf>
    <xf numFmtId="0" fontId="31" fillId="0" borderId="0" xfId="218" applyFont="1"/>
    <xf numFmtId="0" fontId="31" fillId="0" borderId="0" xfId="218" applyFont="1" applyAlignment="1">
      <alignment wrapText="1"/>
    </xf>
    <xf numFmtId="0" fontId="31" fillId="0" borderId="0" xfId="49" applyFont="1" applyAlignment="1">
      <alignment horizontal="right"/>
    </xf>
    <xf numFmtId="0" fontId="7" fillId="3" borderId="5" xfId="217" applyFont="1" applyFill="1" applyBorder="1" applyAlignment="1" applyProtection="1">
      <alignment horizontal="center"/>
      <protection locked="0" hidden="1"/>
    </xf>
    <xf numFmtId="0" fontId="7" fillId="3" borderId="7" xfId="217" applyFont="1" applyFill="1" applyBorder="1" applyAlignment="1" applyProtection="1">
      <alignment horizontal="center"/>
      <protection locked="0" hidden="1"/>
    </xf>
    <xf numFmtId="0" fontId="7" fillId="3" borderId="10" xfId="0" applyFont="1" applyFill="1" applyBorder="1" applyProtection="1">
      <protection locked="0" hidden="1"/>
    </xf>
    <xf numFmtId="0" fontId="7" fillId="3" borderId="16" xfId="0" applyFont="1" applyFill="1" applyBorder="1" applyAlignment="1" applyProtection="1">
      <alignment horizontal="center"/>
      <protection locked="0" hidden="1"/>
    </xf>
    <xf numFmtId="0" fontId="7" fillId="3" borderId="15" xfId="0" applyFont="1" applyFill="1" applyBorder="1" applyAlignment="1" applyProtection="1">
      <alignment horizontal="center"/>
      <protection locked="0" hidden="1"/>
    </xf>
    <xf numFmtId="0" fontId="7" fillId="3" borderId="10" xfId="49" applyFill="1" applyBorder="1" applyProtection="1">
      <protection locked="0" hidden="1"/>
    </xf>
    <xf numFmtId="0" fontId="7" fillId="3" borderId="16" xfId="49" applyFill="1" applyBorder="1" applyProtection="1">
      <protection locked="0" hidden="1"/>
    </xf>
    <xf numFmtId="0" fontId="7" fillId="3" borderId="5" xfId="49" applyFill="1" applyBorder="1" applyProtection="1">
      <protection locked="0" hidden="1"/>
    </xf>
    <xf numFmtId="0" fontId="7" fillId="3" borderId="7" xfId="49" applyFill="1" applyBorder="1" applyProtection="1">
      <protection locked="0" hidden="1"/>
    </xf>
    <xf numFmtId="0" fontId="7" fillId="3" borderId="6" xfId="0" applyFont="1" applyFill="1" applyBorder="1" applyAlignment="1" applyProtection="1">
      <alignment horizontal="center"/>
      <protection locked="0" hidden="1"/>
    </xf>
    <xf numFmtId="0" fontId="7" fillId="3" borderId="9" xfId="49" applyFill="1" applyBorder="1" applyProtection="1">
      <protection locked="0" hidden="1"/>
    </xf>
    <xf numFmtId="0" fontId="7" fillId="3" borderId="0" xfId="49" applyFill="1" applyProtection="1">
      <protection locked="0" hidden="1"/>
    </xf>
    <xf numFmtId="1" fontId="80" fillId="3" borderId="4" xfId="49" applyNumberFormat="1" applyFont="1" applyFill="1" applyBorder="1" applyAlignment="1" applyProtection="1">
      <alignment horizontal="center"/>
      <protection locked="0" hidden="1"/>
    </xf>
    <xf numFmtId="1" fontId="80" fillId="3" borderId="7" xfId="49" applyNumberFormat="1" applyFont="1" applyFill="1" applyBorder="1" applyAlignment="1" applyProtection="1">
      <alignment horizontal="center"/>
      <protection locked="0" hidden="1"/>
    </xf>
    <xf numFmtId="0" fontId="7" fillId="3" borderId="12" xfId="99" applyFont="1" applyFill="1" applyBorder="1" applyAlignment="1" applyProtection="1">
      <alignment horizontal="center"/>
      <protection locked="0" hidden="1"/>
    </xf>
    <xf numFmtId="0" fontId="59" fillId="2" borderId="37" xfId="218" applyFont="1" applyFill="1" applyBorder="1" applyAlignment="1" applyProtection="1">
      <alignment horizontal="center" wrapText="1"/>
      <protection hidden="1"/>
    </xf>
    <xf numFmtId="0" fontId="59" fillId="2" borderId="45" xfId="218" applyFont="1" applyFill="1" applyBorder="1" applyAlignment="1" applyProtection="1">
      <alignment horizontal="center" wrapText="1"/>
      <protection hidden="1"/>
    </xf>
    <xf numFmtId="0" fontId="59" fillId="2" borderId="41" xfId="220" applyFont="1" applyFill="1" applyBorder="1" applyAlignment="1" applyProtection="1">
      <alignment horizontal="left"/>
      <protection hidden="1"/>
    </xf>
    <xf numFmtId="0" fontId="59" fillId="2" borderId="47" xfId="218" applyFont="1" applyFill="1" applyBorder="1" applyAlignment="1" applyProtection="1">
      <alignment horizontal="center"/>
      <protection hidden="1"/>
    </xf>
    <xf numFmtId="0" fontId="59" fillId="2" borderId="41" xfId="218" applyFont="1" applyFill="1" applyBorder="1" applyAlignment="1" applyProtection="1">
      <alignment horizontal="center"/>
      <protection hidden="1"/>
    </xf>
    <xf numFmtId="0" fontId="59" fillId="2" borderId="46" xfId="220" applyFont="1" applyFill="1" applyBorder="1" applyProtection="1">
      <protection hidden="1"/>
    </xf>
    <xf numFmtId="0" fontId="59" fillId="2" borderId="46" xfId="218" applyFont="1" applyFill="1" applyBorder="1" applyAlignment="1" applyProtection="1">
      <alignment horizontal="center"/>
      <protection hidden="1"/>
    </xf>
    <xf numFmtId="0" fontId="59" fillId="2" borderId="45" xfId="220" applyFont="1" applyFill="1" applyBorder="1" applyProtection="1">
      <protection hidden="1"/>
    </xf>
    <xf numFmtId="0" fontId="59" fillId="2" borderId="41" xfId="49" applyFont="1" applyFill="1" applyBorder="1" applyAlignment="1" applyProtection="1">
      <alignment horizontal="left"/>
      <protection hidden="1"/>
    </xf>
    <xf numFmtId="0" fontId="59" fillId="2" borderId="41" xfId="49" applyFont="1" applyFill="1" applyBorder="1" applyAlignment="1" applyProtection="1">
      <alignment horizontal="right"/>
      <protection hidden="1"/>
    </xf>
    <xf numFmtId="0" fontId="59" fillId="2" borderId="45" xfId="49" applyFont="1" applyFill="1" applyBorder="1" applyAlignment="1" applyProtection="1">
      <alignment horizontal="left"/>
      <protection hidden="1"/>
    </xf>
    <xf numFmtId="0" fontId="59" fillId="2" borderId="45" xfId="49" applyFont="1" applyFill="1" applyBorder="1" applyAlignment="1" applyProtection="1">
      <alignment horizontal="right"/>
      <protection hidden="1"/>
    </xf>
    <xf numFmtId="167" fontId="59" fillId="2" borderId="45" xfId="49" applyNumberFormat="1" applyFont="1" applyFill="1" applyBorder="1" applyAlignment="1" applyProtection="1">
      <alignment horizontal="right"/>
      <protection hidden="1"/>
    </xf>
    <xf numFmtId="167" fontId="92" fillId="2" borderId="7" xfId="127" applyNumberFormat="1" applyFont="1" applyFill="1" applyBorder="1" applyAlignment="1" applyProtection="1">
      <alignment horizontal="center" wrapText="1"/>
      <protection hidden="1"/>
    </xf>
    <xf numFmtId="0" fontId="7" fillId="2" borderId="8" xfId="0" applyFont="1" applyFill="1" applyBorder="1" applyProtection="1">
      <protection hidden="1"/>
    </xf>
    <xf numFmtId="0" fontId="15" fillId="6" borderId="8" xfId="0" applyFont="1" applyFill="1" applyBorder="1"/>
    <xf numFmtId="0" fontId="100" fillId="2" borderId="0" xfId="49" applyFont="1" applyFill="1" applyProtection="1">
      <protection hidden="1"/>
    </xf>
    <xf numFmtId="0" fontId="7" fillId="2" borderId="4" xfId="49" applyFill="1" applyBorder="1" applyProtection="1">
      <protection hidden="1"/>
    </xf>
    <xf numFmtId="0" fontId="34" fillId="2" borderId="0" xfId="49" applyFont="1" applyFill="1" applyProtection="1">
      <protection hidden="1"/>
    </xf>
    <xf numFmtId="0" fontId="34" fillId="2" borderId="0" xfId="0" applyFont="1" applyFill="1" applyProtection="1">
      <protection hidden="1"/>
    </xf>
    <xf numFmtId="0" fontId="7" fillId="2" borderId="7" xfId="49" applyFill="1" applyBorder="1" applyProtection="1">
      <protection hidden="1"/>
    </xf>
    <xf numFmtId="0" fontId="106" fillId="2" borderId="0" xfId="0" applyFont="1" applyFill="1" applyProtection="1">
      <protection hidden="1"/>
    </xf>
    <xf numFmtId="0" fontId="10" fillId="2" borderId="115" xfId="0" applyFont="1" applyFill="1" applyBorder="1" applyProtection="1">
      <protection hidden="1"/>
    </xf>
    <xf numFmtId="0" fontId="10" fillId="2" borderId="117" xfId="0" applyFont="1" applyFill="1" applyBorder="1" applyProtection="1">
      <protection hidden="1"/>
    </xf>
    <xf numFmtId="0" fontId="17" fillId="2" borderId="0" xfId="49" applyFont="1" applyFill="1" applyAlignment="1" applyProtection="1">
      <alignment wrapText="1"/>
      <protection hidden="1"/>
    </xf>
    <xf numFmtId="0" fontId="103" fillId="2" borderId="0" xfId="49" applyFont="1" applyFill="1" applyProtection="1">
      <protection hidden="1"/>
    </xf>
    <xf numFmtId="0" fontId="7" fillId="2" borderId="11" xfId="49" applyFill="1" applyBorder="1" applyProtection="1">
      <protection hidden="1"/>
    </xf>
    <xf numFmtId="0" fontId="7" fillId="2" borderId="2" xfId="0" applyFont="1" applyFill="1" applyBorder="1" applyProtection="1">
      <protection hidden="1"/>
    </xf>
    <xf numFmtId="0" fontId="36" fillId="6" borderId="4" xfId="49" applyFont="1" applyFill="1" applyBorder="1"/>
    <xf numFmtId="0" fontId="7" fillId="2" borderId="10" xfId="0" applyFont="1" applyFill="1" applyBorder="1" applyProtection="1">
      <protection hidden="1"/>
    </xf>
    <xf numFmtId="0" fontId="7" fillId="0" borderId="6" xfId="0" applyFont="1" applyBorder="1" applyProtection="1">
      <protection hidden="1"/>
    </xf>
    <xf numFmtId="0" fontId="7" fillId="2" borderId="11" xfId="0" applyFont="1" applyFill="1" applyBorder="1" applyProtection="1">
      <protection hidden="1"/>
    </xf>
    <xf numFmtId="0" fontId="27" fillId="2" borderId="8" xfId="49" applyFont="1" applyFill="1" applyBorder="1" applyProtection="1">
      <protection hidden="1"/>
    </xf>
    <xf numFmtId="0" fontId="7" fillId="2" borderId="4" xfId="210" applyFont="1" applyFill="1" applyBorder="1" applyProtection="1">
      <protection hidden="1"/>
    </xf>
    <xf numFmtId="0" fontId="168" fillId="2" borderId="0" xfId="49" applyFont="1" applyFill="1" applyProtection="1">
      <protection hidden="1"/>
    </xf>
    <xf numFmtId="0" fontId="168" fillId="15" borderId="0" xfId="49" applyFont="1" applyFill="1" applyProtection="1">
      <protection hidden="1"/>
    </xf>
    <xf numFmtId="0" fontId="7" fillId="2" borderId="16" xfId="210" applyFont="1" applyFill="1" applyBorder="1" applyProtection="1">
      <protection hidden="1"/>
    </xf>
    <xf numFmtId="49" fontId="7" fillId="2" borderId="16" xfId="210" applyNumberFormat="1" applyFont="1" applyFill="1" applyBorder="1" applyProtection="1">
      <protection hidden="1"/>
    </xf>
    <xf numFmtId="169" fontId="169" fillId="0" borderId="0" xfId="0" applyNumberFormat="1" applyFont="1" applyProtection="1">
      <protection hidden="1"/>
    </xf>
    <xf numFmtId="0" fontId="168" fillId="0" borderId="0" xfId="49" applyFont="1" applyProtection="1">
      <protection hidden="1"/>
    </xf>
    <xf numFmtId="0" fontId="110" fillId="2" borderId="16" xfId="210" applyFill="1" applyBorder="1" applyProtection="1">
      <protection hidden="1"/>
    </xf>
    <xf numFmtId="173" fontId="168" fillId="2" borderId="0" xfId="49" applyNumberFormat="1" applyFont="1" applyFill="1" applyProtection="1">
      <protection hidden="1"/>
    </xf>
    <xf numFmtId="0" fontId="110" fillId="2" borderId="7" xfId="210" applyFill="1" applyBorder="1" applyProtection="1">
      <protection hidden="1"/>
    </xf>
    <xf numFmtId="0" fontId="2" fillId="0" borderId="7" xfId="49" applyFont="1" applyBorder="1" applyProtection="1">
      <protection hidden="1"/>
    </xf>
    <xf numFmtId="0" fontId="7" fillId="2" borderId="0" xfId="192" applyFont="1" applyFill="1" applyAlignment="1" applyProtection="1">
      <alignment wrapText="1"/>
      <protection hidden="1"/>
    </xf>
    <xf numFmtId="0" fontId="95" fillId="2" borderId="0" xfId="49" applyFont="1" applyFill="1" applyProtection="1">
      <protection hidden="1"/>
    </xf>
    <xf numFmtId="0" fontId="95" fillId="2" borderId="15" xfId="49" applyFont="1" applyFill="1" applyBorder="1" applyProtection="1">
      <protection hidden="1"/>
    </xf>
    <xf numFmtId="0" fontId="97" fillId="2" borderId="0" xfId="168" applyFont="1" applyFill="1" applyAlignment="1" applyProtection="1">
      <alignment horizontal="left" wrapText="1"/>
      <protection hidden="1"/>
    </xf>
    <xf numFmtId="0" fontId="7" fillId="2" borderId="0" xfId="205" applyFill="1" applyProtection="1">
      <protection hidden="1"/>
    </xf>
    <xf numFmtId="0" fontId="9" fillId="2" borderId="0" xfId="0" applyFont="1" applyFill="1" applyProtection="1">
      <protection hidden="1"/>
    </xf>
    <xf numFmtId="0" fontId="27" fillId="2" borderId="0" xfId="49" applyFont="1" applyFill="1" applyAlignment="1" applyProtection="1">
      <alignment horizontal="center"/>
      <protection hidden="1"/>
    </xf>
    <xf numFmtId="0" fontId="15" fillId="2" borderId="10" xfId="49" applyFont="1" applyFill="1" applyBorder="1" applyAlignment="1" applyProtection="1">
      <alignment wrapText="1"/>
      <protection hidden="1"/>
    </xf>
    <xf numFmtId="0" fontId="15" fillId="2" borderId="0" xfId="49" applyFont="1" applyFill="1" applyAlignment="1" applyProtection="1">
      <alignment wrapText="1"/>
      <protection hidden="1"/>
    </xf>
    <xf numFmtId="9" fontId="7" fillId="2" borderId="0" xfId="5" applyFont="1" applyFill="1" applyAlignment="1" applyProtection="1">
      <alignment wrapText="1"/>
      <protection hidden="1"/>
    </xf>
    <xf numFmtId="9" fontId="7" fillId="2" borderId="10" xfId="5" applyFont="1" applyFill="1" applyBorder="1" applyAlignment="1" applyProtection="1">
      <alignment wrapText="1"/>
      <protection hidden="1"/>
    </xf>
    <xf numFmtId="9" fontId="7" fillId="2" borderId="15" xfId="5" applyFont="1" applyFill="1" applyBorder="1" applyAlignment="1" applyProtection="1">
      <alignment wrapText="1"/>
      <protection hidden="1"/>
    </xf>
    <xf numFmtId="0" fontId="12" fillId="2" borderId="10" xfId="49" applyFont="1" applyFill="1" applyBorder="1" applyAlignment="1" applyProtection="1">
      <alignment wrapText="1"/>
      <protection hidden="1"/>
    </xf>
    <xf numFmtId="0" fontId="15" fillId="2" borderId="0" xfId="224" applyFont="1" applyFill="1" applyAlignment="1" applyProtection="1">
      <alignment wrapText="1"/>
      <protection hidden="1"/>
    </xf>
    <xf numFmtId="0" fontId="7" fillId="2" borderId="15" xfId="224" applyFont="1" applyFill="1" applyBorder="1" applyAlignment="1" applyProtection="1">
      <alignment wrapText="1"/>
      <protection hidden="1"/>
    </xf>
    <xf numFmtId="0" fontId="7" fillId="2" borderId="10" xfId="0" applyFont="1" applyFill="1" applyBorder="1" applyAlignment="1" applyProtection="1">
      <alignment wrapText="1"/>
      <protection hidden="1"/>
    </xf>
    <xf numFmtId="175" fontId="7" fillId="2" borderId="4" xfId="224" applyNumberFormat="1" applyFont="1" applyFill="1" applyBorder="1" applyAlignment="1" applyProtection="1">
      <alignment horizontal="center" wrapText="1"/>
      <protection hidden="1"/>
    </xf>
    <xf numFmtId="0" fontId="16" fillId="2" borderId="6" xfId="0" applyFont="1" applyFill="1" applyBorder="1" applyProtection="1">
      <protection hidden="1"/>
    </xf>
    <xf numFmtId="0" fontId="7" fillId="3" borderId="8" xfId="49" applyFill="1" applyBorder="1" applyAlignment="1" applyProtection="1">
      <alignment horizontal="center" wrapText="1"/>
      <protection hidden="1"/>
    </xf>
    <xf numFmtId="0" fontId="7" fillId="3" borderId="8" xfId="49" applyFill="1" applyBorder="1" applyAlignment="1" applyProtection="1">
      <alignment horizontal="center"/>
      <protection hidden="1"/>
    </xf>
    <xf numFmtId="0" fontId="7" fillId="3" borderId="12" xfId="49" applyFill="1" applyBorder="1" applyAlignment="1" applyProtection="1">
      <alignment horizontal="center"/>
      <protection hidden="1"/>
    </xf>
    <xf numFmtId="0" fontId="7" fillId="3" borderId="8" xfId="0" applyFont="1" applyFill="1" applyBorder="1" applyAlignment="1" applyProtection="1">
      <alignment horizontal="center"/>
      <protection hidden="1"/>
    </xf>
    <xf numFmtId="167" fontId="7" fillId="12" borderId="23" xfId="0" applyNumberFormat="1" applyFont="1" applyFill="1" applyBorder="1" applyAlignment="1" applyProtection="1">
      <alignment horizontal="right"/>
      <protection hidden="1"/>
    </xf>
    <xf numFmtId="0" fontId="20" fillId="2" borderId="0" xfId="187" applyFont="1" applyFill="1" applyAlignment="1" applyProtection="1">
      <protection hidden="1"/>
    </xf>
    <xf numFmtId="0" fontId="9" fillId="2" borderId="0" xfId="49" applyFont="1" applyFill="1" applyProtection="1">
      <protection hidden="1"/>
    </xf>
    <xf numFmtId="0" fontId="87" fillId="0" borderId="0" xfId="227" applyFont="1"/>
    <xf numFmtId="0" fontId="183" fillId="2" borderId="0" xfId="49" applyFont="1" applyFill="1" applyAlignment="1" applyProtection="1">
      <alignment horizontal="center"/>
      <protection hidden="1"/>
    </xf>
    <xf numFmtId="0" fontId="37" fillId="2" borderId="0" xfId="49" applyFont="1" applyFill="1" applyAlignment="1" applyProtection="1">
      <alignment horizontal="center"/>
      <protection hidden="1"/>
    </xf>
    <xf numFmtId="0" fontId="184" fillId="2" borderId="0" xfId="0" applyFont="1" applyFill="1" applyAlignment="1" applyProtection="1">
      <alignment horizontal="left"/>
      <protection hidden="1"/>
    </xf>
    <xf numFmtId="0" fontId="185" fillId="30" borderId="0" xfId="225" applyFont="1" applyFill="1" applyAlignment="1" applyProtection="1">
      <alignment wrapText="1"/>
      <protection hidden="1"/>
    </xf>
    <xf numFmtId="0" fontId="17" fillId="2" borderId="0" xfId="211" applyFont="1" applyFill="1" applyAlignment="1" applyProtection="1">
      <alignment vertical="center" wrapText="1"/>
      <protection hidden="1"/>
    </xf>
    <xf numFmtId="0" fontId="3" fillId="2" borderId="0" xfId="0" applyFont="1" applyFill="1" applyProtection="1">
      <protection hidden="1"/>
    </xf>
    <xf numFmtId="0" fontId="185" fillId="30" borderId="44" xfId="225" applyFont="1" applyFill="1" applyBorder="1" applyAlignment="1" applyProtection="1">
      <alignment wrapText="1"/>
      <protection hidden="1"/>
    </xf>
    <xf numFmtId="0" fontId="14" fillId="2" borderId="0" xfId="49" applyFont="1" applyFill="1" applyProtection="1">
      <protection hidden="1"/>
    </xf>
    <xf numFmtId="0" fontId="3" fillId="2" borderId="0" xfId="99" applyFont="1" applyFill="1" applyProtection="1">
      <protection hidden="1"/>
    </xf>
    <xf numFmtId="0" fontId="39" fillId="2" borderId="0" xfId="212" applyFont="1" applyFill="1" applyProtection="1">
      <protection hidden="1"/>
    </xf>
    <xf numFmtId="14" fontId="3" fillId="2" borderId="0" xfId="211" applyNumberFormat="1" applyFont="1" applyFill="1" applyProtection="1">
      <protection hidden="1"/>
    </xf>
    <xf numFmtId="0" fontId="3" fillId="2" borderId="0" xfId="211" applyFont="1" applyFill="1" applyProtection="1">
      <protection hidden="1"/>
    </xf>
    <xf numFmtId="0" fontId="27" fillId="2" borderId="4" xfId="49" applyFont="1" applyFill="1" applyBorder="1" applyAlignment="1" applyProtection="1">
      <alignment horizontal="center"/>
      <protection hidden="1"/>
    </xf>
    <xf numFmtId="0" fontId="27" fillId="2" borderId="7" xfId="49" applyFont="1" applyFill="1" applyBorder="1" applyAlignment="1" applyProtection="1">
      <alignment horizontal="center"/>
      <protection hidden="1"/>
    </xf>
    <xf numFmtId="0" fontId="187" fillId="2" borderId="0" xfId="227" applyFont="1" applyFill="1" applyAlignment="1" applyProtection="1">
      <alignment horizontal="right" vertical="center"/>
      <protection hidden="1"/>
    </xf>
    <xf numFmtId="0" fontId="103" fillId="2" borderId="0" xfId="49" applyFont="1" applyFill="1" applyAlignment="1" applyProtection="1">
      <alignment horizontal="center"/>
      <protection hidden="1"/>
    </xf>
    <xf numFmtId="0" fontId="188" fillId="30" borderId="0" xfId="202" applyFont="1" applyFill="1" applyAlignment="1" applyProtection="1">
      <alignment vertical="top"/>
      <protection hidden="1"/>
    </xf>
    <xf numFmtId="0" fontId="189" fillId="30" borderId="0" xfId="225" applyFont="1" applyFill="1" applyProtection="1">
      <protection hidden="1"/>
    </xf>
    <xf numFmtId="0" fontId="20" fillId="2" borderId="0" xfId="133" applyFont="1" applyFill="1" applyAlignment="1" applyProtection="1">
      <protection hidden="1"/>
    </xf>
    <xf numFmtId="0" fontId="11" fillId="2" borderId="0" xfId="189" applyFont="1" applyFill="1" applyProtection="1">
      <protection hidden="1"/>
    </xf>
    <xf numFmtId="0" fontId="192" fillId="2" borderId="0" xfId="49" applyFont="1" applyFill="1" applyAlignment="1" applyProtection="1">
      <alignment wrapText="1"/>
      <protection hidden="1"/>
    </xf>
    <xf numFmtId="0" fontId="7" fillId="0" borderId="12" xfId="49" applyBorder="1" applyAlignment="1" applyProtection="1">
      <alignment horizontal="left"/>
      <protection locked="0"/>
    </xf>
    <xf numFmtId="0" fontId="7" fillId="0" borderId="14" xfId="49" applyBorder="1" applyAlignment="1" applyProtection="1">
      <alignment horizontal="left"/>
      <protection locked="0"/>
    </xf>
    <xf numFmtId="0" fontId="7" fillId="0" borderId="14" xfId="49" applyBorder="1" applyProtection="1">
      <protection locked="0"/>
    </xf>
    <xf numFmtId="0" fontId="7" fillId="0" borderId="14" xfId="49" applyBorder="1" applyAlignment="1" applyProtection="1">
      <alignment horizontal="left" wrapText="1"/>
      <protection locked="0"/>
    </xf>
    <xf numFmtId="0" fontId="7" fillId="0" borderId="14" xfId="49" applyBorder="1" applyAlignment="1" applyProtection="1">
      <alignment horizontal="right"/>
      <protection locked="0"/>
    </xf>
    <xf numFmtId="0" fontId="178" fillId="12" borderId="0" xfId="0" applyFont="1" applyFill="1" applyAlignment="1" applyProtection="1">
      <alignment horizontal="left"/>
      <protection hidden="1"/>
    </xf>
    <xf numFmtId="0" fontId="70" fillId="29" borderId="0" xfId="6" applyFont="1" applyFill="1" applyAlignment="1" applyProtection="1">
      <protection hidden="1"/>
    </xf>
    <xf numFmtId="0" fontId="114" fillId="0" borderId="0" xfId="6" applyFont="1" applyAlignment="1" applyProtection="1">
      <protection hidden="1"/>
    </xf>
    <xf numFmtId="0" fontId="171" fillId="2" borderId="0" xfId="227" applyFont="1" applyFill="1" applyAlignment="1" applyProtection="1">
      <alignment horizontal="center" vertical="center"/>
      <protection hidden="1"/>
    </xf>
    <xf numFmtId="0" fontId="189" fillId="30" borderId="0" xfId="225" applyFont="1" applyFill="1" applyAlignment="1" applyProtection="1">
      <alignment horizontal="center" wrapText="1"/>
      <protection hidden="1"/>
    </xf>
    <xf numFmtId="0" fontId="113" fillId="2" borderId="0" xfId="0" applyFont="1" applyFill="1" applyAlignment="1" applyProtection="1">
      <alignment horizontal="left"/>
      <protection hidden="1"/>
    </xf>
    <xf numFmtId="0" fontId="114" fillId="2" borderId="0" xfId="133" applyFont="1" applyFill="1" applyAlignment="1" applyProtection="1">
      <protection hidden="1"/>
    </xf>
    <xf numFmtId="0" fontId="188" fillId="30" borderId="0" xfId="202" applyFont="1" applyFill="1" applyAlignment="1" applyProtection="1">
      <alignment horizontal="right" vertical="top"/>
      <protection hidden="1"/>
    </xf>
    <xf numFmtId="0" fontId="112" fillId="12" borderId="0" xfId="6" applyFont="1" applyFill="1" applyAlignment="1" applyProtection="1">
      <alignment horizontal="left"/>
      <protection hidden="1"/>
    </xf>
    <xf numFmtId="0" fontId="113" fillId="2" borderId="0" xfId="0" applyFont="1" applyFill="1" applyAlignment="1" applyProtection="1">
      <alignment horizontal="center"/>
      <protection hidden="1"/>
    </xf>
    <xf numFmtId="0" fontId="112" fillId="2" borderId="0" xfId="0" applyFont="1" applyFill="1" applyProtection="1">
      <protection hidden="1"/>
    </xf>
    <xf numFmtId="0" fontId="2" fillId="2" borderId="0" xfId="0" applyFont="1" applyFill="1" applyAlignment="1" applyProtection="1">
      <alignment horizontal="center"/>
      <protection hidden="1"/>
    </xf>
    <xf numFmtId="0" fontId="70" fillId="2" borderId="0" xfId="6" applyFont="1" applyFill="1" applyAlignment="1" applyProtection="1">
      <alignment horizontal="left"/>
      <protection hidden="1"/>
    </xf>
    <xf numFmtId="0" fontId="112" fillId="2" borderId="0" xfId="227" applyFont="1" applyFill="1" applyAlignment="1" applyProtection="1">
      <alignment horizontal="left"/>
      <protection hidden="1"/>
    </xf>
    <xf numFmtId="0" fontId="112" fillId="2" borderId="0" xfId="0" applyFont="1" applyFill="1" applyAlignment="1" applyProtection="1">
      <alignment horizontal="left" wrapText="1"/>
      <protection hidden="1"/>
    </xf>
    <xf numFmtId="0" fontId="112" fillId="2" borderId="0" xfId="0" applyFont="1" applyFill="1" applyAlignment="1" applyProtection="1">
      <alignment horizontal="center"/>
      <protection hidden="1"/>
    </xf>
    <xf numFmtId="0" fontId="112" fillId="2" borderId="0" xfId="0" applyFont="1" applyFill="1" applyAlignment="1" applyProtection="1">
      <alignment horizontal="left"/>
      <protection hidden="1"/>
    </xf>
    <xf numFmtId="0" fontId="114" fillId="2" borderId="0" xfId="133" applyFont="1" applyFill="1" applyAlignment="1" applyProtection="1">
      <alignment horizontal="left"/>
      <protection hidden="1"/>
    </xf>
    <xf numFmtId="0" fontId="191" fillId="0" borderId="0" xfId="6" applyFont="1" applyAlignment="1" applyProtection="1">
      <alignment horizontal="left"/>
      <protection locked="0"/>
    </xf>
    <xf numFmtId="0" fontId="70" fillId="0" borderId="0" xfId="6" applyFont="1" applyAlignment="1" applyProtection="1">
      <alignment horizontal="left"/>
      <protection hidden="1"/>
    </xf>
    <xf numFmtId="0" fontId="189" fillId="30" borderId="0" xfId="225" applyFont="1" applyFill="1" applyAlignment="1" applyProtection="1">
      <alignment horizontal="left"/>
      <protection hidden="1"/>
    </xf>
    <xf numFmtId="0" fontId="57" fillId="28" borderId="0" xfId="275" applyFont="1" applyFill="1" applyProtection="1">
      <protection hidden="1"/>
    </xf>
    <xf numFmtId="0" fontId="32" fillId="2" borderId="0" xfId="227" applyFont="1" applyFill="1" applyAlignment="1" applyProtection="1">
      <alignment horizontal="right"/>
      <protection hidden="1"/>
    </xf>
    <xf numFmtId="0" fontId="5" fillId="2" borderId="0" xfId="0" applyFont="1" applyFill="1" applyAlignment="1" applyProtection="1">
      <alignment horizontal="left"/>
      <protection hidden="1"/>
    </xf>
    <xf numFmtId="0" fontId="7" fillId="2" borderId="12" xfId="49" applyFill="1" applyBorder="1" applyAlignment="1" applyProtection="1">
      <alignment horizontal="center"/>
      <protection hidden="1"/>
    </xf>
    <xf numFmtId="0" fontId="2" fillId="0" borderId="13" xfId="0" applyFont="1" applyBorder="1" applyAlignment="1" applyProtection="1">
      <alignment horizontal="center"/>
      <protection hidden="1"/>
    </xf>
    <xf numFmtId="0" fontId="2" fillId="0" borderId="14" xfId="0" applyFont="1" applyBorder="1" applyAlignment="1" applyProtection="1">
      <alignment horizontal="center"/>
      <protection hidden="1"/>
    </xf>
    <xf numFmtId="0" fontId="7" fillId="2" borderId="14" xfId="49" applyFill="1" applyBorder="1" applyAlignment="1" applyProtection="1">
      <alignment horizontal="center"/>
      <protection hidden="1"/>
    </xf>
    <xf numFmtId="0" fontId="94" fillId="2" borderId="0" xfId="0" applyFont="1" applyFill="1" applyAlignment="1" applyProtection="1">
      <alignment horizontal="left"/>
      <protection hidden="1"/>
    </xf>
    <xf numFmtId="0" fontId="15" fillId="2" borderId="9" xfId="0" applyFont="1" applyFill="1" applyBorder="1" applyAlignment="1" applyProtection="1">
      <alignment horizontal="center"/>
      <protection hidden="1"/>
    </xf>
    <xf numFmtId="0" fontId="15" fillId="2" borderId="0" xfId="0" applyFont="1" applyFill="1" applyAlignment="1" applyProtection="1">
      <alignment horizontal="center"/>
      <protection hidden="1"/>
    </xf>
    <xf numFmtId="0" fontId="170" fillId="2" borderId="0" xfId="225" applyFont="1" applyFill="1" applyAlignment="1" applyProtection="1">
      <alignment horizontal="center"/>
      <protection hidden="1"/>
    </xf>
    <xf numFmtId="0" fontId="185" fillId="30" borderId="0" xfId="225" applyFont="1" applyFill="1" applyAlignment="1" applyProtection="1">
      <alignment horizontal="left" vertical="center" wrapText="1"/>
      <protection hidden="1"/>
    </xf>
    <xf numFmtId="0" fontId="5" fillId="2" borderId="0" xfId="49" applyFont="1" applyFill="1" applyAlignment="1" applyProtection="1">
      <alignment horizontal="left"/>
      <protection hidden="1"/>
    </xf>
    <xf numFmtId="0" fontId="7" fillId="2" borderId="8" xfId="49" applyFill="1" applyBorder="1" applyAlignment="1" applyProtection="1">
      <alignment horizontal="center"/>
      <protection hidden="1"/>
    </xf>
    <xf numFmtId="0" fontId="7" fillId="3" borderId="8" xfId="49" applyFill="1" applyBorder="1" applyAlignment="1" applyProtection="1">
      <alignment horizontal="center"/>
      <protection hidden="1"/>
    </xf>
    <xf numFmtId="0" fontId="7" fillId="3" borderId="12" xfId="49" applyFill="1" applyBorder="1" applyAlignment="1" applyProtection="1">
      <alignment horizontal="center"/>
      <protection hidden="1"/>
    </xf>
    <xf numFmtId="0" fontId="7" fillId="3" borderId="14" xfId="49" applyFill="1" applyBorder="1" applyAlignment="1" applyProtection="1">
      <alignment horizontal="center"/>
      <protection hidden="1"/>
    </xf>
    <xf numFmtId="164" fontId="7" fillId="2" borderId="8" xfId="49" applyNumberFormat="1" applyFill="1" applyBorder="1" applyAlignment="1" applyProtection="1">
      <alignment horizontal="center"/>
      <protection hidden="1"/>
    </xf>
    <xf numFmtId="2" fontId="7" fillId="2" borderId="12" xfId="49" applyNumberFormat="1" applyFill="1" applyBorder="1" applyAlignment="1" applyProtection="1">
      <alignment horizontal="center"/>
      <protection hidden="1"/>
    </xf>
    <xf numFmtId="2" fontId="7" fillId="2" borderId="14" xfId="49" applyNumberFormat="1" applyFill="1" applyBorder="1" applyAlignment="1" applyProtection="1">
      <alignment horizontal="center"/>
      <protection hidden="1"/>
    </xf>
    <xf numFmtId="0" fontId="7" fillId="2" borderId="9" xfId="0" applyFont="1" applyFill="1" applyBorder="1" applyAlignment="1" applyProtection="1">
      <alignment horizontal="center"/>
      <protection hidden="1"/>
    </xf>
    <xf numFmtId="0" fontId="27" fillId="2" borderId="0" xfId="205" applyFont="1" applyFill="1" applyAlignment="1" applyProtection="1">
      <alignment horizontal="right"/>
      <protection hidden="1"/>
    </xf>
    <xf numFmtId="0" fontId="7" fillId="2" borderId="8" xfId="192" applyFont="1" applyFill="1" applyBorder="1" applyAlignment="1" applyProtection="1">
      <alignment horizontal="center" wrapText="1"/>
      <protection hidden="1"/>
    </xf>
    <xf numFmtId="0" fontId="7" fillId="2" borderId="8" xfId="49" applyFill="1" applyBorder="1" applyAlignment="1" applyProtection="1">
      <alignment horizontal="center" wrapText="1"/>
      <protection hidden="1"/>
    </xf>
    <xf numFmtId="0" fontId="7" fillId="2" borderId="10" xfId="49" applyFill="1" applyBorder="1" applyAlignment="1" applyProtection="1">
      <alignment horizontal="left" wrapText="1"/>
      <protection hidden="1"/>
    </xf>
    <xf numFmtId="0" fontId="7" fillId="2" borderId="0" xfId="49" applyFill="1" applyAlignment="1" applyProtection="1">
      <alignment horizontal="left" wrapText="1"/>
      <protection hidden="1"/>
    </xf>
    <xf numFmtId="0" fontId="5" fillId="2" borderId="0" xfId="221" applyFont="1" applyFill="1" applyAlignment="1" applyProtection="1">
      <alignment horizontal="left"/>
      <protection hidden="1"/>
    </xf>
    <xf numFmtId="0" fontId="9" fillId="2" borderId="11" xfId="221" applyFont="1" applyFill="1" applyBorder="1" applyAlignment="1" applyProtection="1">
      <alignment horizontal="left"/>
      <protection hidden="1"/>
    </xf>
    <xf numFmtId="0" fontId="27" fillId="2" borderId="0" xfId="49" applyFont="1" applyFill="1" applyAlignment="1" applyProtection="1">
      <alignment horizontal="right"/>
      <protection hidden="1"/>
    </xf>
    <xf numFmtId="0" fontId="27" fillId="2" borderId="15" xfId="49" applyFont="1" applyFill="1" applyBorder="1" applyAlignment="1" applyProtection="1">
      <alignment horizontal="right"/>
      <protection hidden="1"/>
    </xf>
    <xf numFmtId="0" fontId="37" fillId="2" borderId="0" xfId="49" applyFont="1" applyFill="1" applyAlignment="1" applyProtection="1">
      <alignment horizontal="right" wrapText="1"/>
      <protection hidden="1"/>
    </xf>
    <xf numFmtId="0" fontId="37" fillId="2" borderId="15" xfId="49" applyFont="1" applyFill="1" applyBorder="1" applyAlignment="1" applyProtection="1">
      <alignment horizontal="right" wrapText="1"/>
      <protection hidden="1"/>
    </xf>
    <xf numFmtId="0" fontId="7" fillId="2" borderId="0" xfId="49" applyFill="1" applyAlignment="1" applyProtection="1">
      <alignment horizontal="center"/>
      <protection hidden="1"/>
    </xf>
    <xf numFmtId="0" fontId="95" fillId="0" borderId="0" xfId="0" applyFont="1" applyAlignment="1" applyProtection="1">
      <alignment horizontal="left"/>
      <protection hidden="1"/>
    </xf>
    <xf numFmtId="0" fontId="95" fillId="2" borderId="11" xfId="49" applyFont="1" applyFill="1" applyBorder="1" applyAlignment="1" applyProtection="1">
      <alignment horizontal="left"/>
      <protection hidden="1"/>
    </xf>
    <xf numFmtId="167" fontId="27" fillId="2" borderId="12" xfId="0" applyNumberFormat="1" applyFont="1" applyFill="1" applyBorder="1" applyAlignment="1" applyProtection="1">
      <alignment horizontal="center"/>
      <protection hidden="1"/>
    </xf>
    <xf numFmtId="167" fontId="27" fillId="2" borderId="14" xfId="0" applyNumberFormat="1" applyFont="1" applyFill="1" applyBorder="1" applyAlignment="1" applyProtection="1">
      <alignment horizontal="center"/>
      <protection hidden="1"/>
    </xf>
    <xf numFmtId="0" fontId="7" fillId="2" borderId="2" xfId="49" applyFill="1" applyBorder="1" applyAlignment="1" applyProtection="1">
      <alignment horizontal="left"/>
      <protection hidden="1"/>
    </xf>
    <xf numFmtId="0" fontId="7" fillId="2" borderId="3" xfId="49" applyFill="1" applyBorder="1" applyAlignment="1" applyProtection="1">
      <alignment horizontal="left"/>
      <protection hidden="1"/>
    </xf>
    <xf numFmtId="0" fontId="7" fillId="2" borderId="12" xfId="222" applyFont="1" applyFill="1" applyBorder="1" applyAlignment="1" applyProtection="1">
      <alignment horizontal="center"/>
      <protection hidden="1"/>
    </xf>
    <xf numFmtId="0" fontId="7" fillId="2" borderId="14" xfId="222" applyFont="1" applyFill="1" applyBorder="1" applyAlignment="1" applyProtection="1">
      <alignment horizontal="center"/>
      <protection hidden="1"/>
    </xf>
    <xf numFmtId="0" fontId="7" fillId="2" borderId="5" xfId="49" applyFill="1" applyBorder="1" applyAlignment="1" applyProtection="1">
      <alignment horizontal="left"/>
      <protection hidden="1"/>
    </xf>
    <xf numFmtId="0" fontId="7" fillId="2" borderId="6" xfId="49" applyFill="1" applyBorder="1" applyAlignment="1" applyProtection="1">
      <alignment horizontal="left"/>
      <protection hidden="1"/>
    </xf>
    <xf numFmtId="0" fontId="7" fillId="2" borderId="12" xfId="223" applyFont="1" applyFill="1" applyBorder="1" applyAlignment="1" applyProtection="1">
      <alignment horizontal="center"/>
      <protection hidden="1"/>
    </xf>
    <xf numFmtId="0" fontId="7" fillId="2" borderId="14" xfId="223" applyFont="1" applyFill="1" applyBorder="1" applyAlignment="1" applyProtection="1">
      <alignment horizontal="center"/>
      <protection hidden="1"/>
    </xf>
    <xf numFmtId="0" fontId="7" fillId="2" borderId="12" xfId="49" applyFill="1" applyBorder="1" applyAlignment="1" applyProtection="1">
      <alignment horizontal="left"/>
      <protection hidden="1"/>
    </xf>
    <xf numFmtId="0" fontId="7" fillId="2" borderId="14" xfId="49" applyFill="1" applyBorder="1" applyAlignment="1" applyProtection="1">
      <alignment horizontal="left"/>
      <protection hidden="1"/>
    </xf>
    <xf numFmtId="0" fontId="7" fillId="2" borderId="12" xfId="0" applyFont="1" applyFill="1" applyBorder="1" applyAlignment="1" applyProtection="1">
      <alignment horizontal="center"/>
      <protection hidden="1"/>
    </xf>
    <xf numFmtId="0" fontId="7" fillId="2" borderId="14" xfId="0" applyFont="1" applyFill="1" applyBorder="1" applyAlignment="1" applyProtection="1">
      <alignment horizontal="center"/>
      <protection hidden="1"/>
    </xf>
    <xf numFmtId="0" fontId="7" fillId="2" borderId="78" xfId="0" applyFont="1" applyFill="1" applyBorder="1" applyAlignment="1" applyProtection="1">
      <alignment horizontal="center"/>
      <protection hidden="1"/>
    </xf>
    <xf numFmtId="0" fontId="7" fillId="2" borderId="79" xfId="0" applyFont="1" applyFill="1" applyBorder="1" applyAlignment="1" applyProtection="1">
      <alignment horizontal="center"/>
      <protection hidden="1"/>
    </xf>
    <xf numFmtId="167" fontId="27" fillId="2" borderId="80" xfId="0" applyNumberFormat="1" applyFont="1" applyFill="1" applyBorder="1" applyAlignment="1" applyProtection="1">
      <alignment horizontal="center"/>
      <protection hidden="1"/>
    </xf>
    <xf numFmtId="167" fontId="27" fillId="2" borderId="81" xfId="0" applyNumberFormat="1" applyFont="1" applyFill="1" applyBorder="1" applyAlignment="1" applyProtection="1">
      <alignment horizontal="center"/>
      <protection hidden="1"/>
    </xf>
    <xf numFmtId="0" fontId="95" fillId="2" borderId="0" xfId="49" applyFont="1" applyFill="1" applyAlignment="1" applyProtection="1">
      <alignment horizontal="right"/>
      <protection hidden="1"/>
    </xf>
    <xf numFmtId="0" fontId="94" fillId="2" borderId="80" xfId="49" applyFont="1" applyFill="1" applyBorder="1" applyAlignment="1" applyProtection="1">
      <alignment horizontal="center"/>
      <protection hidden="1"/>
    </xf>
    <xf numFmtId="0" fontId="94" fillId="2" borderId="81" xfId="49" applyFont="1" applyFill="1" applyBorder="1" applyAlignment="1" applyProtection="1">
      <alignment horizontal="center"/>
      <protection hidden="1"/>
    </xf>
    <xf numFmtId="0" fontId="5" fillId="0" borderId="0" xfId="0" applyFont="1" applyProtection="1">
      <protection hidden="1"/>
    </xf>
    <xf numFmtId="0" fontId="7" fillId="2" borderId="11" xfId="0" applyFont="1" applyFill="1" applyBorder="1" applyAlignment="1" applyProtection="1">
      <alignment horizontal="left"/>
      <protection hidden="1"/>
    </xf>
    <xf numFmtId="0" fontId="15" fillId="6" borderId="12" xfId="0" applyFont="1" applyFill="1" applyBorder="1" applyAlignment="1" applyProtection="1">
      <alignment horizontal="center"/>
      <protection hidden="1"/>
    </xf>
    <xf numFmtId="0" fontId="15" fillId="6" borderId="14" xfId="0" applyFont="1" applyFill="1" applyBorder="1" applyAlignment="1" applyProtection="1">
      <alignment horizontal="center"/>
      <protection hidden="1"/>
    </xf>
    <xf numFmtId="0" fontId="7" fillId="2" borderId="2" xfId="222" applyFont="1" applyFill="1" applyBorder="1" applyProtection="1">
      <protection hidden="1"/>
    </xf>
    <xf numFmtId="0" fontId="7" fillId="2" borderId="3" xfId="222" applyFont="1" applyFill="1" applyBorder="1" applyProtection="1">
      <protection hidden="1"/>
    </xf>
    <xf numFmtId="0" fontId="7" fillId="2" borderId="10" xfId="223" applyFont="1" applyFill="1" applyBorder="1" applyProtection="1">
      <protection hidden="1"/>
    </xf>
    <xf numFmtId="0" fontId="7" fillId="2" borderId="15" xfId="223" applyFont="1" applyFill="1" applyBorder="1" applyProtection="1">
      <protection hidden="1"/>
    </xf>
    <xf numFmtId="0" fontId="7" fillId="2" borderId="10" xfId="0" applyFont="1" applyFill="1" applyBorder="1" applyProtection="1">
      <protection hidden="1"/>
    </xf>
    <xf numFmtId="0" fontId="7" fillId="2" borderId="15" xfId="0" applyFont="1" applyFill="1" applyBorder="1" applyProtection="1">
      <protection hidden="1"/>
    </xf>
    <xf numFmtId="0" fontId="7" fillId="2" borderId="0" xfId="0" applyFont="1" applyFill="1" applyProtection="1">
      <protection hidden="1"/>
    </xf>
    <xf numFmtId="0" fontId="7" fillId="2" borderId="12" xfId="0" applyFont="1" applyFill="1" applyBorder="1" applyProtection="1">
      <protection hidden="1"/>
    </xf>
    <xf numFmtId="0" fontId="7" fillId="2" borderId="14" xfId="0" applyFont="1" applyFill="1" applyBorder="1" applyProtection="1">
      <protection hidden="1"/>
    </xf>
    <xf numFmtId="0" fontId="7" fillId="2" borderId="8" xfId="222" applyFont="1" applyFill="1" applyBorder="1" applyProtection="1">
      <protection hidden="1"/>
    </xf>
    <xf numFmtId="0" fontId="7" fillId="2" borderId="0" xfId="0" applyFont="1" applyFill="1" applyAlignment="1" applyProtection="1">
      <alignment horizontal="right"/>
      <protection hidden="1"/>
    </xf>
    <xf numFmtId="0" fontId="7" fillId="2" borderId="15" xfId="0" applyFont="1" applyFill="1" applyBorder="1" applyAlignment="1" applyProtection="1">
      <alignment horizontal="right"/>
      <protection hidden="1"/>
    </xf>
    <xf numFmtId="0" fontId="7" fillId="0" borderId="8" xfId="222" applyFont="1" applyBorder="1" applyAlignment="1" applyProtection="1">
      <alignment horizontal="center"/>
      <protection hidden="1"/>
    </xf>
    <xf numFmtId="2" fontId="7" fillId="0" borderId="12" xfId="0" applyNumberFormat="1" applyFont="1" applyBorder="1" applyAlignment="1" applyProtection="1">
      <alignment horizontal="center"/>
      <protection hidden="1"/>
    </xf>
    <xf numFmtId="2" fontId="7" fillId="0" borderId="14" xfId="0" applyNumberFormat="1" applyFont="1" applyBorder="1" applyAlignment="1" applyProtection="1">
      <alignment horizontal="center"/>
      <protection hidden="1"/>
    </xf>
    <xf numFmtId="0" fontId="7" fillId="3" borderId="12" xfId="0" applyFont="1" applyFill="1" applyBorder="1" applyAlignment="1" applyProtection="1">
      <alignment horizontal="center"/>
      <protection locked="0"/>
    </xf>
    <xf numFmtId="0" fontId="7" fillId="3" borderId="14"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2" fontId="7" fillId="0" borderId="8" xfId="0" applyNumberFormat="1" applyFont="1" applyBorder="1" applyAlignment="1" applyProtection="1">
      <alignment horizontal="center"/>
      <protection hidden="1"/>
    </xf>
    <xf numFmtId="0" fontId="94" fillId="0" borderId="6" xfId="0" applyFont="1" applyBorder="1" applyAlignment="1" applyProtection="1">
      <alignment horizontal="left"/>
      <protection hidden="1"/>
    </xf>
    <xf numFmtId="0" fontId="94" fillId="0" borderId="7" xfId="0" applyFont="1" applyBorder="1" applyAlignment="1" applyProtection="1">
      <alignment horizontal="left"/>
      <protection hidden="1"/>
    </xf>
    <xf numFmtId="0" fontId="94" fillId="0" borderId="5" xfId="0" applyFont="1" applyBorder="1" applyAlignment="1" applyProtection="1">
      <alignment horizontal="left"/>
      <protection hidden="1"/>
    </xf>
    <xf numFmtId="0" fontId="7" fillId="2" borderId="104" xfId="0" applyFont="1" applyFill="1" applyBorder="1" applyAlignment="1" applyProtection="1">
      <alignment horizontal="left"/>
      <protection hidden="1"/>
    </xf>
    <xf numFmtId="0" fontId="7" fillId="2" borderId="105" xfId="0" applyFont="1" applyFill="1" applyBorder="1" applyAlignment="1" applyProtection="1">
      <alignment horizontal="left"/>
      <protection hidden="1"/>
    </xf>
    <xf numFmtId="0" fontId="7" fillId="2" borderId="23" xfId="0" applyFont="1" applyFill="1" applyBorder="1" applyAlignment="1" applyProtection="1">
      <alignment horizontal="left"/>
      <protection hidden="1"/>
    </xf>
    <xf numFmtId="0" fontId="7" fillId="2" borderId="106" xfId="0" applyFont="1" applyFill="1" applyBorder="1" applyAlignment="1" applyProtection="1">
      <alignment horizontal="left"/>
      <protection hidden="1"/>
    </xf>
    <xf numFmtId="0" fontId="7" fillId="2" borderId="107" xfId="0" applyFont="1" applyFill="1" applyBorder="1" applyAlignment="1" applyProtection="1">
      <alignment horizontal="left"/>
      <protection hidden="1"/>
    </xf>
    <xf numFmtId="0" fontId="7" fillId="2" borderId="108" xfId="0" applyFont="1" applyFill="1" applyBorder="1" applyAlignment="1" applyProtection="1">
      <alignment horizontal="left"/>
      <protection hidden="1"/>
    </xf>
    <xf numFmtId="0" fontId="7" fillId="2" borderId="0" xfId="0" applyFont="1" applyFill="1" applyAlignment="1" applyProtection="1">
      <alignment horizontal="center"/>
      <protection hidden="1"/>
    </xf>
    <xf numFmtId="0" fontId="7" fillId="2" borderId="12" xfId="26" applyFont="1" applyFill="1" applyBorder="1" applyAlignment="1" applyProtection="1">
      <alignment horizontal="left"/>
      <protection hidden="1"/>
    </xf>
    <xf numFmtId="0" fontId="7" fillId="2" borderId="13" xfId="26" applyFont="1" applyFill="1" applyBorder="1" applyAlignment="1" applyProtection="1">
      <alignment horizontal="left"/>
      <protection hidden="1"/>
    </xf>
    <xf numFmtId="0" fontId="5" fillId="2" borderId="0" xfId="224" applyFont="1" applyFill="1" applyProtection="1">
      <protection hidden="1"/>
    </xf>
    <xf numFmtId="0" fontId="7" fillId="2" borderId="9" xfId="127" applyFont="1" applyFill="1" applyBorder="1" applyAlignment="1" applyProtection="1">
      <alignment horizont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92" fillId="2" borderId="5" xfId="0" applyFont="1" applyFill="1" applyBorder="1" applyAlignment="1" applyProtection="1">
      <alignment horizontal="center"/>
      <protection hidden="1"/>
    </xf>
    <xf numFmtId="0" fontId="92" fillId="2" borderId="6" xfId="0" applyFont="1" applyFill="1" applyBorder="1" applyAlignment="1" applyProtection="1">
      <alignment horizontal="center"/>
      <protection hidden="1"/>
    </xf>
    <xf numFmtId="2" fontId="7" fillId="2" borderId="2" xfId="49" applyNumberFormat="1" applyFill="1" applyBorder="1" applyAlignment="1" applyProtection="1">
      <alignment horizontal="center"/>
      <protection hidden="1"/>
    </xf>
    <xf numFmtId="2" fontId="7" fillId="2" borderId="9" xfId="49" applyNumberFormat="1" applyFill="1" applyBorder="1" applyAlignment="1" applyProtection="1">
      <alignment horizontal="center"/>
      <protection hidden="1"/>
    </xf>
    <xf numFmtId="2" fontId="7" fillId="2" borderId="3" xfId="49" applyNumberFormat="1" applyFill="1" applyBorder="1" applyAlignment="1" applyProtection="1">
      <alignment horizontal="center"/>
      <protection hidden="1"/>
    </xf>
    <xf numFmtId="2" fontId="7" fillId="2" borderId="2" xfId="0" applyNumberFormat="1" applyFont="1" applyFill="1" applyBorder="1" applyAlignment="1" applyProtection="1">
      <alignment horizontal="center"/>
      <protection hidden="1"/>
    </xf>
    <xf numFmtId="2" fontId="7" fillId="2" borderId="3" xfId="0" applyNumberFormat="1" applyFont="1" applyFill="1" applyBorder="1" applyAlignment="1" applyProtection="1">
      <alignment horizontal="center"/>
      <protection hidden="1"/>
    </xf>
    <xf numFmtId="0" fontId="92" fillId="2" borderId="2" xfId="0" applyFont="1" applyFill="1" applyBorder="1" applyAlignment="1" applyProtection="1">
      <alignment horizontal="center"/>
      <protection hidden="1"/>
    </xf>
    <xf numFmtId="0" fontId="92" fillId="2" borderId="3" xfId="0" applyFont="1" applyFill="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15" xfId="0" applyFont="1" applyBorder="1" applyAlignment="1" applyProtection="1">
      <alignment horizontal="center"/>
      <protection hidden="1"/>
    </xf>
    <xf numFmtId="0" fontId="92" fillId="2" borderId="5" xfId="0" applyFont="1" applyFill="1" applyBorder="1" applyAlignment="1" applyProtection="1">
      <alignment horizontal="center" wrapText="1"/>
      <protection hidden="1"/>
    </xf>
    <xf numFmtId="0" fontId="92" fillId="2" borderId="6" xfId="0" applyFont="1" applyFill="1" applyBorder="1" applyAlignment="1" applyProtection="1">
      <alignment horizontal="center" wrapText="1"/>
      <protection hidden="1"/>
    </xf>
    <xf numFmtId="2" fontId="99" fillId="2" borderId="11" xfId="127" applyNumberFormat="1" applyFont="1" applyFill="1" applyBorder="1" applyAlignment="1" applyProtection="1">
      <alignment horizontal="center"/>
      <protection hidden="1"/>
    </xf>
    <xf numFmtId="169" fontId="7" fillId="2" borderId="5" xfId="228" applyNumberFormat="1" applyFont="1" applyFill="1" applyBorder="1" applyAlignment="1" applyProtection="1">
      <alignment horizontal="center"/>
      <protection hidden="1"/>
    </xf>
    <xf numFmtId="169" fontId="7" fillId="2" borderId="6" xfId="228" applyNumberFormat="1" applyFont="1" applyFill="1" applyBorder="1" applyAlignment="1" applyProtection="1">
      <alignment horizontal="center"/>
      <protection hidden="1"/>
    </xf>
    <xf numFmtId="167" fontId="7" fillId="5" borderId="13" xfId="0" applyNumberFormat="1" applyFont="1" applyFill="1" applyBorder="1" applyAlignment="1" applyProtection="1">
      <alignment horizontal="center"/>
      <protection hidden="1"/>
    </xf>
    <xf numFmtId="167" fontId="7" fillId="5" borderId="6" xfId="0" applyNumberFormat="1" applyFont="1" applyFill="1" applyBorder="1" applyAlignment="1" applyProtection="1">
      <alignment horizontal="center"/>
      <protection hidden="1"/>
    </xf>
    <xf numFmtId="0" fontId="7" fillId="2" borderId="96" xfId="0" applyFont="1" applyFill="1" applyBorder="1" applyProtection="1">
      <protection hidden="1"/>
    </xf>
    <xf numFmtId="0" fontId="7" fillId="2" borderId="97" xfId="0" applyFont="1" applyFill="1" applyBorder="1" applyProtection="1">
      <protection hidden="1"/>
    </xf>
    <xf numFmtId="0" fontId="2" fillId="2" borderId="3" xfId="49" applyFont="1" applyFill="1" applyBorder="1" applyAlignment="1" applyProtection="1">
      <alignment horizontal="center"/>
      <protection hidden="1"/>
    </xf>
    <xf numFmtId="0" fontId="2" fillId="2" borderId="120" xfId="49" applyFont="1" applyFill="1" applyBorder="1" applyAlignment="1" applyProtection="1">
      <alignment horizontal="center"/>
      <protection hidden="1"/>
    </xf>
    <xf numFmtId="0" fontId="7" fillId="2" borderId="12" xfId="0" applyFont="1" applyFill="1" applyBorder="1" applyAlignment="1" applyProtection="1">
      <alignment horizontal="left"/>
      <protection hidden="1"/>
    </xf>
    <xf numFmtId="0" fontId="7" fillId="2" borderId="13" xfId="0" applyFont="1" applyFill="1" applyBorder="1" applyAlignment="1" applyProtection="1">
      <alignment horizontal="left"/>
      <protection hidden="1"/>
    </xf>
    <xf numFmtId="0" fontId="7" fillId="2" borderId="14" xfId="0" applyFont="1" applyFill="1" applyBorder="1" applyAlignment="1" applyProtection="1">
      <alignment horizontal="left"/>
      <protection hidden="1"/>
    </xf>
    <xf numFmtId="0" fontId="7" fillId="2" borderId="12" xfId="49" applyFill="1" applyBorder="1" applyProtection="1">
      <protection hidden="1"/>
    </xf>
    <xf numFmtId="0" fontId="7" fillId="2" borderId="14" xfId="49" applyFill="1" applyBorder="1" applyProtection="1">
      <protection hidden="1"/>
    </xf>
    <xf numFmtId="0" fontId="7" fillId="2" borderId="13" xfId="49" applyFill="1" applyBorder="1" applyAlignment="1" applyProtection="1">
      <alignment horizontal="left"/>
      <protection hidden="1"/>
    </xf>
    <xf numFmtId="0" fontId="5" fillId="0" borderId="0" xfId="0" applyFont="1" applyAlignment="1" applyProtection="1">
      <alignment horizontal="left"/>
      <protection hidden="1"/>
    </xf>
    <xf numFmtId="0" fontId="27" fillId="2" borderId="11" xfId="49" applyFont="1" applyFill="1" applyBorder="1" applyAlignment="1" applyProtection="1">
      <alignment horizontal="left"/>
      <protection hidden="1"/>
    </xf>
    <xf numFmtId="0" fontId="7" fillId="2" borderId="91" xfId="0" applyFont="1" applyFill="1" applyBorder="1" applyProtection="1">
      <protection hidden="1"/>
    </xf>
    <xf numFmtId="0" fontId="7" fillId="2" borderId="92" xfId="0" applyFont="1" applyFill="1" applyBorder="1" applyProtection="1">
      <protection hidden="1"/>
    </xf>
    <xf numFmtId="0" fontId="7" fillId="2" borderId="96" xfId="49" applyFill="1" applyBorder="1" applyProtection="1">
      <protection hidden="1"/>
    </xf>
    <xf numFmtId="0" fontId="7" fillId="2" borderId="97" xfId="49" applyFill="1" applyBorder="1" applyProtection="1">
      <protection hidden="1"/>
    </xf>
    <xf numFmtId="0" fontId="1" fillId="2" borderId="2" xfId="49" applyFont="1" applyFill="1" applyBorder="1" applyProtection="1">
      <protection hidden="1"/>
    </xf>
    <xf numFmtId="0" fontId="1" fillId="2" borderId="3" xfId="49" applyFont="1" applyFill="1" applyBorder="1" applyProtection="1">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1" fillId="2" borderId="5" xfId="49" applyFont="1" applyFill="1" applyBorder="1" applyProtection="1">
      <protection hidden="1"/>
    </xf>
    <xf numFmtId="0" fontId="1" fillId="2" borderId="11" xfId="49" applyFont="1" applyFill="1" applyBorder="1" applyProtection="1">
      <protection hidden="1"/>
    </xf>
    <xf numFmtId="0" fontId="7" fillId="2" borderId="5" xfId="49" applyFill="1" applyBorder="1" applyAlignment="1" applyProtection="1">
      <alignment horizontal="center"/>
      <protection hidden="1"/>
    </xf>
    <xf numFmtId="0" fontId="7" fillId="2" borderId="6" xfId="49" applyFill="1" applyBorder="1" applyAlignment="1" applyProtection="1">
      <alignment horizontal="center"/>
      <protection hidden="1"/>
    </xf>
    <xf numFmtId="0" fontId="7" fillId="0" borderId="12" xfId="0" applyFont="1" applyBorder="1" applyAlignment="1" applyProtection="1">
      <alignment horizontal="center"/>
      <protection hidden="1"/>
    </xf>
    <xf numFmtId="0" fontId="7" fillId="0" borderId="13" xfId="0" applyFont="1" applyBorder="1" applyAlignment="1" applyProtection="1">
      <alignment horizontal="center"/>
      <protection hidden="1"/>
    </xf>
    <xf numFmtId="0" fontId="7" fillId="3" borderId="2" xfId="49" applyFill="1" applyBorder="1" applyAlignment="1" applyProtection="1">
      <alignment horizontal="left"/>
      <protection locked="0"/>
    </xf>
    <xf numFmtId="0" fontId="7" fillId="3" borderId="3" xfId="49" applyFill="1" applyBorder="1" applyAlignment="1" applyProtection="1">
      <alignment horizontal="left"/>
      <protection locked="0"/>
    </xf>
    <xf numFmtId="0" fontId="76" fillId="2" borderId="9" xfId="49" applyFont="1" applyFill="1" applyBorder="1" applyAlignment="1" applyProtection="1">
      <alignment horizontal="center" wrapText="1"/>
      <protection hidden="1"/>
    </xf>
    <xf numFmtId="0" fontId="76" fillId="2" borderId="0" xfId="49" applyFont="1" applyFill="1" applyAlignment="1" applyProtection="1">
      <alignment horizontal="center" wrapText="1"/>
      <protection hidden="1"/>
    </xf>
    <xf numFmtId="0" fontId="7" fillId="3" borderId="12" xfId="49" applyFill="1" applyBorder="1" applyAlignment="1" applyProtection="1">
      <alignment horizontal="center" wrapText="1"/>
      <protection locked="0"/>
    </xf>
    <xf numFmtId="0" fontId="7" fillId="3" borderId="13" xfId="49" applyFill="1" applyBorder="1" applyAlignment="1" applyProtection="1">
      <alignment horizontal="center" wrapText="1"/>
      <protection locked="0"/>
    </xf>
    <xf numFmtId="0" fontId="7" fillId="3" borderId="10" xfId="49" applyFill="1" applyBorder="1" applyAlignment="1" applyProtection="1">
      <alignment horizontal="left"/>
      <protection locked="0"/>
    </xf>
    <xf numFmtId="0" fontId="7" fillId="3" borderId="15" xfId="49" applyFill="1" applyBorder="1" applyAlignment="1" applyProtection="1">
      <alignment horizontal="left"/>
      <protection locked="0"/>
    </xf>
    <xf numFmtId="0" fontId="7" fillId="3" borderId="10" xfId="0" applyFont="1" applyFill="1" applyBorder="1" applyAlignment="1" applyProtection="1">
      <alignment horizontal="left"/>
      <protection locked="0"/>
    </xf>
    <xf numFmtId="0" fontId="7" fillId="3" borderId="15" xfId="0" applyFont="1" applyFill="1" applyBorder="1" applyAlignment="1" applyProtection="1">
      <alignment horizontal="left"/>
      <protection locked="0"/>
    </xf>
    <xf numFmtId="0" fontId="7" fillId="3" borderId="10" xfId="0" applyFont="1" applyFill="1" applyBorder="1" applyAlignment="1" applyProtection="1">
      <alignment horizontal="left" wrapText="1"/>
      <protection locked="0"/>
    </xf>
    <xf numFmtId="0" fontId="7" fillId="3" borderId="15" xfId="0" applyFont="1" applyFill="1" applyBorder="1" applyAlignment="1" applyProtection="1">
      <alignment horizontal="left" wrapText="1"/>
      <protection locked="0"/>
    </xf>
    <xf numFmtId="0" fontId="32" fillId="2" borderId="2" xfId="0" applyFont="1" applyFill="1" applyBorder="1" applyAlignment="1" applyProtection="1">
      <alignment horizontal="left"/>
      <protection hidden="1"/>
    </xf>
    <xf numFmtId="0" fontId="2" fillId="0" borderId="3" xfId="0" applyFont="1" applyBorder="1" applyProtection="1">
      <protection hidden="1"/>
    </xf>
    <xf numFmtId="0" fontId="7" fillId="0" borderId="14" xfId="0" applyFont="1" applyBorder="1" applyAlignment="1" applyProtection="1">
      <alignment horizontal="center"/>
      <protection hidden="1"/>
    </xf>
    <xf numFmtId="0" fontId="7" fillId="3" borderId="10" xfId="0" applyFont="1" applyFill="1" applyBorder="1" applyProtection="1">
      <protection locked="0"/>
    </xf>
    <xf numFmtId="0" fontId="7" fillId="3" borderId="15" xfId="0" applyFont="1" applyFill="1" applyBorder="1" applyProtection="1">
      <protection locked="0"/>
    </xf>
    <xf numFmtId="0" fontId="7" fillId="2" borderId="0" xfId="49" applyFill="1" applyAlignment="1" applyProtection="1">
      <alignment horizontal="left"/>
      <protection hidden="1"/>
    </xf>
    <xf numFmtId="0" fontId="5" fillId="2" borderId="0" xfId="49" applyFont="1" applyFill="1" applyProtection="1">
      <protection hidden="1"/>
    </xf>
    <xf numFmtId="0" fontId="7" fillId="2" borderId="11" xfId="49" applyFill="1" applyBorder="1" applyProtection="1">
      <protection hidden="1"/>
    </xf>
    <xf numFmtId="0" fontId="36" fillId="6" borderId="2" xfId="0" applyFont="1" applyFill="1" applyBorder="1"/>
    <xf numFmtId="0" fontId="36" fillId="6" borderId="3" xfId="0" applyFont="1" applyFill="1" applyBorder="1"/>
    <xf numFmtId="0" fontId="7" fillId="2" borderId="2" xfId="0" applyFont="1" applyFill="1" applyBorder="1" applyAlignment="1" applyProtection="1">
      <alignment horizontal="left"/>
      <protection hidden="1"/>
    </xf>
    <xf numFmtId="0" fontId="7" fillId="2" borderId="3" xfId="0" applyFont="1" applyFill="1" applyBorder="1" applyAlignment="1" applyProtection="1">
      <alignment horizontal="left"/>
      <protection hidden="1"/>
    </xf>
    <xf numFmtId="0" fontId="165" fillId="27" borderId="129" xfId="225" applyFont="1" applyFill="1" applyBorder="1" applyAlignment="1" applyProtection="1">
      <alignment horizontal="left"/>
      <protection locked="0"/>
    </xf>
    <xf numFmtId="0" fontId="165" fillId="27" borderId="83" xfId="225" applyFont="1" applyFill="1" applyBorder="1" applyAlignment="1" applyProtection="1">
      <alignment horizontal="left"/>
      <protection locked="0"/>
    </xf>
    <xf numFmtId="0" fontId="7" fillId="2" borderId="10" xfId="0" applyFont="1" applyFill="1" applyBorder="1" applyAlignment="1" applyProtection="1">
      <alignment horizontal="right"/>
      <protection hidden="1"/>
    </xf>
    <xf numFmtId="0" fontId="7" fillId="2" borderId="10" xfId="0" applyFont="1" applyFill="1" applyBorder="1" applyAlignment="1" applyProtection="1">
      <alignment horizontal="left"/>
      <protection hidden="1"/>
    </xf>
    <xf numFmtId="0" fontId="7" fillId="2" borderId="15" xfId="0" applyFont="1" applyFill="1" applyBorder="1" applyAlignment="1" applyProtection="1">
      <alignment horizontal="left"/>
      <protection hidden="1"/>
    </xf>
    <xf numFmtId="0" fontId="96" fillId="27" borderId="129" xfId="225" applyFont="1" applyFill="1" applyBorder="1" applyAlignment="1" applyProtection="1">
      <alignment horizontal="left"/>
      <protection locked="0"/>
    </xf>
    <xf numFmtId="0" fontId="96" fillId="27" borderId="83" xfId="225" applyFont="1" applyFill="1" applyBorder="1" applyAlignment="1" applyProtection="1">
      <alignment horizontal="left"/>
      <protection locked="0"/>
    </xf>
    <xf numFmtId="0" fontId="7" fillId="2" borderId="2" xfId="49" applyFill="1" applyBorder="1" applyAlignment="1" applyProtection="1">
      <alignment horizontal="right" wrapText="1"/>
      <protection hidden="1"/>
    </xf>
    <xf numFmtId="0" fontId="7" fillId="2" borderId="3" xfId="49" applyFill="1" applyBorder="1" applyAlignment="1" applyProtection="1">
      <alignment horizontal="right" wrapText="1"/>
      <protection hidden="1"/>
    </xf>
    <xf numFmtId="0" fontId="7" fillId="2" borderId="5" xfId="49" applyFill="1" applyBorder="1" applyAlignment="1" applyProtection="1">
      <alignment horizontal="right" wrapText="1"/>
      <protection hidden="1"/>
    </xf>
    <xf numFmtId="0" fontId="7" fillId="2" borderId="6" xfId="49" applyFill="1" applyBorder="1" applyAlignment="1" applyProtection="1">
      <alignment horizontal="right" wrapText="1"/>
      <protection hidden="1"/>
    </xf>
    <xf numFmtId="0" fontId="7" fillId="2" borderId="5" xfId="0" applyFont="1" applyFill="1" applyBorder="1" applyAlignment="1" applyProtection="1">
      <alignment horizontal="right"/>
      <protection hidden="1"/>
    </xf>
    <xf numFmtId="0" fontId="7" fillId="2" borderId="6" xfId="0" applyFont="1" applyFill="1" applyBorder="1" applyAlignment="1" applyProtection="1">
      <alignment horizontal="right"/>
      <protection hidden="1"/>
    </xf>
    <xf numFmtId="0" fontId="7" fillId="2" borderId="5" xfId="0" applyFont="1" applyFill="1" applyBorder="1" applyAlignment="1" applyProtection="1">
      <alignment horizontal="left"/>
      <protection hidden="1"/>
    </xf>
    <xf numFmtId="0" fontId="7" fillId="2" borderId="6" xfId="0" applyFont="1" applyFill="1" applyBorder="1" applyAlignment="1" applyProtection="1">
      <alignment horizontal="left"/>
      <protection hidden="1"/>
    </xf>
    <xf numFmtId="0" fontId="61" fillId="2" borderId="12" xfId="0" applyFont="1" applyFill="1" applyBorder="1" applyAlignment="1" applyProtection="1">
      <alignment horizontal="center"/>
      <protection hidden="1"/>
    </xf>
    <xf numFmtId="0" fontId="61" fillId="2" borderId="13" xfId="0" applyFont="1" applyFill="1" applyBorder="1" applyAlignment="1" applyProtection="1">
      <alignment horizontal="center"/>
      <protection hidden="1"/>
    </xf>
    <xf numFmtId="0" fontId="61" fillId="2" borderId="14" xfId="0" applyFont="1" applyFill="1" applyBorder="1" applyAlignment="1" applyProtection="1">
      <alignment horizontal="center"/>
      <protection hidden="1"/>
    </xf>
    <xf numFmtId="0" fontId="7" fillId="3" borderId="5" xfId="49" applyFill="1" applyBorder="1" applyAlignment="1" applyProtection="1">
      <alignment horizontal="left"/>
      <protection locked="0"/>
    </xf>
    <xf numFmtId="0" fontId="7" fillId="3" borderId="6" xfId="49" applyFill="1" applyBorder="1" applyAlignment="1" applyProtection="1">
      <alignment horizontal="left"/>
      <protection locked="0"/>
    </xf>
    <xf numFmtId="0" fontId="23" fillId="2" borderId="0" xfId="49" applyFont="1" applyFill="1" applyAlignment="1" applyProtection="1">
      <alignment horizontal="left"/>
      <protection hidden="1"/>
    </xf>
    <xf numFmtId="0" fontId="27" fillId="2" borderId="4" xfId="0" applyFont="1" applyFill="1" applyBorder="1" applyProtection="1">
      <protection hidden="1"/>
    </xf>
    <xf numFmtId="0" fontId="27" fillId="3" borderId="7" xfId="0" applyFont="1" applyFill="1" applyBorder="1" applyProtection="1">
      <protection locked="0"/>
    </xf>
    <xf numFmtId="0" fontId="7" fillId="2" borderId="3" xfId="0" applyFont="1" applyFill="1" applyBorder="1" applyProtection="1">
      <protection hidden="1"/>
    </xf>
    <xf numFmtId="0" fontId="7" fillId="2" borderId="2" xfId="26" applyFont="1" applyFill="1" applyBorder="1" applyAlignment="1" applyProtection="1">
      <alignment horizontal="left"/>
      <protection hidden="1"/>
    </xf>
    <xf numFmtId="0" fontId="7" fillId="2" borderId="9" xfId="26" applyFont="1" applyFill="1" applyBorder="1" applyAlignment="1" applyProtection="1">
      <alignment horizontal="left"/>
      <protection hidden="1"/>
    </xf>
    <xf numFmtId="0" fontId="7" fillId="2" borderId="3" xfId="26" applyFont="1" applyFill="1" applyBorder="1" applyAlignment="1" applyProtection="1">
      <alignment horizontal="left"/>
      <protection hidden="1"/>
    </xf>
    <xf numFmtId="0" fontId="108" fillId="6" borderId="15" xfId="0" applyFont="1" applyFill="1" applyBorder="1"/>
    <xf numFmtId="0" fontId="7" fillId="2" borderId="0" xfId="0" applyFont="1" applyFill="1" applyAlignment="1" applyProtection="1">
      <alignment horizontal="left"/>
      <protection hidden="1"/>
    </xf>
    <xf numFmtId="0" fontId="7" fillId="0" borderId="0" xfId="0" applyFont="1" applyProtection="1">
      <protection hidden="1"/>
    </xf>
    <xf numFmtId="0" fontId="7" fillId="2" borderId="5" xfId="26" applyFont="1" applyFill="1" applyBorder="1" applyAlignment="1" applyProtection="1">
      <alignment horizontal="left"/>
      <protection hidden="1"/>
    </xf>
    <xf numFmtId="0" fontId="7" fillId="2" borderId="11" xfId="26" applyFont="1" applyFill="1" applyBorder="1" applyAlignment="1" applyProtection="1">
      <alignment horizontal="left"/>
      <protection hidden="1"/>
    </xf>
    <xf numFmtId="0" fontId="7" fillId="2" borderId="6" xfId="26" applyFont="1" applyFill="1" applyBorder="1" applyAlignment="1" applyProtection="1">
      <alignment horizontal="left"/>
      <protection hidden="1"/>
    </xf>
    <xf numFmtId="0" fontId="7" fillId="2" borderId="9" xfId="0" applyFont="1" applyFill="1" applyBorder="1" applyAlignment="1" applyProtection="1">
      <alignment horizontal="left" wrapText="1"/>
      <protection hidden="1"/>
    </xf>
    <xf numFmtId="0" fontId="7" fillId="2" borderId="0" xfId="0" applyFont="1" applyFill="1" applyAlignment="1" applyProtection="1">
      <alignment horizontal="left" wrapText="1"/>
      <protection hidden="1"/>
    </xf>
    <xf numFmtId="0" fontId="7" fillId="2" borderId="9" xfId="192" applyFont="1" applyFill="1" applyBorder="1" applyAlignment="1" applyProtection="1">
      <alignment horizontal="left" wrapText="1"/>
      <protection hidden="1"/>
    </xf>
    <xf numFmtId="0" fontId="7" fillId="2" borderId="0" xfId="192" applyFont="1" applyFill="1" applyAlignment="1" applyProtection="1">
      <alignment horizontal="left" wrapText="1"/>
      <protection hidden="1"/>
    </xf>
    <xf numFmtId="0" fontId="5" fillId="2" borderId="11" xfId="210" applyFont="1" applyFill="1" applyBorder="1" applyAlignment="1" applyProtection="1">
      <alignment horizontal="left"/>
      <protection hidden="1"/>
    </xf>
    <xf numFmtId="0" fontId="23" fillId="2" borderId="0" xfId="49" applyFont="1" applyFill="1" applyAlignment="1" applyProtection="1">
      <alignment horizontal="right"/>
      <protection hidden="1"/>
    </xf>
    <xf numFmtId="0" fontId="36" fillId="6" borderId="16" xfId="0" applyFont="1" applyFill="1" applyBorder="1" applyAlignment="1">
      <alignment horizontal="center"/>
    </xf>
    <xf numFmtId="0" fontId="107" fillId="6" borderId="2" xfId="0" applyFont="1" applyFill="1" applyBorder="1"/>
    <xf numFmtId="0" fontId="107" fillId="6" borderId="9" xfId="0" applyFont="1" applyFill="1" applyBorder="1"/>
    <xf numFmtId="0" fontId="107" fillId="6" borderId="3" xfId="0" applyFont="1" applyFill="1" applyBorder="1"/>
    <xf numFmtId="0" fontId="107" fillId="6" borderId="5" xfId="0" applyFont="1" applyFill="1" applyBorder="1"/>
    <xf numFmtId="0" fontId="107" fillId="6" borderId="11" xfId="0" applyFont="1" applyFill="1" applyBorder="1"/>
    <xf numFmtId="0" fontId="107" fillId="6" borderId="6" xfId="0" applyFont="1" applyFill="1" applyBorder="1"/>
    <xf numFmtId="0" fontId="27" fillId="0" borderId="2" xfId="0" applyFont="1" applyBorder="1" applyAlignment="1" applyProtection="1">
      <alignment horizontal="left"/>
      <protection hidden="1"/>
    </xf>
    <xf numFmtId="0" fontId="27" fillId="0" borderId="9" xfId="0" applyFont="1" applyBorder="1" applyAlignment="1" applyProtection="1">
      <alignment horizontal="left"/>
      <protection hidden="1"/>
    </xf>
    <xf numFmtId="0" fontId="27" fillId="0" borderId="3" xfId="0" applyFont="1" applyBorder="1" applyAlignment="1" applyProtection="1">
      <alignment horizontal="left"/>
      <protection hidden="1"/>
    </xf>
    <xf numFmtId="0" fontId="27" fillId="0" borderId="5" xfId="0" applyFont="1" applyBorder="1" applyAlignment="1" applyProtection="1">
      <alignment horizontal="left"/>
      <protection hidden="1"/>
    </xf>
    <xf numFmtId="0" fontId="27" fillId="0" borderId="11" xfId="0" applyFont="1" applyBorder="1" applyAlignment="1" applyProtection="1">
      <alignment horizontal="left"/>
      <protection hidden="1"/>
    </xf>
    <xf numFmtId="0" fontId="27" fillId="0" borderId="6" xfId="0" applyFont="1" applyBorder="1" applyAlignment="1" applyProtection="1">
      <alignment horizontal="left"/>
      <protection hidden="1"/>
    </xf>
    <xf numFmtId="0" fontId="2" fillId="0" borderId="0" xfId="0" applyFont="1" applyProtection="1">
      <protection hidden="1"/>
    </xf>
    <xf numFmtId="0" fontId="2" fillId="0" borderId="10" xfId="0" applyFont="1" applyBorder="1" applyProtection="1">
      <protection hidden="1"/>
    </xf>
    <xf numFmtId="0" fontId="15" fillId="2" borderId="10" xfId="49" applyFont="1" applyFill="1" applyBorder="1" applyAlignment="1" applyProtection="1">
      <alignment horizontal="left" wrapText="1"/>
      <protection hidden="1"/>
    </xf>
    <xf numFmtId="0" fontId="15" fillId="2" borderId="0" xfId="49" applyFont="1" applyFill="1" applyAlignment="1" applyProtection="1">
      <alignment horizontal="left" wrapText="1"/>
      <protection hidden="1"/>
    </xf>
    <xf numFmtId="0" fontId="15" fillId="2" borderId="9" xfId="49" applyFont="1" applyFill="1" applyBorder="1" applyAlignment="1" applyProtection="1">
      <alignment horizontal="center" wrapText="1"/>
      <protection hidden="1"/>
    </xf>
    <xf numFmtId="0" fontId="15" fillId="2" borderId="0" xfId="49" applyFont="1" applyFill="1" applyAlignment="1" applyProtection="1">
      <alignment horizontal="center" wrapText="1"/>
      <protection hidden="1"/>
    </xf>
    <xf numFmtId="0" fontId="15" fillId="2" borderId="0" xfId="224" applyFont="1" applyFill="1" applyAlignment="1" applyProtection="1">
      <alignment horizontal="left" wrapText="1"/>
      <protection hidden="1"/>
    </xf>
    <xf numFmtId="0" fontId="7" fillId="2" borderId="10" xfId="49" applyFill="1" applyBorder="1" applyAlignment="1" applyProtection="1">
      <alignment horizontal="center" wrapText="1"/>
      <protection hidden="1"/>
    </xf>
    <xf numFmtId="0" fontId="7" fillId="2" borderId="0" xfId="49" applyFill="1" applyAlignment="1" applyProtection="1">
      <alignment horizontal="center" wrapText="1"/>
      <protection hidden="1"/>
    </xf>
    <xf numFmtId="0" fontId="7" fillId="2" borderId="15" xfId="49" applyFill="1" applyBorder="1" applyAlignment="1" applyProtection="1">
      <alignment horizontal="center" wrapText="1"/>
      <protection hidden="1"/>
    </xf>
    <xf numFmtId="165" fontId="7" fillId="2" borderId="0" xfId="4" applyFont="1" applyFill="1" applyAlignment="1" applyProtection="1">
      <alignment horizontal="center" wrapText="1"/>
      <protection hidden="1"/>
    </xf>
    <xf numFmtId="0" fontId="101" fillId="6" borderId="2" xfId="49" applyFont="1" applyFill="1" applyBorder="1"/>
    <xf numFmtId="0" fontId="101" fillId="6" borderId="3" xfId="49" applyFont="1" applyFill="1" applyBorder="1"/>
    <xf numFmtId="0" fontId="101" fillId="6" borderId="5" xfId="49" applyFont="1" applyFill="1" applyBorder="1"/>
    <xf numFmtId="0" fontId="101" fillId="6" borderId="6" xfId="49" applyFont="1" applyFill="1" applyBorder="1"/>
    <xf numFmtId="0" fontId="27" fillId="2" borderId="2" xfId="49" applyFont="1" applyFill="1" applyBorder="1" applyAlignment="1" applyProtection="1">
      <alignment horizontal="center"/>
      <protection hidden="1"/>
    </xf>
    <xf numFmtId="0" fontId="2" fillId="0" borderId="9" xfId="0" applyFont="1" applyBorder="1" applyProtection="1">
      <protection hidden="1"/>
    </xf>
    <xf numFmtId="0" fontId="2" fillId="0" borderId="102" xfId="0" applyFont="1" applyBorder="1" applyProtection="1">
      <protection hidden="1"/>
    </xf>
    <xf numFmtId="0" fontId="2" fillId="0" borderId="119" xfId="0" applyFont="1" applyBorder="1" applyProtection="1">
      <protection hidden="1"/>
    </xf>
    <xf numFmtId="0" fontId="2" fillId="0" borderId="120" xfId="0" applyFont="1" applyBorder="1" applyProtection="1">
      <protection hidden="1"/>
    </xf>
    <xf numFmtId="0" fontId="16" fillId="11" borderId="5" xfId="0" applyFont="1" applyFill="1" applyBorder="1" applyAlignment="1" applyProtection="1">
      <alignment horizontal="center"/>
      <protection hidden="1"/>
    </xf>
    <xf numFmtId="0" fontId="16" fillId="11" borderId="11" xfId="0" applyFont="1" applyFill="1" applyBorder="1" applyAlignment="1" applyProtection="1">
      <alignment horizontal="center"/>
      <protection hidden="1"/>
    </xf>
    <xf numFmtId="0" fontId="16" fillId="11" borderId="6" xfId="0" applyFont="1" applyFill="1" applyBorder="1" applyAlignment="1" applyProtection="1">
      <alignment horizontal="center"/>
      <protection hidden="1"/>
    </xf>
    <xf numFmtId="0" fontId="7" fillId="19" borderId="10" xfId="49" applyFill="1" applyBorder="1" applyAlignment="1" applyProtection="1">
      <alignment horizontal="center"/>
      <protection hidden="1"/>
    </xf>
    <xf numFmtId="0" fontId="7" fillId="19" borderId="0" xfId="49" applyFill="1" applyAlignment="1" applyProtection="1">
      <alignment horizontal="center"/>
      <protection hidden="1"/>
    </xf>
    <xf numFmtId="0" fontId="7" fillId="19" borderId="15" xfId="49" applyFill="1" applyBorder="1" applyAlignment="1" applyProtection="1">
      <alignment horizontal="center"/>
      <protection hidden="1"/>
    </xf>
    <xf numFmtId="0" fontId="7" fillId="5" borderId="10" xfId="49" applyFill="1" applyBorder="1" applyAlignment="1" applyProtection="1">
      <alignment horizontal="center"/>
      <protection hidden="1"/>
    </xf>
    <xf numFmtId="0" fontId="7" fillId="5" borderId="0" xfId="49" applyFill="1" applyAlignment="1" applyProtection="1">
      <alignment horizontal="center"/>
      <protection hidden="1"/>
    </xf>
    <xf numFmtId="0" fontId="7" fillId="5" borderId="15" xfId="49" applyFill="1" applyBorder="1" applyAlignment="1" applyProtection="1">
      <alignment horizontal="center"/>
      <protection hidden="1"/>
    </xf>
    <xf numFmtId="0" fontId="103" fillId="2" borderId="9" xfId="49" applyFont="1" applyFill="1" applyBorder="1" applyProtection="1">
      <protection hidden="1"/>
    </xf>
    <xf numFmtId="0" fontId="102" fillId="18" borderId="10" xfId="49" applyFont="1" applyFill="1" applyBorder="1" applyAlignment="1" applyProtection="1">
      <alignment horizontal="center"/>
      <protection hidden="1"/>
    </xf>
    <xf numFmtId="0" fontId="102" fillId="18" borderId="0" xfId="49" applyFont="1" applyFill="1" applyAlignment="1" applyProtection="1">
      <alignment horizontal="center"/>
      <protection hidden="1"/>
    </xf>
    <xf numFmtId="0" fontId="102" fillId="18" borderId="15" xfId="49" applyFont="1" applyFill="1" applyBorder="1" applyAlignment="1" applyProtection="1">
      <alignment horizontal="center"/>
      <protection hidden="1"/>
    </xf>
    <xf numFmtId="0" fontId="16" fillId="11" borderId="10" xfId="0" applyFont="1" applyFill="1" applyBorder="1" applyAlignment="1" applyProtection="1">
      <alignment horizontal="center"/>
      <protection hidden="1"/>
    </xf>
    <xf numFmtId="0" fontId="16" fillId="11" borderId="0" xfId="0" applyFont="1" applyFill="1" applyAlignment="1" applyProtection="1">
      <alignment horizontal="center"/>
      <protection hidden="1"/>
    </xf>
    <xf numFmtId="0" fontId="16" fillId="11" borderId="15" xfId="0" applyFont="1" applyFill="1" applyBorder="1" applyAlignment="1" applyProtection="1">
      <alignment horizontal="center"/>
      <protection hidden="1"/>
    </xf>
    <xf numFmtId="0" fontId="7" fillId="2" borderId="9" xfId="49" applyFill="1" applyBorder="1" applyAlignment="1" applyProtection="1">
      <alignment horizontal="center" wrapText="1"/>
      <protection hidden="1"/>
    </xf>
    <xf numFmtId="0" fontId="7" fillId="2" borderId="3" xfId="49" applyFill="1" applyBorder="1" applyAlignment="1" applyProtection="1">
      <alignment horizontal="center" wrapText="1"/>
      <protection hidden="1"/>
    </xf>
    <xf numFmtId="0" fontId="7" fillId="2" borderId="9" xfId="49" applyFill="1" applyBorder="1" applyAlignment="1" applyProtection="1">
      <alignment horizontal="center"/>
      <protection hidden="1"/>
    </xf>
    <xf numFmtId="0" fontId="7" fillId="2" borderId="3" xfId="49" applyFill="1" applyBorder="1" applyAlignment="1" applyProtection="1">
      <alignment horizontal="center"/>
      <protection hidden="1"/>
    </xf>
    <xf numFmtId="0" fontId="7" fillId="5" borderId="2" xfId="49" applyFill="1" applyBorder="1" applyAlignment="1" applyProtection="1">
      <alignment horizontal="center" wrapText="1"/>
      <protection hidden="1"/>
    </xf>
    <xf numFmtId="0" fontId="7" fillId="5" borderId="9" xfId="49" applyFill="1" applyBorder="1" applyAlignment="1" applyProtection="1">
      <alignment horizontal="center" wrapText="1"/>
      <protection hidden="1"/>
    </xf>
    <xf numFmtId="0" fontId="7" fillId="5" borderId="3" xfId="49" applyFill="1" applyBorder="1" applyAlignment="1" applyProtection="1">
      <alignment horizontal="center" wrapText="1"/>
      <protection hidden="1"/>
    </xf>
    <xf numFmtId="0" fontId="102" fillId="18" borderId="10" xfId="49" applyFont="1" applyFill="1" applyBorder="1" applyAlignment="1" applyProtection="1">
      <alignment horizontal="center" wrapText="1"/>
      <protection hidden="1"/>
    </xf>
    <xf numFmtId="0" fontId="102" fillId="18" borderId="0" xfId="49" applyFont="1" applyFill="1" applyAlignment="1" applyProtection="1">
      <alignment horizontal="center" wrapText="1"/>
      <protection hidden="1"/>
    </xf>
    <xf numFmtId="0" fontId="102" fillId="18" borderId="15" xfId="49" applyFont="1" applyFill="1" applyBorder="1" applyAlignment="1" applyProtection="1">
      <alignment horizontal="center" wrapText="1"/>
      <protection hidden="1"/>
    </xf>
    <xf numFmtId="0" fontId="2" fillId="2" borderId="2" xfId="49" applyFont="1" applyFill="1" applyBorder="1" applyAlignment="1" applyProtection="1">
      <alignment horizontal="center"/>
      <protection hidden="1"/>
    </xf>
    <xf numFmtId="0" fontId="2" fillId="2" borderId="102" xfId="49" applyFont="1" applyFill="1" applyBorder="1" applyAlignment="1" applyProtection="1">
      <alignment horizontal="center"/>
      <protection hidden="1"/>
    </xf>
    <xf numFmtId="0" fontId="32" fillId="2" borderId="0" xfId="0" applyFont="1" applyFill="1" applyAlignment="1" applyProtection="1">
      <alignment horizontal="right"/>
      <protection hidden="1"/>
    </xf>
    <xf numFmtId="0" fontId="63" fillId="2" borderId="40" xfId="49" applyFont="1" applyFill="1" applyBorder="1" applyAlignment="1" applyProtection="1">
      <alignment horizontal="left"/>
      <protection hidden="1"/>
    </xf>
    <xf numFmtId="0" fontId="66" fillId="14" borderId="0" xfId="49" applyFont="1" applyFill="1" applyAlignment="1" applyProtection="1">
      <alignment horizontal="center"/>
      <protection hidden="1"/>
    </xf>
    <xf numFmtId="0" fontId="59" fillId="2" borderId="42" xfId="218" applyFont="1" applyFill="1" applyBorder="1" applyAlignment="1" applyProtection="1">
      <alignment horizontal="center" vertical="center" wrapText="1"/>
      <protection hidden="1"/>
    </xf>
    <xf numFmtId="0" fontId="59" fillId="2" borderId="43" xfId="218" applyFont="1" applyFill="1" applyBorder="1" applyAlignment="1" applyProtection="1">
      <alignment horizontal="center" vertical="center" wrapText="1"/>
      <protection hidden="1"/>
    </xf>
    <xf numFmtId="0" fontId="46" fillId="2" borderId="11" xfId="49" applyFont="1" applyFill="1" applyBorder="1" applyAlignment="1" applyProtection="1">
      <alignment horizontal="left"/>
      <protection hidden="1"/>
    </xf>
    <xf numFmtId="0" fontId="47" fillId="3" borderId="11" xfId="99" applyFont="1" applyFill="1" applyBorder="1" applyAlignment="1" applyProtection="1">
      <alignment horizontal="left"/>
      <protection locked="0"/>
    </xf>
    <xf numFmtId="0" fontId="11" fillId="0" borderId="9" xfId="6" applyFont="1" applyBorder="1" applyAlignment="1" applyProtection="1">
      <alignment horizontal="left"/>
      <protection hidden="1"/>
    </xf>
    <xf numFmtId="0" fontId="11" fillId="0" borderId="3" xfId="6" applyFont="1" applyBorder="1" applyAlignment="1" applyProtection="1">
      <alignment horizontal="left"/>
      <protection hidden="1"/>
    </xf>
    <xf numFmtId="0" fontId="59" fillId="2" borderId="42" xfId="49" applyFont="1" applyFill="1" applyBorder="1" applyAlignment="1" applyProtection="1">
      <alignment horizontal="center"/>
      <protection hidden="1"/>
    </xf>
    <xf numFmtId="0" fontId="59" fillId="2" borderId="43" xfId="49" applyFont="1" applyFill="1" applyBorder="1" applyAlignment="1" applyProtection="1">
      <alignment horizontal="center"/>
      <protection hidden="1"/>
    </xf>
    <xf numFmtId="0" fontId="59" fillId="2" borderId="42" xfId="218" applyFont="1" applyFill="1" applyBorder="1" applyAlignment="1" applyProtection="1">
      <alignment horizontal="center"/>
      <protection hidden="1"/>
    </xf>
    <xf numFmtId="0" fontId="59" fillId="2" borderId="43" xfId="218" applyFont="1" applyFill="1" applyBorder="1" applyAlignment="1" applyProtection="1">
      <alignment horizontal="center"/>
      <protection hidden="1"/>
    </xf>
    <xf numFmtId="0" fontId="48" fillId="6" borderId="4" xfId="49" applyFont="1" applyFill="1" applyBorder="1" applyAlignment="1">
      <alignment horizontal="center" wrapText="1"/>
    </xf>
    <xf numFmtId="0" fontId="48" fillId="6" borderId="16" xfId="49" applyFont="1" applyFill="1" applyBorder="1" applyAlignment="1">
      <alignment horizontal="center" wrapText="1"/>
    </xf>
    <xf numFmtId="0" fontId="59" fillId="2" borderId="47" xfId="218" applyFont="1" applyFill="1" applyBorder="1" applyAlignment="1" applyProtection="1">
      <alignment horizontal="center"/>
      <protection hidden="1"/>
    </xf>
    <xf numFmtId="0" fontId="59" fillId="2" borderId="44" xfId="218" applyFont="1" applyFill="1" applyBorder="1" applyAlignment="1" applyProtection="1">
      <alignment horizontal="center"/>
      <protection hidden="1"/>
    </xf>
    <xf numFmtId="0" fontId="11" fillId="0" borderId="26" xfId="6" applyFont="1" applyBorder="1" applyAlignment="1" applyProtection="1">
      <protection hidden="1"/>
    </xf>
    <xf numFmtId="0" fontId="0" fillId="0" borderId="27" xfId="0" applyBorder="1" applyProtection="1">
      <protection hidden="1"/>
    </xf>
    <xf numFmtId="0" fontId="11" fillId="0" borderId="26" xfId="6" applyFont="1" applyBorder="1" applyAlignment="1" applyProtection="1">
      <alignment horizontal="left"/>
      <protection hidden="1"/>
    </xf>
    <xf numFmtId="0" fontId="0" fillId="0" borderId="13" xfId="0" applyBorder="1" applyProtection="1">
      <protection hidden="1"/>
    </xf>
    <xf numFmtId="0" fontId="0" fillId="0" borderId="14" xfId="0" applyBorder="1" applyProtection="1">
      <protection hidden="1"/>
    </xf>
    <xf numFmtId="0" fontId="7" fillId="2" borderId="0" xfId="49" applyFill="1" applyAlignment="1" applyProtection="1">
      <alignment horizontal="left" vertical="top" wrapText="1"/>
      <protection hidden="1"/>
    </xf>
    <xf numFmtId="0" fontId="59" fillId="2" borderId="41" xfId="49" applyFont="1" applyFill="1" applyBorder="1" applyAlignment="1" applyProtection="1">
      <alignment horizontal="center"/>
      <protection hidden="1"/>
    </xf>
    <xf numFmtId="0" fontId="37" fillId="2" borderId="0" xfId="49" applyFont="1" applyFill="1" applyAlignment="1" applyProtection="1">
      <alignment horizontal="left"/>
      <protection hidden="1"/>
    </xf>
    <xf numFmtId="0" fontId="53" fillId="0" borderId="2" xfId="6" applyBorder="1" applyAlignment="1" applyProtection="1">
      <protection hidden="1"/>
    </xf>
    <xf numFmtId="0" fontId="53" fillId="0" borderId="3" xfId="6" applyBorder="1" applyAlignment="1" applyProtection="1">
      <protection hidden="1"/>
    </xf>
    <xf numFmtId="0" fontId="46" fillId="2" borderId="0" xfId="0" applyFont="1" applyFill="1" applyAlignment="1" applyProtection="1">
      <alignment horizontal="left"/>
      <protection hidden="1"/>
    </xf>
    <xf numFmtId="0" fontId="15" fillId="0" borderId="0" xfId="49" applyFont="1" applyAlignment="1">
      <alignment horizontal="left"/>
    </xf>
    <xf numFmtId="0" fontId="2" fillId="0" borderId="49" xfId="0" applyFont="1" applyBorder="1" applyAlignment="1" applyProtection="1">
      <alignment horizontal="center"/>
      <protection hidden="1"/>
    </xf>
    <xf numFmtId="0" fontId="37" fillId="0" borderId="4" xfId="0" applyFont="1" applyBorder="1" applyAlignment="1" applyProtection="1">
      <alignment horizontal="center" wrapText="1"/>
      <protection hidden="1"/>
    </xf>
    <xf numFmtId="0" fontId="37" fillId="0" borderId="7" xfId="0" applyFont="1" applyBorder="1" applyAlignment="1" applyProtection="1">
      <alignment horizontal="center" wrapText="1"/>
      <protection hidden="1"/>
    </xf>
    <xf numFmtId="0" fontId="2" fillId="2" borderId="0" xfId="0" applyFont="1" applyFill="1" applyProtection="1">
      <protection hidden="1"/>
    </xf>
    <xf numFmtId="0" fontId="15" fillId="0" borderId="12" xfId="168" applyFont="1" applyBorder="1" applyAlignment="1" applyProtection="1">
      <alignment horizontal="left"/>
      <protection hidden="1"/>
    </xf>
    <xf numFmtId="0" fontId="15" fillId="0" borderId="14" xfId="168" applyFont="1" applyBorder="1" applyAlignment="1" applyProtection="1">
      <alignment horizontal="left"/>
      <protection hidden="1"/>
    </xf>
    <xf numFmtId="0" fontId="54" fillId="6" borderId="12" xfId="49" applyFont="1" applyFill="1" applyBorder="1"/>
    <xf numFmtId="0" fontId="0" fillId="0" borderId="13" xfId="0" applyBorder="1"/>
    <xf numFmtId="0" fontId="0" fillId="0" borderId="14" xfId="0" applyBorder="1"/>
    <xf numFmtId="0" fontId="31" fillId="0" borderId="0" xfId="0" applyFont="1" applyAlignment="1">
      <alignment horizontal="left"/>
    </xf>
    <xf numFmtId="0" fontId="7" fillId="2" borderId="2" xfId="49" applyFill="1" applyBorder="1" applyProtection="1">
      <protection hidden="1"/>
    </xf>
    <xf numFmtId="0" fontId="7" fillId="2" borderId="3" xfId="49" applyFill="1" applyBorder="1" applyProtection="1">
      <protection hidden="1"/>
    </xf>
    <xf numFmtId="2" fontId="7" fillId="2" borderId="2" xfId="49" applyNumberFormat="1" applyFill="1" applyBorder="1" applyAlignment="1" applyProtection="1">
      <alignment horizontal="left"/>
      <protection hidden="1"/>
    </xf>
    <xf numFmtId="2" fontId="7" fillId="2" borderId="9" xfId="49" applyNumberFormat="1" applyFill="1" applyBorder="1" applyAlignment="1" applyProtection="1">
      <alignment horizontal="left"/>
      <protection hidden="1"/>
    </xf>
    <xf numFmtId="0" fontId="7" fillId="2" borderId="10" xfId="49" applyFill="1" applyBorder="1" applyProtection="1">
      <protection hidden="1"/>
    </xf>
    <xf numFmtId="0" fontId="7" fillId="2" borderId="15" xfId="49" applyFill="1" applyBorder="1" applyProtection="1">
      <protection hidden="1"/>
    </xf>
    <xf numFmtId="167" fontId="7" fillId="2" borderId="10" xfId="49" applyNumberFormat="1" applyFill="1" applyBorder="1" applyAlignment="1" applyProtection="1">
      <alignment horizontal="left"/>
      <protection hidden="1"/>
    </xf>
    <xf numFmtId="167" fontId="7" fillId="2" borderId="0" xfId="49" applyNumberFormat="1" applyFill="1" applyAlignment="1" applyProtection="1">
      <alignment horizontal="left"/>
      <protection hidden="1"/>
    </xf>
    <xf numFmtId="167" fontId="7" fillId="2" borderId="15" xfId="49" applyNumberFormat="1" applyFill="1" applyBorder="1" applyAlignment="1" applyProtection="1">
      <alignment horizontal="left"/>
      <protection hidden="1"/>
    </xf>
    <xf numFmtId="0" fontId="7" fillId="2" borderId="5" xfId="49" applyFill="1" applyBorder="1" applyProtection="1">
      <protection hidden="1"/>
    </xf>
    <xf numFmtId="0" fontId="7" fillId="2" borderId="6" xfId="49" applyFill="1" applyBorder="1" applyProtection="1">
      <protection hidden="1"/>
    </xf>
    <xf numFmtId="167" fontId="7" fillId="2" borderId="10" xfId="49" applyNumberFormat="1" applyFill="1" applyBorder="1" applyProtection="1">
      <protection hidden="1"/>
    </xf>
    <xf numFmtId="167" fontId="7" fillId="2" borderId="0" xfId="49" applyNumberFormat="1" applyFill="1" applyProtection="1">
      <protection hidden="1"/>
    </xf>
    <xf numFmtId="167" fontId="7" fillId="5" borderId="0" xfId="49" applyNumberFormat="1" applyFill="1" applyAlignment="1" applyProtection="1">
      <alignment horizontal="left"/>
      <protection hidden="1"/>
    </xf>
    <xf numFmtId="167" fontId="7" fillId="5" borderId="15" xfId="49" applyNumberFormat="1" applyFill="1" applyBorder="1" applyAlignment="1" applyProtection="1">
      <alignment horizontal="left"/>
      <protection hidden="1"/>
    </xf>
    <xf numFmtId="167" fontId="7" fillId="5" borderId="10" xfId="49" applyNumberFormat="1" applyFill="1" applyBorder="1" applyAlignment="1" applyProtection="1">
      <alignment horizontal="left"/>
      <protection hidden="1"/>
    </xf>
    <xf numFmtId="165" fontId="7" fillId="5" borderId="129" xfId="160" applyFont="1" applyFill="1" applyBorder="1" applyAlignment="1" applyProtection="1">
      <alignment horizontal="left"/>
      <protection hidden="1"/>
    </xf>
    <xf numFmtId="165" fontId="7" fillId="5" borderId="0" xfId="160" applyFont="1" applyFill="1" applyAlignment="1" applyProtection="1">
      <alignment horizontal="left"/>
      <protection hidden="1"/>
    </xf>
    <xf numFmtId="165" fontId="7" fillId="5" borderId="83" xfId="160" applyFont="1" applyFill="1" applyBorder="1" applyAlignment="1" applyProtection="1">
      <alignment horizontal="left"/>
      <protection hidden="1"/>
    </xf>
    <xf numFmtId="0" fontId="2" fillId="8" borderId="28" xfId="168" applyFill="1" applyBorder="1" applyAlignment="1">
      <alignment horizontal="center"/>
    </xf>
    <xf numFmtId="0" fontId="2" fillId="8" borderId="29" xfId="168" applyFill="1" applyBorder="1" applyAlignment="1">
      <alignment horizontal="center"/>
    </xf>
    <xf numFmtId="0" fontId="2" fillId="8" borderId="30" xfId="168" applyFill="1" applyBorder="1" applyAlignment="1">
      <alignment horizontal="center"/>
    </xf>
    <xf numFmtId="167" fontId="7" fillId="5" borderId="31" xfId="49" applyNumberFormat="1" applyFill="1" applyBorder="1" applyAlignment="1" applyProtection="1">
      <alignment horizontal="center"/>
      <protection hidden="1"/>
    </xf>
    <xf numFmtId="167" fontId="7" fillId="5" borderId="32" xfId="49" applyNumberFormat="1" applyFill="1" applyBorder="1" applyAlignment="1" applyProtection="1">
      <alignment horizontal="center"/>
      <protection hidden="1"/>
    </xf>
    <xf numFmtId="0" fontId="56" fillId="2" borderId="10" xfId="49" applyFont="1" applyFill="1" applyBorder="1" applyAlignment="1" applyProtection="1">
      <alignment horizontal="left"/>
      <protection hidden="1"/>
    </xf>
    <xf numFmtId="0" fontId="56" fillId="2" borderId="0" xfId="49" applyFont="1" applyFill="1" applyAlignment="1" applyProtection="1">
      <alignment horizontal="left"/>
      <protection hidden="1"/>
    </xf>
    <xf numFmtId="0" fontId="56" fillId="2" borderId="15" xfId="49" applyFont="1" applyFill="1" applyBorder="1" applyAlignment="1" applyProtection="1">
      <alignment horizontal="left"/>
      <protection hidden="1"/>
    </xf>
    <xf numFmtId="0" fontId="56" fillId="2" borderId="5" xfId="49" applyFont="1" applyFill="1" applyBorder="1" applyAlignment="1" applyProtection="1">
      <alignment horizontal="left"/>
      <protection hidden="1"/>
    </xf>
    <xf numFmtId="0" fontId="56" fillId="2" borderId="11" xfId="49" applyFont="1" applyFill="1" applyBorder="1" applyAlignment="1" applyProtection="1">
      <alignment horizontal="left"/>
      <protection hidden="1"/>
    </xf>
    <xf numFmtId="0" fontId="56" fillId="2" borderId="6" xfId="49" applyFont="1" applyFill="1" applyBorder="1" applyAlignment="1" applyProtection="1">
      <alignment horizontal="left"/>
      <protection hidden="1"/>
    </xf>
    <xf numFmtId="165" fontId="55" fillId="6" borderId="4" xfId="160" applyFont="1" applyFill="1" applyBorder="1" applyAlignment="1">
      <alignment horizontal="center" vertical="center" wrapText="1"/>
    </xf>
    <xf numFmtId="165" fontId="55" fillId="6" borderId="5" xfId="160" applyFont="1" applyFill="1" applyBorder="1" applyAlignment="1">
      <alignment horizontal="center" vertical="center" wrapText="1"/>
    </xf>
    <xf numFmtId="0" fontId="57" fillId="2" borderId="2" xfId="0" applyFont="1" applyFill="1" applyBorder="1" applyAlignment="1" applyProtection="1">
      <alignment horizontal="left"/>
      <protection hidden="1"/>
    </xf>
    <xf numFmtId="0" fontId="57" fillId="2" borderId="3" xfId="0" applyFont="1" applyFill="1" applyBorder="1" applyAlignment="1" applyProtection="1">
      <alignment horizontal="left"/>
      <protection hidden="1"/>
    </xf>
    <xf numFmtId="1" fontId="31" fillId="2" borderId="33" xfId="49" applyNumberFormat="1" applyFont="1" applyFill="1" applyBorder="1" applyAlignment="1" applyProtection="1">
      <alignment horizontal="center"/>
      <protection hidden="1"/>
    </xf>
    <xf numFmtId="1" fontId="31" fillId="2" borderId="34" xfId="49" applyNumberFormat="1" applyFont="1" applyFill="1" applyBorder="1" applyAlignment="1" applyProtection="1">
      <alignment horizontal="center"/>
      <protection hidden="1"/>
    </xf>
    <xf numFmtId="1" fontId="31" fillId="2" borderId="36" xfId="49" applyNumberFormat="1" applyFont="1" applyFill="1" applyBorder="1" applyAlignment="1" applyProtection="1">
      <alignment horizontal="center"/>
      <protection hidden="1"/>
    </xf>
    <xf numFmtId="0" fontId="57" fillId="2" borderId="5" xfId="49" applyFont="1" applyFill="1" applyBorder="1" applyAlignment="1" applyProtection="1">
      <alignment horizontal="left"/>
      <protection hidden="1"/>
    </xf>
    <xf numFmtId="0" fontId="57" fillId="2" borderId="6" xfId="49" applyFont="1" applyFill="1" applyBorder="1" applyAlignment="1" applyProtection="1">
      <alignment horizontal="left"/>
      <protection hidden="1"/>
    </xf>
    <xf numFmtId="1" fontId="58" fillId="2" borderId="1" xfId="49" applyNumberFormat="1" applyFont="1" applyFill="1" applyBorder="1" applyAlignment="1" applyProtection="1">
      <alignment horizontal="center"/>
      <protection hidden="1"/>
    </xf>
    <xf numFmtId="0" fontId="31" fillId="2" borderId="1" xfId="49" applyFont="1" applyFill="1" applyBorder="1" applyAlignment="1" applyProtection="1">
      <alignment horizontal="left"/>
      <protection hidden="1"/>
    </xf>
    <xf numFmtId="0" fontId="7" fillId="2" borderId="1" xfId="49" applyFill="1" applyBorder="1" applyProtection="1">
      <protection hidden="1"/>
    </xf>
    <xf numFmtId="0" fontId="7" fillId="2" borderId="1" xfId="0" applyFont="1" applyFill="1" applyBorder="1" applyAlignment="1" applyProtection="1">
      <alignment horizontal="center"/>
      <protection hidden="1"/>
    </xf>
    <xf numFmtId="0" fontId="7" fillId="2" borderId="33" xfId="49" applyFill="1" applyBorder="1" applyAlignment="1" applyProtection="1">
      <alignment horizontal="center" wrapText="1"/>
      <protection hidden="1"/>
    </xf>
    <xf numFmtId="0" fontId="7" fillId="2" borderId="34" xfId="49" applyFill="1" applyBorder="1" applyAlignment="1" applyProtection="1">
      <alignment horizontal="center" wrapText="1"/>
      <protection hidden="1"/>
    </xf>
    <xf numFmtId="0" fontId="7" fillId="2" borderId="36" xfId="49" applyFill="1" applyBorder="1" applyAlignment="1" applyProtection="1">
      <alignment horizontal="center" wrapText="1"/>
      <protection hidden="1"/>
    </xf>
    <xf numFmtId="0" fontId="15" fillId="2" borderId="2" xfId="0" applyFont="1" applyFill="1" applyBorder="1" applyProtection="1">
      <protection hidden="1"/>
    </xf>
    <xf numFmtId="0" fontId="15" fillId="2" borderId="9" xfId="0" applyFont="1" applyFill="1" applyBorder="1" applyProtection="1">
      <protection hidden="1"/>
    </xf>
    <xf numFmtId="0" fontId="15" fillId="2" borderId="3" xfId="0" applyFont="1" applyFill="1" applyBorder="1" applyProtection="1">
      <protection hidden="1"/>
    </xf>
    <xf numFmtId="0" fontId="7" fillId="2" borderId="5" xfId="0" applyFont="1" applyFill="1" applyBorder="1" applyProtection="1">
      <protection hidden="1"/>
    </xf>
    <xf numFmtId="0" fontId="7" fillId="2" borderId="11" xfId="0" applyFont="1" applyFill="1" applyBorder="1" applyProtection="1">
      <protection hidden="1"/>
    </xf>
    <xf numFmtId="0" fontId="7" fillId="2" borderId="6" xfId="0" applyFont="1" applyFill="1" applyBorder="1" applyProtection="1">
      <protection hidden="1"/>
    </xf>
    <xf numFmtId="0" fontId="185" fillId="30" borderId="0" xfId="225" applyFont="1" applyFill="1" applyAlignment="1" applyProtection="1">
      <alignment horizontal="left" wrapText="1"/>
      <protection hidden="1"/>
    </xf>
    <xf numFmtId="0" fontId="7" fillId="0" borderId="2" xfId="218" applyFont="1" applyBorder="1" applyAlignment="1" applyProtection="1">
      <alignment horizontal="left" wrapText="1"/>
      <protection hidden="1"/>
    </xf>
    <xf numFmtId="0" fontId="7" fillId="0" borderId="9" xfId="218" applyFont="1" applyBorder="1" applyAlignment="1" applyProtection="1">
      <alignment horizontal="left" wrapText="1"/>
      <protection hidden="1"/>
    </xf>
    <xf numFmtId="0" fontId="7" fillId="0" borderId="3" xfId="218" applyFont="1" applyBorder="1" applyAlignment="1" applyProtection="1">
      <alignment horizontal="left" wrapText="1"/>
      <protection hidden="1"/>
    </xf>
    <xf numFmtId="0" fontId="7" fillId="0" borderId="2" xfId="218" applyFont="1" applyBorder="1" applyAlignment="1" applyProtection="1">
      <alignment horizontal="center" wrapText="1"/>
      <protection hidden="1"/>
    </xf>
    <xf numFmtId="0" fontId="7" fillId="0" borderId="3" xfId="218" applyFont="1" applyBorder="1" applyAlignment="1" applyProtection="1">
      <alignment horizontal="center" wrapText="1"/>
      <protection hidden="1"/>
    </xf>
    <xf numFmtId="0" fontId="7" fillId="2" borderId="2" xfId="218" applyFont="1" applyFill="1" applyBorder="1" applyAlignment="1" applyProtection="1">
      <alignment horizontal="left" wrapText="1"/>
      <protection hidden="1"/>
    </xf>
    <xf numFmtId="0" fontId="7" fillId="2" borderId="9" xfId="218" applyFont="1" applyFill="1" applyBorder="1" applyAlignment="1" applyProtection="1">
      <alignment horizontal="left" wrapText="1"/>
      <protection hidden="1"/>
    </xf>
    <xf numFmtId="0" fontId="7" fillId="0" borderId="9" xfId="218" applyFont="1" applyBorder="1" applyAlignment="1" applyProtection="1">
      <alignment horizontal="center" wrapText="1"/>
      <protection hidden="1"/>
    </xf>
    <xf numFmtId="0" fontId="7" fillId="2" borderId="10" xfId="218" applyFont="1" applyFill="1" applyBorder="1" applyAlignment="1" applyProtection="1">
      <alignment horizontal="left" wrapText="1"/>
      <protection hidden="1"/>
    </xf>
    <xf numFmtId="0" fontId="7" fillId="2" borderId="0" xfId="218" applyFont="1" applyFill="1" applyAlignment="1" applyProtection="1">
      <alignment horizontal="left" wrapText="1"/>
      <protection hidden="1"/>
    </xf>
    <xf numFmtId="0" fontId="7" fillId="2" borderId="15" xfId="218" applyFont="1" applyFill="1" applyBorder="1" applyAlignment="1" applyProtection="1">
      <alignment horizontal="left" wrapText="1"/>
      <protection hidden="1"/>
    </xf>
    <xf numFmtId="0" fontId="7" fillId="2" borderId="10" xfId="218" applyFont="1" applyFill="1" applyBorder="1" applyAlignment="1" applyProtection="1">
      <alignment horizontal="center" wrapText="1"/>
      <protection hidden="1"/>
    </xf>
    <xf numFmtId="0" fontId="7" fillId="2" borderId="15" xfId="218" applyFont="1" applyFill="1" applyBorder="1" applyAlignment="1" applyProtection="1">
      <alignment horizontal="center" wrapText="1"/>
      <protection hidden="1"/>
    </xf>
    <xf numFmtId="0" fontId="7" fillId="2" borderId="0" xfId="218" applyFont="1" applyFill="1" applyAlignment="1" applyProtection="1">
      <alignment horizontal="center" wrapText="1"/>
      <protection hidden="1"/>
    </xf>
    <xf numFmtId="0" fontId="7" fillId="2" borderId="5" xfId="218" applyFont="1" applyFill="1" applyBorder="1" applyAlignment="1" applyProtection="1">
      <alignment horizontal="left" wrapText="1"/>
      <protection hidden="1"/>
    </xf>
    <xf numFmtId="0" fontId="7" fillId="2" borderId="11" xfId="218" applyFont="1" applyFill="1" applyBorder="1" applyAlignment="1" applyProtection="1">
      <alignment horizontal="left" wrapText="1"/>
      <protection hidden="1"/>
    </xf>
    <xf numFmtId="0" fontId="7" fillId="2" borderId="5" xfId="0" applyFont="1" applyFill="1" applyBorder="1" applyAlignment="1" applyProtection="1">
      <alignment horizontal="center"/>
      <protection hidden="1"/>
    </xf>
    <xf numFmtId="0" fontId="7" fillId="2" borderId="6" xfId="0" applyFont="1" applyFill="1" applyBorder="1" applyAlignment="1" applyProtection="1">
      <alignment horizontal="center"/>
      <protection hidden="1"/>
    </xf>
    <xf numFmtId="0" fontId="7" fillId="2" borderId="11" xfId="0" applyFont="1" applyFill="1" applyBorder="1" applyAlignment="1" applyProtection="1">
      <alignment horizontal="center"/>
      <protection hidden="1"/>
    </xf>
    <xf numFmtId="2" fontId="46" fillId="2" borderId="0" xfId="0" applyNumberFormat="1" applyFont="1" applyFill="1" applyProtection="1">
      <protection hidden="1"/>
    </xf>
    <xf numFmtId="1" fontId="7" fillId="2" borderId="10" xfId="49" applyNumberFormat="1" applyFill="1" applyBorder="1" applyProtection="1">
      <protection hidden="1"/>
    </xf>
    <xf numFmtId="1" fontId="7" fillId="2" borderId="0" xfId="49" applyNumberFormat="1" applyFill="1" applyProtection="1">
      <protection hidden="1"/>
    </xf>
    <xf numFmtId="0" fontId="11" fillId="0" borderId="11" xfId="6" applyFont="1" applyBorder="1" applyAlignment="1" applyProtection="1">
      <alignment horizontal="left"/>
      <protection hidden="1"/>
    </xf>
    <xf numFmtId="0" fontId="7" fillId="2" borderId="2" xfId="218" applyFont="1" applyFill="1" applyBorder="1" applyAlignment="1" applyProtection="1">
      <alignment horizontal="left"/>
      <protection hidden="1"/>
    </xf>
    <xf numFmtId="0" fontId="7" fillId="2" borderId="9" xfId="218" applyFont="1" applyFill="1" applyBorder="1" applyAlignment="1" applyProtection="1">
      <alignment horizontal="left"/>
      <protection hidden="1"/>
    </xf>
    <xf numFmtId="0" fontId="7" fillId="2" borderId="9" xfId="49" applyFill="1" applyBorder="1" applyAlignment="1" applyProtection="1">
      <alignment horizontal="left"/>
      <protection hidden="1"/>
    </xf>
    <xf numFmtId="0" fontId="7" fillId="2" borderId="11" xfId="49" applyFill="1" applyBorder="1" applyAlignment="1" applyProtection="1">
      <alignment horizontal="left"/>
      <protection hidden="1"/>
    </xf>
    <xf numFmtId="0" fontId="46" fillId="2" borderId="0" xfId="218" applyFont="1" applyFill="1" applyAlignment="1" applyProtection="1">
      <alignment horizontal="left"/>
      <protection hidden="1"/>
    </xf>
    <xf numFmtId="0" fontId="7" fillId="2" borderId="0" xfId="218" applyFont="1" applyFill="1" applyProtection="1">
      <protection hidden="1"/>
    </xf>
    <xf numFmtId="167" fontId="7" fillId="2" borderId="2" xfId="49" applyNumberFormat="1" applyFill="1" applyBorder="1" applyAlignment="1" applyProtection="1">
      <alignment horizontal="left"/>
      <protection hidden="1"/>
    </xf>
    <xf numFmtId="167" fontId="7" fillId="2" borderId="9" xfId="49" applyNumberFormat="1" applyFill="1" applyBorder="1" applyAlignment="1" applyProtection="1">
      <alignment horizontal="left"/>
      <protection hidden="1"/>
    </xf>
    <xf numFmtId="167" fontId="7" fillId="2" borderId="3" xfId="49" applyNumberFormat="1" applyFill="1" applyBorder="1" applyAlignment="1" applyProtection="1">
      <alignment horizontal="left"/>
      <protection hidden="1"/>
    </xf>
    <xf numFmtId="0" fontId="59" fillId="2" borderId="10" xfId="49" applyFont="1" applyFill="1" applyBorder="1" applyAlignment="1" applyProtection="1">
      <alignment horizontal="left"/>
      <protection hidden="1"/>
    </xf>
    <xf numFmtId="0" fontId="59" fillId="2" borderId="0" xfId="49" applyFont="1" applyFill="1" applyAlignment="1" applyProtection="1">
      <alignment horizontal="left"/>
      <protection hidden="1"/>
    </xf>
    <xf numFmtId="0" fontId="59" fillId="2" borderId="10" xfId="49" applyFont="1" applyFill="1" applyBorder="1" applyAlignment="1" applyProtection="1">
      <alignment horizontal="left" wrapText="1"/>
      <protection hidden="1"/>
    </xf>
    <xf numFmtId="0" fontId="59" fillId="2" borderId="0" xfId="49" applyFont="1" applyFill="1" applyAlignment="1" applyProtection="1">
      <alignment horizontal="left" wrapText="1"/>
      <protection hidden="1"/>
    </xf>
    <xf numFmtId="0" fontId="59" fillId="2" borderId="15" xfId="49" applyFont="1" applyFill="1" applyBorder="1" applyAlignment="1" applyProtection="1">
      <alignment horizontal="left" wrapText="1"/>
      <protection hidden="1"/>
    </xf>
    <xf numFmtId="0" fontId="59" fillId="2" borderId="10" xfId="218" applyFont="1" applyFill="1" applyBorder="1" applyAlignment="1" applyProtection="1">
      <alignment horizontal="left"/>
      <protection hidden="1"/>
    </xf>
    <xf numFmtId="0" fontId="59" fillId="2" borderId="0" xfId="218" applyFont="1" applyFill="1" applyAlignment="1" applyProtection="1">
      <alignment horizontal="left"/>
      <protection hidden="1"/>
    </xf>
    <xf numFmtId="0" fontId="7" fillId="2" borderId="10" xfId="218" applyFont="1" applyFill="1" applyBorder="1" applyAlignment="1" applyProtection="1">
      <alignment horizontal="left"/>
      <protection hidden="1"/>
    </xf>
    <xf numFmtId="0" fontId="7" fillId="2" borderId="0" xfId="218" applyFont="1" applyFill="1" applyAlignment="1" applyProtection="1">
      <alignment horizontal="left"/>
      <protection hidden="1"/>
    </xf>
    <xf numFmtId="167" fontId="7" fillId="2" borderId="10" xfId="49" applyNumberFormat="1" applyFill="1" applyBorder="1" applyAlignment="1" applyProtection="1">
      <alignment horizontal="left" wrapText="1"/>
      <protection hidden="1"/>
    </xf>
    <xf numFmtId="167" fontId="7" fillId="2" borderId="0" xfId="49" applyNumberFormat="1" applyFill="1" applyAlignment="1" applyProtection="1">
      <alignment horizontal="left" wrapText="1"/>
      <protection hidden="1"/>
    </xf>
    <xf numFmtId="167" fontId="7" fillId="2" borderId="15" xfId="49" applyNumberFormat="1" applyFill="1" applyBorder="1" applyAlignment="1" applyProtection="1">
      <alignment horizontal="left" wrapText="1"/>
      <protection hidden="1"/>
    </xf>
    <xf numFmtId="0" fontId="27" fillId="2" borderId="10" xfId="49" applyFont="1" applyFill="1" applyBorder="1" applyAlignment="1" applyProtection="1">
      <alignment horizontal="right"/>
      <protection hidden="1"/>
    </xf>
    <xf numFmtId="0" fontId="7" fillId="2" borderId="10" xfId="49" applyFill="1" applyBorder="1" applyAlignment="1" applyProtection="1">
      <alignment horizontal="left"/>
      <protection hidden="1"/>
    </xf>
    <xf numFmtId="0" fontId="7" fillId="2" borderId="15" xfId="49" applyFill="1" applyBorder="1" applyAlignment="1" applyProtection="1">
      <alignment horizontal="left"/>
      <protection hidden="1"/>
    </xf>
    <xf numFmtId="0" fontId="7" fillId="0" borderId="0" xfId="0" applyFont="1" applyAlignment="1" applyProtection="1">
      <alignment horizontal="left" vertical="center" wrapText="1"/>
      <protection hidden="1"/>
    </xf>
    <xf numFmtId="0" fontId="64" fillId="0" borderId="0" xfId="0" applyFont="1" applyAlignment="1" applyProtection="1">
      <alignment horizontal="left" vertical="center" wrapText="1"/>
      <protection hidden="1"/>
    </xf>
    <xf numFmtId="0" fontId="64" fillId="0" borderId="15" xfId="0" applyFont="1" applyBorder="1" applyAlignment="1" applyProtection="1">
      <alignment horizontal="left" vertical="center" wrapText="1"/>
      <protection hidden="1"/>
    </xf>
    <xf numFmtId="0" fontId="11" fillId="0" borderId="0" xfId="6" applyFont="1" applyAlignment="1" applyProtection="1">
      <alignment horizontal="left"/>
      <protection hidden="1"/>
    </xf>
    <xf numFmtId="0" fontId="7" fillId="2" borderId="9" xfId="0" applyFont="1" applyFill="1" applyBorder="1" applyAlignment="1" applyProtection="1">
      <alignment horizontal="left"/>
      <protection hidden="1"/>
    </xf>
    <xf numFmtId="167" fontId="31" fillId="2" borderId="10" xfId="49" applyNumberFormat="1" applyFont="1" applyFill="1" applyBorder="1" applyAlignment="1" applyProtection="1">
      <alignment horizontal="left"/>
      <protection hidden="1"/>
    </xf>
    <xf numFmtId="167" fontId="31" fillId="2" borderId="0" xfId="49" applyNumberFormat="1" applyFont="1" applyFill="1" applyAlignment="1" applyProtection="1">
      <alignment horizontal="left"/>
      <protection hidden="1"/>
    </xf>
    <xf numFmtId="167" fontId="31" fillId="2" borderId="15" xfId="49" applyNumberFormat="1" applyFont="1" applyFill="1" applyBorder="1" applyAlignment="1" applyProtection="1">
      <alignment horizontal="left"/>
      <protection hidden="1"/>
    </xf>
    <xf numFmtId="0" fontId="7" fillId="2" borderId="5" xfId="49" applyFill="1" applyBorder="1" applyAlignment="1" applyProtection="1">
      <alignment horizontal="left" wrapText="1"/>
      <protection hidden="1"/>
    </xf>
    <xf numFmtId="0" fontId="7" fillId="2" borderId="11" xfId="49" applyFill="1" applyBorder="1" applyAlignment="1" applyProtection="1">
      <alignment horizontal="left" wrapText="1"/>
      <protection hidden="1"/>
    </xf>
    <xf numFmtId="0" fontId="7" fillId="2" borderId="6" xfId="49" applyFill="1" applyBorder="1" applyAlignment="1" applyProtection="1">
      <alignment horizontal="left" wrapText="1"/>
      <protection hidden="1"/>
    </xf>
    <xf numFmtId="167" fontId="31" fillId="2" borderId="5" xfId="49" applyNumberFormat="1" applyFont="1" applyFill="1" applyBorder="1" applyAlignment="1" applyProtection="1">
      <alignment horizontal="left"/>
      <protection hidden="1"/>
    </xf>
    <xf numFmtId="167" fontId="31" fillId="2" borderId="11" xfId="49" applyNumberFormat="1" applyFont="1" applyFill="1" applyBorder="1" applyAlignment="1" applyProtection="1">
      <alignment horizontal="left"/>
      <protection hidden="1"/>
    </xf>
    <xf numFmtId="167" fontId="31" fillId="2" borderId="6" xfId="49" applyNumberFormat="1" applyFont="1" applyFill="1" applyBorder="1" applyAlignment="1" applyProtection="1">
      <alignment horizontal="left"/>
      <protection hidden="1"/>
    </xf>
    <xf numFmtId="2" fontId="7" fillId="2" borderId="10" xfId="49" applyNumberFormat="1" applyFill="1" applyBorder="1" applyAlignment="1" applyProtection="1">
      <alignment horizontal="left"/>
      <protection hidden="1"/>
    </xf>
    <xf numFmtId="2" fontId="7" fillId="2" borderId="0" xfId="49" applyNumberFormat="1" applyFill="1" applyAlignment="1" applyProtection="1">
      <alignment horizontal="left"/>
      <protection hidden="1"/>
    </xf>
    <xf numFmtId="1" fontId="7" fillId="2" borderId="2" xfId="49" applyNumberFormat="1" applyFill="1" applyBorder="1" applyAlignment="1" applyProtection="1">
      <alignment horizontal="left"/>
      <protection hidden="1"/>
    </xf>
    <xf numFmtId="1" fontId="7" fillId="2" borderId="9" xfId="49" applyNumberFormat="1" applyFill="1" applyBorder="1" applyAlignment="1" applyProtection="1">
      <alignment horizontal="left"/>
      <protection hidden="1"/>
    </xf>
    <xf numFmtId="1" fontId="7" fillId="2" borderId="3" xfId="49" applyNumberFormat="1" applyFill="1" applyBorder="1" applyAlignment="1" applyProtection="1">
      <alignment horizontal="left"/>
      <protection hidden="1"/>
    </xf>
    <xf numFmtId="167" fontId="7" fillId="2" borderId="56" xfId="49" applyNumberFormat="1" applyFill="1" applyBorder="1" applyAlignment="1" applyProtection="1">
      <alignment horizontal="left"/>
      <protection hidden="1"/>
    </xf>
    <xf numFmtId="167" fontId="7" fillId="2" borderId="57" xfId="49" applyNumberFormat="1" applyFill="1" applyBorder="1" applyAlignment="1" applyProtection="1">
      <alignment horizontal="left"/>
      <protection hidden="1"/>
    </xf>
    <xf numFmtId="167" fontId="7" fillId="2" borderId="58" xfId="49" applyNumberFormat="1" applyFill="1" applyBorder="1" applyAlignment="1" applyProtection="1">
      <alignment horizontal="left"/>
      <protection hidden="1"/>
    </xf>
    <xf numFmtId="1" fontId="27" fillId="2" borderId="60" xfId="49" applyNumberFormat="1" applyFont="1" applyFill="1" applyBorder="1" applyAlignment="1" applyProtection="1">
      <alignment horizontal="left"/>
      <protection hidden="1"/>
    </xf>
    <xf numFmtId="1" fontId="27" fillId="2" borderId="61" xfId="49" applyNumberFormat="1" applyFont="1" applyFill="1" applyBorder="1" applyAlignment="1" applyProtection="1">
      <alignment horizontal="left"/>
      <protection hidden="1"/>
    </xf>
    <xf numFmtId="1" fontId="27" fillId="2" borderId="62" xfId="49" applyNumberFormat="1" applyFont="1" applyFill="1" applyBorder="1" applyAlignment="1" applyProtection="1">
      <alignment horizontal="left"/>
      <protection hidden="1"/>
    </xf>
    <xf numFmtId="167" fontId="7" fillId="2" borderId="5" xfId="49" applyNumberFormat="1" applyFill="1" applyBorder="1" applyAlignment="1" applyProtection="1">
      <alignment horizontal="left"/>
      <protection hidden="1"/>
    </xf>
    <xf numFmtId="167" fontId="7" fillId="2" borderId="11" xfId="49" applyNumberFormat="1" applyFill="1" applyBorder="1" applyAlignment="1" applyProtection="1">
      <alignment horizontal="left"/>
      <protection hidden="1"/>
    </xf>
    <xf numFmtId="167" fontId="7" fillId="2" borderId="6" xfId="49" applyNumberFormat="1" applyFill="1" applyBorder="1" applyAlignment="1" applyProtection="1">
      <alignment horizontal="left"/>
      <protection hidden="1"/>
    </xf>
    <xf numFmtId="0" fontId="46" fillId="2" borderId="0" xfId="49" applyFont="1" applyFill="1" applyProtection="1">
      <protection hidden="1"/>
    </xf>
    <xf numFmtId="0" fontId="61" fillId="0" borderId="0" xfId="49" applyFont="1" applyAlignment="1" applyProtection="1">
      <alignment horizontal="left"/>
      <protection locked="0"/>
    </xf>
    <xf numFmtId="0" fontId="7" fillId="2" borderId="15" xfId="49" applyFill="1" applyBorder="1" applyAlignment="1" applyProtection="1">
      <alignment horizontal="left" wrapText="1"/>
      <protection hidden="1"/>
    </xf>
    <xf numFmtId="0" fontId="46" fillId="2" borderId="0" xfId="49" applyFont="1" applyFill="1" applyAlignment="1" applyProtection="1">
      <alignment horizontal="left"/>
      <protection hidden="1"/>
    </xf>
    <xf numFmtId="0" fontId="7" fillId="2" borderId="0" xfId="49" applyFill="1" applyProtection="1">
      <protection hidden="1"/>
    </xf>
    <xf numFmtId="0" fontId="70" fillId="0" borderId="2" xfId="6" applyFont="1" applyBorder="1" applyAlignment="1" applyProtection="1">
      <protection hidden="1"/>
    </xf>
    <xf numFmtId="0" fontId="70" fillId="0" borderId="3" xfId="6" applyFont="1" applyBorder="1" applyAlignment="1" applyProtection="1">
      <protection hidden="1"/>
    </xf>
    <xf numFmtId="0" fontId="11" fillId="0" borderId="10" xfId="6" applyFont="1" applyBorder="1" applyAlignment="1" applyProtection="1">
      <alignment horizontal="left"/>
      <protection hidden="1"/>
    </xf>
    <xf numFmtId="0" fontId="11" fillId="0" borderId="15" xfId="6" applyFont="1" applyBorder="1" applyAlignment="1" applyProtection="1">
      <alignment horizontal="left"/>
      <protection hidden="1"/>
    </xf>
    <xf numFmtId="0" fontId="30" fillId="2" borderId="10" xfId="0" applyFont="1" applyFill="1" applyBorder="1" applyAlignment="1" applyProtection="1">
      <alignment horizontal="center"/>
      <protection hidden="1"/>
    </xf>
    <xf numFmtId="0" fontId="21" fillId="0" borderId="0" xfId="0" applyFont="1" applyProtection="1">
      <protection hidden="1"/>
    </xf>
    <xf numFmtId="0" fontId="21" fillId="0" borderId="15" xfId="0" applyFont="1" applyBorder="1" applyProtection="1">
      <protection hidden="1"/>
    </xf>
    <xf numFmtId="0" fontId="15" fillId="2" borderId="5" xfId="0" applyFont="1" applyFill="1" applyBorder="1" applyProtection="1">
      <protection hidden="1"/>
    </xf>
    <xf numFmtId="0" fontId="15" fillId="2" borderId="6" xfId="0" applyFont="1" applyFill="1" applyBorder="1" applyProtection="1">
      <protection hidden="1"/>
    </xf>
    <xf numFmtId="0" fontId="46" fillId="2" borderId="0" xfId="49" applyFont="1" applyFill="1" applyAlignment="1" applyProtection="1">
      <alignment horizontal="left" wrapText="1"/>
      <protection hidden="1"/>
    </xf>
    <xf numFmtId="0" fontId="11" fillId="0" borderId="2" xfId="6" applyFont="1" applyBorder="1" applyAlignment="1" applyProtection="1">
      <protection hidden="1"/>
    </xf>
    <xf numFmtId="0" fontId="11" fillId="0" borderId="3" xfId="6" applyFont="1" applyBorder="1" applyAlignment="1" applyProtection="1">
      <protection hidden="1"/>
    </xf>
    <xf numFmtId="172" fontId="7" fillId="2" borderId="3" xfId="0" applyNumberFormat="1" applyFont="1" applyFill="1" applyBorder="1" applyAlignment="1" applyProtection="1">
      <alignment horizontal="center" vertical="top" wrapText="1"/>
      <protection hidden="1"/>
    </xf>
    <xf numFmtId="172" fontId="7" fillId="2" borderId="6" xfId="0" applyNumberFormat="1" applyFont="1" applyFill="1" applyBorder="1" applyAlignment="1" applyProtection="1">
      <alignment horizontal="center" vertical="top" wrapText="1"/>
      <protection hidden="1"/>
    </xf>
    <xf numFmtId="0" fontId="7" fillId="2" borderId="11" xfId="49" applyFill="1" applyBorder="1" applyAlignment="1" applyProtection="1">
      <alignment horizontal="right"/>
      <protection hidden="1"/>
    </xf>
    <xf numFmtId="0" fontId="30" fillId="0" borderId="0" xfId="49" applyFont="1" applyAlignment="1" applyProtection="1">
      <alignment horizontal="left"/>
      <protection locked="0"/>
    </xf>
    <xf numFmtId="1" fontId="7" fillId="2" borderId="12" xfId="49" applyNumberFormat="1" applyFill="1" applyBorder="1" applyProtection="1">
      <protection hidden="1"/>
    </xf>
    <xf numFmtId="1" fontId="7" fillId="2" borderId="14" xfId="49" applyNumberFormat="1" applyFill="1" applyBorder="1" applyProtection="1">
      <protection hidden="1"/>
    </xf>
    <xf numFmtId="0" fontId="7" fillId="3" borderId="10" xfId="49" applyFill="1" applyBorder="1" applyProtection="1">
      <protection locked="0"/>
    </xf>
    <xf numFmtId="0" fontId="7" fillId="3" borderId="15" xfId="49" applyFill="1" applyBorder="1" applyProtection="1">
      <protection locked="0"/>
    </xf>
    <xf numFmtId="1" fontId="83" fillId="2" borderId="12" xfId="49" applyNumberFormat="1" applyFont="1" applyFill="1" applyBorder="1" applyAlignment="1" applyProtection="1">
      <alignment horizontal="right"/>
      <protection hidden="1"/>
    </xf>
    <xf numFmtId="1" fontId="83" fillId="2" borderId="13" xfId="49" applyNumberFormat="1" applyFont="1" applyFill="1" applyBorder="1" applyAlignment="1" applyProtection="1">
      <alignment horizontal="right"/>
      <protection hidden="1"/>
    </xf>
    <xf numFmtId="1" fontId="83" fillId="2" borderId="14" xfId="49" applyNumberFormat="1" applyFont="1" applyFill="1" applyBorder="1" applyAlignment="1" applyProtection="1">
      <alignment horizontal="right"/>
      <protection hidden="1"/>
    </xf>
    <xf numFmtId="0" fontId="46" fillId="2" borderId="11" xfId="217" applyFont="1" applyFill="1" applyBorder="1" applyAlignment="1" applyProtection="1">
      <alignment horizontal="left"/>
      <protection hidden="1"/>
    </xf>
    <xf numFmtId="0" fontId="9" fillId="2" borderId="2" xfId="49" applyFont="1" applyFill="1" applyBorder="1" applyAlignment="1" applyProtection="1">
      <alignment horizontal="center"/>
      <protection hidden="1"/>
    </xf>
    <xf numFmtId="0" fontId="9" fillId="2" borderId="9" xfId="49" applyFont="1" applyFill="1" applyBorder="1" applyAlignment="1" applyProtection="1">
      <alignment horizontal="center"/>
      <protection hidden="1"/>
    </xf>
    <xf numFmtId="0" fontId="9" fillId="2" borderId="3" xfId="49" applyFont="1" applyFill="1" applyBorder="1" applyAlignment="1" applyProtection="1">
      <alignment horizontal="center"/>
      <protection hidden="1"/>
    </xf>
    <xf numFmtId="0" fontId="9" fillId="2" borderId="2" xfId="49" applyFont="1" applyFill="1" applyBorder="1" applyAlignment="1" applyProtection="1">
      <alignment horizontal="center" vertical="center"/>
      <protection hidden="1"/>
    </xf>
    <xf numFmtId="0" fontId="9" fillId="2" borderId="9" xfId="49" applyFont="1" applyFill="1" applyBorder="1" applyAlignment="1" applyProtection="1">
      <alignment horizontal="center" vertical="center"/>
      <protection hidden="1"/>
    </xf>
    <xf numFmtId="0" fontId="9" fillId="2" borderId="3" xfId="49" applyFont="1" applyFill="1" applyBorder="1" applyAlignment="1" applyProtection="1">
      <alignment horizontal="center" vertical="center"/>
      <protection hidden="1"/>
    </xf>
    <xf numFmtId="0" fontId="7" fillId="3" borderId="2" xfId="0" applyFont="1" applyFill="1" applyBorder="1" applyAlignment="1" applyProtection="1">
      <alignment horizontal="center"/>
      <protection locked="0"/>
    </xf>
    <xf numFmtId="0" fontId="7" fillId="3" borderId="3" xfId="0" applyFont="1" applyFill="1" applyBorder="1" applyAlignment="1" applyProtection="1">
      <alignment horizontal="center"/>
      <protection locked="0"/>
    </xf>
    <xf numFmtId="167" fontId="7" fillId="2" borderId="12" xfId="49" applyNumberFormat="1" applyFill="1" applyBorder="1" applyAlignment="1" applyProtection="1">
      <alignment horizontal="center"/>
      <protection hidden="1"/>
    </xf>
    <xf numFmtId="167" fontId="7" fillId="2" borderId="14" xfId="49" applyNumberFormat="1" applyFill="1" applyBorder="1" applyAlignment="1" applyProtection="1">
      <alignment horizontal="center"/>
      <protection hidden="1"/>
    </xf>
    <xf numFmtId="0" fontId="7" fillId="2" borderId="0" xfId="226" applyFill="1" applyAlignment="1" applyProtection="1">
      <alignment horizontal="right"/>
      <protection hidden="1"/>
    </xf>
    <xf numFmtId="0" fontId="7" fillId="2" borderId="0" xfId="0" applyFont="1" applyFill="1" applyAlignment="1" applyProtection="1">
      <alignment horizontal="left" vertical="top" wrapText="1"/>
      <protection hidden="1"/>
    </xf>
    <xf numFmtId="0" fontId="90" fillId="2" borderId="0" xfId="0" applyFont="1" applyFill="1" applyProtection="1">
      <protection hidden="1"/>
    </xf>
    <xf numFmtId="0" fontId="46" fillId="2" borderId="0" xfId="0" applyFont="1" applyFill="1" applyAlignment="1" applyProtection="1">
      <alignment horizontal="left" wrapText="1"/>
      <protection hidden="1"/>
    </xf>
    <xf numFmtId="0" fontId="46" fillId="2" borderId="11" xfId="0" applyFont="1" applyFill="1" applyBorder="1" applyAlignment="1" applyProtection="1">
      <alignment horizontal="left"/>
      <protection hidden="1"/>
    </xf>
    <xf numFmtId="0" fontId="7" fillId="3" borderId="5" xfId="49" applyFill="1" applyBorder="1" applyProtection="1">
      <protection locked="0"/>
    </xf>
    <xf numFmtId="0" fontId="7" fillId="3" borderId="6" xfId="49" applyFill="1" applyBorder="1" applyProtection="1">
      <protection locked="0"/>
    </xf>
    <xf numFmtId="0" fontId="11" fillId="0" borderId="9" xfId="6" applyFont="1" applyBorder="1" applyAlignment="1" applyProtection="1">
      <alignment horizontal="center" vertical="top" wrapText="1"/>
      <protection hidden="1"/>
    </xf>
    <xf numFmtId="0" fontId="11" fillId="0" borderId="0" xfId="6" applyFont="1" applyAlignment="1" applyProtection="1">
      <alignment horizontal="center" vertical="top" wrapText="1"/>
      <protection hidden="1"/>
    </xf>
    <xf numFmtId="1" fontId="15" fillId="0" borderId="12" xfId="0" applyNumberFormat="1" applyFont="1" applyBorder="1" applyAlignment="1" applyProtection="1">
      <alignment horizontal="right"/>
      <protection hidden="1"/>
    </xf>
    <xf numFmtId="0" fontId="2" fillId="0" borderId="13" xfId="0" applyFont="1" applyBorder="1" applyAlignment="1" applyProtection="1">
      <alignment horizontal="right"/>
      <protection hidden="1"/>
    </xf>
    <xf numFmtId="0" fontId="2" fillId="0" borderId="14" xfId="0" applyFont="1" applyBorder="1" applyAlignment="1" applyProtection="1">
      <alignment horizontal="right"/>
      <protection hidden="1"/>
    </xf>
    <xf numFmtId="0" fontId="51" fillId="2" borderId="4" xfId="0" applyFont="1" applyFill="1" applyBorder="1" applyAlignment="1" applyProtection="1">
      <alignment horizontal="center" wrapText="1"/>
      <protection hidden="1"/>
    </xf>
    <xf numFmtId="0" fontId="51" fillId="2" borderId="16" xfId="0" applyFont="1" applyFill="1" applyBorder="1" applyAlignment="1" applyProtection="1">
      <alignment horizontal="center" wrapText="1"/>
      <protection hidden="1"/>
    </xf>
    <xf numFmtId="0" fontId="15" fillId="6" borderId="16" xfId="49" applyFont="1" applyFill="1" applyBorder="1" applyAlignment="1" applyProtection="1">
      <alignment horizontal="center" vertical="top" wrapText="1"/>
      <protection hidden="1"/>
    </xf>
    <xf numFmtId="0" fontId="69" fillId="2" borderId="4" xfId="0" applyFont="1" applyFill="1" applyBorder="1" applyAlignment="1" applyProtection="1">
      <alignment horizontal="center" wrapText="1"/>
      <protection hidden="1"/>
    </xf>
    <xf numFmtId="0" fontId="69" fillId="2" borderId="16" xfId="0" applyFont="1" applyFill="1" applyBorder="1" applyAlignment="1" applyProtection="1">
      <alignment horizontal="center" wrapText="1"/>
      <protection hidden="1"/>
    </xf>
    <xf numFmtId="0" fontId="71" fillId="6" borderId="4" xfId="0" applyFont="1" applyFill="1" applyBorder="1" applyAlignment="1" applyProtection="1">
      <alignment horizontal="center" wrapText="1"/>
      <protection hidden="1"/>
    </xf>
    <xf numFmtId="0" fontId="71" fillId="6" borderId="16" xfId="0" applyFont="1" applyFill="1" applyBorder="1" applyAlignment="1" applyProtection="1">
      <alignment horizontal="center" wrapText="1"/>
      <protection hidden="1"/>
    </xf>
    <xf numFmtId="0" fontId="7" fillId="6" borderId="4" xfId="49" applyFill="1" applyBorder="1" applyAlignment="1">
      <alignment horizontal="center"/>
    </xf>
    <xf numFmtId="0" fontId="7" fillId="6" borderId="16" xfId="49" applyFill="1" applyBorder="1" applyAlignment="1">
      <alignment horizontal="center"/>
    </xf>
    <xf numFmtId="0" fontId="7" fillId="6" borderId="7" xfId="49" applyFill="1" applyBorder="1" applyAlignment="1">
      <alignment horizontal="center"/>
    </xf>
    <xf numFmtId="0" fontId="15" fillId="6" borderId="4" xfId="49" applyFont="1" applyFill="1" applyBorder="1" applyAlignment="1">
      <alignment horizontal="center" vertical="top" wrapText="1"/>
    </xf>
    <xf numFmtId="0" fontId="15" fillId="6" borderId="7" xfId="49" applyFont="1" applyFill="1" applyBorder="1" applyAlignment="1">
      <alignment horizontal="center" vertical="top" wrapText="1"/>
    </xf>
    <xf numFmtId="0" fontId="15" fillId="6" borderId="16" xfId="49" applyFont="1" applyFill="1" applyBorder="1" applyAlignment="1">
      <alignment horizontal="center" vertical="top" wrapText="1"/>
    </xf>
    <xf numFmtId="0" fontId="52" fillId="0" borderId="4" xfId="6" applyFont="1" applyBorder="1" applyAlignment="1" applyProtection="1">
      <alignment horizontal="center" wrapText="1"/>
      <protection hidden="1"/>
    </xf>
    <xf numFmtId="0" fontId="52" fillId="0" borderId="7" xfId="6" applyFont="1" applyBorder="1" applyAlignment="1" applyProtection="1">
      <alignment horizontal="center" wrapText="1"/>
      <protection hidden="1"/>
    </xf>
    <xf numFmtId="2" fontId="82" fillId="6" borderId="12" xfId="49" applyNumberFormat="1" applyFont="1" applyFill="1" applyBorder="1" applyAlignment="1">
      <alignment horizontal="center" vertical="center" wrapText="1"/>
    </xf>
    <xf numFmtId="2" fontId="82" fillId="6" borderId="13" xfId="49" applyNumberFormat="1" applyFont="1" applyFill="1" applyBorder="1" applyAlignment="1">
      <alignment horizontal="center" vertical="center" wrapText="1"/>
    </xf>
    <xf numFmtId="0" fontId="7" fillId="6" borderId="16" xfId="49" applyFill="1" applyBorder="1" applyAlignment="1" applyProtection="1">
      <alignment horizontal="center"/>
      <protection hidden="1"/>
    </xf>
    <xf numFmtId="0" fontId="183" fillId="0" borderId="4" xfId="0" applyFont="1" applyBorder="1" applyAlignment="1" applyProtection="1">
      <alignment horizontal="center" wrapText="1"/>
      <protection hidden="1"/>
    </xf>
    <xf numFmtId="0" fontId="183" fillId="0" borderId="7" xfId="0" applyFont="1" applyBorder="1" applyAlignment="1" applyProtection="1">
      <alignment horizontal="center" wrapText="1"/>
      <protection hidden="1"/>
    </xf>
    <xf numFmtId="2" fontId="22" fillId="2" borderId="10" xfId="49" applyNumberFormat="1" applyFont="1" applyFill="1" applyBorder="1" applyAlignment="1" applyProtection="1">
      <alignment horizontal="left" vertical="center" textRotation="90" wrapText="1"/>
      <protection hidden="1"/>
    </xf>
    <xf numFmtId="0" fontId="7" fillId="2" borderId="4" xfId="0" applyFont="1" applyFill="1" applyBorder="1" applyAlignment="1" applyProtection="1">
      <alignment horizontal="left" vertical="top"/>
      <protection hidden="1"/>
    </xf>
    <xf numFmtId="0" fontId="0" fillId="0" borderId="7" xfId="0" applyBorder="1" applyProtection="1">
      <protection hidden="1"/>
    </xf>
    <xf numFmtId="0" fontId="7" fillId="2" borderId="4" xfId="0" applyFont="1" applyFill="1" applyBorder="1" applyAlignment="1" applyProtection="1">
      <alignment horizontal="center" vertical="top"/>
      <protection hidden="1"/>
    </xf>
    <xf numFmtId="0" fontId="7" fillId="2" borderId="7" xfId="0" applyFont="1" applyFill="1" applyBorder="1" applyAlignment="1" applyProtection="1">
      <alignment horizontal="center" vertical="top"/>
      <protection hidden="1"/>
    </xf>
    <xf numFmtId="0" fontId="25" fillId="2" borderId="5" xfId="49" applyFont="1" applyFill="1" applyBorder="1" applyAlignment="1" applyProtection="1">
      <alignment horizontal="left"/>
      <protection hidden="1"/>
    </xf>
    <xf numFmtId="0" fontId="25" fillId="2" borderId="6" xfId="49" applyFont="1" applyFill="1" applyBorder="1" applyAlignment="1" applyProtection="1">
      <alignment horizontal="left"/>
      <protection hidden="1"/>
    </xf>
    <xf numFmtId="0" fontId="52" fillId="0" borderId="12" xfId="6" applyFont="1" applyBorder="1" applyAlignment="1" applyProtection="1">
      <alignment horizontal="left"/>
      <protection hidden="1"/>
    </xf>
    <xf numFmtId="0" fontId="52" fillId="0" borderId="13" xfId="6" applyFont="1" applyBorder="1" applyAlignment="1" applyProtection="1">
      <alignment horizontal="left"/>
      <protection hidden="1"/>
    </xf>
    <xf numFmtId="0" fontId="52" fillId="0" borderId="14" xfId="6" applyFont="1" applyBorder="1" applyAlignment="1" applyProtection="1">
      <alignment horizontal="left"/>
      <protection hidden="1"/>
    </xf>
    <xf numFmtId="0" fontId="53" fillId="0" borderId="0" xfId="6" applyAlignment="1" applyProtection="1">
      <protection hidden="1"/>
    </xf>
    <xf numFmtId="0" fontId="46" fillId="2" borderId="0" xfId="217" applyFont="1" applyFill="1" applyAlignment="1" applyProtection="1">
      <alignment horizontal="left"/>
      <protection hidden="1"/>
    </xf>
    <xf numFmtId="0" fontId="68" fillId="0" borderId="0" xfId="0" applyFont="1" applyAlignment="1" applyProtection="1">
      <alignment horizontal="center" vertical="top"/>
      <protection hidden="1"/>
    </xf>
    <xf numFmtId="0" fontId="68" fillId="0" borderId="15" xfId="0" applyFont="1" applyBorder="1" applyAlignment="1" applyProtection="1">
      <alignment horizontal="center" vertical="top"/>
      <protection hidden="1"/>
    </xf>
    <xf numFmtId="2" fontId="22" fillId="2" borderId="0" xfId="49" applyNumberFormat="1" applyFont="1" applyFill="1" applyAlignment="1" applyProtection="1">
      <alignment horizontal="left" vertical="center" textRotation="90" wrapText="1"/>
      <protection hidden="1"/>
    </xf>
    <xf numFmtId="0" fontId="7" fillId="0" borderId="10" xfId="0" applyFont="1" applyBorder="1" applyProtection="1">
      <protection hidden="1"/>
    </xf>
    <xf numFmtId="0" fontId="7" fillId="0" borderId="15" xfId="0" applyFont="1" applyBorder="1" applyProtection="1">
      <protection hidden="1"/>
    </xf>
    <xf numFmtId="0" fontId="7" fillId="2" borderId="10" xfId="127" applyFont="1" applyFill="1" applyBorder="1" applyAlignment="1" applyProtection="1">
      <alignment horizontal="left"/>
      <protection hidden="1"/>
    </xf>
    <xf numFmtId="0" fontId="7" fillId="2" borderId="0" xfId="127" applyFont="1" applyFill="1" applyAlignment="1" applyProtection="1">
      <alignment horizontal="left"/>
      <protection hidden="1"/>
    </xf>
    <xf numFmtId="0" fontId="7" fillId="2" borderId="15" xfId="127" applyFont="1" applyFill="1" applyBorder="1" applyAlignment="1" applyProtection="1">
      <alignment horizontal="left"/>
      <protection hidden="1"/>
    </xf>
    <xf numFmtId="0" fontId="7" fillId="3" borderId="2" xfId="49" applyFill="1" applyBorder="1" applyProtection="1">
      <protection locked="0"/>
    </xf>
    <xf numFmtId="0" fontId="7" fillId="3" borderId="3" xfId="49" applyFill="1" applyBorder="1" applyProtection="1">
      <protection locked="0"/>
    </xf>
    <xf numFmtId="0" fontId="7" fillId="3" borderId="12" xfId="49" applyFill="1" applyBorder="1" applyAlignment="1" applyProtection="1">
      <alignment horizontal="center"/>
      <protection locked="0" hidden="1"/>
    </xf>
    <xf numFmtId="0" fontId="7" fillId="3" borderId="14" xfId="49" applyFill="1" applyBorder="1" applyAlignment="1" applyProtection="1">
      <alignment horizontal="center"/>
      <protection locked="0" hidden="1"/>
    </xf>
    <xf numFmtId="0" fontId="189" fillId="30" borderId="0" xfId="225" applyFont="1" applyFill="1" applyAlignment="1" applyProtection="1">
      <alignment horizontal="left" wrapText="1"/>
      <protection hidden="1"/>
    </xf>
    <xf numFmtId="0" fontId="7" fillId="0" borderId="4"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59" fillId="2" borderId="41" xfId="220" applyFont="1" applyFill="1" applyBorder="1" applyAlignment="1" applyProtection="1">
      <alignment horizontal="center" vertical="center" wrapText="1"/>
      <protection hidden="1"/>
    </xf>
    <xf numFmtId="0" fontId="59" fillId="2" borderId="45" xfId="220" applyFont="1" applyFill="1" applyBorder="1" applyAlignment="1" applyProtection="1">
      <alignment horizontal="center" vertical="center" wrapText="1"/>
      <protection hidden="1"/>
    </xf>
    <xf numFmtId="0" fontId="59" fillId="0" borderId="41" xfId="49" applyFont="1" applyBorder="1" applyAlignment="1" applyProtection="1">
      <alignment horizontal="right" wrapText="1"/>
      <protection hidden="1"/>
    </xf>
    <xf numFmtId="0" fontId="59" fillId="0" borderId="45" xfId="49" applyFont="1" applyBorder="1" applyAlignment="1" applyProtection="1">
      <alignment horizontal="right" wrapText="1"/>
      <protection hidden="1"/>
    </xf>
    <xf numFmtId="0" fontId="172" fillId="2" borderId="0" xfId="49" applyFont="1" applyFill="1" applyAlignment="1" applyProtection="1">
      <alignment horizontal="center" vertical="top"/>
      <protection hidden="1"/>
    </xf>
    <xf numFmtId="0" fontId="59" fillId="2" borderId="37" xfId="218" applyFont="1" applyFill="1" applyBorder="1" applyAlignment="1" applyProtection="1">
      <alignment horizontal="center" vertical="center" wrapText="1"/>
      <protection hidden="1"/>
    </xf>
    <xf numFmtId="0" fontId="59" fillId="2" borderId="38" xfId="218" applyFont="1" applyFill="1" applyBorder="1" applyAlignment="1" applyProtection="1">
      <alignment horizontal="center" vertical="center" wrapText="1"/>
      <protection hidden="1"/>
    </xf>
    <xf numFmtId="0" fontId="59" fillId="2" borderId="47" xfId="49" applyFont="1" applyFill="1" applyBorder="1" applyAlignment="1" applyProtection="1">
      <alignment horizontal="left" vertical="top" wrapText="1"/>
      <protection hidden="1"/>
    </xf>
    <xf numFmtId="0" fontId="59" fillId="2" borderId="0" xfId="49" applyFont="1" applyFill="1" applyAlignment="1" applyProtection="1">
      <alignment horizontal="left" vertical="top" wrapText="1"/>
      <protection hidden="1"/>
    </xf>
    <xf numFmtId="167" fontId="59" fillId="2" borderId="51" xfId="49" applyNumberFormat="1" applyFont="1" applyFill="1" applyBorder="1" applyAlignment="1" applyProtection="1">
      <alignment horizontal="left" wrapText="1"/>
      <protection hidden="1"/>
    </xf>
    <xf numFmtId="167" fontId="59" fillId="2" borderId="52" xfId="49" applyNumberFormat="1" applyFont="1" applyFill="1" applyBorder="1" applyAlignment="1" applyProtection="1">
      <alignment horizontal="left" wrapText="1"/>
      <protection hidden="1"/>
    </xf>
    <xf numFmtId="167" fontId="59" fillId="2" borderId="53" xfId="49" applyNumberFormat="1" applyFont="1" applyFill="1" applyBorder="1" applyAlignment="1" applyProtection="1">
      <alignment horizontal="left" wrapText="1"/>
      <protection hidden="1"/>
    </xf>
    <xf numFmtId="167" fontId="59" fillId="2" borderId="54" xfId="49" applyNumberFormat="1" applyFont="1" applyFill="1" applyBorder="1" applyAlignment="1" applyProtection="1">
      <alignment horizontal="left" wrapText="1"/>
      <protection hidden="1"/>
    </xf>
    <xf numFmtId="0" fontId="1" fillId="6" borderId="2" xfId="49" applyFont="1" applyFill="1" applyBorder="1" applyAlignment="1">
      <alignment horizontal="center"/>
    </xf>
    <xf numFmtId="0" fontId="1" fillId="6" borderId="3" xfId="49" applyFont="1" applyFill="1" applyBorder="1" applyAlignment="1">
      <alignment horizontal="center"/>
    </xf>
    <xf numFmtId="0" fontId="1" fillId="6" borderId="5" xfId="49" applyFont="1" applyFill="1" applyBorder="1" applyAlignment="1">
      <alignment horizontal="center"/>
    </xf>
    <xf numFmtId="0" fontId="1" fillId="6" borderId="6" xfId="49" applyFont="1" applyFill="1" applyBorder="1" applyAlignment="1">
      <alignment horizontal="center"/>
    </xf>
    <xf numFmtId="0" fontId="7" fillId="2" borderId="10" xfId="49" applyFill="1" applyBorder="1" applyAlignment="1" applyProtection="1">
      <alignment horizontal="right" wrapText="1"/>
      <protection hidden="1"/>
    </xf>
    <xf numFmtId="0" fontId="7" fillId="2" borderId="15" xfId="49" applyFill="1" applyBorder="1" applyAlignment="1" applyProtection="1">
      <alignment horizontal="right" wrapText="1"/>
      <protection hidden="1"/>
    </xf>
    <xf numFmtId="0" fontId="7" fillId="3" borderId="2" xfId="49" applyFill="1" applyBorder="1" applyAlignment="1" applyProtection="1">
      <alignment vertical="top" wrapText="1"/>
      <protection locked="0" hidden="1"/>
    </xf>
    <xf numFmtId="0" fontId="7" fillId="3" borderId="3" xfId="49" applyFill="1" applyBorder="1" applyAlignment="1" applyProtection="1">
      <alignment vertical="top" wrapText="1"/>
      <protection locked="0" hidden="1"/>
    </xf>
    <xf numFmtId="0" fontId="7" fillId="3" borderId="10" xfId="49" applyFill="1" applyBorder="1" applyAlignment="1" applyProtection="1">
      <alignment vertical="top" wrapText="1"/>
      <protection locked="0" hidden="1"/>
    </xf>
    <xf numFmtId="0" fontId="7" fillId="3" borderId="15" xfId="49" applyFill="1" applyBorder="1" applyAlignment="1" applyProtection="1">
      <alignment vertical="top" wrapText="1"/>
      <protection locked="0" hidden="1"/>
    </xf>
    <xf numFmtId="0" fontId="7" fillId="3" borderId="5" xfId="49" applyFill="1" applyBorder="1" applyAlignment="1" applyProtection="1">
      <alignment vertical="top" wrapText="1"/>
      <protection locked="0" hidden="1"/>
    </xf>
    <xf numFmtId="0" fontId="7" fillId="3" borderId="6" xfId="49" applyFill="1" applyBorder="1" applyAlignment="1" applyProtection="1">
      <alignment vertical="top" wrapText="1"/>
      <protection locked="0" hidden="1"/>
    </xf>
    <xf numFmtId="0" fontId="7" fillId="0" borderId="10" xfId="0" applyFont="1" applyBorder="1" applyAlignment="1" applyProtection="1">
      <alignment horizontal="left" vertical="top" wrapText="1"/>
      <protection hidden="1"/>
    </xf>
    <xf numFmtId="0" fontId="7" fillId="0" borderId="0" xfId="0" applyFont="1" applyAlignment="1" applyProtection="1">
      <alignment horizontal="left" vertical="top" wrapText="1"/>
      <protection hidden="1"/>
    </xf>
    <xf numFmtId="0" fontId="7" fillId="2" borderId="2" xfId="49" applyFill="1" applyBorder="1" applyAlignment="1" applyProtection="1">
      <alignment horizontal="left" vertical="top"/>
      <protection hidden="1"/>
    </xf>
    <xf numFmtId="0" fontId="7" fillId="2" borderId="3" xfId="49" applyFill="1" applyBorder="1" applyAlignment="1" applyProtection="1">
      <alignment horizontal="left" vertical="top"/>
      <protection hidden="1"/>
    </xf>
    <xf numFmtId="0" fontId="7" fillId="2" borderId="5" xfId="49" applyFill="1" applyBorder="1" applyAlignment="1" applyProtection="1">
      <alignment horizontal="left" vertical="top"/>
      <protection hidden="1"/>
    </xf>
    <xf numFmtId="0" fontId="7" fillId="2" borderId="6" xfId="49" applyFill="1" applyBorder="1" applyAlignment="1" applyProtection="1">
      <alignment horizontal="left" vertical="top"/>
      <protection hidden="1"/>
    </xf>
    <xf numFmtId="0" fontId="163" fillId="2" borderId="2" xfId="0" applyFont="1" applyFill="1" applyBorder="1" applyAlignment="1" applyProtection="1">
      <alignment horizontal="center" wrapText="1"/>
      <protection hidden="1"/>
    </xf>
    <xf numFmtId="0" fontId="163" fillId="2" borderId="3" xfId="0" applyFont="1" applyFill="1" applyBorder="1" applyAlignment="1" applyProtection="1">
      <alignment horizontal="center" wrapText="1"/>
      <protection hidden="1"/>
    </xf>
    <xf numFmtId="0" fontId="11" fillId="2" borderId="0" xfId="189" applyFont="1" applyFill="1" applyAlignment="1" applyProtection="1">
      <alignment horizontal="left"/>
      <protection hidden="1"/>
    </xf>
    <xf numFmtId="0" fontId="167" fillId="2" borderId="0" xfId="16" applyFont="1" applyFill="1" applyAlignment="1" applyProtection="1">
      <alignment horizontal="left"/>
      <protection hidden="1"/>
    </xf>
    <xf numFmtId="0" fontId="39" fillId="2" borderId="0" xfId="16" applyFont="1" applyFill="1" applyAlignment="1" applyProtection="1">
      <alignment horizontal="right"/>
      <protection hidden="1"/>
    </xf>
    <xf numFmtId="0" fontId="185" fillId="30" borderId="0" xfId="225" applyFont="1" applyFill="1" applyAlignment="1" applyProtection="1">
      <alignment horizontal="center" vertical="center" wrapText="1"/>
      <protection hidden="1"/>
    </xf>
    <xf numFmtId="0" fontId="7" fillId="2" borderId="0" xfId="211" applyFont="1" applyFill="1" applyAlignment="1" applyProtection="1">
      <alignment horizontal="left"/>
      <protection hidden="1"/>
    </xf>
    <xf numFmtId="0" fontId="7" fillId="2" borderId="15" xfId="211" applyFont="1" applyFill="1" applyBorder="1" applyAlignment="1" applyProtection="1">
      <alignment horizontal="left"/>
      <protection hidden="1"/>
    </xf>
    <xf numFmtId="0" fontId="7" fillId="2" borderId="10" xfId="224" applyFont="1" applyFill="1" applyBorder="1" applyAlignment="1" applyProtection="1">
      <alignment horizontal="left"/>
      <protection hidden="1"/>
    </xf>
    <xf numFmtId="0" fontId="7" fillId="2" borderId="0" xfId="224" applyFont="1" applyFill="1" applyAlignment="1" applyProtection="1">
      <alignment horizontal="left"/>
      <protection hidden="1"/>
    </xf>
    <xf numFmtId="0" fontId="6" fillId="2" borderId="0" xfId="211" applyFont="1" applyFill="1" applyAlignment="1" applyProtection="1">
      <alignment horizontal="left"/>
      <protection hidden="1"/>
    </xf>
    <xf numFmtId="0" fontId="32" fillId="2" borderId="0" xfId="49" applyFont="1" applyFill="1" applyAlignment="1" applyProtection="1">
      <alignment horizontal="right"/>
      <protection hidden="1"/>
    </xf>
    <xf numFmtId="0" fontId="7" fillId="2" borderId="0" xfId="211" applyFont="1" applyFill="1" applyAlignment="1" applyProtection="1">
      <alignment horizontal="right"/>
      <protection hidden="1"/>
    </xf>
    <xf numFmtId="0" fontId="175" fillId="2" borderId="0" xfId="49" applyFont="1" applyFill="1" applyAlignment="1" applyProtection="1">
      <alignment horizontal="center"/>
      <protection hidden="1"/>
    </xf>
    <xf numFmtId="0" fontId="27" fillId="2" borderId="0" xfId="211" applyFont="1" applyFill="1" applyAlignment="1" applyProtection="1">
      <alignment horizontal="center" wrapText="1"/>
      <protection hidden="1"/>
    </xf>
    <xf numFmtId="0" fontId="7" fillId="2" borderId="12" xfId="211" applyFont="1" applyFill="1" applyBorder="1" applyAlignment="1" applyProtection="1">
      <alignment horizontal="left" wrapText="1"/>
      <protection hidden="1"/>
    </xf>
    <xf numFmtId="0" fontId="7" fillId="2" borderId="13" xfId="211" applyFont="1" applyFill="1" applyBorder="1" applyAlignment="1" applyProtection="1">
      <alignment horizontal="left" wrapText="1"/>
      <protection hidden="1"/>
    </xf>
    <xf numFmtId="0" fontId="7" fillId="2" borderId="14" xfId="211" applyFont="1" applyFill="1" applyBorder="1" applyAlignment="1" applyProtection="1">
      <alignment horizontal="left" wrapText="1"/>
      <protection hidden="1"/>
    </xf>
    <xf numFmtId="0" fontId="23" fillId="2" borderId="0" xfId="49" applyFont="1" applyFill="1" applyProtection="1">
      <protection hidden="1"/>
    </xf>
    <xf numFmtId="0" fontId="173" fillId="6" borderId="16" xfId="49" applyFont="1" applyFill="1" applyBorder="1" applyAlignment="1">
      <alignment horizontal="center" vertical="center" textRotation="180"/>
    </xf>
    <xf numFmtId="0" fontId="173" fillId="6" borderId="7" xfId="49" applyFont="1" applyFill="1" applyBorder="1" applyAlignment="1">
      <alignment horizontal="center" vertical="center" textRotation="180"/>
    </xf>
    <xf numFmtId="0" fontId="2" fillId="2" borderId="10" xfId="211" applyFill="1" applyBorder="1" applyProtection="1">
      <protection locked="0"/>
    </xf>
    <xf numFmtId="0" fontId="2" fillId="0" borderId="0" xfId="0" applyFont="1" applyProtection="1">
      <protection locked="0"/>
    </xf>
    <xf numFmtId="0" fontId="2" fillId="0" borderId="15" xfId="0" applyFont="1" applyBorder="1" applyProtection="1">
      <protection locked="0"/>
    </xf>
    <xf numFmtId="0" fontId="2" fillId="0" borderId="10" xfId="0" applyFont="1" applyBorder="1" applyProtection="1">
      <protection locked="0"/>
    </xf>
    <xf numFmtId="0" fontId="2" fillId="0" borderId="0" xfId="211" applyProtection="1">
      <protection locked="0"/>
    </xf>
    <xf numFmtId="0" fontId="2" fillId="0" borderId="15" xfId="211" applyBorder="1" applyProtection="1">
      <protection locked="0"/>
    </xf>
    <xf numFmtId="0" fontId="2" fillId="0" borderId="10" xfId="211" applyBorder="1" applyProtection="1">
      <protection locked="0"/>
    </xf>
    <xf numFmtId="0" fontId="2" fillId="0" borderId="5" xfId="211" applyBorder="1" applyProtection="1">
      <protection locked="0"/>
    </xf>
    <xf numFmtId="0" fontId="2" fillId="0" borderId="11" xfId="211" applyBorder="1" applyProtection="1">
      <protection locked="0"/>
    </xf>
    <xf numFmtId="0" fontId="2" fillId="0" borderId="6" xfId="211" applyBorder="1" applyProtection="1">
      <protection locked="0"/>
    </xf>
    <xf numFmtId="0" fontId="7" fillId="2" borderId="0" xfId="211" applyFont="1" applyFill="1" applyAlignment="1" applyProtection="1">
      <alignment wrapText="1"/>
      <protection hidden="1"/>
    </xf>
    <xf numFmtId="0" fontId="28" fillId="2" borderId="2" xfId="49" applyFont="1" applyFill="1" applyBorder="1" applyProtection="1">
      <protection hidden="1"/>
    </xf>
    <xf numFmtId="0" fontId="28" fillId="2" borderId="3" xfId="49" applyFont="1" applyFill="1" applyBorder="1" applyProtection="1">
      <protection hidden="1"/>
    </xf>
    <xf numFmtId="0" fontId="14" fillId="3" borderId="7" xfId="49" applyFont="1" applyFill="1" applyBorder="1" applyAlignment="1" applyProtection="1">
      <alignment vertical="center" wrapText="1"/>
      <protection locked="0"/>
    </xf>
    <xf numFmtId="0" fontId="36" fillId="6" borderId="12" xfId="211" applyFont="1" applyFill="1" applyBorder="1" applyAlignment="1">
      <alignment horizontal="center"/>
    </xf>
    <xf numFmtId="0" fontId="36" fillId="6" borderId="13" xfId="211" applyFont="1" applyFill="1" applyBorder="1" applyAlignment="1">
      <alignment horizontal="center"/>
    </xf>
    <xf numFmtId="0" fontId="36" fillId="6" borderId="14" xfId="211" applyFont="1" applyFill="1" applyBorder="1" applyAlignment="1">
      <alignment horizontal="center"/>
    </xf>
    <xf numFmtId="0" fontId="7" fillId="6" borderId="4" xfId="211" applyFont="1" applyFill="1" applyBorder="1" applyAlignment="1">
      <alignment horizontal="center" vertical="top"/>
    </xf>
    <xf numFmtId="0" fontId="2" fillId="0" borderId="16" xfId="211" applyBorder="1"/>
    <xf numFmtId="0" fontId="7" fillId="0" borderId="4" xfId="211" applyFont="1" applyBorder="1" applyAlignment="1" applyProtection="1">
      <alignment horizontal="left" vertical="top"/>
      <protection hidden="1"/>
    </xf>
    <xf numFmtId="0" fontId="7" fillId="0" borderId="7" xfId="211" applyFont="1" applyBorder="1" applyAlignment="1" applyProtection="1">
      <alignment horizontal="left" vertical="top"/>
      <protection hidden="1"/>
    </xf>
    <xf numFmtId="0" fontId="7" fillId="2" borderId="2" xfId="211" applyFont="1" applyFill="1" applyBorder="1" applyAlignment="1" applyProtection="1">
      <alignment vertical="top"/>
      <protection hidden="1"/>
    </xf>
    <xf numFmtId="0" fontId="7" fillId="2" borderId="9" xfId="211" applyFont="1" applyFill="1" applyBorder="1" applyAlignment="1" applyProtection="1">
      <alignment vertical="top"/>
      <protection hidden="1"/>
    </xf>
    <xf numFmtId="0" fontId="7" fillId="2" borderId="3" xfId="211" applyFont="1" applyFill="1" applyBorder="1" applyAlignment="1" applyProtection="1">
      <alignment vertical="top"/>
      <protection hidden="1"/>
    </xf>
    <xf numFmtId="0" fontId="7" fillId="2" borderId="10" xfId="211" applyFont="1" applyFill="1" applyBorder="1" applyAlignment="1" applyProtection="1">
      <alignment vertical="top"/>
      <protection hidden="1"/>
    </xf>
    <xf numFmtId="0" fontId="7" fillId="2" borderId="0" xfId="211" applyFont="1" applyFill="1" applyAlignment="1" applyProtection="1">
      <alignment vertical="top"/>
      <protection hidden="1"/>
    </xf>
    <xf numFmtId="0" fontId="7" fillId="2" borderId="15" xfId="211" applyFont="1" applyFill="1" applyBorder="1" applyAlignment="1" applyProtection="1">
      <alignment vertical="top"/>
      <protection hidden="1"/>
    </xf>
    <xf numFmtId="0" fontId="175" fillId="2" borderId="0" xfId="49" applyFont="1" applyFill="1" applyAlignment="1" applyProtection="1">
      <alignment horizontal="right" vertical="center"/>
      <protection hidden="1"/>
    </xf>
    <xf numFmtId="0" fontId="5" fillId="2" borderId="0" xfId="0" applyFont="1" applyFill="1" applyAlignment="1" applyProtection="1">
      <alignment horizontal="right"/>
      <protection hidden="1"/>
    </xf>
    <xf numFmtId="0" fontId="6" fillId="3" borderId="0" xfId="49" applyFont="1" applyFill="1" applyAlignment="1" applyProtection="1">
      <alignment horizontal="left"/>
      <protection locked="0"/>
    </xf>
    <xf numFmtId="0" fontId="14" fillId="2" borderId="0" xfId="49" applyFont="1" applyFill="1" applyAlignment="1" applyProtection="1">
      <alignment horizontal="left"/>
      <protection hidden="1"/>
    </xf>
    <xf numFmtId="0" fontId="8" fillId="2" borderId="0" xfId="49" applyFont="1" applyFill="1" applyAlignment="1" applyProtection="1">
      <alignment horizontal="left"/>
      <protection hidden="1"/>
    </xf>
    <xf numFmtId="165" fontId="7" fillId="2" borderId="0" xfId="4" applyFont="1" applyFill="1" applyProtection="1">
      <protection hidden="1"/>
    </xf>
    <xf numFmtId="165" fontId="7" fillId="2" borderId="0" xfId="4" applyFont="1" applyFill="1" applyAlignment="1" applyProtection="1">
      <alignment horizontal="left"/>
      <protection hidden="1"/>
    </xf>
    <xf numFmtId="165" fontId="7" fillId="2" borderId="0" xfId="4" applyFont="1" applyFill="1" applyAlignment="1" applyProtection="1">
      <alignment horizontal="left" vertical="center"/>
      <protection hidden="1"/>
    </xf>
    <xf numFmtId="0" fontId="7" fillId="2" borderId="0" xfId="0" applyFont="1" applyFill="1" applyAlignment="1" applyProtection="1">
      <alignment horizontal="left" vertical="center"/>
      <protection hidden="1"/>
    </xf>
    <xf numFmtId="0" fontId="7" fillId="2" borderId="0" xfId="49" applyFill="1" applyAlignment="1" applyProtection="1">
      <alignment horizontal="left" vertical="center"/>
      <protection hidden="1"/>
    </xf>
    <xf numFmtId="0" fontId="15" fillId="2" borderId="0" xfId="49" applyFont="1" applyFill="1" applyAlignment="1" applyProtection="1">
      <alignment vertical="center"/>
      <protection hidden="1"/>
    </xf>
    <xf numFmtId="0" fontId="21" fillId="2" borderId="0" xfId="49" applyFont="1" applyFill="1" applyProtection="1">
      <protection hidden="1"/>
    </xf>
    <xf numFmtId="0" fontId="7" fillId="2" borderId="13" xfId="49" applyFill="1" applyBorder="1" applyAlignment="1" applyProtection="1">
      <alignment horizontal="center"/>
      <protection hidden="1"/>
    </xf>
    <xf numFmtId="0" fontId="189" fillId="31" borderId="0" xfId="225" applyFont="1" applyFill="1" applyAlignment="1" applyProtection="1">
      <alignment horizontal="left"/>
      <protection hidden="1"/>
    </xf>
    <xf numFmtId="0" fontId="11" fillId="0" borderId="2" xfId="6" applyFont="1" applyBorder="1" applyAlignment="1" applyProtection="1">
      <alignment horizontal="center" vertical="center" wrapText="1"/>
      <protection hidden="1"/>
    </xf>
    <xf numFmtId="0" fontId="11" fillId="0" borderId="3" xfId="6" applyFont="1" applyBorder="1" applyAlignment="1" applyProtection="1">
      <alignment horizontal="center" vertical="center" wrapText="1"/>
      <protection hidden="1"/>
    </xf>
    <xf numFmtId="0" fontId="11" fillId="0" borderId="5" xfId="6" applyFont="1" applyBorder="1" applyAlignment="1" applyProtection="1">
      <alignment horizontal="center" vertical="center" wrapText="1"/>
      <protection hidden="1"/>
    </xf>
    <xf numFmtId="0" fontId="11" fillId="0" borderId="6" xfId="6" applyFont="1" applyBorder="1" applyAlignment="1" applyProtection="1">
      <alignment horizontal="center" vertical="center" wrapText="1"/>
      <protection hidden="1"/>
    </xf>
    <xf numFmtId="0" fontId="9" fillId="2" borderId="0" xfId="49" applyFont="1" applyFill="1" applyAlignment="1" applyProtection="1">
      <alignment horizontal="left"/>
      <protection hidden="1"/>
    </xf>
    <xf numFmtId="1" fontId="9" fillId="2" borderId="0" xfId="49" applyNumberFormat="1" applyFont="1" applyFill="1" applyAlignment="1" applyProtection="1">
      <alignment horizontal="left"/>
      <protection hidden="1"/>
    </xf>
    <xf numFmtId="0" fontId="5" fillId="2" borderId="10" xfId="49" applyFont="1" applyFill="1" applyBorder="1" applyAlignment="1" applyProtection="1">
      <alignment horizontal="center"/>
      <protection hidden="1"/>
    </xf>
    <xf numFmtId="0" fontId="5" fillId="2" borderId="0" xfId="49" applyFont="1" applyFill="1" applyAlignment="1" applyProtection="1">
      <alignment horizontal="center"/>
      <protection hidden="1"/>
    </xf>
    <xf numFmtId="0" fontId="7" fillId="0" borderId="0" xfId="49" applyAlignment="1" applyProtection="1">
      <alignment horizontal="left"/>
      <protection hidden="1"/>
    </xf>
    <xf numFmtId="0" fontId="185" fillId="30" borderId="0" xfId="225" applyFont="1" applyFill="1" applyAlignment="1" applyProtection="1">
      <alignment horizontal="center" wrapText="1"/>
      <protection hidden="1"/>
    </xf>
  </cellXfs>
  <cellStyles count="276">
    <cellStyle name="20% - Accent1 2" xfId="31" xr:uid="{00000000-0005-0000-0000-000000000000}"/>
    <cellStyle name="20% - Accent1 2 2" xfId="11" xr:uid="{00000000-0005-0000-0000-000001000000}"/>
    <cellStyle name="20% - Accent1 2 2 2" xfId="34" xr:uid="{00000000-0005-0000-0000-000002000000}"/>
    <cellStyle name="20% - Accent1 2 2 3" xfId="36" xr:uid="{00000000-0005-0000-0000-000003000000}"/>
    <cellStyle name="20% - Accent1 2 3" xfId="23" xr:uid="{00000000-0005-0000-0000-000004000000}"/>
    <cellStyle name="20% - Accent1 2 4" xfId="25" xr:uid="{00000000-0005-0000-0000-000005000000}"/>
    <cellStyle name="20% - Accent1 2 5" xfId="28" xr:uid="{00000000-0005-0000-0000-000006000000}"/>
    <cellStyle name="20% - Accent1 2 6" xfId="19" xr:uid="{00000000-0005-0000-0000-000007000000}"/>
    <cellStyle name="20% - Accent1 2 7" xfId="37" xr:uid="{00000000-0005-0000-0000-000008000000}"/>
    <cellStyle name="20% - Accent2 2" xfId="38" xr:uid="{00000000-0005-0000-0000-000009000000}"/>
    <cellStyle name="20% - Accent2 2 2" xfId="39" xr:uid="{00000000-0005-0000-0000-00000A000000}"/>
    <cellStyle name="20% - Accent2 2 2 2" xfId="27" xr:uid="{00000000-0005-0000-0000-00000B000000}"/>
    <cellStyle name="20% - Accent2 2 2 3" xfId="18" xr:uid="{00000000-0005-0000-0000-00000C000000}"/>
    <cellStyle name="20% - Accent2 2 3" xfId="40" xr:uid="{00000000-0005-0000-0000-00000D000000}"/>
    <cellStyle name="20% - Accent2 2 4" xfId="41" xr:uid="{00000000-0005-0000-0000-00000E000000}"/>
    <cellStyle name="20% - Accent2 2 5" xfId="42" xr:uid="{00000000-0005-0000-0000-00000F000000}"/>
    <cellStyle name="20% - Accent2 2 6" xfId="43" xr:uid="{00000000-0005-0000-0000-000010000000}"/>
    <cellStyle name="20% - Accent2 2 7" xfId="44" xr:uid="{00000000-0005-0000-0000-000011000000}"/>
    <cellStyle name="20% - Accent3 2" xfId="15" xr:uid="{00000000-0005-0000-0000-000012000000}"/>
    <cellStyle name="20% - Accent3 2 2" xfId="46" xr:uid="{00000000-0005-0000-0000-000013000000}"/>
    <cellStyle name="20% - Accent3 2 2 2" xfId="48" xr:uid="{00000000-0005-0000-0000-000014000000}"/>
    <cellStyle name="20% - Accent3 2 2 3" xfId="50" xr:uid="{00000000-0005-0000-0000-000015000000}"/>
    <cellStyle name="20% - Accent3 2 3" xfId="53" xr:uid="{00000000-0005-0000-0000-000016000000}"/>
    <cellStyle name="20% - Accent3 2 4" xfId="55" xr:uid="{00000000-0005-0000-0000-000017000000}"/>
    <cellStyle name="20% - Accent3 2 5" xfId="57" xr:uid="{00000000-0005-0000-0000-000018000000}"/>
    <cellStyle name="20% - Accent3 2 6" xfId="14" xr:uid="{00000000-0005-0000-0000-000019000000}"/>
    <cellStyle name="20% - Accent3 2 7" xfId="10" xr:uid="{00000000-0005-0000-0000-00001A000000}"/>
    <cellStyle name="20% - Accent4 2" xfId="58" xr:uid="{00000000-0005-0000-0000-00001B000000}"/>
    <cellStyle name="20% - Accent4 2 2" xfId="59" xr:uid="{00000000-0005-0000-0000-00001C000000}"/>
    <cellStyle name="20% - Accent4 2 2 2" xfId="61" xr:uid="{00000000-0005-0000-0000-00001D000000}"/>
    <cellStyle name="20% - Accent4 2 2 3" xfId="63" xr:uid="{00000000-0005-0000-0000-00001E000000}"/>
    <cellStyle name="20% - Accent4 2 3" xfId="64" xr:uid="{00000000-0005-0000-0000-00001F000000}"/>
    <cellStyle name="20% - Accent4 2 4" xfId="60" xr:uid="{00000000-0005-0000-0000-000020000000}"/>
    <cellStyle name="20% - Accent4 2 5" xfId="62" xr:uid="{00000000-0005-0000-0000-000021000000}"/>
    <cellStyle name="20% - Accent4 2 6" xfId="65" xr:uid="{00000000-0005-0000-0000-000022000000}"/>
    <cellStyle name="20% - Accent4 2 7" xfId="67" xr:uid="{00000000-0005-0000-0000-000023000000}"/>
    <cellStyle name="20% - Accent5 2" xfId="69" xr:uid="{00000000-0005-0000-0000-000024000000}"/>
    <cellStyle name="20% - Accent5 2 2" xfId="71" xr:uid="{00000000-0005-0000-0000-000025000000}"/>
    <cellStyle name="20% - Accent5 2 2 2" xfId="72" xr:uid="{00000000-0005-0000-0000-000026000000}"/>
    <cellStyle name="20% - Accent5 2 2 3" xfId="73" xr:uid="{00000000-0005-0000-0000-000027000000}"/>
    <cellStyle name="20% - Accent5 2 3" xfId="74" xr:uid="{00000000-0005-0000-0000-000028000000}"/>
    <cellStyle name="20% - Accent5 2 4" xfId="75" xr:uid="{00000000-0005-0000-0000-000029000000}"/>
    <cellStyle name="20% - Accent5 2 5" xfId="76" xr:uid="{00000000-0005-0000-0000-00002A000000}"/>
    <cellStyle name="20% - Accent5 2 6" xfId="77" xr:uid="{00000000-0005-0000-0000-00002B000000}"/>
    <cellStyle name="20% - Accent5 2 7" xfId="79" xr:uid="{00000000-0005-0000-0000-00002C000000}"/>
    <cellStyle name="20% - Accent6 2" xfId="80" xr:uid="{00000000-0005-0000-0000-00002D000000}"/>
    <cellStyle name="20% - Accent6 2 2" xfId="81" xr:uid="{00000000-0005-0000-0000-00002E000000}"/>
    <cellStyle name="20% - Accent6 2 2 2" xfId="82" xr:uid="{00000000-0005-0000-0000-00002F000000}"/>
    <cellStyle name="20% - Accent6 2 2 3" xfId="83" xr:uid="{00000000-0005-0000-0000-000030000000}"/>
    <cellStyle name="20% - Accent6 2 3" xfId="85" xr:uid="{00000000-0005-0000-0000-000031000000}"/>
    <cellStyle name="20% - Accent6 2 4" xfId="87" xr:uid="{00000000-0005-0000-0000-000032000000}"/>
    <cellStyle name="20% - Accent6 2 5" xfId="89" xr:uid="{00000000-0005-0000-0000-000033000000}"/>
    <cellStyle name="20% - Accent6 2 6" xfId="91" xr:uid="{00000000-0005-0000-0000-000034000000}"/>
    <cellStyle name="20% - Accent6 2 7" xfId="33" xr:uid="{00000000-0005-0000-0000-000035000000}"/>
    <cellStyle name="40% - Accent1 2" xfId="92" xr:uid="{00000000-0005-0000-0000-000036000000}"/>
    <cellStyle name="40% - Accent1 2 2" xfId="93" xr:uid="{00000000-0005-0000-0000-000037000000}"/>
    <cellStyle name="40% - Accent1 2 2 2" xfId="94" xr:uid="{00000000-0005-0000-0000-000038000000}"/>
    <cellStyle name="40% - Accent1 2 2 3" xfId="95" xr:uid="{00000000-0005-0000-0000-000039000000}"/>
    <cellStyle name="40% - Accent1 2 3" xfId="96" xr:uid="{00000000-0005-0000-0000-00003A000000}"/>
    <cellStyle name="40% - Accent1 2 4" xfId="97" xr:uid="{00000000-0005-0000-0000-00003B000000}"/>
    <cellStyle name="40% - Accent1 2 5" xfId="98" xr:uid="{00000000-0005-0000-0000-00003C000000}"/>
    <cellStyle name="40% - Accent1 2 6" xfId="100" xr:uid="{00000000-0005-0000-0000-00003D000000}"/>
    <cellStyle name="40% - Accent1 2 7" xfId="101" xr:uid="{00000000-0005-0000-0000-00003E000000}"/>
    <cellStyle name="40% - Accent2 2" xfId="102" xr:uid="{00000000-0005-0000-0000-00003F000000}"/>
    <cellStyle name="40% - Accent2 2 2" xfId="103" xr:uid="{00000000-0005-0000-0000-000040000000}"/>
    <cellStyle name="40% - Accent2 2 2 2" xfId="105" xr:uid="{00000000-0005-0000-0000-000041000000}"/>
    <cellStyle name="40% - Accent2 2 2 3" xfId="106" xr:uid="{00000000-0005-0000-0000-000042000000}"/>
    <cellStyle name="40% - Accent2 2 3" xfId="107" xr:uid="{00000000-0005-0000-0000-000043000000}"/>
    <cellStyle name="40% - Accent2 2 4" xfId="108" xr:uid="{00000000-0005-0000-0000-000044000000}"/>
    <cellStyle name="40% - Accent2 2 5" xfId="109" xr:uid="{00000000-0005-0000-0000-000045000000}"/>
    <cellStyle name="40% - Accent2 2 6" xfId="110" xr:uid="{00000000-0005-0000-0000-000046000000}"/>
    <cellStyle name="40% - Accent2 2 7" xfId="111" xr:uid="{00000000-0005-0000-0000-000047000000}"/>
    <cellStyle name="40% - Accent3 2" xfId="112" xr:uid="{00000000-0005-0000-0000-000048000000}"/>
    <cellStyle name="40% - Accent3 2 2" xfId="113" xr:uid="{00000000-0005-0000-0000-000049000000}"/>
    <cellStyle name="40% - Accent3 2 2 2" xfId="114" xr:uid="{00000000-0005-0000-0000-00004A000000}"/>
    <cellStyle name="40% - Accent3 2 2 3" xfId="115" xr:uid="{00000000-0005-0000-0000-00004B000000}"/>
    <cellStyle name="40% - Accent3 2 3" xfId="117" xr:uid="{00000000-0005-0000-0000-00004C000000}"/>
    <cellStyle name="40% - Accent3 2 4" xfId="119" xr:uid="{00000000-0005-0000-0000-00004D000000}"/>
    <cellStyle name="40% - Accent3 2 5" xfId="9" xr:uid="{00000000-0005-0000-0000-00004E000000}"/>
    <cellStyle name="40% - Accent3 2 6" xfId="120" xr:uid="{00000000-0005-0000-0000-00004F000000}"/>
    <cellStyle name="40% - Accent3 2 7" xfId="121" xr:uid="{00000000-0005-0000-0000-000050000000}"/>
    <cellStyle name="40% - Accent4 2" xfId="122" xr:uid="{00000000-0005-0000-0000-000051000000}"/>
    <cellStyle name="40% - Accent4 2 2" xfId="123" xr:uid="{00000000-0005-0000-0000-000052000000}"/>
    <cellStyle name="40% - Accent4 2 2 2" xfId="124" xr:uid="{00000000-0005-0000-0000-000053000000}"/>
    <cellStyle name="40% - Accent4 2 2 3" xfId="125" xr:uid="{00000000-0005-0000-0000-000054000000}"/>
    <cellStyle name="40% - Accent4 2 3" xfId="126" xr:uid="{00000000-0005-0000-0000-000055000000}"/>
    <cellStyle name="40% - Accent4 2 4" xfId="128" xr:uid="{00000000-0005-0000-0000-000056000000}"/>
    <cellStyle name="40% - Accent4 2 5" xfId="129" xr:uid="{00000000-0005-0000-0000-000057000000}"/>
    <cellStyle name="40% - Accent4 2 6" xfId="130" xr:uid="{00000000-0005-0000-0000-000058000000}"/>
    <cellStyle name="40% - Accent4 2 7" xfId="131" xr:uid="{00000000-0005-0000-0000-000059000000}"/>
    <cellStyle name="40% - Accent5 2" xfId="132" xr:uid="{00000000-0005-0000-0000-00005A000000}"/>
    <cellStyle name="40% - Accent5 2 2" xfId="134" xr:uid="{00000000-0005-0000-0000-00005B000000}"/>
    <cellStyle name="40% - Accent5 2 2 2" xfId="135" xr:uid="{00000000-0005-0000-0000-00005C000000}"/>
    <cellStyle name="40% - Accent5 2 2 3" xfId="136" xr:uid="{00000000-0005-0000-0000-00005D000000}"/>
    <cellStyle name="40% - Accent5 2 3" xfId="137" xr:uid="{00000000-0005-0000-0000-00005E000000}"/>
    <cellStyle name="40% - Accent5 2 4" xfId="138" xr:uid="{00000000-0005-0000-0000-00005F000000}"/>
    <cellStyle name="40% - Accent5 2 5" xfId="139" xr:uid="{00000000-0005-0000-0000-000060000000}"/>
    <cellStyle name="40% - Accent5 2 6" xfId="140" xr:uid="{00000000-0005-0000-0000-000061000000}"/>
    <cellStyle name="40% - Accent5 2 7" xfId="141" xr:uid="{00000000-0005-0000-0000-000062000000}"/>
    <cellStyle name="40% - Accent6 2" xfId="142" xr:uid="{00000000-0005-0000-0000-000063000000}"/>
    <cellStyle name="40% - Accent6 2 2" xfId="143" xr:uid="{00000000-0005-0000-0000-000064000000}"/>
    <cellStyle name="40% - Accent6 2 2 2" xfId="144" xr:uid="{00000000-0005-0000-0000-000065000000}"/>
    <cellStyle name="40% - Accent6 2 2 3" xfId="68" xr:uid="{00000000-0005-0000-0000-000066000000}"/>
    <cellStyle name="40% - Accent6 2 3" xfId="145" xr:uid="{00000000-0005-0000-0000-000067000000}"/>
    <cellStyle name="40% - Accent6 2 4" xfId="146" xr:uid="{00000000-0005-0000-0000-000068000000}"/>
    <cellStyle name="40% - Accent6 2 5" xfId="147" xr:uid="{00000000-0005-0000-0000-000069000000}"/>
    <cellStyle name="40% - Accent6 2 6" xfId="148" xr:uid="{00000000-0005-0000-0000-00006A000000}"/>
    <cellStyle name="40% - Accent6 2 7" xfId="149" xr:uid="{00000000-0005-0000-0000-00006B000000}"/>
    <cellStyle name="Calculation 2" xfId="84" xr:uid="{00000000-0005-0000-0000-00006C000000}"/>
    <cellStyle name="Calculation 2 2" xfId="12" xr:uid="{00000000-0005-0000-0000-00006D000000}"/>
    <cellStyle name="Calculation 2 3" xfId="150" xr:uid="{00000000-0005-0000-0000-00006E000000}"/>
    <cellStyle name="Calculation 3" xfId="86" xr:uid="{00000000-0005-0000-0000-00006F000000}"/>
    <cellStyle name="Calculation 3 2" xfId="151" xr:uid="{00000000-0005-0000-0000-000070000000}"/>
    <cellStyle name="Calculation 4" xfId="88" xr:uid="{00000000-0005-0000-0000-000071000000}"/>
    <cellStyle name="Calculation 4 2" xfId="153" xr:uid="{00000000-0005-0000-0000-000072000000}"/>
    <cellStyle name="Calculation 5" xfId="90" xr:uid="{00000000-0005-0000-0000-000073000000}"/>
    <cellStyle name="Calculation 5 2" xfId="155" xr:uid="{00000000-0005-0000-0000-000074000000}"/>
    <cellStyle name="Calculation 6" xfId="32" xr:uid="{00000000-0005-0000-0000-000075000000}"/>
    <cellStyle name="Calculation 6 2" xfId="156" xr:uid="{00000000-0005-0000-0000-000076000000}"/>
    <cellStyle name="Calculation 7" xfId="35" xr:uid="{00000000-0005-0000-0000-000077000000}"/>
    <cellStyle name="Calculation 7 2" xfId="157" xr:uid="{00000000-0005-0000-0000-000078000000}"/>
    <cellStyle name="Calculation 8" xfId="158" xr:uid="{00000000-0005-0000-0000-000079000000}"/>
    <cellStyle name="Currency" xfId="4" builtinId="4"/>
    <cellStyle name="Currency 2" xfId="160" xr:uid="{00000000-0005-0000-0000-00007B000000}"/>
    <cellStyle name="Currency 3" xfId="161" xr:uid="{00000000-0005-0000-0000-00007C000000}"/>
    <cellStyle name="Heading 1 2" xfId="162" xr:uid="{00000000-0005-0000-0000-00007D000000}"/>
    <cellStyle name="Heading 1 2 2" xfId="163" xr:uid="{00000000-0005-0000-0000-00007E000000}"/>
    <cellStyle name="Heading 1 2 3" xfId="164" xr:uid="{00000000-0005-0000-0000-00007F000000}"/>
    <cellStyle name="Heading 1 3" xfId="166" xr:uid="{00000000-0005-0000-0000-000080000000}"/>
    <cellStyle name="Heading 1 4" xfId="167" xr:uid="{00000000-0005-0000-0000-000081000000}"/>
    <cellStyle name="Heading 1 5" xfId="169" xr:uid="{00000000-0005-0000-0000-000082000000}"/>
    <cellStyle name="Heading 1 6" xfId="171" xr:uid="{00000000-0005-0000-0000-000083000000}"/>
    <cellStyle name="Heading 1 7" xfId="174" xr:uid="{00000000-0005-0000-0000-000084000000}"/>
    <cellStyle name="Heading 2 2" xfId="175" xr:uid="{00000000-0005-0000-0000-000085000000}"/>
    <cellStyle name="Heading 2 2 2" xfId="176" xr:uid="{00000000-0005-0000-0000-000086000000}"/>
    <cellStyle name="Heading 2 2 3" xfId="17" xr:uid="{00000000-0005-0000-0000-000087000000}"/>
    <cellStyle name="Heading 2 3" xfId="178" xr:uid="{00000000-0005-0000-0000-000088000000}"/>
    <cellStyle name="Heading 2 4" xfId="179" xr:uid="{00000000-0005-0000-0000-000089000000}"/>
    <cellStyle name="Heading 2 5" xfId="180" xr:uid="{00000000-0005-0000-0000-00008A000000}"/>
    <cellStyle name="Heading 2 6" xfId="181" xr:uid="{00000000-0005-0000-0000-00008B000000}"/>
    <cellStyle name="Heading 2 7" xfId="183" xr:uid="{00000000-0005-0000-0000-00008C000000}"/>
    <cellStyle name="Hyperlink" xfId="6" builtinId="8"/>
    <cellStyle name="Hyperlink 2" xfId="185" xr:uid="{00000000-0005-0000-0000-00008E000000}"/>
    <cellStyle name="Hyperlink 3" xfId="187" xr:uid="{00000000-0005-0000-0000-00008F000000}"/>
    <cellStyle name="Hyperlink 4" xfId="189" xr:uid="{00000000-0005-0000-0000-000090000000}"/>
    <cellStyle name="Hyperlink 5" xfId="191" xr:uid="{00000000-0005-0000-0000-000091000000}"/>
    <cellStyle name="Hyperlink_1.4WinrF" xfId="192" xr:uid="{00000000-0005-0000-0000-000092000000}"/>
    <cellStyle name="Hyperlink_xPetes_YoBrew" xfId="133" xr:uid="{00000000-0005-0000-0000-000093000000}"/>
    <cellStyle name="Input 2" xfId="194" xr:uid="{00000000-0005-0000-0000-000094000000}"/>
    <cellStyle name="Input 2 2" xfId="22" xr:uid="{00000000-0005-0000-0000-000095000000}"/>
    <cellStyle name="Input 2 3" xfId="24" xr:uid="{00000000-0005-0000-0000-000096000000}"/>
    <cellStyle name="Input 3" xfId="196" xr:uid="{00000000-0005-0000-0000-000097000000}"/>
    <cellStyle name="Input 3 2" xfId="198" xr:uid="{00000000-0005-0000-0000-000098000000}"/>
    <cellStyle name="Input 4" xfId="200" xr:uid="{00000000-0005-0000-0000-000099000000}"/>
    <cellStyle name="Input 4 2" xfId="201" xr:uid="{00000000-0005-0000-0000-00009A000000}"/>
    <cellStyle name="Input 5" xfId="45" xr:uid="{00000000-0005-0000-0000-00009B000000}"/>
    <cellStyle name="Input 5 2" xfId="47" xr:uid="{00000000-0005-0000-0000-00009C000000}"/>
    <cellStyle name="Input 6" xfId="52" xr:uid="{00000000-0005-0000-0000-00009D000000}"/>
    <cellStyle name="Input 6 2" xfId="116" xr:uid="{00000000-0005-0000-0000-00009E000000}"/>
    <cellStyle name="Input 7" xfId="54" xr:uid="{00000000-0005-0000-0000-00009F000000}"/>
    <cellStyle name="Input 7 2" xfId="1" xr:uid="{00000000-0005-0000-0000-0000A0000000}"/>
    <cellStyle name="Input 8" xfId="56" xr:uid="{00000000-0005-0000-0000-0000A1000000}"/>
    <cellStyle name="Normal" xfId="0" builtinId="0"/>
    <cellStyle name="Normal 10" xfId="202" xr:uid="{00000000-0005-0000-0000-0000A3000000}"/>
    <cellStyle name="Normal 10 2" xfId="203" xr:uid="{00000000-0005-0000-0000-0000A4000000}"/>
    <cellStyle name="Normal 11" xfId="204" xr:uid="{00000000-0005-0000-0000-0000A5000000}"/>
    <cellStyle name="Normal 2" xfId="205" xr:uid="{00000000-0005-0000-0000-0000A6000000}"/>
    <cellStyle name="Normal 3" xfId="206" xr:uid="{00000000-0005-0000-0000-0000A7000000}"/>
    <cellStyle name="Normal 3 2" xfId="168" xr:uid="{00000000-0005-0000-0000-0000A8000000}"/>
    <cellStyle name="Normal 3 3" xfId="170" xr:uid="{00000000-0005-0000-0000-0000A9000000}"/>
    <cellStyle name="Normal 3 4" xfId="173" xr:uid="{00000000-0005-0000-0000-0000AA000000}"/>
    <cellStyle name="Normal 3 5" xfId="30" xr:uid="{00000000-0005-0000-0000-0000AB000000}"/>
    <cellStyle name="Normal 3 6" xfId="207" xr:uid="{00000000-0005-0000-0000-0000AC000000}"/>
    <cellStyle name="Normal 3 7" xfId="208" xr:uid="{00000000-0005-0000-0000-0000AD000000}"/>
    <cellStyle name="Normal 3 8" xfId="209" xr:uid="{00000000-0005-0000-0000-0000AE000000}"/>
    <cellStyle name="Normal 4" xfId="210" xr:uid="{00000000-0005-0000-0000-0000AF000000}"/>
    <cellStyle name="Normal 5" xfId="211" xr:uid="{00000000-0005-0000-0000-0000B0000000}"/>
    <cellStyle name="Normal 6" xfId="212" xr:uid="{00000000-0005-0000-0000-0000B1000000}"/>
    <cellStyle name="Normal 7" xfId="213" xr:uid="{00000000-0005-0000-0000-0000B2000000}"/>
    <cellStyle name="Normal 8" xfId="214" xr:uid="{00000000-0005-0000-0000-0000B3000000}"/>
    <cellStyle name="Normal_)_1.4WinrF" xfId="215" xr:uid="{00000000-0005-0000-0000-0000B4000000}"/>
    <cellStyle name="Normal_)_New1.4Winr" xfId="217" xr:uid="{00000000-0005-0000-0000-0000B5000000}"/>
    <cellStyle name="Normal_1.4WinrF" xfId="218" xr:uid="{00000000-0005-0000-0000-0000B6000000}"/>
    <cellStyle name="Normal_1.4WinrF 2" xfId="219" xr:uid="{00000000-0005-0000-0000-0000B7000000}"/>
    <cellStyle name="Normal_1.4WinrF_Wine Ca" xfId="220" xr:uid="{00000000-0005-0000-0000-0000B8000000}"/>
    <cellStyle name="Normal_Beer Kit Calc's " xfId="221" xr:uid="{00000000-0005-0000-0000-0000B9000000}"/>
    <cellStyle name="Normal_Copy of Acid-Cal" xfId="7" xr:uid="{00000000-0005-0000-0000-0000BA000000}"/>
    <cellStyle name="Normal_General Calc's" xfId="222" xr:uid="{00000000-0005-0000-0000-0000BB000000}"/>
    <cellStyle name="Normal_General Calc's_1" xfId="223" xr:uid="{00000000-0005-0000-0000-0000BC000000}"/>
    <cellStyle name="Normal_New1.4Winr" xfId="99" xr:uid="{00000000-0005-0000-0000-0000BD000000}"/>
    <cellStyle name="Normal_Peter's B &amp; W Ca" xfId="224" xr:uid="{00000000-0005-0000-0000-0000BE000000}"/>
    <cellStyle name="Normal_Peter's B &amp; W Calc  1.05" xfId="275" xr:uid="{00000000-0005-0000-0000-0000BF000000}"/>
    <cellStyle name="Normal_Pete's YoBrew Ca" xfId="49" xr:uid="{00000000-0005-0000-0000-0000C0000000}"/>
    <cellStyle name="Normal_Pete's YoBrew Ca 2" xfId="225" xr:uid="{00000000-0005-0000-0000-0000C1000000}"/>
    <cellStyle name="Normal_Pete's YoBrew Ca 3" xfId="226" xr:uid="{00000000-0005-0000-0000-0000C2000000}"/>
    <cellStyle name="Normal_Petes_YoBrew_Bee" xfId="227" xr:uid="{00000000-0005-0000-0000-0000C3000000}"/>
    <cellStyle name="Normal_Petes_YoBrew_Cal" xfId="26" xr:uid="{00000000-0005-0000-0000-0000C4000000}"/>
    <cellStyle name="Normal_Primer" xfId="228" xr:uid="{00000000-0005-0000-0000-0000C5000000}"/>
    <cellStyle name="Normal_Sheet1_4+ YoBrew" xfId="16" xr:uid="{00000000-0005-0000-0000-0000C6000000}"/>
    <cellStyle name="Normal_YOBREW Beer Prim" xfId="127" xr:uid="{00000000-0005-0000-0000-0000C7000000}"/>
    <cellStyle name="Note 2" xfId="78" xr:uid="{00000000-0005-0000-0000-0000C8000000}"/>
    <cellStyle name="Note 2 2" xfId="229" xr:uid="{00000000-0005-0000-0000-0000C9000000}"/>
    <cellStyle name="Note 2 2 2" xfId="230" xr:uid="{00000000-0005-0000-0000-0000CA000000}"/>
    <cellStyle name="Note 2 2 3" xfId="231" xr:uid="{00000000-0005-0000-0000-0000CB000000}"/>
    <cellStyle name="Note 2 3" xfId="232" xr:uid="{00000000-0005-0000-0000-0000CC000000}"/>
    <cellStyle name="Note 2 3 2" xfId="233" xr:uid="{00000000-0005-0000-0000-0000CD000000}"/>
    <cellStyle name="Note 2 4" xfId="234" xr:uid="{00000000-0005-0000-0000-0000CE000000}"/>
    <cellStyle name="Note 2 4 2" xfId="236" xr:uid="{00000000-0005-0000-0000-0000CF000000}"/>
    <cellStyle name="Note 2 5" xfId="237" xr:uid="{00000000-0005-0000-0000-0000D0000000}"/>
    <cellStyle name="Note 2 5 2" xfId="238" xr:uid="{00000000-0005-0000-0000-0000D1000000}"/>
    <cellStyle name="Note 2 6" xfId="193" xr:uid="{00000000-0005-0000-0000-0000D2000000}"/>
    <cellStyle name="Note 2 6 2" xfId="21" xr:uid="{00000000-0005-0000-0000-0000D3000000}"/>
    <cellStyle name="Note 2 7" xfId="195" xr:uid="{00000000-0005-0000-0000-0000D4000000}"/>
    <cellStyle name="Note 2 7 2" xfId="197" xr:uid="{00000000-0005-0000-0000-0000D5000000}"/>
    <cellStyle name="Note 2 8" xfId="199" xr:uid="{00000000-0005-0000-0000-0000D6000000}"/>
    <cellStyle name="Note 3" xfId="239" xr:uid="{00000000-0005-0000-0000-0000D7000000}"/>
    <cellStyle name="Note 3 2" xfId="241" xr:uid="{00000000-0005-0000-0000-0000D8000000}"/>
    <cellStyle name="Note 3 3" xfId="104" xr:uid="{00000000-0005-0000-0000-0000D9000000}"/>
    <cellStyle name="Note 4" xfId="154" xr:uid="{00000000-0005-0000-0000-0000DA000000}"/>
    <cellStyle name="Note 4 2" xfId="243" xr:uid="{00000000-0005-0000-0000-0000DB000000}"/>
    <cellStyle name="Note 5" xfId="244" xr:uid="{00000000-0005-0000-0000-0000DC000000}"/>
    <cellStyle name="Note 5 2" xfId="245" xr:uid="{00000000-0005-0000-0000-0000DD000000}"/>
    <cellStyle name="Note 6" xfId="246" xr:uid="{00000000-0005-0000-0000-0000DE000000}"/>
    <cellStyle name="Note 6 2" xfId="247" xr:uid="{00000000-0005-0000-0000-0000DF000000}"/>
    <cellStyle name="Note 7" xfId="248" xr:uid="{00000000-0005-0000-0000-0000E0000000}"/>
    <cellStyle name="Note 7 2" xfId="66" xr:uid="{00000000-0005-0000-0000-0000E1000000}"/>
    <cellStyle name="Note 8" xfId="235" xr:uid="{00000000-0005-0000-0000-0000E2000000}"/>
    <cellStyle name="Note 8 2" xfId="249" xr:uid="{00000000-0005-0000-0000-0000E3000000}"/>
    <cellStyle name="Note 9" xfId="20" xr:uid="{00000000-0005-0000-0000-0000E4000000}"/>
    <cellStyle name="Output 2" xfId="250" xr:uid="{00000000-0005-0000-0000-0000E5000000}"/>
    <cellStyle name="Output 2 2" xfId="118" xr:uid="{00000000-0005-0000-0000-0000E6000000}"/>
    <cellStyle name="Output 2 3" xfId="8" xr:uid="{00000000-0005-0000-0000-0000E7000000}"/>
    <cellStyle name="Output 3" xfId="242" xr:uid="{00000000-0005-0000-0000-0000E8000000}"/>
    <cellStyle name="Output 3 2" xfId="13" xr:uid="{00000000-0005-0000-0000-0000E9000000}"/>
    <cellStyle name="Output 4" xfId="251" xr:uid="{00000000-0005-0000-0000-0000EA000000}"/>
    <cellStyle name="Output 4 2" xfId="3" xr:uid="{00000000-0005-0000-0000-0000EB000000}"/>
    <cellStyle name="Output 5" xfId="252" xr:uid="{00000000-0005-0000-0000-0000EC000000}"/>
    <cellStyle name="Output 5 2" xfId="165" xr:uid="{00000000-0005-0000-0000-0000ED000000}"/>
    <cellStyle name="Output 6" xfId="253" xr:uid="{00000000-0005-0000-0000-0000EE000000}"/>
    <cellStyle name="Output 6 2" xfId="177" xr:uid="{00000000-0005-0000-0000-0000EF000000}"/>
    <cellStyle name="Output 7" xfId="254" xr:uid="{00000000-0005-0000-0000-0000F0000000}"/>
    <cellStyle name="Output 7 2" xfId="51" xr:uid="{00000000-0005-0000-0000-0000F1000000}"/>
    <cellStyle name="Output 8" xfId="159" xr:uid="{00000000-0005-0000-0000-0000F2000000}"/>
    <cellStyle name="Percent" xfId="5" builtinId="5"/>
    <cellStyle name="Percent 2" xfId="255" xr:uid="{00000000-0005-0000-0000-0000F4000000}"/>
    <cellStyle name="Percent 2 2" xfId="256" xr:uid="{00000000-0005-0000-0000-0000F5000000}"/>
    <cellStyle name="Percent 2 2 2" xfId="2" xr:uid="{00000000-0005-0000-0000-0000F6000000}"/>
    <cellStyle name="Percent 2 2 3" xfId="184" xr:uid="{00000000-0005-0000-0000-0000F7000000}"/>
    <cellStyle name="Percent 2 2 4" xfId="186" xr:uid="{00000000-0005-0000-0000-0000F8000000}"/>
    <cellStyle name="Percent 2 2 5" xfId="188" xr:uid="{00000000-0005-0000-0000-0000F9000000}"/>
    <cellStyle name="Percent 2 2 6" xfId="190" xr:uid="{00000000-0005-0000-0000-0000FA000000}"/>
    <cellStyle name="Percent 2 2 7" xfId="257" xr:uid="{00000000-0005-0000-0000-0000FB000000}"/>
    <cellStyle name="Percent 2 2 8" xfId="258" xr:uid="{00000000-0005-0000-0000-0000FC000000}"/>
    <cellStyle name="Percent 2 3" xfId="259" xr:uid="{00000000-0005-0000-0000-0000FD000000}"/>
    <cellStyle name="Percent 2 3 2" xfId="260" xr:uid="{00000000-0005-0000-0000-0000FE000000}"/>
    <cellStyle name="Percent 2 3 3" xfId="216" xr:uid="{00000000-0005-0000-0000-0000FF000000}"/>
    <cellStyle name="Percent 2 4" xfId="261" xr:uid="{00000000-0005-0000-0000-000000010000}"/>
    <cellStyle name="Percent 2 5" xfId="262" xr:uid="{00000000-0005-0000-0000-000001010000}"/>
    <cellStyle name="Percent 2 6" xfId="263" xr:uid="{00000000-0005-0000-0000-000002010000}"/>
    <cellStyle name="Percent 2 7" xfId="264" xr:uid="{00000000-0005-0000-0000-000003010000}"/>
    <cellStyle name="Percent 2 8" xfId="240" xr:uid="{00000000-0005-0000-0000-000004010000}"/>
    <cellStyle name="Percent 2_1.6.Wine_&amp;_Ja" xfId="70" xr:uid="{00000000-0005-0000-0000-000005010000}"/>
    <cellStyle name="Total 2" xfId="265" xr:uid="{00000000-0005-0000-0000-000006010000}"/>
    <cellStyle name="Total 2 2" xfId="266" xr:uid="{00000000-0005-0000-0000-000007010000}"/>
    <cellStyle name="Total 2 3" xfId="267" xr:uid="{00000000-0005-0000-0000-000008010000}"/>
    <cellStyle name="Total 3" xfId="268" xr:uid="{00000000-0005-0000-0000-000009010000}"/>
    <cellStyle name="Total 3 2" xfId="269" xr:uid="{00000000-0005-0000-0000-00000A010000}"/>
    <cellStyle name="Total 4" xfId="270" xr:uid="{00000000-0005-0000-0000-00000B010000}"/>
    <cellStyle name="Total 4 2" xfId="29" xr:uid="{00000000-0005-0000-0000-00000C010000}"/>
    <cellStyle name="Total 5" xfId="152" xr:uid="{00000000-0005-0000-0000-00000D010000}"/>
    <cellStyle name="Total 5 2" xfId="271" xr:uid="{00000000-0005-0000-0000-00000E010000}"/>
    <cellStyle name="Total 6" xfId="272" xr:uid="{00000000-0005-0000-0000-00000F010000}"/>
    <cellStyle name="Total 6 2" xfId="172" xr:uid="{00000000-0005-0000-0000-000010010000}"/>
    <cellStyle name="Total 7" xfId="273" xr:uid="{00000000-0005-0000-0000-000011010000}"/>
    <cellStyle name="Total 7 2" xfId="182" xr:uid="{00000000-0005-0000-0000-000012010000}"/>
    <cellStyle name="Total 8" xfId="274" xr:uid="{00000000-0005-0000-0000-000013010000}"/>
  </cellStyles>
  <dxfs count="52">
    <dxf>
      <font>
        <b val="0"/>
        <color rgb="FF00CCFF"/>
      </font>
    </dxf>
    <dxf>
      <font>
        <color rgb="FFFFFFFF"/>
      </font>
    </dxf>
    <dxf>
      <font>
        <color rgb="FF9C0006"/>
      </font>
      <fill>
        <patternFill patternType="solid">
          <bgColor rgb="FFFFC7CE"/>
        </patternFill>
      </fill>
    </dxf>
    <dxf>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0000"/>
        </patternFill>
      </fill>
    </dxf>
    <dxf>
      <fill>
        <patternFill patternType="solid">
          <bgColor rgb="FFFF9900"/>
        </patternFill>
      </fill>
    </dxf>
    <dxf>
      <fill>
        <patternFill patternType="solid">
          <bgColor rgb="FFFF0000"/>
        </patternFill>
      </fill>
    </dxf>
    <dxf>
      <font>
        <color rgb="FF000000"/>
      </font>
    </dxf>
    <dxf>
      <font>
        <color rgb="FFFF0000"/>
      </font>
    </dxf>
    <dxf>
      <fill>
        <patternFill patternType="solid">
          <bgColor rgb="FFFF0000"/>
        </patternFill>
      </fill>
    </dxf>
    <dxf>
      <fill>
        <patternFill patternType="solid">
          <bgColor rgb="FFFFCC99"/>
        </patternFill>
      </fill>
    </dxf>
    <dxf>
      <fill>
        <patternFill patternType="solid">
          <bgColor rgb="FFFF0000"/>
        </patternFill>
      </fill>
    </dxf>
    <dxf>
      <fill>
        <patternFill patternType="solid">
          <bgColor rgb="FFFFCC99"/>
        </patternFill>
      </fill>
    </dxf>
    <dxf>
      <fill>
        <patternFill patternType="solid">
          <bgColor rgb="FFFF0000"/>
        </patternFill>
      </fill>
    </dxf>
    <dxf>
      <fill>
        <patternFill patternType="solid">
          <bgColor rgb="FFFF9900"/>
        </patternFill>
      </fill>
    </dxf>
    <dxf>
      <font>
        <color rgb="FFFF0000"/>
      </font>
    </dxf>
    <dxf>
      <font>
        <color rgb="FFFF0000"/>
      </font>
    </dxf>
    <dxf>
      <font>
        <color rgb="FF9C0006"/>
      </font>
      <fill>
        <patternFill patternType="solid">
          <bgColor rgb="FFFFC7CE"/>
        </patternFill>
      </fill>
    </dxf>
    <dxf>
      <font>
        <color rgb="FFFF33CC"/>
      </font>
    </dxf>
    <dxf>
      <font>
        <color rgb="FFFF0000"/>
      </font>
    </dxf>
    <dxf>
      <font>
        <color rgb="FFFF99FF"/>
      </font>
    </dxf>
    <dxf>
      <font>
        <color rgb="FFFF0000"/>
      </font>
    </dxf>
    <dxf>
      <font>
        <color rgb="FFFF0000"/>
      </font>
    </dxf>
    <dxf>
      <font>
        <color rgb="FFFF99FF"/>
      </font>
    </dxf>
    <dxf>
      <font>
        <color rgb="FFFF0000"/>
      </font>
    </dxf>
    <dxf>
      <font>
        <color rgb="FFFF0000"/>
      </font>
    </dxf>
    <dxf>
      <font>
        <color rgb="FFFF99FF"/>
      </font>
    </dxf>
    <dxf>
      <font>
        <color rgb="FFFF0000"/>
      </font>
    </dxf>
    <dxf>
      <font>
        <color rgb="FFFF0000"/>
      </font>
    </dxf>
    <dxf>
      <font>
        <u/>
      </font>
      <fill>
        <patternFill patternType="solid">
          <bgColor rgb="FF00FF00"/>
        </patternFill>
      </fill>
    </dxf>
    <dxf>
      <font>
        <color rgb="FFFF0000"/>
      </font>
    </dxf>
    <dxf>
      <font>
        <color rgb="FFFF0000"/>
      </font>
    </dxf>
    <dxf>
      <font>
        <color rgb="FFFFFFFF"/>
      </font>
      <fill>
        <patternFill patternType="solid">
          <bgColor rgb="FFFF0000"/>
        </patternFill>
      </fill>
    </dxf>
    <dxf>
      <fill>
        <patternFill patternType="solid">
          <bgColor rgb="FFFFCC00"/>
        </patternFill>
      </fill>
    </dxf>
    <dxf>
      <font>
        <u/>
      </font>
      <fill>
        <patternFill patternType="solid">
          <bgColor rgb="FF00FF00"/>
        </patternFill>
      </fill>
    </dxf>
    <dxf>
      <font>
        <u/>
      </font>
      <fill>
        <patternFill patternType="solid">
          <bgColor rgb="FF00FF00"/>
        </patternFill>
      </fill>
    </dxf>
    <dxf>
      <font>
        <color rgb="FFFFFFFF"/>
      </font>
      <fill>
        <patternFill patternType="solid">
          <bgColor rgb="FFFF0000"/>
        </patternFill>
      </fill>
    </dxf>
    <dxf>
      <fill>
        <patternFill patternType="solid">
          <bgColor rgb="FFFFCC00"/>
        </patternFill>
      </fill>
    </dxf>
    <dxf>
      <fill>
        <patternFill patternType="solid">
          <bgColor rgb="FFFF0000"/>
        </patternFill>
      </fill>
    </dxf>
    <dxf>
      <fill>
        <patternFill patternType="solid">
          <bgColor rgb="FFFF0000"/>
        </patternFill>
      </fill>
    </dxf>
    <dxf>
      <font>
        <color rgb="FFFF0000"/>
      </font>
    </dxf>
    <dxf>
      <font>
        <color rgb="FFFF99FF"/>
      </font>
    </dxf>
    <dxf>
      <font>
        <color rgb="FFFF0000"/>
      </font>
    </dxf>
    <dxf>
      <font>
        <color rgb="FFFF0000"/>
      </font>
    </dxf>
    <dxf>
      <fill>
        <patternFill patternType="solid">
          <bgColor rgb="FFFF0000"/>
        </patternFill>
      </fill>
    </dxf>
    <dxf>
      <font>
        <color rgb="FFFFFFFF"/>
      </font>
      <fill>
        <patternFill patternType="solid">
          <bgColor rgb="FFFF0000"/>
        </patternFill>
      </fill>
    </dxf>
    <dxf>
      <fill>
        <patternFill patternType="solid">
          <bgColor rgb="FFFFCC00"/>
        </patternFill>
      </fill>
    </dxf>
    <dxf>
      <font>
        <u/>
      </font>
      <fill>
        <patternFill patternType="solid">
          <bgColor rgb="FF00FF00"/>
        </patternFill>
      </fill>
    </dxf>
    <dxf>
      <font>
        <color rgb="FFFF0000"/>
      </font>
    </dxf>
    <dxf>
      <fill>
        <patternFill patternType="solid">
          <bgColor rgb="FFFF0000"/>
        </patternFill>
      </fill>
    </dxf>
  </dxfs>
  <tableStyles count="0"/>
  <colors>
    <mruColors>
      <color rgb="FFFF66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xdr:from>
      <xdr:col>4</xdr:col>
      <xdr:colOff>68580</xdr:colOff>
      <xdr:row>126</xdr:row>
      <xdr:rowOff>104140</xdr:rowOff>
    </xdr:from>
    <xdr:to>
      <xdr:col>10</xdr:col>
      <xdr:colOff>669925</xdr:colOff>
      <xdr:row>126</xdr:row>
      <xdr:rowOff>104140</xdr:rowOff>
    </xdr:to>
    <xdr:sp macro="" textlink="">
      <xdr:nvSpPr>
        <xdr:cNvPr id="10" name="Line 245">
          <a:extLst>
            <a:ext uri="{FF2B5EF4-FFF2-40B4-BE49-F238E27FC236}">
              <a16:creationId xmlns:a16="http://schemas.microsoft.com/office/drawing/2014/main" id="{00000000-0008-0000-0100-00000A000000}"/>
            </a:ext>
          </a:extLst>
        </xdr:cNvPr>
        <xdr:cNvSpPr/>
      </xdr:nvSpPr>
      <xdr:spPr>
        <a:xfrm>
          <a:off x="3783330" y="24048085"/>
          <a:ext cx="4697095" cy="0"/>
        </a:xfrm>
        <a:prstGeom prst="line">
          <a:avLst/>
        </a:prstGeom>
        <a:noFill/>
        <a:ln w="9525" cap="flat">
          <a:solidFill>
            <a:srgbClr val="000000"/>
          </a:solidFill>
          <a:prstDash val="solid"/>
          <a:headEnd type="none" w="med" len="med"/>
          <a:tailEnd type="triangle" w="med" len="med"/>
        </a:ln>
        <a:effectLst/>
      </xdr:spPr>
    </xdr:sp>
    <xdr:clientData/>
  </xdr:twoCellAnchor>
  <xdr:twoCellAnchor>
    <xdr:from>
      <xdr:col>3</xdr:col>
      <xdr:colOff>28664</xdr:colOff>
      <xdr:row>165</xdr:row>
      <xdr:rowOff>0</xdr:rowOff>
    </xdr:from>
    <xdr:to>
      <xdr:col>9</xdr:col>
      <xdr:colOff>213718</xdr:colOff>
      <xdr:row>189</xdr:row>
      <xdr:rowOff>136071</xdr:rowOff>
    </xdr:to>
    <xdr:pic>
      <xdr:nvPicPr>
        <xdr:cNvPr id="7" name="Picture 16" descr="food-drink-room_temperature-wine_sommeliers-wine_menus-wine_snobs-wine_connoisseurs-blnn55_low.jp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srcRect t="16110" b="10640"/>
        <a:stretch>
          <a:fillRect/>
        </a:stretch>
      </xdr:blipFill>
      <xdr:spPr>
        <a:xfrm>
          <a:off x="3076664" y="31799893"/>
          <a:ext cx="4267197" cy="4150178"/>
        </a:xfrm>
        <a:prstGeom prst="rect">
          <a:avLst/>
        </a:prstGeom>
        <a:noFill/>
        <a:ln w="12700" cap="flat">
          <a:noFill/>
          <a:prstDash val="solid"/>
          <a:headEnd type="none" w="med" len="med"/>
          <a:tailEnd type="none" w="med" len="med"/>
        </a:ln>
        <a:effectLst/>
      </xdr:spPr>
    </xdr:pic>
    <xdr:clientData/>
  </xdr:twoCellAnchor>
  <xdr:twoCellAnchor>
    <xdr:from>
      <xdr:col>6</xdr:col>
      <xdr:colOff>254635</xdr:colOff>
      <xdr:row>112</xdr:row>
      <xdr:rowOff>71120</xdr:rowOff>
    </xdr:from>
    <xdr:to>
      <xdr:col>6</xdr:col>
      <xdr:colOff>459740</xdr:colOff>
      <xdr:row>113</xdr:row>
      <xdr:rowOff>187325</xdr:rowOff>
    </xdr:to>
    <xdr:pic>
      <xdr:nvPicPr>
        <xdr:cNvPr id="6" name="Picture 185" descr="mw2">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rcRect b="52170"/>
        <a:stretch>
          <a:fillRect/>
        </a:stretch>
      </xdr:blipFill>
      <xdr:spPr>
        <a:xfrm>
          <a:off x="5350510" y="21348065"/>
          <a:ext cx="205105" cy="306705"/>
        </a:xfrm>
        <a:prstGeom prst="rect">
          <a:avLst/>
        </a:prstGeom>
        <a:noFill/>
        <a:ln w="12700" cap="flat">
          <a:noFill/>
          <a:prstDash val="solid"/>
          <a:headEnd type="none" w="med" len="med"/>
          <a:tailEnd type="none" w="med" len="med"/>
        </a:ln>
        <a:effectLst/>
      </xdr:spPr>
    </xdr:pic>
    <xdr:clientData/>
  </xdr:twoCellAnchor>
  <xdr:twoCellAnchor>
    <xdr:from>
      <xdr:col>10</xdr:col>
      <xdr:colOff>233045</xdr:colOff>
      <xdr:row>112</xdr:row>
      <xdr:rowOff>35560</xdr:rowOff>
    </xdr:from>
    <xdr:to>
      <xdr:col>10</xdr:col>
      <xdr:colOff>467360</xdr:colOff>
      <xdr:row>113</xdr:row>
      <xdr:rowOff>177800</xdr:rowOff>
    </xdr:to>
    <xdr:pic>
      <xdr:nvPicPr>
        <xdr:cNvPr id="5" name="Picture 186" descr="mw2">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rcRect t="50000"/>
        <a:stretch>
          <a:fillRect/>
        </a:stretch>
      </xdr:blipFill>
      <xdr:spPr>
        <a:xfrm>
          <a:off x="8043545" y="21312505"/>
          <a:ext cx="234315" cy="332740"/>
        </a:xfrm>
        <a:prstGeom prst="rect">
          <a:avLst/>
        </a:prstGeom>
        <a:noFill/>
        <a:ln w="12700" cap="flat">
          <a:noFill/>
          <a:prstDash val="solid"/>
          <a:headEnd type="none" w="med" len="med"/>
          <a:tailEnd type="none" w="med" len="med"/>
        </a:ln>
        <a:effectLst/>
      </xdr:spPr>
    </xdr:pic>
    <xdr:clientData/>
  </xdr:twoCellAnchor>
  <xdr:twoCellAnchor>
    <xdr:from>
      <xdr:col>9</xdr:col>
      <xdr:colOff>276225</xdr:colOff>
      <xdr:row>110</xdr:row>
      <xdr:rowOff>32385</xdr:rowOff>
    </xdr:from>
    <xdr:to>
      <xdr:col>9</xdr:col>
      <xdr:colOff>398145</xdr:colOff>
      <xdr:row>112</xdr:row>
      <xdr:rowOff>635</xdr:rowOff>
    </xdr:to>
    <xdr:grpSp>
      <xdr:nvGrpSpPr>
        <xdr:cNvPr id="2" name="Group 265">
          <a:extLst>
            <a:ext uri="{FF2B5EF4-FFF2-40B4-BE49-F238E27FC236}">
              <a16:creationId xmlns:a16="http://schemas.microsoft.com/office/drawing/2014/main" id="{00000000-0008-0000-0100-000002000000}"/>
            </a:ext>
          </a:extLst>
        </xdr:cNvPr>
        <xdr:cNvGrpSpPr/>
      </xdr:nvGrpSpPr>
      <xdr:grpSpPr>
        <a:xfrm>
          <a:off x="7634968" y="21945328"/>
          <a:ext cx="121920" cy="360136"/>
          <a:chOff x="7827645" y="20931505"/>
          <a:chExt cx="121920" cy="349250"/>
        </a:xfrm>
      </xdr:grpSpPr>
      <xdr:pic>
        <xdr:nvPicPr>
          <xdr:cNvPr id="3" name="Picture 184" descr="mw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srcRect b="48890"/>
          <a:stretch>
            <a:fillRect/>
          </a:stretch>
        </xdr:blipFill>
        <xdr:spPr>
          <a:xfrm>
            <a:off x="7842885" y="20931505"/>
            <a:ext cx="106680" cy="167005"/>
          </a:xfrm>
          <a:prstGeom prst="rect">
            <a:avLst/>
          </a:prstGeom>
          <a:noFill/>
          <a:ln w="12700" cap="flat">
            <a:noFill/>
            <a:prstDash val="solid"/>
            <a:headEnd type="none" w="med" len="med"/>
            <a:tailEnd type="none" w="med" len="med"/>
          </a:ln>
          <a:effectLst/>
        </xdr:spPr>
      </xdr:pic>
      <xdr:pic>
        <xdr:nvPicPr>
          <xdr:cNvPr id="4" name="Picture 186" descr="mw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srcRect t="50000"/>
          <a:stretch>
            <a:fillRect/>
          </a:stretch>
        </xdr:blipFill>
        <xdr:spPr>
          <a:xfrm>
            <a:off x="7827645" y="21098510"/>
            <a:ext cx="121920" cy="182245"/>
          </a:xfrm>
          <a:prstGeom prst="rect">
            <a:avLst/>
          </a:prstGeom>
          <a:noFill/>
          <a:ln w="12700" cap="flat">
            <a:noFill/>
            <a:prstDash val="solid"/>
            <a:headEnd type="none" w="med" len="med"/>
            <a:tailEnd type="none" w="med" len="med"/>
          </a:ln>
          <a:effectLst/>
        </xdr:spPr>
      </xdr:pic>
    </xdr:grpSp>
    <xdr:clientData/>
  </xdr:twoCellAnchor>
  <xdr:twoCellAnchor>
    <xdr:from>
      <xdr:col>9</xdr:col>
      <xdr:colOff>340179</xdr:colOff>
      <xdr:row>165</xdr:row>
      <xdr:rowOff>13607</xdr:rowOff>
    </xdr:from>
    <xdr:to>
      <xdr:col>16</xdr:col>
      <xdr:colOff>136072</xdr:colOff>
      <xdr:row>189</xdr:row>
      <xdr:rowOff>68035</xdr:rowOff>
    </xdr:to>
    <xdr:sp macro="" textlink="" fLocksText="0">
      <xdr:nvSpPr>
        <xdr:cNvPr id="11" name="Text Box 246">
          <a:extLst>
            <a:ext uri="{FF2B5EF4-FFF2-40B4-BE49-F238E27FC236}">
              <a16:creationId xmlns:a16="http://schemas.microsoft.com/office/drawing/2014/main" id="{00000000-0008-0000-0100-00000B000000}"/>
            </a:ext>
          </a:extLst>
        </xdr:cNvPr>
        <xdr:cNvSpPr>
          <a:extLst>
            <a:ext uri="smNativeData">
              <pm:smNativeData xmlns="" xmlns:pm="smNativeData" val="SMDATA_13_To8YYxMAAAAlAAAAZAAAAI0AAAAAkAAAAEgAAACQAAAAS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AAAAAAeAAAAaAAAAAAAAAAAAAAAAAAAAAAAAAAAAAAAECcAABAnAAAAAAAAAAAAAAAAAAAAAAAAAAAAAAAAAAAAAAAAAAAAABQAAAAAAAAAwMD/AAAAAABkAAAAMgAAAAAAAABkAAAAAAAAAH9/fwAKAAAAIgAAABgAAAAAAAAAAAAAAAAAAAAAAAAAAAAAAAAAAAAkAAAAJAAAAAAAAAAHAAAAAAAAAAAAAAAAAAAAAAAAAAAAAAAAAAAAf39/ACUAAABYAAAAAAAAAAAAAAAAAAAAAAAAAAAAAAAAAAAAAAAAAAAAAAAAAAAAAAAAAAAAAAA/AAAAAAAAAKCGAQAAAAAAAAAAAAAAAAAMAAAAAQAAAAAAAAAAAAAAAAAAACEAAAAwAAAALAAAAKQAAAAIAAAAngAKAbsAAAAQAAAAaQLCABwrAAArwQAAiiMAAAMYAAAAAAAA"/>
            </a:ext>
          </a:extLst>
        </xdr:cNvSpPr>
      </xdr:nvSpPr>
      <xdr:spPr>
        <a:xfrm>
          <a:off x="7470322" y="31813500"/>
          <a:ext cx="4476750" cy="4068535"/>
        </a:xfrm>
        <a:prstGeom prst="rect">
          <a:avLst/>
        </a:prstGeom>
        <a:solidFill>
          <a:srgbClr val="FFFFFF"/>
        </a:solidFill>
        <a:ln w="9525" cap="flat">
          <a:solidFill>
            <a:srgbClr val="000000"/>
          </a:solidFill>
          <a:prstDash val="solid"/>
          <a:headEnd type="none" w="med" len="med"/>
          <a:tailEnd type="none" w="med" len="med"/>
        </a:ln>
        <a:effectLst/>
      </xdr:spPr>
      <xdr:txBody>
        <a:bodyPr/>
        <a:lstStyle/>
        <a:p>
          <a:endParaRPr lang="en-GB" sz="1400" b="1">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170180</xdr:colOff>
      <xdr:row>2</xdr:row>
      <xdr:rowOff>175260</xdr:rowOff>
    </xdr:from>
    <xdr:to>
      <xdr:col>16</xdr:col>
      <xdr:colOff>688340</xdr:colOff>
      <xdr:row>4</xdr:row>
      <xdr:rowOff>10795</xdr:rowOff>
    </xdr:to>
    <xdr:pic>
      <xdr:nvPicPr>
        <xdr:cNvPr id="5" name="Picture 17661" descr="Untitled-1 copy">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13448030" y="622935"/>
          <a:ext cx="518160" cy="224155"/>
        </a:xfrm>
        <a:prstGeom prst="rect">
          <a:avLst/>
        </a:prstGeom>
        <a:noFill/>
        <a:ln w="12700" cap="flat">
          <a:noFill/>
          <a:prstDash val="solid"/>
          <a:headEnd type="none" w="med" len="med"/>
          <a:tailEnd type="none" w="med" len="med"/>
        </a:ln>
        <a:effectLst/>
      </xdr:spPr>
    </xdr:pic>
    <xdr:clientData/>
  </xdr:twoCellAnchor>
  <xdr:twoCellAnchor>
    <xdr:from>
      <xdr:col>0</xdr:col>
      <xdr:colOff>205921</xdr:colOff>
      <xdr:row>0</xdr:row>
      <xdr:rowOff>52553</xdr:rowOff>
    </xdr:from>
    <xdr:to>
      <xdr:col>2</xdr:col>
      <xdr:colOff>356131</xdr:colOff>
      <xdr:row>9</xdr:row>
      <xdr:rowOff>1</xdr:rowOff>
    </xdr:to>
    <xdr:pic>
      <xdr:nvPicPr>
        <xdr:cNvPr id="4" name="Picture 8" descr="C:\Users\Peter\OneDrive\Documents\Desktop\fff.jp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cstate="print"/>
        <a:stretch>
          <a:fillRect/>
        </a:stretch>
      </xdr:blipFill>
      <xdr:spPr>
        <a:xfrm>
          <a:off x="205921" y="52553"/>
          <a:ext cx="966639" cy="1866055"/>
        </a:xfrm>
        <a:prstGeom prst="rect">
          <a:avLst/>
        </a:prstGeom>
        <a:noFill/>
        <a:ln w="12700" cap="flat">
          <a:noFill/>
          <a:prstDash val="solid"/>
          <a:headEnd type="none" w="med" len="med"/>
          <a:tailEnd type="none" w="med" len="med"/>
        </a:ln>
        <a:effectLst/>
      </xdr:spPr>
    </xdr:pic>
    <xdr:clientData/>
  </xdr:twoCellAnchor>
  <xdr:twoCellAnchor>
    <xdr:from>
      <xdr:col>0</xdr:col>
      <xdr:colOff>58420</xdr:colOff>
      <xdr:row>158</xdr:row>
      <xdr:rowOff>111760</xdr:rowOff>
    </xdr:from>
    <xdr:to>
      <xdr:col>16</xdr:col>
      <xdr:colOff>772160</xdr:colOff>
      <xdr:row>210</xdr:row>
      <xdr:rowOff>63500</xdr:rowOff>
    </xdr:to>
    <xdr:sp macro="" textlink="" fLocksText="0">
      <xdr:nvSpPr>
        <xdr:cNvPr id="6" name="Text Box 246">
          <a:extLst>
            <a:ext uri="{FF2B5EF4-FFF2-40B4-BE49-F238E27FC236}">
              <a16:creationId xmlns:a16="http://schemas.microsoft.com/office/drawing/2014/main" id="{00000000-0008-0000-0200-000006000000}"/>
            </a:ext>
          </a:extLst>
        </xdr:cNvPr>
        <xdr:cNvSpPr>
          <a:extLst>
            <a:ext uri="smNativeData">
              <pm:smNativeData xmlns="" xmlns:pm="smNativeData" val="SMDATA_13_To8YYxMAAAAlAAAAZAAAAI0AAAAAkAAAAEgAAACQAAAAS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AAAAAAeAAAAaAAAAAAAAAAAAAAAAAAAAAAAAAAAAAAAECcAABAnAAAAAAAAAAAAAAAAAAAAAAAAAAAAAAAAAAAAAAAAAAAAABQAAAAAAAAAwMD/AAAAAABkAAAAMgAAAAAAAABkAAAAAAAAAH9/fwAKAAAAIgAAABgAAAAAAAAAAAAAAAAAAAAAAAAAAAAAAAAAAAAkAAAAJAAAAAAAAAAHAAAAAAAAAAAAAAAAAAAAAAAAAAAAAAAAAAAAf39/ACUAAABYAAAAAAAAAAAAAAAAAAAAAAAAAAAAAAAAAAAAAAAAAAAAAAAAAAAAAAAAAAAAAAA/AAAAAAAAAKCGAQAAAAAAAAAAAAAAAAAMAAAAAQAAAAAAAAAAAAAAAAAAACEAAAAwAAAALAAAAKQAAAAIAAAAngAKAbsAAAAQAAAAaQLCABwrAAArwQAAiiMAAAMYAAAAAAAA"/>
            </a:ext>
          </a:extLst>
        </xdr:cNvSpPr>
      </xdr:nvSpPr>
      <xdr:spPr>
        <a:xfrm>
          <a:off x="58420" y="29321760"/>
          <a:ext cx="14016990" cy="9873615"/>
        </a:xfrm>
        <a:prstGeom prst="rect">
          <a:avLst/>
        </a:prstGeom>
        <a:solidFill>
          <a:srgbClr val="FFFFFF"/>
        </a:solidFill>
        <a:ln w="9525" cap="flat">
          <a:solidFill>
            <a:srgbClr val="000000"/>
          </a:solidFill>
          <a:prstDash val="solid"/>
          <a:headEnd type="none" w="med" len="med"/>
          <a:tailEnd type="none" w="med" len="med"/>
        </a:ln>
        <a:effectLst/>
      </xdr:spPr>
      <xdr:txBody>
        <a:bodyPr/>
        <a:lstStyle/>
        <a:p>
          <a:endParaRPr lang="en-GB" sz="1400" b="1">
            <a:latin typeface="Times New Roman" pitchFamily="18" charset="0"/>
            <a:cs typeface="Times New Roman"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34925</xdr:colOff>
      <xdr:row>38</xdr:row>
      <xdr:rowOff>39370</xdr:rowOff>
    </xdr:from>
    <xdr:to>
      <xdr:col>8</xdr:col>
      <xdr:colOff>677545</xdr:colOff>
      <xdr:row>52</xdr:row>
      <xdr:rowOff>15240</xdr:rowOff>
    </xdr:to>
    <xdr:sp macro="" textlink="">
      <xdr:nvSpPr>
        <xdr:cNvPr id="4" name="TextBox 2">
          <a:extLst>
            <a:ext uri="{FF2B5EF4-FFF2-40B4-BE49-F238E27FC236}">
              <a16:creationId xmlns:a16="http://schemas.microsoft.com/office/drawing/2014/main" id="{00000000-0008-0000-0300-000004000000}"/>
            </a:ext>
          </a:extLst>
        </xdr:cNvPr>
        <xdr:cNvSpPr/>
      </xdr:nvSpPr>
      <xdr:spPr>
        <a:xfrm>
          <a:off x="34925" y="5763895"/>
          <a:ext cx="8081645" cy="2642870"/>
        </a:xfrm>
        <a:prstGeom prst="rect">
          <a:avLst/>
        </a:prstGeom>
        <a:noFill/>
        <a:ln w="9525" cap="flat">
          <a:solidFill>
            <a:srgbClr val="000000"/>
          </a:solidFill>
          <a:prstDash val="solid"/>
          <a:headEnd type="none" w="med" len="med"/>
          <a:tailEnd type="none" w="med" len="med"/>
        </a:ln>
        <a:effectLst/>
      </xdr:spPr>
      <xdr:txBody>
        <a:bodyPr spcFirstLastPara="1" vertOverflow="clip" horzOverflow="clip" wrap="square" lIns="36830" tIns="31750" rIns="0" bIns="0" anchor="t" upright="1"/>
        <a:lstStyle/>
        <a:p>
          <a:pPr algn="l" defTabSz="360045" rtl="0">
            <a:defRPr sz="1000"/>
          </a:pPr>
          <a:r>
            <a:rPr lang="en-GB" sz="1100" b="0" i="0" u="none" strike="noStrike" kern="100" baseline="0">
              <a:solidFill>
                <a:srgbClr val="000000"/>
              </a:solidFill>
              <a:latin typeface="Calibri" panose="020F0502020204030204" pitchFamily="2" charset="0"/>
              <a:ea typeface="Times New Roman" panose="02020603050405020304" pitchFamily="1" charset="0"/>
              <a:cs typeface="Times New Roman" panose="02020603050405020304" pitchFamily="1" charset="0"/>
            </a:rPr>
            <a:t>From using the "YoBrew Wine Calculator" winemakers are able to design wines of a target acidity with a great level of accuracy as long as the acidity of the ingredients is known. When the acidity is not known it can be measured. By carrying out an acidity test titration using a testing kit, the user can measure the acidity of ingredients and enter the resulting value into the "YoBrew Wine Calculator" for that ingredient. Alternatively you can enter a desired acidity level (as % tartaric acid) and measure the acidity of a must or wine. The Acid Calculator will then tell you how much of an acid or alkali needs to be added to obtain your desired level.</a:t>
          </a:r>
        </a:p>
        <a:p>
          <a:pPr algn="l" defTabSz="360045" rtl="0">
            <a:defRPr sz="1000"/>
          </a:pPr>
          <a:endParaRPr/>
        </a:p>
        <a:p>
          <a:pPr algn="l" defTabSz="360045" rtl="0">
            <a:defRPr sz="1000"/>
          </a:pPr>
          <a:r>
            <a:rPr lang="en-GB" sz="1100" b="1" i="0" u="sng" strike="noStrike" kern="100" baseline="0">
              <a:solidFill>
                <a:srgbClr val="000000"/>
              </a:solidFill>
              <a:latin typeface="Calibri" panose="020F0502020204030204" pitchFamily="2" charset="0"/>
              <a:ea typeface="Times New Roman" panose="02020603050405020304" pitchFamily="1" charset="0"/>
              <a:cs typeface="Times New Roman" panose="02020603050405020304" pitchFamily="1" charset="0"/>
            </a:rPr>
            <a:t>Using the Acid Check Calculator</a:t>
          </a:r>
        </a:p>
        <a:p>
          <a:pPr algn="l" defTabSz="360045" rtl="0">
            <a:defRPr sz="1000"/>
          </a:pPr>
          <a:endParaRPr/>
        </a:p>
        <a:p>
          <a:pPr algn="l" defTabSz="360045" rtl="0">
            <a:defRPr sz="1000"/>
          </a:pPr>
          <a:r>
            <a:rPr lang="en-GB" sz="1100" b="0" i="0" u="none" strike="noStrike" kern="100" baseline="0">
              <a:solidFill>
                <a:srgbClr val="000000"/>
              </a:solidFill>
              <a:latin typeface="Calibri" panose="020F0502020204030204" pitchFamily="2" charset="0"/>
              <a:ea typeface="Times New Roman" panose="02020603050405020304" pitchFamily="1" charset="0"/>
              <a:cs typeface="Times New Roman" panose="02020603050405020304" pitchFamily="1" charset="0"/>
            </a:rPr>
            <a:t>The boxes in yellow are set up to allow the user to insert their own values. The default values are set up to make 4.7L wine, using the Ritchie's Acid Test Kit which comes with a 0.1M concentration sodium hydroxide solution, testing a 5ml sample of must / wine. These values can be amended to suit.</a:t>
          </a:r>
        </a:p>
        <a:p>
          <a:pPr algn="l" defTabSz="360045" rtl="0">
            <a:defRPr sz="1000"/>
          </a:pPr>
          <a:endParaRPr/>
        </a:p>
        <a:p>
          <a:pPr algn="l" defTabSz="360045" rtl="0">
            <a:defRPr sz="1000"/>
          </a:pPr>
          <a:r>
            <a:rPr lang="en-GB" sz="1100" b="0" i="0" u="none" strike="noStrike" kern="100" baseline="0">
              <a:solidFill>
                <a:srgbClr val="000000"/>
              </a:solidFill>
              <a:latin typeface="Calibri" panose="020F0502020204030204" pitchFamily="2" charset="0"/>
              <a:ea typeface="Times New Roman" panose="02020603050405020304" pitchFamily="1" charset="0"/>
              <a:cs typeface="Times New Roman" panose="02020603050405020304" pitchFamily="1" charset="0"/>
            </a:rPr>
            <a:t>You also need to insert your desired acidity (as % tartaric) and the volume of sodium hydroxide titrated during your test. Once the above information is entered, the quantities of acid or alkali required to meet your desired acidity will be given.</a:t>
          </a:r>
        </a:p>
      </xdr:txBody>
    </xdr:sp>
    <xdr:clientData/>
  </xdr:twoCellAnchor>
  <xdr:twoCellAnchor>
    <xdr:from>
      <xdr:col>1</xdr:col>
      <xdr:colOff>8890</xdr:colOff>
      <xdr:row>54</xdr:row>
      <xdr:rowOff>8890</xdr:rowOff>
    </xdr:from>
    <xdr:to>
      <xdr:col>9</xdr:col>
      <xdr:colOff>0</xdr:colOff>
      <xdr:row>72</xdr:row>
      <xdr:rowOff>184785</xdr:rowOff>
    </xdr:to>
    <xdr:sp macro="" textlink="">
      <xdr:nvSpPr>
        <xdr:cNvPr id="3" name="Text Box 19">
          <a:extLst>
            <a:ext uri="{FF2B5EF4-FFF2-40B4-BE49-F238E27FC236}">
              <a16:creationId xmlns:a16="http://schemas.microsoft.com/office/drawing/2014/main" id="{00000000-0008-0000-0300-000003000000}"/>
            </a:ext>
          </a:extLst>
        </xdr:cNvPr>
        <xdr:cNvSpPr/>
      </xdr:nvSpPr>
      <xdr:spPr>
        <a:xfrm>
          <a:off x="123190" y="8878570"/>
          <a:ext cx="8319770" cy="3604895"/>
        </a:xfrm>
        <a:prstGeom prst="rect">
          <a:avLst/>
        </a:prstGeom>
        <a:solidFill>
          <a:srgbClr val="FFFFFF"/>
        </a:solidFill>
        <a:ln w="9525" cap="flat">
          <a:solidFill>
            <a:srgbClr val="808080"/>
          </a:solidFill>
          <a:prstDash val="solid"/>
          <a:headEnd type="none" w="med" len="med"/>
          <a:tailEnd type="none" w="med" len="med"/>
        </a:ln>
        <a:effectLst/>
      </xdr:spPr>
    </xdr:sp>
    <xdr:clientData/>
  </xdr:twoCellAnchor>
  <xdr:twoCellAnchor>
    <xdr:from>
      <xdr:col>3</xdr:col>
      <xdr:colOff>392430</xdr:colOff>
      <xdr:row>10</xdr:row>
      <xdr:rowOff>67310</xdr:rowOff>
    </xdr:from>
    <xdr:to>
      <xdr:col>9</xdr:col>
      <xdr:colOff>2540</xdr:colOff>
      <xdr:row>33</xdr:row>
      <xdr:rowOff>63500</xdr:rowOff>
    </xdr:to>
    <xdr:pic>
      <xdr:nvPicPr>
        <xdr:cNvPr id="2" name="Picture 7" descr="acid_test_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4171950" y="2269490"/>
          <a:ext cx="4273550" cy="2663190"/>
        </a:xfrm>
        <a:prstGeom prst="rect">
          <a:avLst/>
        </a:prstGeom>
        <a:noFill/>
        <a:ln w="12700" cap="flat">
          <a:noFill/>
          <a:prstDash val="solid"/>
          <a:headEnd type="none" w="med" len="me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6350</xdr:colOff>
      <xdr:row>13</xdr:row>
      <xdr:rowOff>30480</xdr:rowOff>
    </xdr:from>
    <xdr:to>
      <xdr:col>20</xdr:col>
      <xdr:colOff>599440</xdr:colOff>
      <xdr:row>73</xdr:row>
      <xdr:rowOff>144780</xdr:rowOff>
    </xdr:to>
    <xdr:sp macro="" textlink="">
      <xdr:nvSpPr>
        <xdr:cNvPr id="3" name="Text Box 1">
          <a:extLst>
            <a:ext uri="{FF2B5EF4-FFF2-40B4-BE49-F238E27FC236}">
              <a16:creationId xmlns:a16="http://schemas.microsoft.com/office/drawing/2014/main" id="{00000000-0008-0000-0400-000003000000}"/>
            </a:ext>
          </a:extLst>
        </xdr:cNvPr>
        <xdr:cNvSpPr/>
      </xdr:nvSpPr>
      <xdr:spPr>
        <a:xfrm>
          <a:off x="8418830" y="2509520"/>
          <a:ext cx="2239010" cy="10477500"/>
        </a:xfrm>
        <a:prstGeom prst="rect">
          <a:avLst/>
        </a:prstGeom>
        <a:noFill/>
        <a:ln w="12700" cap="flat">
          <a:no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r>
            <a:rPr lang="en-GB" sz="1100" b="0" i="0" u="none" strike="noStrike" kern="100" baseline="0">
              <a:solidFill>
                <a:srgbClr val="000000"/>
              </a:solidFill>
              <a:latin typeface="Times New Roman" panose="02020603050405020304" pitchFamily="1" charset="0"/>
              <a:ea typeface="Arial" panose="020B0604020202020204" pitchFamily="7" charset="0"/>
              <a:cs typeface="Times New Roman" panose="02020603050405020304" pitchFamily="1" charset="0"/>
            </a:rPr>
            <a:t>One "standard" measure or one “shot” of spirit is 25ml (U. K.).</a:t>
          </a:r>
        </a:p>
        <a:p>
          <a:pPr algn="l" defTabSz="360045" rtl="0">
            <a:defRPr sz="1000"/>
          </a:pPr>
          <a:endParaRPr sz="1100"/>
        </a:p>
        <a:p>
          <a:pPr algn="l" defTabSz="360045" rtl="0">
            <a:defRPr sz="1000"/>
          </a:pPr>
          <a:r>
            <a:rPr lang="en-GB" sz="1100" b="0" i="0" u="none" strike="noStrike" kern="100" baseline="0">
              <a:solidFill>
                <a:srgbClr val="000000"/>
              </a:solidFill>
              <a:latin typeface="Times New Roman" panose="02020603050405020304" pitchFamily="1" charset="0"/>
              <a:ea typeface="Arial" panose="020B0604020202020204" pitchFamily="7" charset="0"/>
              <a:cs typeface="Times New Roman" panose="02020603050405020304" pitchFamily="1" charset="0"/>
            </a:rPr>
            <a:t>Check the "ABV" ratings (column "D") before you start.</a:t>
          </a:r>
        </a:p>
        <a:p>
          <a:pPr algn="l" defTabSz="360045" rtl="0">
            <a:defRPr sz="1000"/>
          </a:pPr>
          <a:endParaRPr sz="1100"/>
        </a:p>
        <a:p>
          <a:pPr algn="l" defTabSz="360045" rtl="0">
            <a:defRPr sz="1000"/>
          </a:pPr>
          <a:r>
            <a:rPr lang="en-GB" sz="1100" b="0" i="0" u="none" strike="noStrike" kern="100" baseline="0">
              <a:solidFill>
                <a:srgbClr val="000000"/>
              </a:solidFill>
              <a:latin typeface="Times New Roman" panose="02020603050405020304" pitchFamily="1" charset="0"/>
              <a:ea typeface="Arial" panose="020B0604020202020204" pitchFamily="7" charset="0"/>
              <a:cs typeface="Times New Roman" panose="02020603050405020304" pitchFamily="1" charset="0"/>
            </a:rPr>
            <a:t>Serve  with one marashacino cherry &amp; garnish with an orange slice.</a:t>
          </a:r>
        </a:p>
        <a:p>
          <a:pPr algn="l" defTabSz="360045" rtl="0">
            <a:defRPr sz="1000"/>
          </a:pPr>
          <a:endParaRPr lang="en-GB" sz="1200" b="0" i="0" u="none" strike="noStrike" kern="100" baseline="0">
            <a:solidFill>
              <a:srgbClr val="000000"/>
            </a:solidFill>
            <a:latin typeface="Times New Roman" panose="02020603050405020304" pitchFamily="1" charset="0"/>
            <a:ea typeface="Arial" panose="020B0604020202020204" pitchFamily="7" charset="0"/>
            <a:cs typeface="Times New Roman" panose="02020603050405020304" pitchFamily="1" charset="0"/>
          </a:endParaRPr>
        </a:p>
        <a:p>
          <a:pPr algn="l" defTabSz="360045" rtl="0">
            <a:defRPr sz="1000"/>
          </a:pPr>
          <a:endParaRPr lang="en-GB" sz="1200" b="0" i="0" u="none" strike="noStrike" kern="100" baseline="0">
            <a:solidFill>
              <a:srgbClr val="000000"/>
            </a:solidFill>
            <a:latin typeface="Times New Roman" panose="02020603050405020304" pitchFamily="1" charset="0"/>
            <a:ea typeface="Arial" panose="020B0604020202020204" pitchFamily="7" charset="0"/>
            <a:cs typeface="Times New Roman" panose="02020603050405020304" pitchFamily="1" charset="0"/>
          </a:endParaRPr>
        </a:p>
        <a:p>
          <a:pPr algn="l" defTabSz="360045" rtl="0">
            <a:defRPr sz="1000"/>
          </a:pPr>
          <a:endParaRPr/>
        </a:p>
        <a:p>
          <a:pPr algn="l" defTabSz="360045" rtl="0">
            <a:defRPr sz="1000"/>
          </a:pPr>
          <a:endParaRPr/>
        </a:p>
        <a:p>
          <a:pPr algn="l" defTabSz="360045" rtl="0">
            <a:defRPr sz="1000"/>
          </a:pPr>
          <a:endParaRPr/>
        </a:p>
        <a:p>
          <a:pPr algn="l" defTabSz="360045" rtl="0">
            <a:defRPr sz="1000"/>
          </a:pPr>
          <a:endParaRPr/>
        </a:p>
        <a:p>
          <a:pPr algn="l" defTabSz="360045" rtl="0">
            <a:defRPr sz="1000"/>
          </a:pPr>
          <a:endParaRPr/>
        </a:p>
        <a:p>
          <a:pPr algn="l" defTabSz="360045" rtl="0">
            <a:defRPr sz="1000"/>
          </a:pPr>
          <a:endParaRPr/>
        </a:p>
      </xdr:txBody>
    </xdr:sp>
    <xdr:clientData/>
  </xdr:twoCellAnchor>
  <xdr:twoCellAnchor>
    <xdr:from>
      <xdr:col>18</xdr:col>
      <xdr:colOff>130176</xdr:colOff>
      <xdr:row>67</xdr:row>
      <xdr:rowOff>121920</xdr:rowOff>
    </xdr:from>
    <xdr:to>
      <xdr:col>20</xdr:col>
      <xdr:colOff>514592</xdr:colOff>
      <xdr:row>80</xdr:row>
      <xdr:rowOff>155575</xdr:rowOff>
    </xdr:to>
    <xdr:pic>
      <xdr:nvPicPr>
        <xdr:cNvPr id="2" name="Picture 3" descr="red_cocktail_with_splash copy">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9091296" y="11927840"/>
          <a:ext cx="1481696" cy="2279015"/>
        </a:xfrm>
        <a:prstGeom prst="rect">
          <a:avLst/>
        </a:prstGeom>
        <a:noFill/>
        <a:ln w="12700" cap="flat">
          <a:noFill/>
          <a:prstDash val="solid"/>
          <a:headEnd type="none" w="med" len="me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1629578</xdr:colOff>
      <xdr:row>0</xdr:row>
      <xdr:rowOff>504938</xdr:rowOff>
    </xdr:from>
    <xdr:to>
      <xdr:col>16</xdr:col>
      <xdr:colOff>1266939</xdr:colOff>
      <xdr:row>12</xdr:row>
      <xdr:rowOff>91806</xdr:rowOff>
    </xdr:to>
    <xdr:pic>
      <xdr:nvPicPr>
        <xdr:cNvPr id="5" name="Picture 209" descr="Image result for homemade strawberry jam">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rcRect l="7330" t="9860" r="6940" b="6890"/>
        <a:stretch>
          <a:fillRect/>
        </a:stretch>
      </xdr:blipFill>
      <xdr:spPr>
        <a:xfrm>
          <a:off x="9238102" y="504938"/>
          <a:ext cx="2448957" cy="1882049"/>
        </a:xfrm>
        <a:prstGeom prst="rect">
          <a:avLst/>
        </a:prstGeom>
        <a:noFill/>
        <a:ln w="12700" cap="flat">
          <a:noFill/>
          <a:prstDash val="solid"/>
          <a:headEnd type="none" w="med" len="med"/>
          <a:tailEnd type="none" w="med" len="med"/>
        </a:ln>
        <a:effectLst/>
      </xdr:spPr>
    </xdr:pic>
    <xdr:clientData/>
  </xdr:twoCellAnchor>
  <xdr:twoCellAnchor>
    <xdr:from>
      <xdr:col>14</xdr:col>
      <xdr:colOff>27940</xdr:colOff>
      <xdr:row>19</xdr:row>
      <xdr:rowOff>0</xdr:rowOff>
    </xdr:from>
    <xdr:to>
      <xdr:col>17</xdr:col>
      <xdr:colOff>635</xdr:colOff>
      <xdr:row>82</xdr:row>
      <xdr:rowOff>0</xdr:rowOff>
    </xdr:to>
    <xdr:sp macro="" textlink="">
      <xdr:nvSpPr>
        <xdr:cNvPr id="4" name="Text Box 4">
          <a:extLst>
            <a:ext uri="{FF2B5EF4-FFF2-40B4-BE49-F238E27FC236}">
              <a16:creationId xmlns:a16="http://schemas.microsoft.com/office/drawing/2014/main" id="{00000000-0008-0000-0500-000004000000}"/>
            </a:ext>
          </a:extLst>
        </xdr:cNvPr>
        <xdr:cNvSpPr/>
      </xdr:nvSpPr>
      <xdr:spPr>
        <a:xfrm>
          <a:off x="7089140" y="3556000"/>
          <a:ext cx="5022215" cy="10962640"/>
        </a:xfrm>
        <a:prstGeom prst="rect">
          <a:avLst/>
        </a:prstGeom>
        <a:solidFill>
          <a:srgbClr val="FFFFFF"/>
        </a:solidFill>
        <a:ln w="9525" cap="flat">
          <a:solidFill>
            <a:srgbClr val="000000"/>
          </a:solidFill>
          <a:prstDash val="solid"/>
          <a:headEnd type="none" w="med" len="med"/>
          <a:tailEnd type="none" w="med" len="med"/>
        </a:ln>
        <a:effectLst/>
      </xdr:spPr>
      <xdr:txBody>
        <a:bodyPr spcFirstLastPara="1" vertOverflow="clip" horzOverflow="clip" wrap="square" lIns="27305" tIns="22860" rIns="0" bIns="0" anchor="t" upright="1"/>
        <a:lstStyle/>
        <a:p>
          <a:pPr algn="l" defTabSz="360045" rtl="0">
            <a:defRPr sz="1000"/>
          </a:pPr>
          <a:endParaRPr lang="en-GB" sz="1150" b="0" i="0" u="none" strike="noStrike" kern="100" baseline="0">
            <a:solidFill>
              <a:srgbClr val="000000"/>
            </a:solidFill>
            <a:latin typeface="Times New Roman" panose="02020603050405020304" pitchFamily="1" charset="0"/>
            <a:ea typeface="Times New Roman" panose="02020603050405020304" pitchFamily="1" charset="0"/>
            <a:cs typeface="Times New Roman" panose="02020603050405020304" pitchFamily="1" charset="0"/>
          </a:endParaRPr>
        </a:p>
        <a:p>
          <a:pPr algn="l" defTabSz="360045" rtl="0">
            <a:defRPr sz="1000"/>
          </a:pPr>
          <a:r>
            <a:rPr lang="en-GB" sz="1150" b="0" i="0" u="none" strike="noStrike" kern="100" baseline="0">
              <a:solidFill>
                <a:srgbClr val="000000"/>
              </a:solidFill>
              <a:latin typeface="Times New Roman" panose="02020603050405020304" pitchFamily="1" charset="0"/>
              <a:ea typeface="Times New Roman" panose="02020603050405020304" pitchFamily="1" charset="0"/>
              <a:cs typeface="Times New Roman" panose="02020603050405020304" pitchFamily="1" charset="0"/>
            </a:rPr>
            <a:t>The "</a:t>
          </a: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Stone Factor" provides the "Useable Wt." of fruit flesh, this allows for stoned fruits &amp; apples/pears being peeled &amp; cores etc. It is not normally necessary to remove stones prior to making jam, just slice difficult fruit to allow the stones to be freed during boiling. Some fruits such as apricots, can be enhanced by cracking a few of the stones &amp; adding the kernels to the boil.</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The "Water Factor" is the amount of water to be added to the fruit.</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The "Sugar Factor" determines the weight of sugar to be added.</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Quantities quoted are by no means critical!</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 </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Paradoxically, pectin, the wine-makers enemy, is the jam-makers best friend. Under-ripe fruits have more pectin than ripe hence more sugar can be added, slightly more water may also be required.</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 </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High pectin/setting fruits, these can be used singly or combined with lower pectin content fruits include:-</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Cooking &amp; crab apples, blackcurrants, damsons, gooseberries, lemons, plums &amp; redcurrants.</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Medium pectin/setting fruits:-</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Apricots, blackberries, raspberries &amp; loganberries.</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Low pectin/setting fruits:-</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Cherries and strawberries.</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Water quantities are not critical, if insufficient is initially used you can always add more, any excess will be "reduced" or boiled off.</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The  "TOTAL ACID" &amp; "TOTAL PECTIN" content i.e. "High" is an indicator of the jam's setting quality.</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Example - Damson Wine</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Wash the fruit, discarding any bad bits &amp; note the weight, "halve" the fruit &amp; remove any loose stones. For every 500g ripe fruit add about 70ml water in a stainless steel pan (aluminium is not recommended as it can react with the acid &amp; cause harmful compounds) &amp; weigh out about 570g of sugar in a bowl, this may be pre-heated in a low oven (Gas mark 1/4, 110°C). The clean jam jars may be placed in the coolest part of the oven.</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Simmer gently, stirring from time to time to prevent sticking &amp; burning, until the fruit &amp; skins are nice &amp; tender.</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Turn the pan heat to a minimum &amp; gradually stir in the sugar, when this is dissolved bring the pan contents to a boil then boil rapidly until the "setting point" is reached, taking care not to burn the jam at the bottom of the pan, this problem can be reduced by making smaller quantities. Stirring is not required at this stage but any stones that rise to the surface can be carefully removed.</a:t>
          </a: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Allow to cool for 10-15 minutes before pouring into the jars, fill them to at least a centimetre from the top, this helps prevent moulds etc. forming. High sugar jams can be kept for up to a year, low sugar for only a few months. All should be eaten within a few weeks of opening.</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The "setting point" occurs at about 105°C (220°F), test every 4 or 5 minutes. If you don't have a jam thermometer, take a sample of the jam with a clean wooden spoon, hold above the pan for about 5 seconds to cool slightly then tip it, allowing the jam to return to the pan. When "set" the jam will "flake" off the spoon rather than drip off. Be careful not to over-boil as the jam  will then never set.</a:t>
          </a:r>
        </a:p>
        <a:p>
          <a:pPr algn="l" defTabSz="360045" rtl="0">
            <a:defRPr sz="1000"/>
          </a:pPr>
          <a:endParaRPr sz="1150">
            <a:latin typeface="Times New Roman" pitchFamily="18" charset="0"/>
            <a:cs typeface="Times New Roman" pitchFamily="18" charset="0"/>
          </a:endParaRPr>
        </a:p>
        <a:p>
          <a:pPr algn="l" defTabSz="360045" rtl="0">
            <a:defRPr sz="1000"/>
          </a:pPr>
          <a:r>
            <a:rPr lang="en-GB" sz="1150" b="0" i="0" u="none" strike="noStrike" kern="100" baseline="0">
              <a:solidFill>
                <a:srgbClr val="000000"/>
              </a:solidFill>
              <a:latin typeface="Times New Roman" pitchFamily="18" charset="0"/>
              <a:ea typeface="Times New Roman" panose="02020603050405020304" pitchFamily="1" charset="0"/>
              <a:cs typeface="Times New Roman" pitchFamily="18" charset="0"/>
            </a:rPr>
            <a:t>An alternative test is to drop a small amount of  jam onto a clean plate, just removed from a refrigerator. Leave to cool for half to one minute before "pushing" the jam with a well-washed finger. If the jam has a skin that wrinkles, the jam has set, to prevent over-boiling, reduce the pan heat to a minimum during this test, if the jam stays runny and no skin is present, boil for a little longer before re-testing.</a:t>
          </a:r>
        </a:p>
      </xdr:txBody>
    </xdr:sp>
    <xdr:clientData/>
  </xdr:twoCellAnchor>
  <xdr:twoCellAnchor>
    <xdr:from>
      <xdr:col>7</xdr:col>
      <xdr:colOff>394335</xdr:colOff>
      <xdr:row>7</xdr:row>
      <xdr:rowOff>0</xdr:rowOff>
    </xdr:from>
    <xdr:to>
      <xdr:col>7</xdr:col>
      <xdr:colOff>478155</xdr:colOff>
      <xdr:row>11</xdr:row>
      <xdr:rowOff>1905</xdr:rowOff>
    </xdr:to>
    <xdr:sp macro="" textlink="">
      <xdr:nvSpPr>
        <xdr:cNvPr id="3" name="Right Brace 10">
          <a:extLst>
            <a:ext uri="{FF2B5EF4-FFF2-40B4-BE49-F238E27FC236}">
              <a16:creationId xmlns:a16="http://schemas.microsoft.com/office/drawing/2014/main" id="{00000000-0008-0000-0500-000003000000}"/>
            </a:ext>
          </a:extLst>
        </xdr:cNvPr>
        <xdr:cNvSpPr/>
      </xdr:nvSpPr>
      <xdr:spPr>
        <a:xfrm>
          <a:off x="5299710" y="1221740"/>
          <a:ext cx="83820" cy="749935"/>
        </a:xfrm>
        <a:prstGeom prst="rightBrace">
          <a:avLst>
            <a:gd name="adj1" fmla="val 0"/>
            <a:gd name="adj2" fmla="val 50139"/>
          </a:avLst>
        </a:prstGeom>
        <a:noFill/>
        <a:ln w="3175" cap="flat">
          <a:solidFill>
            <a:srgbClr val="000000"/>
          </a:solidFill>
          <a:prstDash val="solid"/>
          <a:headEnd type="none" w="med" len="med"/>
          <a:tailEnd type="none" w="med" len="med"/>
        </a:ln>
        <a:effectLst/>
      </xdr:spPr>
    </xdr:sp>
    <xdr:clientData/>
  </xdr:twoCellAnchor>
  <xdr:twoCellAnchor>
    <xdr:from>
      <xdr:col>7</xdr:col>
      <xdr:colOff>393700</xdr:colOff>
      <xdr:row>12</xdr:row>
      <xdr:rowOff>2540</xdr:rowOff>
    </xdr:from>
    <xdr:to>
      <xdr:col>7</xdr:col>
      <xdr:colOff>476250</xdr:colOff>
      <xdr:row>13</xdr:row>
      <xdr:rowOff>187960</xdr:rowOff>
    </xdr:to>
    <xdr:sp macro="" textlink="">
      <xdr:nvSpPr>
        <xdr:cNvPr id="2" name="Right Brace 11">
          <a:extLst>
            <a:ext uri="{FF2B5EF4-FFF2-40B4-BE49-F238E27FC236}">
              <a16:creationId xmlns:a16="http://schemas.microsoft.com/office/drawing/2014/main" id="{00000000-0008-0000-0500-000002000000}"/>
            </a:ext>
          </a:extLst>
        </xdr:cNvPr>
        <xdr:cNvSpPr/>
      </xdr:nvSpPr>
      <xdr:spPr>
        <a:xfrm>
          <a:off x="5299075" y="2048510"/>
          <a:ext cx="82550" cy="375920"/>
        </a:xfrm>
        <a:prstGeom prst="rightBrace">
          <a:avLst>
            <a:gd name="adj1" fmla="val 0"/>
            <a:gd name="adj2" fmla="val 50139"/>
          </a:avLst>
        </a:prstGeom>
        <a:noFill/>
        <a:ln w="3175" cap="flat">
          <a:solidFill>
            <a:srgbClr val="000000"/>
          </a:solidFill>
          <a:prstDash val="solid"/>
          <a:headEnd type="none" w="med" len="med"/>
          <a:tailEnd type="none" w="med" len="med"/>
        </a:ln>
        <a:effectLst/>
      </xdr:spPr>
    </xdr:sp>
    <xdr:clientData/>
  </xdr:twoCellAnchor>
  <xdr:twoCellAnchor>
    <xdr:from>
      <xdr:col>0</xdr:col>
      <xdr:colOff>40640</xdr:colOff>
      <xdr:row>86</xdr:row>
      <xdr:rowOff>20320</xdr:rowOff>
    </xdr:from>
    <xdr:to>
      <xdr:col>16</xdr:col>
      <xdr:colOff>1442720</xdr:colOff>
      <xdr:row>93</xdr:row>
      <xdr:rowOff>91440</xdr:rowOff>
    </xdr:to>
    <xdr:sp macro="" textlink="" fLocksText="0">
      <xdr:nvSpPr>
        <xdr:cNvPr id="6" name="Text Box 246">
          <a:extLst>
            <a:ext uri="{FF2B5EF4-FFF2-40B4-BE49-F238E27FC236}">
              <a16:creationId xmlns:a16="http://schemas.microsoft.com/office/drawing/2014/main" id="{00000000-0008-0000-0500-000006000000}"/>
            </a:ext>
          </a:extLst>
        </xdr:cNvPr>
        <xdr:cNvSpPr>
          <a:extLst>
            <a:ext uri="smNativeData">
              <pm:smNativeData xmlns="" xmlns:pm="smNativeData" val="SMDATA_13_To8YYxMAAAAlAAAAZAAAAI0AAAAAkAAAAEgAAACQAAAASAAAAAAAAAAAAAAAAAAAAAEAAABQAAAAAAAAAAAA4D8AAAAAAADgPwAAAAAAAOA/AAAAAAAA4D8AAAAAAADgPwAAAAAAAOA/AAAAAAAA4D8AAAAAAADgPwAAAAAAAOA/AAAAAAAA4D8CAAAAjAAAAAEAAAAAAAAA////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BcAAAAUAAAAAAAAAAAAAAD/fwAA/38AAAAAAAAJAAAABAAAAAAAAAAeAAAAaAAAAAAAAAAAAAAAAAAAAAAAAAAAAAAAECcAABAnAAAAAAAAAAAAAAAAAAAAAAAAAAAAAAAAAAAAAAAAAAAAABQAAAAAAAAAwMD/AAAAAABkAAAAMgAAAAAAAABkAAAAAAAAAH9/fwAKAAAAIgAAABgAAAAAAAAAAAAAAAAAAAAAAAAAAAAAAAAAAAAkAAAAJAAAAAAAAAAHAAAAAAAAAAAAAAAAAAAAAAAAAAAAAAAAAAAAf39/ACUAAABYAAAAAAAAAAAAAAAAAAAAAAAAAAAAAAAAAAAAAAAAAAAAAAAAAAAAAAAAAAAAAAA/AAAAAAAAAKCGAQAAAAAAAAAAAAAAAAAMAAAAAQAAAAAAAAAAAAAAAAAAACEAAAAwAAAALAAAAKQAAAAIAAAAngAKAbsAAAAQAAAAaQLCABwrAAArwQAAiiMAAAMYAAAAAAAA"/>
            </a:ext>
          </a:extLst>
        </xdr:cNvSpPr>
      </xdr:nvSpPr>
      <xdr:spPr>
        <a:xfrm>
          <a:off x="40640" y="15077440"/>
          <a:ext cx="12009120" cy="1310640"/>
        </a:xfrm>
        <a:prstGeom prst="rect">
          <a:avLst/>
        </a:prstGeom>
        <a:solidFill>
          <a:srgbClr val="FFFFFF"/>
        </a:solidFill>
        <a:ln w="9525" cap="flat">
          <a:solidFill>
            <a:srgbClr val="000000"/>
          </a:solidFill>
          <a:prstDash val="solid"/>
          <a:headEnd type="none" w="med" len="med"/>
          <a:tailEnd type="none" w="med" len="med"/>
        </a:ln>
        <a:effectLst/>
      </xdr:spPr>
      <xdr:txBody>
        <a:bodyPr/>
        <a:lstStyle/>
        <a:p>
          <a:endParaRPr lang="en-GB" sz="1400" b="1">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search.yahoo.com/_ylt=AwrkLXSiS4Rmvz4VPQZ3Bwx.;_ylu=Y29sbwMEcG9zAzEEdnRpZAMEc2VjA3Ny/RV=2/RE=1719974946/RO=10/RU=https%3a%2f%2fnawb.org.uk%2f/RK=2/RS=dlJXUwGn9D9lNlRtV6a1umnlpy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yobrew.co.uk/" TargetMode="External"/><Relationship Id="rId13" Type="http://schemas.openxmlformats.org/officeDocument/2006/relationships/drawing" Target="../drawings/drawing1.xml"/><Relationship Id="rId3" Type="http://schemas.openxmlformats.org/officeDocument/2006/relationships/hyperlink" Target="http://www.signaturewinesofohio.com/" TargetMode="External"/><Relationship Id="rId7" Type="http://schemas.openxmlformats.org/officeDocument/2006/relationships/hyperlink" Target="http://www.yobrew.co.uk/" TargetMode="External"/><Relationship Id="rId12" Type="http://schemas.openxmlformats.org/officeDocument/2006/relationships/printerSettings" Target="../printerSettings/printerSettings2.bin"/><Relationship Id="rId2" Type="http://schemas.openxmlformats.org/officeDocument/2006/relationships/hyperlink" Target="http://www.petespintpot.co.uk/diabetic.html" TargetMode="External"/><Relationship Id="rId1" Type="http://schemas.openxmlformats.org/officeDocument/2006/relationships/hyperlink" Target="http://www.petespintpot.co.uk/" TargetMode="External"/><Relationship Id="rId6" Type="http://schemas.openxmlformats.org/officeDocument/2006/relationships/hyperlink" Target="http://www.yobrew.co.uk/" TargetMode="External"/><Relationship Id="rId11" Type="http://schemas.openxmlformats.org/officeDocument/2006/relationships/hyperlink" Target="mailto:david.barrow@live.co.uk" TargetMode="External"/><Relationship Id="rId5" Type="http://schemas.openxmlformats.org/officeDocument/2006/relationships/hyperlink" Target="mailto:david.barrow@live.co.uk" TargetMode="External"/><Relationship Id="rId10" Type="http://schemas.openxmlformats.org/officeDocument/2006/relationships/hyperlink" Target="http://www.petespintpot.co.uk/health.html" TargetMode="External"/><Relationship Id="rId4" Type="http://schemas.openxmlformats.org/officeDocument/2006/relationships/hyperlink" Target="mailto:david.barrow@live.co.uk" TargetMode="External"/><Relationship Id="rId9" Type="http://schemas.openxmlformats.org/officeDocument/2006/relationships/hyperlink" Target="http://www.petespintpot.co.uk/health.html"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vid.barrow@live.co.uk" TargetMode="External"/><Relationship Id="rId7" Type="http://schemas.openxmlformats.org/officeDocument/2006/relationships/printerSettings" Target="../printerSettings/printerSettings3.bin"/><Relationship Id="rId2" Type="http://schemas.openxmlformats.org/officeDocument/2006/relationships/hyperlink" Target="http://www.petespintpot.co.uk/" TargetMode="External"/><Relationship Id="rId1" Type="http://schemas.openxmlformats.org/officeDocument/2006/relationships/hyperlink" Target="http://www.petespintpot.co.uk/" TargetMode="External"/><Relationship Id="rId6" Type="http://schemas.openxmlformats.org/officeDocument/2006/relationships/hyperlink" Target="http://www.petespintpot.co.uk/kitmod.html" TargetMode="External"/><Relationship Id="rId5" Type="http://schemas.openxmlformats.org/officeDocument/2006/relationships/hyperlink" Target="http://www.petespintpot.co.uk/" TargetMode="External"/><Relationship Id="rId4" Type="http://schemas.openxmlformats.org/officeDocument/2006/relationships/hyperlink" Target="http://www.petespintpot.co.u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jamesbsmith@hot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topLeftCell="B1" zoomScale="75" zoomScaleNormal="75" workbookViewId="0">
      <selection sqref="A1:F1"/>
    </sheetView>
  </sheetViews>
  <sheetFormatPr defaultColWidth="11.88671875" defaultRowHeight="13.8"/>
  <cols>
    <col min="1" max="1" width="1.33203125" style="617" customWidth="1"/>
    <col min="2" max="2" width="14.44140625" style="617" customWidth="1"/>
    <col min="3" max="3" width="33.88671875" style="617" customWidth="1"/>
    <col min="4" max="4" width="10.109375" style="617" customWidth="1"/>
    <col min="5" max="5" width="55.33203125" style="617" customWidth="1"/>
    <col min="6" max="6" width="23.88671875" style="617" customWidth="1"/>
    <col min="7" max="7" width="5.6640625" style="617" customWidth="1"/>
  </cols>
  <sheetData>
    <row r="1" spans="1:7" ht="45.6" customHeight="1">
      <c r="A1" s="897" t="s">
        <v>966</v>
      </c>
      <c r="B1" s="897"/>
      <c r="C1" s="897"/>
      <c r="D1" s="897"/>
      <c r="E1" s="897"/>
      <c r="F1" s="897"/>
      <c r="G1" s="618"/>
    </row>
    <row r="2" spans="1:7" ht="21.75" customHeight="1">
      <c r="A2" s="884"/>
      <c r="B2" s="884"/>
      <c r="C2" s="901"/>
      <c r="D2" s="901"/>
      <c r="E2" s="884"/>
      <c r="F2" s="882" t="s">
        <v>962</v>
      </c>
      <c r="G2" s="618"/>
    </row>
    <row r="3" spans="1:7" s="149" customFormat="1" ht="17.399999999999999" customHeight="1">
      <c r="A3" s="33"/>
      <c r="B3" s="33"/>
      <c r="C3" s="33"/>
      <c r="D3" s="912" t="s">
        <v>967</v>
      </c>
      <c r="E3" s="912"/>
      <c r="F3" s="912"/>
      <c r="G3" s="618"/>
    </row>
    <row r="4" spans="1:7" ht="24" customHeight="1">
      <c r="A4" s="619"/>
      <c r="B4" s="719"/>
      <c r="C4" s="719"/>
      <c r="D4" s="899" t="s">
        <v>0</v>
      </c>
      <c r="E4" s="899"/>
      <c r="F4" s="899"/>
      <c r="G4" s="618"/>
    </row>
    <row r="5" spans="1:7" ht="22.5" customHeight="1">
      <c r="A5" s="619"/>
      <c r="B5" s="900" t="s">
        <v>1</v>
      </c>
      <c r="C5" s="900"/>
      <c r="D5" s="895" t="s">
        <v>2</v>
      </c>
      <c r="E5" s="895"/>
      <c r="F5" s="895"/>
      <c r="G5" s="618"/>
    </row>
    <row r="6" spans="1:7" ht="19.95" customHeight="1">
      <c r="A6" s="619"/>
      <c r="B6" s="620"/>
      <c r="C6" s="621" t="s">
        <v>962</v>
      </c>
      <c r="D6" s="895" t="s">
        <v>3</v>
      </c>
      <c r="E6" s="895"/>
      <c r="F6" s="895"/>
      <c r="G6" s="618"/>
    </row>
    <row r="7" spans="1:7" ht="20.25" customHeight="1">
      <c r="A7" s="619"/>
      <c r="B7" s="622"/>
      <c r="C7" s="624"/>
      <c r="D7" s="895" t="s">
        <v>4</v>
      </c>
      <c r="E7" s="895"/>
      <c r="F7" s="895"/>
      <c r="G7" s="618"/>
    </row>
    <row r="8" spans="1:7" ht="20.25" customHeight="1">
      <c r="A8" s="619"/>
      <c r="B8" s="624"/>
      <c r="C8" s="624"/>
      <c r="D8" s="711"/>
      <c r="E8" s="902" t="s">
        <v>5</v>
      </c>
      <c r="F8" s="902"/>
      <c r="G8" s="618"/>
    </row>
    <row r="9" spans="1:7" ht="20.25" customHeight="1">
      <c r="A9" s="619"/>
      <c r="B9" s="719"/>
      <c r="C9" s="624"/>
      <c r="D9" s="895" t="s">
        <v>6</v>
      </c>
      <c r="E9" s="895"/>
      <c r="F9" s="895"/>
      <c r="G9" s="618"/>
    </row>
    <row r="10" spans="1:7" ht="20.25" customHeight="1">
      <c r="A10" s="619"/>
      <c r="B10" s="719"/>
      <c r="C10" s="870"/>
      <c r="D10" s="895" t="s">
        <v>7</v>
      </c>
      <c r="E10" s="895"/>
      <c r="F10" s="895"/>
      <c r="G10" s="625"/>
    </row>
    <row r="11" spans="1:7" ht="20.25" customHeight="1">
      <c r="A11" s="619"/>
      <c r="B11" s="719"/>
      <c r="C11" s="624"/>
      <c r="D11" s="895" t="s">
        <v>8</v>
      </c>
      <c r="E11" s="895"/>
      <c r="F11" s="895"/>
      <c r="G11" s="625"/>
    </row>
    <row r="12" spans="1:7" ht="20.25" customHeight="1">
      <c r="A12" s="619"/>
      <c r="B12" s="719"/>
      <c r="C12" s="624"/>
      <c r="D12" s="895" t="s">
        <v>9</v>
      </c>
      <c r="E12" s="895"/>
      <c r="F12" s="895"/>
      <c r="G12" s="625"/>
    </row>
    <row r="13" spans="1:7" ht="20.25" customHeight="1">
      <c r="A13" s="619"/>
      <c r="B13" s="719"/>
      <c r="C13" s="624"/>
      <c r="D13" s="712"/>
      <c r="E13" s="894" t="s">
        <v>960</v>
      </c>
      <c r="F13" s="894"/>
      <c r="G13" s="625"/>
    </row>
    <row r="14" spans="1:7" ht="20.25" customHeight="1">
      <c r="A14" s="619"/>
      <c r="B14" s="719"/>
      <c r="C14" s="624"/>
      <c r="D14" s="895" t="s">
        <v>10</v>
      </c>
      <c r="E14" s="895"/>
      <c r="F14" s="895"/>
      <c r="G14" s="625"/>
    </row>
    <row r="15" spans="1:7" ht="20.25" customHeight="1">
      <c r="A15" s="619"/>
      <c r="B15" s="719"/>
      <c r="C15" s="624"/>
      <c r="D15" s="895" t="s">
        <v>954</v>
      </c>
      <c r="E15" s="895"/>
      <c r="F15" s="895"/>
      <c r="G15" s="625"/>
    </row>
    <row r="16" spans="1:7" ht="20.25" customHeight="1">
      <c r="A16" s="619"/>
      <c r="B16" s="719"/>
      <c r="C16" s="624"/>
      <c r="D16" s="895" t="s">
        <v>11</v>
      </c>
      <c r="E16" s="895"/>
      <c r="F16" s="895"/>
      <c r="G16" s="625"/>
    </row>
    <row r="17" spans="1:7" ht="20.25" customHeight="1">
      <c r="A17" s="619"/>
      <c r="B17" s="719"/>
      <c r="C17" s="624"/>
      <c r="D17" s="895" t="s">
        <v>12</v>
      </c>
      <c r="E17" s="895"/>
      <c r="F17" s="895"/>
      <c r="G17" s="625"/>
    </row>
    <row r="18" spans="1:7" ht="20.25" customHeight="1">
      <c r="A18" s="619"/>
      <c r="B18" s="719"/>
      <c r="C18" s="624"/>
      <c r="D18" s="895" t="s">
        <v>13</v>
      </c>
      <c r="E18" s="895"/>
      <c r="F18" s="895"/>
      <c r="G18" s="625"/>
    </row>
    <row r="19" spans="1:7" ht="20.25" customHeight="1">
      <c r="A19" s="619"/>
      <c r="B19" s="719"/>
      <c r="C19" s="624"/>
      <c r="D19" s="895" t="s">
        <v>14</v>
      </c>
      <c r="E19" s="895"/>
      <c r="F19" s="895"/>
      <c r="G19" s="625"/>
    </row>
    <row r="20" spans="1:7" ht="20.399999999999999" customHeight="1">
      <c r="A20" s="619"/>
      <c r="B20" s="719"/>
      <c r="C20" s="719"/>
      <c r="D20" s="907"/>
      <c r="E20" s="907"/>
      <c r="F20" s="907"/>
      <c r="G20" s="722"/>
    </row>
    <row r="21" spans="1:7" ht="22.5" customHeight="1">
      <c r="A21" s="619"/>
      <c r="B21" s="896" t="s">
        <v>15</v>
      </c>
      <c r="C21" s="896"/>
      <c r="D21" s="910" t="s">
        <v>16</v>
      </c>
      <c r="E21" s="910"/>
      <c r="F21" s="910"/>
      <c r="G21" s="618"/>
    </row>
    <row r="22" spans="1:7" ht="20.25" customHeight="1">
      <c r="A22" s="619"/>
      <c r="B22" s="622"/>
      <c r="C22" s="621" t="s">
        <v>962</v>
      </c>
      <c r="D22" s="913" t="s">
        <v>17</v>
      </c>
      <c r="E22" s="913"/>
      <c r="F22" s="913"/>
      <c r="G22" s="618"/>
    </row>
    <row r="23" spans="1:7" ht="20.25" customHeight="1">
      <c r="A23" s="619"/>
      <c r="B23" s="626"/>
      <c r="C23" s="626"/>
      <c r="D23" s="906" t="s">
        <v>18</v>
      </c>
      <c r="E23" s="906"/>
      <c r="F23" s="906"/>
      <c r="G23" s="618"/>
    </row>
    <row r="24" spans="1:7" ht="20.25" customHeight="1">
      <c r="A24" s="619"/>
      <c r="B24" s="626"/>
      <c r="C24" s="626"/>
      <c r="D24" s="720"/>
      <c r="E24" s="906" t="s">
        <v>19</v>
      </c>
      <c r="F24" s="906"/>
      <c r="G24" s="618"/>
    </row>
    <row r="25" spans="1:7" ht="20.25" customHeight="1">
      <c r="A25" s="619"/>
      <c r="B25" s="626"/>
      <c r="C25" s="626"/>
      <c r="D25" s="906" t="s">
        <v>20</v>
      </c>
      <c r="E25" s="906"/>
      <c r="F25" s="906"/>
      <c r="G25" s="618"/>
    </row>
    <row r="26" spans="1:7" ht="20.25" customHeight="1">
      <c r="A26" s="619"/>
      <c r="B26" s="626"/>
      <c r="C26" s="626"/>
      <c r="D26" s="720"/>
      <c r="E26" s="906" t="s">
        <v>21</v>
      </c>
      <c r="F26" s="906"/>
      <c r="G26" s="618"/>
    </row>
    <row r="27" spans="1:7" ht="20.25" customHeight="1">
      <c r="A27" s="619"/>
      <c r="B27" s="626"/>
      <c r="C27" s="626"/>
      <c r="D27" s="906" t="s">
        <v>22</v>
      </c>
      <c r="E27" s="906"/>
      <c r="F27" s="906"/>
      <c r="G27" s="618"/>
    </row>
    <row r="28" spans="1:7" ht="20.25" customHeight="1">
      <c r="A28" s="619"/>
      <c r="B28" s="626"/>
      <c r="C28" s="626"/>
      <c r="D28" s="906" t="s">
        <v>23</v>
      </c>
      <c r="E28" s="906"/>
      <c r="F28" s="906"/>
      <c r="G28" s="618"/>
    </row>
    <row r="29" spans="1:7" ht="20.25" customHeight="1">
      <c r="A29" s="619"/>
      <c r="B29" s="719"/>
      <c r="C29" s="626"/>
      <c r="D29" s="906" t="s">
        <v>24</v>
      </c>
      <c r="E29" s="906"/>
      <c r="F29" s="906"/>
      <c r="G29" s="618"/>
    </row>
    <row r="30" spans="1:7" ht="20.25" customHeight="1">
      <c r="A30" s="619"/>
      <c r="B30" s="719"/>
      <c r="C30" s="626"/>
      <c r="D30" s="906" t="s">
        <v>25</v>
      </c>
      <c r="E30" s="906"/>
      <c r="F30" s="906"/>
      <c r="G30" s="618"/>
    </row>
    <row r="31" spans="1:7" ht="20.25" customHeight="1">
      <c r="A31" s="619"/>
      <c r="B31" s="719"/>
      <c r="C31" s="626"/>
      <c r="D31" s="906" t="s">
        <v>26</v>
      </c>
      <c r="E31" s="906"/>
      <c r="F31" s="906"/>
      <c r="G31" s="618"/>
    </row>
    <row r="32" spans="1:7" ht="19.2" customHeight="1">
      <c r="A32" s="619"/>
      <c r="B32" s="719"/>
      <c r="C32" s="626"/>
      <c r="D32" s="906" t="s">
        <v>27</v>
      </c>
      <c r="E32" s="906"/>
      <c r="F32" s="906"/>
      <c r="G32" s="618"/>
    </row>
    <row r="33" spans="1:7" ht="20.25" customHeight="1">
      <c r="A33" s="619"/>
      <c r="B33" s="719"/>
      <c r="C33" s="626"/>
      <c r="D33" s="906" t="s">
        <v>28</v>
      </c>
      <c r="E33" s="906"/>
      <c r="F33" s="906"/>
      <c r="G33" s="618"/>
    </row>
    <row r="34" spans="1:7" ht="20.25" customHeight="1">
      <c r="A34" s="619"/>
      <c r="B34" s="719"/>
      <c r="C34" s="719"/>
      <c r="D34" s="907"/>
      <c r="E34" s="907"/>
      <c r="F34" s="907"/>
      <c r="G34" s="618"/>
    </row>
    <row r="35" spans="1:7" ht="22.5" customHeight="1">
      <c r="A35" s="619"/>
      <c r="B35" s="896" t="s">
        <v>29</v>
      </c>
      <c r="C35" s="896"/>
      <c r="D35" s="908" t="s">
        <v>30</v>
      </c>
      <c r="E35" s="908"/>
      <c r="F35" s="908"/>
      <c r="G35" s="618"/>
    </row>
    <row r="36" spans="1:7" ht="20.25" customHeight="1">
      <c r="A36" s="619"/>
      <c r="B36" s="622"/>
      <c r="C36" s="621" t="s">
        <v>962</v>
      </c>
      <c r="D36" s="910"/>
      <c r="E36" s="910"/>
      <c r="F36" s="910"/>
      <c r="G36" s="618"/>
    </row>
    <row r="37" spans="1:7" ht="22.5" customHeight="1">
      <c r="A37" s="619"/>
      <c r="B37" s="911" t="s">
        <v>31</v>
      </c>
      <c r="C37" s="911"/>
      <c r="D37" s="908" t="s">
        <v>32</v>
      </c>
      <c r="E37" s="908"/>
      <c r="F37" s="908"/>
      <c r="G37" s="618"/>
    </row>
    <row r="38" spans="1:7" ht="20.25" customHeight="1">
      <c r="A38" s="619"/>
      <c r="B38" s="622"/>
      <c r="C38" s="621" t="s">
        <v>962</v>
      </c>
      <c r="D38" s="908"/>
      <c r="E38" s="908"/>
      <c r="F38" s="908"/>
      <c r="G38" s="618"/>
    </row>
    <row r="39" spans="1:7" ht="20.25" customHeight="1">
      <c r="A39" s="619"/>
      <c r="B39" s="626"/>
      <c r="C39" s="626"/>
      <c r="D39" s="909"/>
      <c r="E39" s="909"/>
      <c r="F39" s="909"/>
      <c r="G39" s="618"/>
    </row>
    <row r="40" spans="1:7" ht="22.5" customHeight="1">
      <c r="A40" s="619"/>
      <c r="B40" s="896" t="s">
        <v>33</v>
      </c>
      <c r="C40" s="896"/>
      <c r="D40" s="904" t="s">
        <v>34</v>
      </c>
      <c r="E40" s="904"/>
      <c r="F40" s="904"/>
      <c r="G40" s="618"/>
    </row>
    <row r="41" spans="1:7" ht="20.25" customHeight="1">
      <c r="A41" s="619"/>
      <c r="B41" s="622"/>
      <c r="C41" s="621" t="s">
        <v>962</v>
      </c>
      <c r="D41" s="905"/>
      <c r="E41" s="905"/>
      <c r="F41" s="905"/>
      <c r="G41" s="618"/>
    </row>
    <row r="42" spans="1:7" ht="20.25" customHeight="1">
      <c r="A42" s="619"/>
      <c r="B42" s="626"/>
      <c r="C42" s="626"/>
      <c r="D42" s="909"/>
      <c r="E42" s="909"/>
      <c r="F42" s="909"/>
      <c r="G42" s="719"/>
    </row>
    <row r="43" spans="1:7" ht="20.25" customHeight="1">
      <c r="A43" s="903" t="s">
        <v>35</v>
      </c>
      <c r="B43" s="903"/>
      <c r="C43" s="903"/>
      <c r="D43" s="903"/>
      <c r="E43" s="903"/>
      <c r="F43" s="903"/>
      <c r="G43" s="618"/>
    </row>
    <row r="44" spans="1:7" ht="15" customHeight="1">
      <c r="A44" s="627"/>
      <c r="B44" s="628"/>
      <c r="C44" s="628"/>
      <c r="D44" s="629"/>
      <c r="E44" s="622"/>
      <c r="F44" s="622"/>
      <c r="G44" s="618"/>
    </row>
    <row r="45" spans="1:7" ht="15.75" customHeight="1">
      <c r="A45" s="898" t="s">
        <v>964</v>
      </c>
      <c r="B45" s="898"/>
      <c r="C45" s="898"/>
      <c r="D45" s="898"/>
      <c r="E45" s="898"/>
      <c r="F45" s="888"/>
      <c r="G45" s="710"/>
    </row>
    <row r="46" spans="1:7" ht="15" customHeight="1">
      <c r="B46" s="885"/>
      <c r="C46" s="885"/>
      <c r="D46" s="885"/>
      <c r="E46" s="885"/>
      <c r="F46" s="886"/>
      <c r="G46" s="618"/>
    </row>
    <row r="47" spans="1:7" ht="15" customHeight="1">
      <c r="A47"/>
      <c r="B47"/>
      <c r="C47"/>
      <c r="D47"/>
      <c r="E47"/>
      <c r="F47"/>
      <c r="G47"/>
    </row>
    <row r="48" spans="1:7" ht="15" customHeight="1">
      <c r="A48"/>
      <c r="B48"/>
      <c r="C48"/>
      <c r="D48"/>
      <c r="E48"/>
      <c r="F48"/>
      <c r="G48"/>
    </row>
    <row r="49" spans="1:7">
      <c r="A49" s="623"/>
      <c r="B49" s="623"/>
      <c r="C49" s="623"/>
      <c r="D49" s="623"/>
      <c r="E49" s="623"/>
      <c r="F49" s="623"/>
      <c r="G49" s="623"/>
    </row>
    <row r="50" spans="1:7">
      <c r="A50" s="623"/>
      <c r="B50" s="623"/>
      <c r="C50" s="623"/>
      <c r="D50" s="623"/>
      <c r="E50" s="623"/>
      <c r="F50" s="623"/>
      <c r="G50" s="623"/>
    </row>
    <row r="51" spans="1:7">
      <c r="A51" s="623"/>
      <c r="B51" s="623"/>
      <c r="C51" s="623"/>
      <c r="D51" s="623"/>
      <c r="E51" s="623"/>
      <c r="F51" s="623"/>
      <c r="G51" s="623"/>
    </row>
    <row r="52" spans="1:7">
      <c r="A52" s="623"/>
      <c r="B52" s="623"/>
      <c r="C52" s="623"/>
      <c r="D52" s="623"/>
      <c r="E52" s="623"/>
      <c r="F52" s="623"/>
      <c r="G52" s="623"/>
    </row>
    <row r="55" spans="1:7">
      <c r="E55" s="867"/>
    </row>
  </sheetData>
  <sheetProtection password="FA80" sheet="1" objects="1" scenarios="1"/>
  <mergeCells count="48">
    <mergeCell ref="D3:F3"/>
    <mergeCell ref="D29:F29"/>
    <mergeCell ref="D30:F30"/>
    <mergeCell ref="D31:F31"/>
    <mergeCell ref="D32:F32"/>
    <mergeCell ref="E24:F24"/>
    <mergeCell ref="D25:F25"/>
    <mergeCell ref="E26:F26"/>
    <mergeCell ref="D27:F27"/>
    <mergeCell ref="D28:F28"/>
    <mergeCell ref="D20:F20"/>
    <mergeCell ref="D21:F21"/>
    <mergeCell ref="D22:F22"/>
    <mergeCell ref="D23:F23"/>
    <mergeCell ref="D15:F15"/>
    <mergeCell ref="D16:F16"/>
    <mergeCell ref="B35:C35"/>
    <mergeCell ref="D35:F35"/>
    <mergeCell ref="D36:F36"/>
    <mergeCell ref="B37:C37"/>
    <mergeCell ref="D39:F39"/>
    <mergeCell ref="D41:F41"/>
    <mergeCell ref="D33:F33"/>
    <mergeCell ref="D34:F34"/>
    <mergeCell ref="D37:F38"/>
    <mergeCell ref="D42:F42"/>
    <mergeCell ref="A1:F1"/>
    <mergeCell ref="A45:E45"/>
    <mergeCell ref="D4:F4"/>
    <mergeCell ref="B5:C5"/>
    <mergeCell ref="D5:F5"/>
    <mergeCell ref="C2:D2"/>
    <mergeCell ref="D6:F6"/>
    <mergeCell ref="D7:F7"/>
    <mergeCell ref="E8:F8"/>
    <mergeCell ref="D9:F9"/>
    <mergeCell ref="D10:F10"/>
    <mergeCell ref="D11:F11"/>
    <mergeCell ref="D12:F12"/>
    <mergeCell ref="A43:F43"/>
    <mergeCell ref="B40:C40"/>
    <mergeCell ref="D40:F40"/>
    <mergeCell ref="E13:F13"/>
    <mergeCell ref="D14:F14"/>
    <mergeCell ref="B21:C21"/>
    <mergeCell ref="D17:F17"/>
    <mergeCell ref="D18:F18"/>
    <mergeCell ref="D19:F19"/>
  </mergeCells>
  <hyperlinks>
    <hyperlink ref="B5" location="'General Calc''s'!H1" display="General Calc's" xr:uid="{00000000-0004-0000-0000-000000000000}"/>
    <hyperlink ref="D5:F5" location="'General Calc''s'!A4" display="General Converters - volume, weight, temperature etc." xr:uid="{00000000-0004-0000-0000-000001000000}"/>
    <hyperlink ref="D6:F6" location="'General Calc''s'!A36" display="OG Correction For Wines etc." xr:uid="{00000000-0004-0000-0000-000002000000}"/>
    <hyperlink ref="D7:F7" location="'General Calc''s'!A49" display="UK ̸ US Proof &amp; % Converters Etc." xr:uid="{00000000-0004-0000-0000-000003000000}"/>
    <hyperlink ref="D9:F9" location="'General Calc''s'!A59" display="ABV Estimators" xr:uid="{00000000-0004-0000-0000-000004000000}"/>
    <hyperlink ref="D10:F10" location="'General Calc''s'!A73" display="Hydrometer Temperature Correction" xr:uid="{00000000-0004-0000-0000-000005000000}"/>
    <hyperlink ref="D11:F11" location="'General Calc''s'!A81" display="°Brix, Plato, Balling &amp; Baumé" xr:uid="{00000000-0004-0000-0000-000006000000}"/>
    <hyperlink ref="D12:F12" location="'General Calc''s'!A93" display="Priming Sparkling Wines, Ciders, Meads &amp; Beers" xr:uid="{00000000-0004-0000-0000-000007000000}"/>
    <hyperlink ref="D14:F14" location="'General Calc''s'!A106" display="BMI &amp;  Waist to Height Ratio Calculators" xr:uid="{00000000-0004-0000-0000-000008000000}"/>
    <hyperlink ref="D15:F15" location="'General Calc''s'!A126" display="Safe Drinking Recommendations" xr:uid="{00000000-0004-0000-0000-000009000000}"/>
    <hyperlink ref="D17:F17" location="'General Calc''s'!A144" display="Making Wine &amp; Beer In Stages" xr:uid="{00000000-0004-0000-0000-00000A000000}"/>
    <hyperlink ref="D19:F19" location="'General Calc''s'!A165" display="Some Typical Wine Temperatures." xr:uid="{00000000-0004-0000-0000-00000B000000}"/>
    <hyperlink ref="B21:C21" location="'Wine &amp; Cider Calc'!J1" display="Wine &amp; Cider Calc's" xr:uid="{00000000-0004-0000-0000-00000C000000}"/>
    <hyperlink ref="D22:F22" location="'Wine &amp; Cider Calc'!D4" display="Summary for Finished Wine ̸ Cider etc." xr:uid="{00000000-0004-0000-0000-00000D000000}"/>
    <hyperlink ref="D23:F23" location="'Wine &amp; Cider Calc'!AC2" display="Some Typical Wine Parameters" xr:uid="{00000000-0004-0000-0000-00000E000000}"/>
    <hyperlink ref="E24:F24" location="'Wine &amp; Cider Calc'!I68" display="Calorie ̸ Unit Counter (Un-primed)." xr:uid="{00000000-0004-0000-0000-00000F000000}"/>
    <hyperlink ref="D25:F25" location="'Wine &amp; Cider Calc'!I78" display="Priming Ciders &amp; Sparkling Wines" xr:uid="{00000000-0004-0000-0000-000010000000}"/>
    <hyperlink ref="E26:F26" location="'Wine &amp; Cider Calc'!I89" display="Calorie ̸ Unit Counter (After Priming)" xr:uid="{00000000-0004-0000-0000-000011000000}"/>
    <hyperlink ref="D27:F27" location="'Wine &amp; Cider Calc'!J100" display="Sugar Solutions &amp; Weights" xr:uid="{00000000-0004-0000-0000-000012000000}"/>
    <hyperlink ref="D28:F28" location="'Wine &amp; Cider Calc'!J113" display="Some Dried Fruit Equivalents" xr:uid="{00000000-0004-0000-0000-000013000000}"/>
    <hyperlink ref="D29:F29" location="'Wine &amp; Cider Calc'!O113" display="Fortifying Wines" xr:uid="{00000000-0004-0000-0000-000014000000}"/>
    <hyperlink ref="D30:F30" location="'Wine &amp; Cider Calc'!O124" display="ABV for FINISHED, DRY wines/ciders only." xr:uid="{00000000-0004-0000-0000-000015000000}"/>
    <hyperlink ref="D31:F31" location="'Wine &amp; Cider Calc'!J131" display="Recipe Scaling" xr:uid="{00000000-0004-0000-0000-000016000000}"/>
    <hyperlink ref="D32:F32" location="'Wine &amp; Cider Calc'!J145" display="TCP Taste ̸ Aroma" xr:uid="{00000000-0004-0000-0000-000017000000}"/>
    <hyperlink ref="D33:F33" location="'Wine &amp; Cider Calc'!S160" display="F.G. &amp; ABV Predictor" xr:uid="{00000000-0004-0000-0000-000018000000}"/>
    <hyperlink ref="B35:C35" location="'Jame''s Acid Calc'!C1" display="James' Acid Calculator" xr:uid="{00000000-0004-0000-0000-000019000000}"/>
    <hyperlink ref="B37" location="'Cocktail Calc'!F1" display="Cocktail Unit Calculator" xr:uid="{00000000-0004-0000-0000-00001A000000}"/>
    <hyperlink ref="B40:C40" location="'Jam Calc'!G1" display="Jam Calculator" xr:uid="{00000000-0004-0000-0000-00001B000000}"/>
    <hyperlink ref="D18:F18" location="'General Calc''s'!B153" display="Reduced Alcohol Beers &amp; Wines" xr:uid="{00000000-0004-0000-0000-00001C000000}"/>
    <hyperlink ref="D16:F16" location="'General Calc''s'!A138" display="Beer, Wine &amp; Spirit Freezing Point" xr:uid="{00000000-0004-0000-0000-00001D000000}"/>
    <hyperlink ref="D3" r:id="rId1" display="https://r.search.yahoo.com/_ylt=AwrkLXSiS4Rmvz4VPQZ3Bwx.;_ylu=Y29sbwMEcG9zAzEEdnRpZAMEc2VjA3Ny/RV=2/RE=1719974946/RO=10/RU=https%3a%2f%2fnawb.org.uk%2f/RK=2/RS=dlJXUwGn9D9lNlRtV6a1umnlpyg-" xr:uid="{00000000-0004-0000-0000-00001E000000}"/>
  </hyperlinks>
  <printOptions horizontalCentered="1"/>
  <pageMargins left="0.39374999999999999" right="0.39374999999999999" top="0.39374999999999999" bottom="0.39374999999999999" header="0.23611099999999999" footer="0.39374999999999999"/>
  <pageSetup paperSize="9" scale="66" fitToWidth="0" pageOrder="overThenDown"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8"/>
  <sheetViews>
    <sheetView zoomScale="70" zoomScaleNormal="70" workbookViewId="0">
      <selection activeCell="E1" sqref="E1:K1"/>
    </sheetView>
  </sheetViews>
  <sheetFormatPr defaultColWidth="11.33203125" defaultRowHeight="13.8"/>
  <cols>
    <col min="1" max="1" width="4.109375" style="2" customWidth="1"/>
    <col min="2" max="2" width="30.6640625" style="2" customWidth="1"/>
    <col min="3" max="3" width="10.88671875" style="2" customWidth="1"/>
    <col min="4" max="4" width="10" style="2" customWidth="1"/>
    <col min="5" max="5" width="10.44140625" style="2" customWidth="1"/>
    <col min="6" max="7" width="10.33203125" style="2" customWidth="1"/>
    <col min="8" max="8" width="10" style="2" customWidth="1"/>
    <col min="9" max="9" width="10.44140625" style="2" customWidth="1"/>
    <col min="10" max="10" width="10" style="2" customWidth="1"/>
    <col min="11" max="11" width="11.44140625" style="2" customWidth="1"/>
    <col min="12" max="12" width="11" style="2" customWidth="1"/>
    <col min="13" max="13" width="10.33203125" style="2" customWidth="1"/>
    <col min="14" max="16" width="9.109375" style="2" customWidth="1"/>
    <col min="17" max="17" width="2.88671875" style="2" customWidth="1"/>
    <col min="18" max="18" width="3.5546875" style="149" customWidth="1"/>
  </cols>
  <sheetData>
    <row r="1" spans="1:19" ht="48" customHeight="1">
      <c r="A1" s="873"/>
      <c r="B1" s="873"/>
      <c r="C1" s="868"/>
      <c r="D1" s="869"/>
      <c r="E1" s="925" t="s">
        <v>955</v>
      </c>
      <c r="F1" s="925"/>
      <c r="G1" s="925"/>
      <c r="H1" s="925"/>
      <c r="I1" s="925"/>
      <c r="J1" s="925"/>
      <c r="K1" s="925"/>
      <c r="L1" s="94"/>
      <c r="M1" s="94"/>
      <c r="N1" s="94"/>
      <c r="O1" s="487"/>
      <c r="P1" s="916" t="s">
        <v>962</v>
      </c>
      <c r="Q1" s="916"/>
      <c r="R1" s="709"/>
      <c r="S1" s="47"/>
    </row>
    <row r="2" spans="1:19" ht="13.95" customHeight="1">
      <c r="A2" s="5"/>
      <c r="B2" s="5"/>
      <c r="C2" s="470"/>
      <c r="D2" s="470"/>
      <c r="E2" s="470"/>
      <c r="F2" s="709"/>
      <c r="G2" s="709"/>
      <c r="H2" s="709"/>
      <c r="I2" s="709"/>
      <c r="J2" s="709"/>
      <c r="K2" s="470"/>
      <c r="L2" s="470"/>
      <c r="M2" s="470"/>
      <c r="N2" s="470"/>
      <c r="O2" s="470"/>
      <c r="P2" s="470"/>
      <c r="Q2" s="470"/>
      <c r="R2" s="709"/>
      <c r="S2" s="47"/>
    </row>
    <row r="3" spans="1:19" ht="13.95" customHeight="1">
      <c r="A3" s="5"/>
      <c r="B3" s="5"/>
      <c r="C3" s="470"/>
      <c r="D3" s="677"/>
      <c r="E3" s="915" t="s">
        <v>956</v>
      </c>
      <c r="F3" s="915"/>
      <c r="G3" s="915"/>
      <c r="H3" s="915"/>
      <c r="I3" s="915"/>
      <c r="J3" s="709"/>
      <c r="K3" s="470"/>
      <c r="L3" s="470"/>
      <c r="M3" s="470"/>
      <c r="N3" s="470"/>
      <c r="O3" s="470"/>
      <c r="P3" s="470"/>
      <c r="Q3" s="470"/>
      <c r="R3" s="709"/>
      <c r="S3" s="47"/>
    </row>
    <row r="4" spans="1:19" ht="15" customHeight="1">
      <c r="A4" s="917" t="s">
        <v>37</v>
      </c>
      <c r="B4" s="917"/>
      <c r="C4" s="709"/>
      <c r="D4" s="709"/>
      <c r="E4" s="709"/>
      <c r="F4" s="709"/>
      <c r="G4" s="709"/>
      <c r="H4" s="709"/>
      <c r="I4" s="709"/>
      <c r="J4" s="709"/>
      <c r="K4" s="709"/>
      <c r="L4" s="709"/>
      <c r="M4" s="709"/>
      <c r="N4" s="709"/>
      <c r="O4" s="709"/>
      <c r="P4" s="709"/>
      <c r="Q4" s="709"/>
      <c r="R4" s="709"/>
      <c r="S4" s="47"/>
    </row>
    <row r="5" spans="1:19" ht="15" customHeight="1">
      <c r="A5" s="471"/>
      <c r="B5" s="737" t="s">
        <v>38</v>
      </c>
      <c r="C5" s="694" t="s">
        <v>39</v>
      </c>
      <c r="D5" s="694" t="s">
        <v>40</v>
      </c>
      <c r="E5" s="694" t="s">
        <v>41</v>
      </c>
      <c r="F5" s="709"/>
      <c r="G5" s="709"/>
      <c r="H5" s="694" t="s">
        <v>40</v>
      </c>
      <c r="I5" s="694" t="s">
        <v>42</v>
      </c>
      <c r="J5" s="694" t="s">
        <v>41</v>
      </c>
      <c r="K5" s="240"/>
      <c r="L5" s="709"/>
      <c r="M5" s="694" t="s">
        <v>40</v>
      </c>
      <c r="N5" s="694" t="s">
        <v>41</v>
      </c>
      <c r="O5" s="694" t="s">
        <v>43</v>
      </c>
      <c r="P5" s="4"/>
      <c r="Q5" s="4"/>
      <c r="R5" s="709"/>
      <c r="S5" s="47"/>
    </row>
    <row r="6" spans="1:19" ht="15" customHeight="1">
      <c r="A6" s="472"/>
      <c r="B6" s="738" t="s">
        <v>44</v>
      </c>
      <c r="C6" s="356">
        <f>D6*0.264172</f>
        <v>6.0759560000000006</v>
      </c>
      <c r="D6" s="672">
        <v>23</v>
      </c>
      <c r="E6" s="356">
        <f>D6*0.219969</f>
        <v>5.0592870000000003</v>
      </c>
      <c r="F6" s="709"/>
      <c r="G6" s="709"/>
      <c r="H6" s="356">
        <f>4.54609*J6</f>
        <v>18.942041666666668</v>
      </c>
      <c r="I6" s="672">
        <v>5</v>
      </c>
      <c r="J6" s="356">
        <f>I6*(5/6)</f>
        <v>4.166666666666667</v>
      </c>
      <c r="K6" s="240"/>
      <c r="L6" s="709"/>
      <c r="M6" s="356">
        <f>4.54609*N6</f>
        <v>22.730450000000001</v>
      </c>
      <c r="N6" s="672">
        <v>5</v>
      </c>
      <c r="O6" s="356">
        <f>N6*(6/5)</f>
        <v>6</v>
      </c>
      <c r="P6" s="4"/>
      <c r="Q6" s="4"/>
      <c r="R6" s="709"/>
      <c r="S6" s="47"/>
    </row>
    <row r="7" spans="1:19" ht="15" customHeight="1">
      <c r="A7" s="472"/>
      <c r="B7" s="738" t="s">
        <v>45</v>
      </c>
      <c r="C7" s="240"/>
      <c r="D7" s="240"/>
      <c r="E7" s="240"/>
      <c r="F7" s="709"/>
      <c r="G7" s="709"/>
      <c r="H7" s="240"/>
      <c r="I7" s="240"/>
      <c r="J7" s="240"/>
      <c r="K7" s="240"/>
      <c r="L7" s="709"/>
      <c r="M7" s="726"/>
      <c r="N7" s="240"/>
      <c r="O7" s="240"/>
      <c r="P7" s="4"/>
      <c r="Q7" s="4"/>
      <c r="R7" s="709"/>
      <c r="S7" s="47"/>
    </row>
    <row r="8" spans="1:19" ht="15" customHeight="1">
      <c r="A8" s="4"/>
      <c r="B8" s="473" t="s">
        <v>46</v>
      </c>
      <c r="C8" s="694" t="s">
        <v>47</v>
      </c>
      <c r="D8" s="694" t="s">
        <v>40</v>
      </c>
      <c r="E8" s="694" t="s">
        <v>48</v>
      </c>
      <c r="F8" s="709"/>
      <c r="G8" s="709"/>
      <c r="H8" s="694" t="s">
        <v>40</v>
      </c>
      <c r="I8" s="694" t="s">
        <v>47</v>
      </c>
      <c r="J8" s="694" t="s">
        <v>48</v>
      </c>
      <c r="K8" s="240"/>
      <c r="L8" s="709"/>
      <c r="M8" s="694" t="s">
        <v>40</v>
      </c>
      <c r="N8" s="694" t="s">
        <v>48</v>
      </c>
      <c r="O8" s="694" t="s">
        <v>47</v>
      </c>
      <c r="P8" s="4"/>
      <c r="Q8" s="4"/>
      <c r="R8" s="709"/>
      <c r="S8" s="47"/>
    </row>
    <row r="9" spans="1:19" ht="15" customHeight="1">
      <c r="A9" s="4"/>
      <c r="B9" s="474" t="s">
        <v>49</v>
      </c>
      <c r="C9" s="356">
        <f>E9*6/5</f>
        <v>2.1116999999999999</v>
      </c>
      <c r="D9" s="672">
        <v>1</v>
      </c>
      <c r="E9" s="475">
        <f>D9*1.75975</f>
        <v>1.7597499999999999</v>
      </c>
      <c r="F9" s="709"/>
      <c r="G9" s="709"/>
      <c r="H9" s="356">
        <f>4.54609*J9/8</f>
        <v>22.730450000000001</v>
      </c>
      <c r="I9" s="672">
        <v>48</v>
      </c>
      <c r="J9" s="356">
        <f>I9*(5/6)</f>
        <v>40</v>
      </c>
      <c r="K9" s="240"/>
      <c r="L9" s="709"/>
      <c r="M9" s="356">
        <f>0.568261*N9</f>
        <v>22.730440000000002</v>
      </c>
      <c r="N9" s="672">
        <v>40</v>
      </c>
      <c r="O9" s="356">
        <f>N9*(6/5)</f>
        <v>48</v>
      </c>
      <c r="P9" s="4"/>
      <c r="Q9" s="4"/>
      <c r="R9" s="709"/>
      <c r="S9" s="47"/>
    </row>
    <row r="10" spans="1:19" ht="15" customHeight="1">
      <c r="A10" s="4"/>
      <c r="B10" s="4"/>
      <c r="C10" s="4"/>
      <c r="D10" s="4"/>
      <c r="E10" s="4"/>
      <c r="F10" s="709"/>
      <c r="G10" s="709"/>
      <c r="H10" s="4"/>
      <c r="I10" s="4"/>
      <c r="J10" s="4"/>
      <c r="K10" s="240"/>
      <c r="L10" s="709"/>
      <c r="M10" s="4"/>
      <c r="N10" s="4"/>
      <c r="O10" s="4"/>
      <c r="P10" s="4"/>
      <c r="Q10" s="4"/>
      <c r="R10" s="709"/>
      <c r="S10" s="47"/>
    </row>
    <row r="11" spans="1:19" ht="15" customHeight="1">
      <c r="A11" s="4"/>
      <c r="B11" s="240"/>
      <c r="C11" s="240"/>
      <c r="D11" s="240"/>
      <c r="E11" s="240"/>
      <c r="F11" s="709"/>
      <c r="G11" s="709"/>
      <c r="H11" s="240"/>
      <c r="I11" s="240"/>
      <c r="J11" s="240"/>
      <c r="K11" s="709"/>
      <c r="L11" s="709"/>
      <c r="M11" s="926"/>
      <c r="N11" s="926"/>
      <c r="O11" s="926"/>
      <c r="P11" s="926"/>
      <c r="Q11" s="4"/>
      <c r="R11" s="709"/>
      <c r="S11" s="47"/>
    </row>
    <row r="12" spans="1:19" ht="15" customHeight="1">
      <c r="A12" s="4"/>
      <c r="B12" s="739" t="s">
        <v>50</v>
      </c>
      <c r="C12" s="694" t="s">
        <v>51</v>
      </c>
      <c r="D12" s="694" t="s">
        <v>52</v>
      </c>
      <c r="E12" s="694" t="s">
        <v>53</v>
      </c>
      <c r="F12" s="709"/>
      <c r="G12" s="709"/>
      <c r="H12" s="694" t="s">
        <v>54</v>
      </c>
      <c r="I12" s="918" t="s">
        <v>55</v>
      </c>
      <c r="J12" s="919"/>
      <c r="K12" s="920"/>
      <c r="L12" s="709"/>
      <c r="M12" s="926"/>
      <c r="N12" s="926"/>
      <c r="O12" s="926"/>
      <c r="P12" s="926"/>
      <c r="Q12" s="709"/>
      <c r="R12" s="709"/>
      <c r="S12" s="47"/>
    </row>
    <row r="13" spans="1:19" ht="15" customHeight="1">
      <c r="A13" s="4"/>
      <c r="B13" s="740" t="s">
        <v>56</v>
      </c>
      <c r="C13" s="356">
        <f>1000*D13/2.20462</f>
        <v>2948.3539113316583</v>
      </c>
      <c r="D13" s="672">
        <v>6.5</v>
      </c>
      <c r="E13" s="356">
        <f>D13*2.20462</f>
        <v>14.330029999999999</v>
      </c>
      <c r="F13" s="709"/>
      <c r="G13" s="709"/>
      <c r="H13" s="672">
        <v>1000</v>
      </c>
      <c r="I13" s="341">
        <f>16*J13</f>
        <v>35.273368606701936</v>
      </c>
      <c r="J13" s="341">
        <f>H13/(1000*0.4536)</f>
        <v>2.204585537918871</v>
      </c>
      <c r="K13" s="447" t="str">
        <f>INT(I13/16)&amp;" lb "&amp;FIXED(I13-16*INT(I13/16))&amp;" oz"</f>
        <v>2 lb 3.27 oz</v>
      </c>
      <c r="L13" s="709"/>
      <c r="M13" s="926"/>
      <c r="N13" s="926"/>
      <c r="O13" s="926"/>
      <c r="P13" s="926"/>
      <c r="Q13" s="709"/>
      <c r="R13" s="709"/>
      <c r="S13" s="47"/>
    </row>
    <row r="14" spans="1:19" ht="15" customHeight="1">
      <c r="A14" s="240"/>
      <c r="B14" s="240"/>
      <c r="C14" s="240"/>
      <c r="D14" s="4"/>
      <c r="E14" s="4"/>
      <c r="F14" s="709"/>
      <c r="G14" s="709"/>
      <c r="H14" s="709"/>
      <c r="I14" s="709"/>
      <c r="J14" s="709"/>
      <c r="K14" s="709"/>
      <c r="L14" s="709"/>
      <c r="M14" s="709"/>
      <c r="N14" s="709"/>
      <c r="O14" s="709"/>
      <c r="P14" s="709"/>
      <c r="Q14" s="709"/>
      <c r="R14" s="709"/>
      <c r="S14" s="47"/>
    </row>
    <row r="15" spans="1:19" ht="15" customHeight="1">
      <c r="A15" s="240"/>
      <c r="B15" s="240"/>
      <c r="C15" s="694" t="s">
        <v>57</v>
      </c>
      <c r="D15" s="694" t="s">
        <v>52</v>
      </c>
      <c r="E15" s="694" t="s">
        <v>53</v>
      </c>
      <c r="F15" s="709"/>
      <c r="G15" s="709"/>
      <c r="H15" s="694" t="s">
        <v>51</v>
      </c>
      <c r="I15" s="694" t="s">
        <v>52</v>
      </c>
      <c r="J15" s="694" t="s">
        <v>58</v>
      </c>
      <c r="K15" s="709"/>
      <c r="L15" s="709"/>
      <c r="M15" s="500" t="s">
        <v>53</v>
      </c>
      <c r="N15" s="501" t="s">
        <v>58</v>
      </c>
      <c r="O15" s="918" t="s">
        <v>59</v>
      </c>
      <c r="P15" s="921"/>
      <c r="Q15" s="679"/>
      <c r="R15" s="709"/>
      <c r="S15" s="47"/>
    </row>
    <row r="16" spans="1:19" ht="15" customHeight="1">
      <c r="A16" s="240"/>
      <c r="B16" s="240"/>
      <c r="C16" s="356">
        <f>D16/2.20462</f>
        <v>1.8143716377425589</v>
      </c>
      <c r="D16" s="762">
        <v>4</v>
      </c>
      <c r="E16" s="476">
        <f>D16*2.20462</f>
        <v>8.8184799999999992</v>
      </c>
      <c r="F16" s="4"/>
      <c r="G16" s="709"/>
      <c r="H16" s="356">
        <f>I16/0.035274</f>
        <v>708.73731360208649</v>
      </c>
      <c r="I16" s="672">
        <v>25</v>
      </c>
      <c r="J16" s="356">
        <f>I16*0.035274</f>
        <v>0.88185000000000002</v>
      </c>
      <c r="K16" s="709"/>
      <c r="L16" s="709"/>
      <c r="M16" s="502">
        <v>2</v>
      </c>
      <c r="N16" s="503">
        <v>8</v>
      </c>
      <c r="O16" s="694">
        <f>1000*(M16+N16/16)*0.4536</f>
        <v>1134</v>
      </c>
      <c r="P16" s="356">
        <f>O16/1000</f>
        <v>1.1339999999999999</v>
      </c>
      <c r="Q16" s="513"/>
      <c r="R16" s="709"/>
      <c r="S16" s="47"/>
    </row>
    <row r="17" spans="1:19" ht="15" customHeight="1">
      <c r="A17" s="240"/>
      <c r="B17" s="240"/>
      <c r="C17" s="477"/>
      <c r="D17" s="477"/>
      <c r="E17" s="477"/>
      <c r="F17" s="709"/>
      <c r="G17" s="709"/>
      <c r="H17" s="240"/>
      <c r="I17" s="240"/>
      <c r="J17" s="240"/>
      <c r="K17" s="709"/>
      <c r="L17" s="709"/>
      <c r="M17" s="240"/>
      <c r="N17" s="240"/>
      <c r="O17" s="240"/>
      <c r="P17" s="240"/>
      <c r="Q17" s="240"/>
      <c r="R17" s="709"/>
      <c r="S17" s="47"/>
    </row>
    <row r="18" spans="1:19" ht="15" customHeight="1">
      <c r="A18" s="240"/>
      <c r="B18" s="240"/>
      <c r="C18" s="694" t="s">
        <v>53</v>
      </c>
      <c r="D18" s="694" t="s">
        <v>58</v>
      </c>
      <c r="E18" s="694" t="s">
        <v>60</v>
      </c>
      <c r="F18" s="709"/>
      <c r="G18" s="709"/>
      <c r="H18" s="694" t="s">
        <v>58</v>
      </c>
      <c r="I18" s="694" t="s">
        <v>61</v>
      </c>
      <c r="J18" s="240"/>
      <c r="K18" s="709"/>
      <c r="L18" s="709"/>
      <c r="M18" s="500" t="s">
        <v>53</v>
      </c>
      <c r="N18" s="501" t="s">
        <v>58</v>
      </c>
      <c r="O18" s="694" t="s">
        <v>53</v>
      </c>
      <c r="P18" s="709"/>
      <c r="Q18" s="709"/>
      <c r="R18" s="709"/>
      <c r="S18" s="47"/>
    </row>
    <row r="19" spans="1:19" ht="15" customHeight="1">
      <c r="A19" s="240"/>
      <c r="B19" s="240"/>
      <c r="C19" s="672">
        <v>1</v>
      </c>
      <c r="D19" s="461">
        <f>C19*16</f>
        <v>16</v>
      </c>
      <c r="E19" s="447" t="str">
        <f>INT(D19/16)&amp;" lb  "&amp;FIXED(D19-16*INT(D19/16))</f>
        <v>1 lb  0.00</v>
      </c>
      <c r="F19" s="709"/>
      <c r="G19" s="709"/>
      <c r="H19" s="478">
        <v>20</v>
      </c>
      <c r="I19" s="447" t="str">
        <f>INT(H19/16)&amp;" lb "&amp;FIXED(H19-16*INT(H19/16))&amp;" oz"</f>
        <v>1 lb 4.00 oz</v>
      </c>
      <c r="J19" s="240"/>
      <c r="K19" s="709"/>
      <c r="L19" s="709"/>
      <c r="M19" s="502">
        <v>2</v>
      </c>
      <c r="N19" s="503">
        <v>8</v>
      </c>
      <c r="O19" s="694">
        <f>M19+FIXED(N19/16)</f>
        <v>2.5</v>
      </c>
      <c r="P19" s="709"/>
      <c r="Q19" s="709"/>
      <c r="R19" s="709"/>
      <c r="S19" s="47"/>
    </row>
    <row r="20" spans="1:19" ht="15" customHeight="1">
      <c r="A20" s="240"/>
      <c r="B20" s="240"/>
      <c r="C20" s="240"/>
      <c r="D20" s="240"/>
      <c r="E20" s="240"/>
      <c r="F20" s="709"/>
      <c r="G20" s="709"/>
      <c r="H20" s="240"/>
      <c r="I20" s="240"/>
      <c r="J20" s="240"/>
      <c r="K20" s="709"/>
      <c r="L20" s="709"/>
      <c r="M20" s="240"/>
      <c r="N20" s="240"/>
      <c r="O20" s="240"/>
      <c r="P20" s="709"/>
      <c r="Q20" s="709"/>
      <c r="R20" s="709"/>
      <c r="S20" s="47"/>
    </row>
    <row r="21" spans="1:19" ht="15" customHeight="1">
      <c r="A21" s="240"/>
      <c r="B21" s="240"/>
      <c r="C21" s="240"/>
      <c r="D21" s="240"/>
      <c r="E21" s="240"/>
      <c r="F21" s="709"/>
      <c r="G21" s="709"/>
      <c r="H21" s="240"/>
      <c r="I21" s="240"/>
      <c r="J21" s="240"/>
      <c r="K21" s="240"/>
      <c r="L21" s="709"/>
      <c r="M21" s="871"/>
      <c r="N21" s="871"/>
      <c r="O21" s="871"/>
      <c r="P21" s="871"/>
      <c r="Q21" s="709"/>
      <c r="R21" s="709"/>
      <c r="S21" s="47"/>
    </row>
    <row r="22" spans="1:19" ht="15" customHeight="1">
      <c r="A22" s="922" t="s">
        <v>62</v>
      </c>
      <c r="B22" s="922"/>
      <c r="C22" s="727"/>
      <c r="D22" s="727"/>
      <c r="E22" s="727"/>
      <c r="F22" s="709"/>
      <c r="G22" s="709"/>
      <c r="H22" s="709"/>
      <c r="I22" s="709"/>
      <c r="J22" s="240"/>
      <c r="K22" s="240"/>
      <c r="L22" s="709"/>
      <c r="M22" s="926" t="s">
        <v>234</v>
      </c>
      <c r="N22" s="926"/>
      <c r="O22" s="926"/>
      <c r="P22" s="926"/>
      <c r="Q22" s="709"/>
      <c r="R22" s="709"/>
      <c r="S22" s="47"/>
    </row>
    <row r="23" spans="1:19" ht="15" customHeight="1">
      <c r="A23" s="479"/>
      <c r="B23" s="709"/>
      <c r="C23" s="480" t="s">
        <v>63</v>
      </c>
      <c r="D23" s="481" t="s">
        <v>64</v>
      </c>
      <c r="E23" s="482" t="s">
        <v>65</v>
      </c>
      <c r="F23" s="481" t="s">
        <v>66</v>
      </c>
      <c r="G23" s="709"/>
      <c r="H23" s="480" t="s">
        <v>64</v>
      </c>
      <c r="I23" s="481" t="s">
        <v>63</v>
      </c>
      <c r="J23" s="482" t="s">
        <v>66</v>
      </c>
      <c r="K23" s="481" t="s">
        <v>65</v>
      </c>
      <c r="L23" s="709"/>
      <c r="M23" s="926"/>
      <c r="N23" s="926"/>
      <c r="O23" s="926"/>
      <c r="P23" s="926"/>
      <c r="Q23" s="709"/>
      <c r="R23" s="709"/>
      <c r="S23" s="47"/>
    </row>
    <row r="24" spans="1:19" ht="15" customHeight="1">
      <c r="A24" s="479"/>
      <c r="B24" s="709"/>
      <c r="C24" s="483">
        <v>23</v>
      </c>
      <c r="D24" s="484">
        <v>2300</v>
      </c>
      <c r="E24" s="485">
        <v>19</v>
      </c>
      <c r="F24" s="486">
        <f>D24*E24/C24</f>
        <v>1900</v>
      </c>
      <c r="G24" s="709"/>
      <c r="H24" s="762">
        <v>2300</v>
      </c>
      <c r="I24" s="484">
        <v>19</v>
      </c>
      <c r="J24" s="485">
        <v>2200</v>
      </c>
      <c r="K24" s="504">
        <f>I24*J24/H24</f>
        <v>18.173913043478262</v>
      </c>
      <c r="L24" s="709"/>
      <c r="M24" s="926"/>
      <c r="N24" s="926"/>
      <c r="O24" s="926"/>
      <c r="P24" s="926"/>
      <c r="Q24" s="709"/>
      <c r="R24" s="709"/>
      <c r="S24" s="47"/>
    </row>
    <row r="25" spans="1:19" ht="15" customHeight="1">
      <c r="A25" s="479"/>
      <c r="B25" s="709"/>
      <c r="C25" s="709"/>
      <c r="D25" s="709"/>
      <c r="E25" s="709"/>
      <c r="F25" s="709"/>
      <c r="G25" s="709"/>
      <c r="H25" s="709"/>
      <c r="I25" s="709"/>
      <c r="J25" s="709"/>
      <c r="K25" s="709"/>
      <c r="L25" s="709"/>
      <c r="M25" s="926"/>
      <c r="N25" s="926"/>
      <c r="O25" s="926"/>
      <c r="P25" s="926"/>
      <c r="Q25" s="709"/>
      <c r="R25" s="709"/>
      <c r="S25" s="47"/>
    </row>
    <row r="26" spans="1:19" ht="15" customHeight="1">
      <c r="A26" s="479"/>
      <c r="B26" s="709"/>
      <c r="C26" s="709"/>
      <c r="D26" s="709"/>
      <c r="E26" s="487"/>
      <c r="F26" s="709"/>
      <c r="G26" s="709"/>
      <c r="H26" s="709"/>
      <c r="I26" s="709"/>
      <c r="J26" s="709"/>
      <c r="K26" s="709"/>
      <c r="L26" s="709"/>
      <c r="M26" s="709"/>
      <c r="N26" s="709"/>
      <c r="O26" s="709"/>
      <c r="P26" s="709"/>
      <c r="Q26" s="709"/>
      <c r="R26" s="709"/>
      <c r="S26" s="47"/>
    </row>
    <row r="27" spans="1:19" ht="15" customHeight="1">
      <c r="A27" s="240"/>
      <c r="B27" s="488" t="s">
        <v>67</v>
      </c>
      <c r="C27" s="459" t="s">
        <v>68</v>
      </c>
      <c r="D27" s="459" t="s">
        <v>69</v>
      </c>
      <c r="E27" s="489" t="s">
        <v>70</v>
      </c>
      <c r="F27" s="709"/>
      <c r="G27" s="709"/>
      <c r="H27" s="489" t="s">
        <v>71</v>
      </c>
      <c r="I27" s="459" t="s">
        <v>69</v>
      </c>
      <c r="J27" s="489" t="s">
        <v>72</v>
      </c>
      <c r="K27" s="709"/>
      <c r="L27" s="709"/>
      <c r="M27" s="24" t="s">
        <v>73</v>
      </c>
      <c r="N27" s="24" t="s">
        <v>74</v>
      </c>
      <c r="O27" s="694" t="s">
        <v>961</v>
      </c>
      <c r="P27" s="709"/>
      <c r="Q27" s="709"/>
      <c r="R27" s="709"/>
      <c r="S27" s="47"/>
    </row>
    <row r="28" spans="1:19" ht="15" customHeight="1">
      <c r="A28" s="240"/>
      <c r="B28" s="240"/>
      <c r="C28" s="475">
        <f>D28*0.09977637</f>
        <v>9.9776370000000003E-2</v>
      </c>
      <c r="D28" s="762">
        <v>1</v>
      </c>
      <c r="E28" s="691">
        <f>D28*10.022413122466</f>
        <v>10.022413122466</v>
      </c>
      <c r="F28" s="709"/>
      <c r="G28" s="709"/>
      <c r="H28" s="691">
        <f>I28/0.02004</f>
        <v>49.900199600798409</v>
      </c>
      <c r="I28" s="762">
        <v>1</v>
      </c>
      <c r="J28" s="475">
        <f>I28*0.02004</f>
        <v>2.0039999999999999E-2</v>
      </c>
      <c r="K28" s="709"/>
      <c r="L28" s="709"/>
      <c r="M28" s="691">
        <f>N28*28.41306</f>
        <v>28.413060000000002</v>
      </c>
      <c r="N28" s="672">
        <v>1</v>
      </c>
      <c r="O28" s="475">
        <f>N28/28.41306</f>
        <v>3.5195082824588407E-2</v>
      </c>
      <c r="P28" s="709"/>
      <c r="Q28" s="709"/>
      <c r="R28" s="709"/>
      <c r="S28" s="47"/>
    </row>
    <row r="29" spans="1:19" ht="15" customHeight="1">
      <c r="A29" s="240"/>
      <c r="B29" s="240"/>
      <c r="C29" s="4"/>
      <c r="D29" s="4"/>
      <c r="E29" s="4"/>
      <c r="F29" s="709"/>
      <c r="G29" s="709"/>
      <c r="H29" s="4"/>
      <c r="I29" s="4"/>
      <c r="J29" s="4"/>
      <c r="K29" s="709"/>
      <c r="L29" s="709"/>
      <c r="M29" s="4"/>
      <c r="N29" s="4"/>
      <c r="O29" s="4"/>
      <c r="P29" s="709"/>
      <c r="Q29" s="709"/>
      <c r="R29" s="709"/>
      <c r="S29" s="47"/>
    </row>
    <row r="30" spans="1:19" ht="15" customHeight="1">
      <c r="A30" s="240"/>
      <c r="B30" s="490" t="s">
        <v>75</v>
      </c>
      <c r="C30" s="459" t="s">
        <v>68</v>
      </c>
      <c r="D30" s="459" t="s">
        <v>69</v>
      </c>
      <c r="E30" s="489" t="s">
        <v>76</v>
      </c>
      <c r="F30" s="709"/>
      <c r="G30" s="709"/>
      <c r="H30" s="489" t="s">
        <v>71</v>
      </c>
      <c r="I30" s="489" t="s">
        <v>77</v>
      </c>
      <c r="J30" s="447" t="s">
        <v>78</v>
      </c>
      <c r="K30" s="709"/>
      <c r="L30" s="709"/>
      <c r="M30" s="24" t="s">
        <v>73</v>
      </c>
      <c r="N30" s="24" t="s">
        <v>74</v>
      </c>
      <c r="O30" s="694" t="s">
        <v>79</v>
      </c>
      <c r="P30" s="709"/>
      <c r="Q30" s="709"/>
      <c r="R30" s="709"/>
      <c r="S30" s="47"/>
    </row>
    <row r="31" spans="1:19" ht="15" customHeight="1">
      <c r="A31" s="240"/>
      <c r="B31" s="4"/>
      <c r="C31" s="691">
        <f>D31*0.1198264</f>
        <v>0.1198264</v>
      </c>
      <c r="D31" s="762">
        <v>1</v>
      </c>
      <c r="E31" s="356">
        <f>D31*8.3454063545262</f>
        <v>8.3454063545261992</v>
      </c>
      <c r="F31" s="4"/>
      <c r="G31" s="709"/>
      <c r="H31" s="341">
        <f>I31*59.913</f>
        <v>59.912999999999997</v>
      </c>
      <c r="I31" s="762">
        <v>1</v>
      </c>
      <c r="J31" s="356">
        <f>I31*0.016691</f>
        <v>1.6691000000000001E-2</v>
      </c>
      <c r="K31" s="709"/>
      <c r="L31" s="709"/>
      <c r="M31" s="691">
        <f>N31*29.57353</f>
        <v>29.573530000000002</v>
      </c>
      <c r="N31" s="672">
        <v>1</v>
      </c>
      <c r="O31" s="505">
        <f>N31/29.57353</f>
        <v>3.3814022201610693E-2</v>
      </c>
      <c r="P31" s="709"/>
      <c r="Q31" s="709"/>
      <c r="R31" s="709"/>
      <c r="S31" s="47"/>
    </row>
    <row r="32" spans="1:19" ht="15" customHeight="1">
      <c r="A32" s="240"/>
      <c r="B32" s="4"/>
      <c r="C32" s="4"/>
      <c r="D32" s="4"/>
      <c r="E32" s="4"/>
      <c r="F32" s="4"/>
      <c r="G32" s="4"/>
      <c r="H32" s="923" t="str">
        <f>1*FIXED(I31)&amp;" g ̸ litre = "&amp;1*FIXED(J31,3)&amp;" oz ̸ pt US"</f>
        <v>1 g ̸ litre = 0.017 oz ̸ pt US</v>
      </c>
      <c r="I32" s="923"/>
      <c r="J32" s="923"/>
      <c r="K32" s="4"/>
      <c r="L32" s="4"/>
      <c r="M32" s="4"/>
      <c r="N32" s="4"/>
      <c r="O32" s="4"/>
      <c r="P32" s="709"/>
      <c r="Q32" s="709"/>
      <c r="R32" s="709"/>
      <c r="S32" s="47"/>
    </row>
    <row r="33" spans="1:19" ht="15" customHeight="1">
      <c r="A33" s="240"/>
      <c r="B33" s="4"/>
      <c r="C33" s="4"/>
      <c r="D33" s="4"/>
      <c r="E33" s="4"/>
      <c r="F33" s="4"/>
      <c r="G33" s="4"/>
      <c r="H33" s="924" t="str">
        <f>1*FIXED(I31)&amp;" oz ̸ pt US = "&amp;1*FIXED(H31,2)&amp;" g ̸ litre"</f>
        <v>1 oz ̸ pt US = 59.91 g ̸ litre</v>
      </c>
      <c r="I33" s="924"/>
      <c r="J33" s="924"/>
      <c r="K33" s="4"/>
      <c r="L33" s="4"/>
      <c r="M33" s="24" t="s">
        <v>80</v>
      </c>
      <c r="N33" s="694" t="s">
        <v>81</v>
      </c>
      <c r="O33" s="24" t="s">
        <v>79</v>
      </c>
      <c r="P33" s="709"/>
      <c r="Q33" s="709"/>
      <c r="R33" s="709"/>
      <c r="S33" s="47"/>
    </row>
    <row r="34" spans="1:19" ht="15" customHeight="1">
      <c r="A34" s="240"/>
      <c r="B34" s="4"/>
      <c r="C34" s="4"/>
      <c r="D34" s="4"/>
      <c r="E34" s="4"/>
      <c r="F34" s="4"/>
      <c r="G34" s="4"/>
      <c r="H34" s="4"/>
      <c r="I34" s="4"/>
      <c r="J34" s="4"/>
      <c r="K34" s="4"/>
      <c r="L34" s="4"/>
      <c r="M34" s="356">
        <f>N34/0.96076</f>
        <v>1.0408426662225738</v>
      </c>
      <c r="N34" s="672">
        <v>1</v>
      </c>
      <c r="O34" s="356">
        <f>N34*0.96076</f>
        <v>0.96075999999999995</v>
      </c>
      <c r="P34" s="709"/>
      <c r="Q34" s="709"/>
      <c r="R34" s="709"/>
      <c r="S34" s="47"/>
    </row>
    <row r="35" spans="1:19" ht="15" customHeight="1">
      <c r="A35" s="240"/>
      <c r="B35" s="4"/>
      <c r="C35" s="4"/>
      <c r="D35" s="4"/>
      <c r="E35" s="4"/>
      <c r="F35" s="4"/>
      <c r="G35" s="4"/>
      <c r="H35" s="4"/>
      <c r="I35" s="4"/>
      <c r="J35" s="4"/>
      <c r="K35" s="4"/>
      <c r="L35" s="4"/>
      <c r="M35" s="4"/>
      <c r="N35" s="4"/>
      <c r="O35" s="4"/>
      <c r="P35" s="709"/>
      <c r="Q35" s="709"/>
      <c r="R35" s="709"/>
      <c r="S35" s="47"/>
    </row>
    <row r="36" spans="1:19" ht="15" customHeight="1">
      <c r="A36" s="927" t="s">
        <v>82</v>
      </c>
      <c r="B36" s="927"/>
      <c r="C36" s="927"/>
      <c r="D36" s="709"/>
      <c r="E36" s="709"/>
      <c r="F36" s="709"/>
      <c r="G36" s="709"/>
      <c r="H36" s="709"/>
      <c r="I36" s="709"/>
      <c r="J36" s="709"/>
      <c r="K36" s="709"/>
      <c r="L36" s="709"/>
      <c r="M36" s="709"/>
      <c r="N36" s="709"/>
      <c r="O36" s="709"/>
      <c r="P36" s="709"/>
      <c r="Q36" s="709"/>
      <c r="R36" s="709"/>
      <c r="S36" s="47"/>
    </row>
    <row r="37" spans="1:19" ht="15" customHeight="1">
      <c r="A37" s="843"/>
      <c r="B37" s="844"/>
      <c r="C37" s="928" t="s">
        <v>83</v>
      </c>
      <c r="D37" s="928"/>
      <c r="E37" s="928" t="s">
        <v>84</v>
      </c>
      <c r="F37" s="928"/>
      <c r="G37" s="928" t="s">
        <v>85</v>
      </c>
      <c r="H37" s="928"/>
      <c r="I37" s="928" t="s">
        <v>86</v>
      </c>
      <c r="J37" s="928"/>
      <c r="K37" s="928" t="s">
        <v>87</v>
      </c>
      <c r="L37" s="928"/>
      <c r="M37" s="939" t="s">
        <v>88</v>
      </c>
      <c r="N37" s="1130"/>
      <c r="O37" s="1130"/>
      <c r="P37" s="1130"/>
      <c r="Q37" s="709"/>
      <c r="R37" s="709"/>
      <c r="S37" s="47"/>
    </row>
    <row r="38" spans="1:19" ht="15" customHeight="1">
      <c r="A38" s="4"/>
      <c r="B38" s="4"/>
      <c r="C38" s="929">
        <v>1080</v>
      </c>
      <c r="D38" s="929"/>
      <c r="E38" s="929">
        <v>1070</v>
      </c>
      <c r="F38" s="929"/>
      <c r="G38" s="930">
        <v>4.3</v>
      </c>
      <c r="H38" s="931"/>
      <c r="I38" s="932">
        <f>K38-G38</f>
        <v>0.61428571428571477</v>
      </c>
      <c r="J38" s="932"/>
      <c r="K38" s="933">
        <f>G38*(C38-1000)/(E38-1000)</f>
        <v>4.9142857142857146</v>
      </c>
      <c r="L38" s="934"/>
      <c r="M38" s="1131"/>
      <c r="N38" s="1130"/>
      <c r="O38" s="1130"/>
      <c r="P38" s="1130"/>
      <c r="Q38" s="709"/>
      <c r="R38" s="709"/>
      <c r="S38" s="47"/>
    </row>
    <row r="39" spans="1:19" ht="15" customHeight="1">
      <c r="A39" s="709"/>
      <c r="B39" s="709"/>
      <c r="C39" s="935" t="s">
        <v>89</v>
      </c>
      <c r="D39" s="935"/>
      <c r="E39" s="935"/>
      <c r="F39" s="935"/>
      <c r="G39" s="935"/>
      <c r="H39" s="935"/>
      <c r="I39" s="709"/>
      <c r="J39" s="4"/>
      <c r="K39" s="4"/>
      <c r="L39" s="4"/>
      <c r="M39" s="4"/>
      <c r="N39" s="4"/>
      <c r="O39" s="845"/>
      <c r="P39" s="845"/>
      <c r="Q39" s="845"/>
      <c r="R39" s="709"/>
      <c r="S39" s="47"/>
    </row>
    <row r="40" spans="1:19" ht="15" customHeight="1">
      <c r="A40" s="240"/>
      <c r="B40" s="4"/>
      <c r="C40" s="4"/>
      <c r="D40" s="4"/>
      <c r="E40" s="4"/>
      <c r="F40" s="4"/>
      <c r="G40" s="4"/>
      <c r="H40" s="4"/>
      <c r="I40" s="4"/>
      <c r="J40" s="4"/>
      <c r="K40" s="4"/>
      <c r="L40" s="4"/>
      <c r="M40" s="4"/>
      <c r="N40" s="4"/>
      <c r="O40" s="4"/>
      <c r="P40" s="709"/>
      <c r="Q40" s="709"/>
      <c r="R40" s="709"/>
      <c r="S40" s="47"/>
    </row>
    <row r="41" spans="1:19" ht="15" customHeight="1">
      <c r="A41" s="936" t="s">
        <v>90</v>
      </c>
      <c r="B41" s="936"/>
      <c r="C41" s="846"/>
      <c r="D41" s="846"/>
      <c r="E41" s="846"/>
      <c r="F41" s="846"/>
      <c r="G41" s="846"/>
      <c r="H41" s="846"/>
      <c r="I41" s="846"/>
      <c r="J41" s="846"/>
      <c r="K41" s="846"/>
      <c r="L41" s="846"/>
      <c r="M41" s="846"/>
      <c r="N41" s="846"/>
      <c r="O41" s="846"/>
      <c r="P41" s="846"/>
      <c r="Q41" s="846"/>
      <c r="R41" s="709"/>
      <c r="S41" s="47"/>
    </row>
    <row r="42" spans="1:19" ht="15" customHeight="1">
      <c r="A42" s="737"/>
      <c r="B42" s="487"/>
      <c r="C42" s="937" t="s">
        <v>91</v>
      </c>
      <c r="D42" s="937"/>
      <c r="E42" s="860">
        <v>1080</v>
      </c>
      <c r="F42" s="938" t="s">
        <v>92</v>
      </c>
      <c r="G42" s="938"/>
      <c r="H42" s="860">
        <v>4.3</v>
      </c>
      <c r="I42" s="938" t="str">
        <f>"litres, is eqiuvalent to SG "&amp;FIXED((1+(E42-1000)/1000*H42/L42),4)*1000&amp;" for"</f>
        <v>litres, is eqiuvalent to SG 1070.1 for</v>
      </c>
      <c r="J42" s="938"/>
      <c r="K42" s="938"/>
      <c r="L42" s="860">
        <v>4.91</v>
      </c>
      <c r="M42" s="939" t="s">
        <v>93</v>
      </c>
      <c r="N42" s="940"/>
      <c r="O42" s="487"/>
      <c r="P42" s="709"/>
      <c r="Q42" s="709"/>
      <c r="R42" s="709"/>
      <c r="S42" s="47"/>
    </row>
    <row r="43" spans="1:19" ht="15" customHeight="1">
      <c r="A43" s="709"/>
      <c r="B43" s="709"/>
      <c r="C43" s="690"/>
      <c r="D43" s="709"/>
      <c r="E43" s="709"/>
      <c r="F43" s="709"/>
      <c r="G43" s="709"/>
      <c r="H43" s="709"/>
      <c r="I43" s="709"/>
      <c r="J43" s="709"/>
      <c r="K43" s="709"/>
      <c r="L43" s="709"/>
      <c r="M43" s="709"/>
      <c r="N43" s="709"/>
      <c r="O43" s="709"/>
      <c r="P43" s="709"/>
      <c r="Q43" s="709"/>
      <c r="R43" s="709"/>
      <c r="S43" s="47"/>
    </row>
    <row r="44" spans="1:19" ht="15" customHeight="1">
      <c r="A44" s="709"/>
      <c r="B44" s="709"/>
      <c r="C44" s="690"/>
      <c r="D44" s="709"/>
      <c r="E44" s="709"/>
      <c r="F44" s="709"/>
      <c r="G44" s="709"/>
      <c r="H44" s="709"/>
      <c r="I44" s="709"/>
      <c r="J44" s="709"/>
      <c r="K44" s="709"/>
      <c r="L44" s="709"/>
      <c r="M44" s="709"/>
      <c r="N44" s="709"/>
      <c r="O44" s="709"/>
      <c r="P44" s="709"/>
      <c r="Q44" s="709"/>
      <c r="R44" s="709"/>
      <c r="S44" s="47"/>
    </row>
    <row r="45" spans="1:19" ht="15" customHeight="1">
      <c r="A45" s="240"/>
      <c r="B45" s="492" t="s">
        <v>94</v>
      </c>
      <c r="C45" s="694" t="s">
        <v>95</v>
      </c>
      <c r="D45" s="694" t="s">
        <v>96</v>
      </c>
      <c r="E45" s="694" t="s">
        <v>97</v>
      </c>
      <c r="F45" s="709"/>
      <c r="G45" s="709"/>
      <c r="H45" s="709"/>
      <c r="I45" s="709"/>
      <c r="J45" s="709"/>
      <c r="K45" s="709"/>
      <c r="L45" s="709"/>
      <c r="M45" s="709"/>
      <c r="N45" s="709"/>
      <c r="O45" s="709"/>
      <c r="P45" s="709"/>
      <c r="Q45" s="709"/>
      <c r="R45" s="709"/>
      <c r="S45" s="47"/>
    </row>
    <row r="46" spans="1:19" ht="15" customHeight="1">
      <c r="A46" s="240"/>
      <c r="B46" s="4"/>
      <c r="C46" s="463">
        <f>((D46+40)*5/9)-40</f>
        <v>-6.6666666666666643</v>
      </c>
      <c r="D46" s="861">
        <v>20</v>
      </c>
      <c r="E46" s="694">
        <f>((D46+40)*9/5)-40</f>
        <v>68</v>
      </c>
      <c r="F46" s="709"/>
      <c r="G46" s="709"/>
      <c r="H46" s="709"/>
      <c r="I46" s="709"/>
      <c r="J46" s="709"/>
      <c r="K46" s="709"/>
      <c r="L46" s="709"/>
      <c r="M46" s="709"/>
      <c r="N46" s="709"/>
      <c r="O46" s="709"/>
      <c r="P46" s="709"/>
      <c r="Q46" s="709"/>
      <c r="R46" s="709"/>
      <c r="S46" s="47"/>
    </row>
    <row r="47" spans="1:19" ht="15" customHeight="1">
      <c r="A47" s="737"/>
      <c r="B47" s="4"/>
      <c r="C47" s="4"/>
      <c r="D47" s="4"/>
      <c r="E47" s="4"/>
      <c r="F47" s="709"/>
      <c r="G47" s="709"/>
      <c r="H47" s="709"/>
      <c r="I47" s="709"/>
      <c r="J47" s="709"/>
      <c r="K47" s="709"/>
      <c r="L47" s="709"/>
      <c r="M47" s="709"/>
      <c r="N47" s="709"/>
      <c r="O47" s="4"/>
      <c r="P47" s="4"/>
      <c r="Q47" s="4"/>
      <c r="R47" s="709"/>
      <c r="S47" s="47"/>
    </row>
    <row r="48" spans="1:19" ht="15" customHeight="1">
      <c r="A48" s="737"/>
      <c r="B48" s="737"/>
      <c r="C48" s="737"/>
      <c r="D48" s="737"/>
      <c r="E48" s="737"/>
      <c r="F48" s="709"/>
      <c r="G48" s="709"/>
      <c r="H48" s="709"/>
      <c r="I48" s="709"/>
      <c r="J48" s="709"/>
      <c r="K48" s="709"/>
      <c r="L48" s="709"/>
      <c r="M48" s="709"/>
      <c r="N48" s="709"/>
      <c r="O48" s="737"/>
      <c r="P48" s="737"/>
      <c r="Q48" s="737"/>
      <c r="R48" s="709"/>
      <c r="S48" s="47"/>
    </row>
    <row r="49" spans="1:19" ht="15" customHeight="1">
      <c r="A49" s="941" t="s">
        <v>98</v>
      </c>
      <c r="B49" s="941"/>
      <c r="C49" s="737"/>
      <c r="D49" s="737"/>
      <c r="E49" s="737"/>
      <c r="F49" s="709"/>
      <c r="G49" s="709"/>
      <c r="H49" s="709"/>
      <c r="I49" s="709"/>
      <c r="J49" s="709"/>
      <c r="K49" s="847"/>
      <c r="L49" s="847"/>
      <c r="M49" s="942" t="s">
        <v>99</v>
      </c>
      <c r="N49" s="942"/>
      <c r="O49" s="942"/>
      <c r="P49" s="4"/>
      <c r="Q49" s="4"/>
      <c r="R49" s="709"/>
      <c r="S49" s="47"/>
    </row>
    <row r="50" spans="1:19" ht="15" customHeight="1">
      <c r="A50" s="4"/>
      <c r="B50" s="4"/>
      <c r="C50" s="493" t="s">
        <v>100</v>
      </c>
      <c r="D50" s="494" t="s">
        <v>101</v>
      </c>
      <c r="E50" s="24" t="s">
        <v>102</v>
      </c>
      <c r="F50" s="709"/>
      <c r="G50" s="709"/>
      <c r="H50" s="493" t="s">
        <v>100</v>
      </c>
      <c r="I50" s="497" t="s">
        <v>103</v>
      </c>
      <c r="J50" s="24" t="s">
        <v>102</v>
      </c>
      <c r="K50" s="4"/>
      <c r="L50" s="4"/>
      <c r="M50" s="494" t="s">
        <v>101</v>
      </c>
      <c r="N50" s="24" t="s">
        <v>104</v>
      </c>
      <c r="O50" s="497" t="s">
        <v>103</v>
      </c>
      <c r="P50" s="4"/>
      <c r="Q50" s="4"/>
      <c r="R50" s="709"/>
      <c r="S50" s="47"/>
    </row>
    <row r="51" spans="1:19" ht="15" customHeight="1">
      <c r="A51" s="4"/>
      <c r="B51" s="495"/>
      <c r="C51" s="496">
        <f>D51*4/7</f>
        <v>40</v>
      </c>
      <c r="D51" s="861">
        <v>70</v>
      </c>
      <c r="E51" s="496">
        <f>100*K168/L168</f>
        <v>34.480649951952479</v>
      </c>
      <c r="F51" s="709"/>
      <c r="G51" s="709"/>
      <c r="H51" s="496">
        <f>I51/2</f>
        <v>40</v>
      </c>
      <c r="I51" s="861">
        <v>80</v>
      </c>
      <c r="J51" s="496">
        <f>100*K169/L169</f>
        <v>34.480649951952479</v>
      </c>
      <c r="K51" s="4"/>
      <c r="L51" s="4"/>
      <c r="M51" s="447">
        <f>N51*7/8</f>
        <v>61.25</v>
      </c>
      <c r="N51" s="861">
        <v>70</v>
      </c>
      <c r="O51" s="447">
        <f>N51*8/7</f>
        <v>80</v>
      </c>
      <c r="P51" s="4"/>
      <c r="Q51" s="4"/>
      <c r="R51" s="709"/>
      <c r="S51" s="47"/>
    </row>
    <row r="52" spans="1:19" ht="15" customHeight="1">
      <c r="A52" s="4"/>
      <c r="B52" s="4"/>
      <c r="C52" s="240"/>
      <c r="D52" s="240"/>
      <c r="E52" s="240"/>
      <c r="F52" s="709"/>
      <c r="G52" s="709"/>
      <c r="H52" s="30"/>
      <c r="I52" s="30"/>
      <c r="J52" s="4"/>
      <c r="K52" s="4"/>
      <c r="L52" s="4"/>
      <c r="M52" s="4"/>
      <c r="N52" s="4"/>
      <c r="O52" s="4"/>
      <c r="P52" s="4"/>
      <c r="Q52" s="4"/>
      <c r="R52" s="709"/>
      <c r="S52" s="47"/>
    </row>
    <row r="53" spans="1:19" ht="15" customHeight="1">
      <c r="A53" s="4"/>
      <c r="B53" s="759" t="s">
        <v>105</v>
      </c>
      <c r="C53" s="24" t="s">
        <v>100</v>
      </c>
      <c r="D53" s="24" t="s">
        <v>102</v>
      </c>
      <c r="E53" s="494" t="s">
        <v>101</v>
      </c>
      <c r="F53" s="497" t="s">
        <v>103</v>
      </c>
      <c r="G53" s="30"/>
      <c r="H53" s="30"/>
      <c r="I53" s="30"/>
      <c r="J53" s="943" t="s">
        <v>106</v>
      </c>
      <c r="K53" s="943"/>
      <c r="L53" s="944"/>
      <c r="M53" s="493" t="s">
        <v>102</v>
      </c>
      <c r="N53" s="24" t="s">
        <v>100</v>
      </c>
      <c r="O53" s="494" t="s">
        <v>101</v>
      </c>
      <c r="P53" s="497" t="s">
        <v>103</v>
      </c>
      <c r="Q53" s="4"/>
      <c r="R53" s="709"/>
      <c r="S53" s="47"/>
    </row>
    <row r="54" spans="1:19" ht="15" customHeight="1">
      <c r="A54" s="240"/>
      <c r="B54" s="240"/>
      <c r="C54" s="862">
        <v>3.4</v>
      </c>
      <c r="D54" s="496">
        <f>100*K171/L171</f>
        <v>2.703316829828303</v>
      </c>
      <c r="E54" s="498">
        <f>C54*7/4</f>
        <v>5.95</v>
      </c>
      <c r="F54" s="447">
        <f>E54*8/7</f>
        <v>6.8</v>
      </c>
      <c r="G54" s="30"/>
      <c r="H54" s="30"/>
      <c r="I54" s="30"/>
      <c r="J54" s="945" t="s">
        <v>107</v>
      </c>
      <c r="K54" s="945"/>
      <c r="L54" s="946"/>
      <c r="M54" s="863">
        <v>100</v>
      </c>
      <c r="N54" s="447">
        <f>M54/(M167)</f>
        <v>100</v>
      </c>
      <c r="O54" s="498">
        <f>N54*7/4</f>
        <v>175</v>
      </c>
      <c r="P54" s="496">
        <f>O54*8/7</f>
        <v>200</v>
      </c>
      <c r="Q54" s="4"/>
      <c r="R54" s="709"/>
      <c r="S54" s="47"/>
    </row>
    <row r="55" spans="1:19" ht="15" customHeight="1">
      <c r="A55" s="240"/>
      <c r="B55" s="240"/>
      <c r="C55" s="679"/>
      <c r="D55" s="499"/>
      <c r="E55" s="499"/>
      <c r="F55" s="499"/>
      <c r="G55" s="30"/>
      <c r="H55" s="30"/>
      <c r="I55" s="30"/>
      <c r="J55" s="506"/>
      <c r="K55" s="679"/>
      <c r="L55" s="499"/>
      <c r="M55" s="499"/>
      <c r="N55" s="499"/>
      <c r="O55" s="683"/>
      <c r="P55" s="709"/>
      <c r="Q55" s="4"/>
      <c r="R55" s="709"/>
      <c r="S55" s="47"/>
    </row>
    <row r="56" spans="1:19" ht="15" customHeight="1">
      <c r="A56" s="240"/>
      <c r="B56" s="947" t="s">
        <v>108</v>
      </c>
      <c r="C56" s="947"/>
      <c r="D56" s="947"/>
      <c r="E56" s="947"/>
      <c r="F56" s="947"/>
      <c r="G56" s="947"/>
      <c r="H56" s="947"/>
      <c r="I56" s="947"/>
      <c r="J56" s="947"/>
      <c r="K56" s="947"/>
      <c r="L56" s="947"/>
      <c r="M56" s="947"/>
      <c r="N56" s="947"/>
      <c r="O56" s="947"/>
      <c r="P56" s="947"/>
      <c r="Q56" s="947"/>
      <c r="R56" s="240"/>
      <c r="S56" s="47"/>
    </row>
    <row r="57" spans="1:19" ht="15" customHeight="1">
      <c r="A57" s="240"/>
      <c r="B57" s="240"/>
      <c r="C57" s="240"/>
      <c r="D57" s="240"/>
      <c r="E57" s="240"/>
      <c r="F57" s="240"/>
      <c r="G57" s="240"/>
      <c r="H57" s="240"/>
      <c r="I57" s="240"/>
      <c r="J57" s="240"/>
      <c r="K57" s="240"/>
      <c r="L57" s="240"/>
      <c r="M57" s="240"/>
      <c r="N57" s="240"/>
      <c r="O57" s="240"/>
      <c r="P57" s="240"/>
      <c r="Q57" s="240"/>
      <c r="R57" s="240"/>
      <c r="S57" s="47"/>
    </row>
    <row r="58" spans="1:19" ht="15" customHeight="1">
      <c r="A58" s="240"/>
      <c r="B58" s="240"/>
      <c r="C58" s="240"/>
      <c r="D58" s="240"/>
      <c r="E58" s="240"/>
      <c r="F58" s="240"/>
      <c r="G58" s="240"/>
      <c r="H58" s="240"/>
      <c r="I58" s="240"/>
      <c r="J58" s="240"/>
      <c r="K58" s="240"/>
      <c r="L58" s="240"/>
      <c r="M58" s="240"/>
      <c r="N58" s="240"/>
      <c r="O58" s="240"/>
      <c r="P58" s="240"/>
      <c r="Q58" s="240"/>
      <c r="R58" s="240"/>
      <c r="S58" s="47"/>
    </row>
    <row r="59" spans="1:19" ht="15" customHeight="1">
      <c r="A59" s="948" t="s">
        <v>109</v>
      </c>
      <c r="B59" s="948"/>
      <c r="C59" s="948"/>
      <c r="D59" s="948"/>
      <c r="E59" s="948"/>
      <c r="F59" s="948"/>
      <c r="G59" s="948"/>
      <c r="H59" s="948"/>
      <c r="I59" s="948"/>
      <c r="J59" s="948"/>
      <c r="K59" s="948"/>
      <c r="L59" s="948"/>
      <c r="M59" s="948"/>
      <c r="N59" s="737"/>
      <c r="O59" s="848"/>
      <c r="P59" s="737"/>
      <c r="Q59" s="4"/>
      <c r="R59" s="709"/>
      <c r="S59" s="47"/>
    </row>
    <row r="60" spans="1:19" ht="15" customHeight="1">
      <c r="A60" s="240"/>
      <c r="B60" s="240"/>
      <c r="C60" s="949" t="s">
        <v>110</v>
      </c>
      <c r="D60" s="949"/>
      <c r="E60" s="949"/>
      <c r="F60" s="737"/>
      <c r="G60" s="4"/>
      <c r="H60" s="4"/>
      <c r="I60" s="4"/>
      <c r="J60" s="507" t="s">
        <v>111</v>
      </c>
      <c r="K60" s="950" t="s">
        <v>112</v>
      </c>
      <c r="L60" s="951"/>
      <c r="M60" s="508" t="s">
        <v>113</v>
      </c>
      <c r="N60" s="849"/>
      <c r="O60" s="850"/>
      <c r="P60" s="850"/>
      <c r="Q60" s="4"/>
      <c r="R60" s="4"/>
      <c r="S60" s="47"/>
    </row>
    <row r="61" spans="1:19" ht="15" customHeight="1">
      <c r="A61" s="240"/>
      <c r="B61" s="240"/>
      <c r="C61" s="952" t="s">
        <v>114</v>
      </c>
      <c r="D61" s="953"/>
      <c r="E61" s="176">
        <v>1170</v>
      </c>
      <c r="F61" s="737"/>
      <c r="G61" s="4"/>
      <c r="H61" s="4"/>
      <c r="I61" s="4"/>
      <c r="J61" s="762">
        <v>20</v>
      </c>
      <c r="K61" s="954" t="s">
        <v>115</v>
      </c>
      <c r="L61" s="955"/>
      <c r="M61" s="509">
        <v>68</v>
      </c>
      <c r="N61" s="1132" t="s">
        <v>116</v>
      </c>
      <c r="O61" s="1133"/>
      <c r="P61" s="1133"/>
      <c r="Q61" s="1133"/>
      <c r="R61" s="851"/>
      <c r="S61" s="47"/>
    </row>
    <row r="62" spans="1:19" ht="15" customHeight="1">
      <c r="A62" s="240"/>
      <c r="B62" s="240"/>
      <c r="C62" s="956" t="s">
        <v>117</v>
      </c>
      <c r="D62" s="957"/>
      <c r="E62" s="20">
        <v>993</v>
      </c>
      <c r="F62" s="737"/>
      <c r="G62" s="4"/>
      <c r="H62" s="4"/>
      <c r="I62" s="4"/>
      <c r="J62" s="510">
        <v>20</v>
      </c>
      <c r="K62" s="958" t="s">
        <v>118</v>
      </c>
      <c r="L62" s="959"/>
      <c r="M62" s="509">
        <v>70</v>
      </c>
      <c r="N62" s="1132"/>
      <c r="O62" s="1133"/>
      <c r="P62" s="1133"/>
      <c r="Q62" s="1133"/>
      <c r="R62" s="851"/>
      <c r="S62" s="47"/>
    </row>
    <row r="63" spans="1:19" ht="14.4" customHeight="1">
      <c r="A63" s="240"/>
      <c r="B63" s="679"/>
      <c r="C63" s="960" t="s">
        <v>119</v>
      </c>
      <c r="D63" s="961"/>
      <c r="E63" s="353">
        <f>(E61-E62)/(7.75-3*(E61-1000)/800)</f>
        <v>24.885764499121265</v>
      </c>
      <c r="F63" s="852"/>
      <c r="G63" s="851"/>
      <c r="H63" s="851"/>
      <c r="I63" s="853"/>
      <c r="J63" s="762">
        <v>1040</v>
      </c>
      <c r="K63" s="962" t="s">
        <v>120</v>
      </c>
      <c r="L63" s="963"/>
      <c r="M63" s="509">
        <v>1040</v>
      </c>
      <c r="N63" s="1132"/>
      <c r="O63" s="1133"/>
      <c r="P63" s="1133"/>
      <c r="Q63" s="1133"/>
      <c r="R63" s="851"/>
      <c r="S63" s="47"/>
    </row>
    <row r="64" spans="1:19" ht="15" customHeight="1">
      <c r="A64" s="240"/>
      <c r="B64" s="240"/>
      <c r="C64" s="1134" t="s">
        <v>121</v>
      </c>
      <c r="D64" s="1134"/>
      <c r="E64" s="1134"/>
      <c r="F64" s="240"/>
      <c r="G64" s="240"/>
      <c r="H64" s="240"/>
      <c r="I64" s="240"/>
      <c r="J64" s="511">
        <f>1*FIXED(J63*((1.00130346-0.000134722124*(((J62+40)*9/5)-40)+0.00000204052596*(((J62+40)*9/5)-40)^2-0.00000000232820948*(((J62+40)*9/5)-40)^3)/(1.00130346-0.000134722124*(((J61+40)*9/5)-40)+0.00000204052596*(((J61+40)*9/5)-40)^2-0.00000000232820948*(((J61+40)*9/5)-40)^3)),1)</f>
        <v>1040</v>
      </c>
      <c r="K64" s="964" t="s">
        <v>122</v>
      </c>
      <c r="L64" s="965"/>
      <c r="M64" s="512">
        <f>1*FIXED(M63*((1.00130346-0.000134722124*M62+0.00000204052596*M62^2-0.00000000232820948*M62^3)/(1.00130346-0.000134722124*M61+0.00000204052596*M61^2-0.00000000232820948*M61^3)),1)</f>
        <v>1040.2</v>
      </c>
      <c r="N64" s="854"/>
      <c r="O64" s="737"/>
      <c r="P64" s="737"/>
      <c r="Q64" s="4"/>
      <c r="R64" s="851"/>
      <c r="S64" s="47"/>
    </row>
    <row r="65" spans="1:19" ht="15" customHeight="1">
      <c r="A65" s="240"/>
      <c r="B65" s="240"/>
      <c r="C65" s="1135"/>
      <c r="D65" s="1135"/>
      <c r="E65" s="1135"/>
      <c r="F65" s="487"/>
      <c r="G65" s="855"/>
      <c r="H65" s="855"/>
      <c r="I65" s="4"/>
      <c r="J65" s="507" t="s">
        <v>111</v>
      </c>
      <c r="K65" s="966" t="s">
        <v>117</v>
      </c>
      <c r="L65" s="967"/>
      <c r="M65" s="508" t="s">
        <v>113</v>
      </c>
      <c r="N65" s="854"/>
      <c r="O65" s="737"/>
      <c r="P65" s="737"/>
      <c r="Q65" s="4"/>
      <c r="R65" s="4"/>
      <c r="S65" s="47"/>
    </row>
    <row r="66" spans="1:19" ht="15" customHeight="1">
      <c r="A66" s="240"/>
      <c r="B66" s="240"/>
      <c r="C66" s="1135"/>
      <c r="D66" s="1135"/>
      <c r="E66" s="1135"/>
      <c r="F66" s="855"/>
      <c r="G66" s="855"/>
      <c r="H66" s="855"/>
      <c r="I66" s="856"/>
      <c r="J66" s="762">
        <f>J61</f>
        <v>20</v>
      </c>
      <c r="K66" s="954" t="s">
        <v>123</v>
      </c>
      <c r="L66" s="955"/>
      <c r="M66" s="509">
        <f>M61</f>
        <v>68</v>
      </c>
      <c r="N66" s="854"/>
      <c r="O66" s="737"/>
      <c r="P66" s="737"/>
      <c r="Q66" s="855"/>
      <c r="R66" s="855"/>
      <c r="S66" s="47"/>
    </row>
    <row r="67" spans="1:19" s="149" customFormat="1" ht="15" customHeight="1">
      <c r="A67" s="240"/>
      <c r="B67" s="968" t="s">
        <v>124</v>
      </c>
      <c r="C67" s="968"/>
      <c r="D67" s="968"/>
      <c r="E67" s="968"/>
      <c r="F67" s="1136" t="s">
        <v>125</v>
      </c>
      <c r="G67" s="1136"/>
      <c r="H67" s="1136"/>
      <c r="I67" s="856"/>
      <c r="J67" s="510">
        <v>20</v>
      </c>
      <c r="K67" s="958" t="s">
        <v>118</v>
      </c>
      <c r="L67" s="959"/>
      <c r="M67" s="509">
        <v>70</v>
      </c>
      <c r="N67" s="854"/>
      <c r="O67" s="737"/>
      <c r="P67" s="737"/>
      <c r="Q67" s="855"/>
      <c r="R67" s="855"/>
      <c r="S67" s="643"/>
    </row>
    <row r="68" spans="1:19" s="149" customFormat="1" ht="15" customHeight="1">
      <c r="A68" s="240"/>
      <c r="B68" s="240"/>
      <c r="C68" s="952" t="s">
        <v>114</v>
      </c>
      <c r="D68" s="953"/>
      <c r="E68" s="514">
        <v>170</v>
      </c>
      <c r="F68" s="1136"/>
      <c r="G68" s="1136"/>
      <c r="H68" s="1136"/>
      <c r="I68" s="856"/>
      <c r="J68" s="762">
        <v>1010.5</v>
      </c>
      <c r="K68" s="962" t="s">
        <v>126</v>
      </c>
      <c r="L68" s="963"/>
      <c r="M68" s="509">
        <v>1010.5</v>
      </c>
      <c r="N68" s="854"/>
      <c r="O68" s="737"/>
      <c r="P68" s="737"/>
      <c r="Q68" s="855"/>
      <c r="R68" s="855"/>
      <c r="S68" s="643"/>
    </row>
    <row r="69" spans="1:19" s="149" customFormat="1" ht="15" customHeight="1">
      <c r="A69" s="240"/>
      <c r="B69" s="240"/>
      <c r="C69" s="956" t="s">
        <v>117</v>
      </c>
      <c r="D69" s="957"/>
      <c r="E69" s="515">
        <v>-7</v>
      </c>
      <c r="F69" s="1136"/>
      <c r="G69" s="1136"/>
      <c r="H69" s="1136"/>
      <c r="I69" s="737"/>
      <c r="J69" s="511">
        <f>1*FIXED(J68*((1.00130346-0.000134722124*(((J67+40)*9/5)-40)+0.00000204052596*(((J67+40)*9/5)-40)^2-0.00000000232820948*(((J67+40)*9/5)-40)^3)/(1.00130346-0.000134722124*(((J66+40)*9/5)-40)+0.00000204052596*(((J66+40)*9/5)-40)^2-0.00000000232820948*(((J66+40)*9/5)-40)^3)),1)</f>
        <v>1010.5</v>
      </c>
      <c r="K69" s="964" t="s">
        <v>127</v>
      </c>
      <c r="L69" s="965"/>
      <c r="M69" s="512">
        <f>1*FIXED(M68*((1.00130346-0.000134722124*M67+0.00000204052596*M67^2-0.00000000232820948*M67^3)/(1.00130346-0.000134722124*M66+0.00000204052596*M66^2-0.00000000232820948*M66^3)),1)</f>
        <v>1010.7</v>
      </c>
      <c r="N69" s="854"/>
      <c r="O69" s="737"/>
      <c r="P69" s="737"/>
      <c r="Q69" s="737"/>
      <c r="R69" s="709"/>
      <c r="S69" s="643"/>
    </row>
    <row r="70" spans="1:19" s="149" customFormat="1" ht="15" customHeight="1">
      <c r="A70" s="240"/>
      <c r="B70" s="240"/>
      <c r="C70" s="960" t="s">
        <v>119</v>
      </c>
      <c r="D70" s="961"/>
      <c r="E70" s="516">
        <f>(E68-E69)/(7.75-3*E68/800)</f>
        <v>24.885764499121265</v>
      </c>
      <c r="F70" s="1136"/>
      <c r="G70" s="1136"/>
      <c r="H70" s="1136"/>
      <c r="I70" s="737"/>
      <c r="J70" s="558" t="str">
        <f>FIXED((J64-J69)/(7.75-3*(J64-1000)/800),2)&amp;"%"</f>
        <v>3.88%</v>
      </c>
      <c r="K70" s="969" t="s">
        <v>128</v>
      </c>
      <c r="L70" s="970"/>
      <c r="M70" s="559" t="str">
        <f>FIXED((M64-M69)/(7.75-3*(M64-1000)/800),2)&amp;"%"</f>
        <v>3.88%</v>
      </c>
      <c r="N70" s="854"/>
      <c r="O70" s="737"/>
      <c r="P70" s="737"/>
      <c r="Q70" s="737"/>
      <c r="R70" s="709"/>
      <c r="S70" s="643"/>
    </row>
    <row r="71" spans="1:19" s="149" customFormat="1" ht="15" customHeight="1">
      <c r="A71" s="737"/>
      <c r="B71" s="737"/>
      <c r="C71" s="737"/>
      <c r="D71" s="737"/>
      <c r="E71" s="737"/>
      <c r="F71" s="1136"/>
      <c r="G71" s="1136"/>
      <c r="H71" s="1136"/>
      <c r="I71" s="737"/>
      <c r="J71" s="643"/>
      <c r="K71" s="737"/>
      <c r="L71" s="737"/>
      <c r="M71" s="737"/>
      <c r="N71" s="737"/>
      <c r="O71" s="737"/>
      <c r="P71" s="737"/>
      <c r="Q71" s="737"/>
      <c r="R71" s="709"/>
      <c r="S71" s="643"/>
    </row>
    <row r="72" spans="1:19" ht="15" customHeight="1">
      <c r="A72" s="737"/>
      <c r="B72" s="737"/>
      <c r="C72" s="737"/>
      <c r="D72" s="737"/>
      <c r="E72" s="737"/>
      <c r="F72" s="737"/>
      <c r="G72" s="737"/>
      <c r="H72" s="737"/>
      <c r="I72" s="737"/>
      <c r="J72" s="737"/>
      <c r="K72" s="737"/>
      <c r="L72" s="737"/>
      <c r="M72" s="737"/>
      <c r="N72" s="737"/>
      <c r="O72" s="737"/>
      <c r="P72" s="737"/>
      <c r="Q72" s="737"/>
      <c r="R72" s="709"/>
      <c r="S72" s="47"/>
    </row>
    <row r="73" spans="1:19" ht="15" customHeight="1">
      <c r="A73" s="971" t="s">
        <v>7</v>
      </c>
      <c r="B73" s="971"/>
      <c r="C73" s="971"/>
      <c r="D73" s="971"/>
      <c r="E73" s="4"/>
      <c r="F73" s="4"/>
      <c r="G73" s="737"/>
      <c r="H73" s="4"/>
      <c r="I73" s="202" t="s">
        <v>129</v>
      </c>
      <c r="J73" s="972" t="s">
        <v>130</v>
      </c>
      <c r="K73" s="972"/>
      <c r="L73" s="972"/>
      <c r="M73" s="972"/>
      <c r="N73" s="681"/>
      <c r="O73" s="681"/>
      <c r="P73" s="681"/>
      <c r="Q73" s="681"/>
      <c r="R73" s="709"/>
      <c r="S73" s="47"/>
    </row>
    <row r="74" spans="1:19" ht="15" customHeight="1">
      <c r="A74" s="4"/>
      <c r="B74" s="4"/>
      <c r="C74" s="973"/>
      <c r="D74" s="974"/>
      <c r="E74" s="507" t="s">
        <v>111</v>
      </c>
      <c r="F74" s="508" t="s">
        <v>113</v>
      </c>
      <c r="G74" s="737"/>
      <c r="H74" s="4"/>
      <c r="I74" s="560"/>
      <c r="J74" s="973"/>
      <c r="K74" s="974"/>
      <c r="L74" s="507" t="s">
        <v>111</v>
      </c>
      <c r="M74" s="508" t="s">
        <v>113</v>
      </c>
      <c r="N74" s="939" t="s">
        <v>131</v>
      </c>
      <c r="O74" s="940"/>
      <c r="P74" s="940"/>
      <c r="Q74" s="940"/>
      <c r="R74" s="709"/>
      <c r="S74" s="47"/>
    </row>
    <row r="75" spans="1:19" ht="15" customHeight="1">
      <c r="A75" s="4"/>
      <c r="B75" s="4"/>
      <c r="C75" s="975" t="s">
        <v>115</v>
      </c>
      <c r="D75" s="976"/>
      <c r="E75" s="338">
        <v>20</v>
      </c>
      <c r="F75" s="517">
        <v>68</v>
      </c>
      <c r="G75" s="737"/>
      <c r="H75" s="4"/>
      <c r="I75" s="560"/>
      <c r="J75" s="975" t="s">
        <v>115</v>
      </c>
      <c r="K75" s="976"/>
      <c r="L75" s="338">
        <v>20</v>
      </c>
      <c r="M75" s="517">
        <v>68</v>
      </c>
      <c r="N75" s="4"/>
      <c r="O75" s="4"/>
      <c r="P75" s="4"/>
      <c r="Q75" s="4"/>
      <c r="R75" s="709"/>
      <c r="S75" s="47"/>
    </row>
    <row r="76" spans="1:19" ht="15" customHeight="1">
      <c r="A76" s="4"/>
      <c r="B76" s="4"/>
      <c r="C76" s="977" t="s">
        <v>132</v>
      </c>
      <c r="D76" s="978"/>
      <c r="E76" s="338">
        <v>24</v>
      </c>
      <c r="F76" s="518">
        <v>75.2</v>
      </c>
      <c r="G76" s="737"/>
      <c r="H76" s="4"/>
      <c r="I76" s="560"/>
      <c r="J76" s="977" t="s">
        <v>132</v>
      </c>
      <c r="K76" s="978"/>
      <c r="L76" s="338">
        <v>24</v>
      </c>
      <c r="M76" s="518">
        <v>75.2</v>
      </c>
      <c r="N76" s="4"/>
      <c r="O76" s="4"/>
      <c r="P76" s="4"/>
      <c r="Q76" s="4"/>
      <c r="R76" s="709"/>
      <c r="S76" s="47"/>
    </row>
    <row r="77" spans="1:19" ht="15" customHeight="1">
      <c r="A77" s="4"/>
      <c r="B77" s="4"/>
      <c r="C77" s="979" t="s">
        <v>133</v>
      </c>
      <c r="D77" s="980"/>
      <c r="E77" s="338">
        <v>1079</v>
      </c>
      <c r="F77" s="519">
        <v>1079</v>
      </c>
      <c r="G77" s="737"/>
      <c r="H77" s="4"/>
      <c r="I77" s="560"/>
      <c r="J77" s="979" t="s">
        <v>133</v>
      </c>
      <c r="K77" s="981"/>
      <c r="L77" s="338">
        <v>79</v>
      </c>
      <c r="M77" s="519">
        <v>79</v>
      </c>
      <c r="N77" s="4"/>
      <c r="O77" s="4"/>
      <c r="P77" s="4"/>
      <c r="Q77" s="4"/>
      <c r="R77" s="709"/>
      <c r="S77" s="47"/>
    </row>
    <row r="78" spans="1:19" ht="15" customHeight="1">
      <c r="A78" s="4"/>
      <c r="B78" s="4"/>
      <c r="C78" s="982" t="s">
        <v>134</v>
      </c>
      <c r="D78" s="983"/>
      <c r="E78" s="691">
        <f>1*(FIXED(E77*((1.00130346-0.000134722124*(((E76+40)*9/5)-40)+0.00000204052596*POWER((((E76+40)*9/5)-40),2)-0.00000000232820948*POWER((((E76+40)*9/5)-40),3))/(1.00130346-0.000134722124*(((E75+40)*9/5)-40)+0.00000204052596*POWER((((E75+40)*9/5)-40),2)-0.00000000232820948*POWER((((E75+40)*9/5)-40),3))),1))</f>
        <v>1079.9000000000001</v>
      </c>
      <c r="F78" s="520">
        <f>1*FIXED((F77)*((1.00130346-0.000134722124*F76+0.00000204052596*POWER(F76,2)-0.00000000232820948*POWER(F76,3))/(1.00130346-0.000134722124*F75+0.00000204052596*POWER(F75,2)-0.00000000232820948*POWER(F75,3))),1)</f>
        <v>1079.9000000000001</v>
      </c>
      <c r="G78" s="4"/>
      <c r="H78" s="487"/>
      <c r="I78" s="560"/>
      <c r="J78" s="984" t="s">
        <v>134</v>
      </c>
      <c r="K78" s="984"/>
      <c r="L78" s="691">
        <f>(FIXED((1000+L77)*((1.00130346-0.000134722124*(((L76+40)*9/5)-40)+0.00000204052596*POWER((((L76+40)*9/5)-40),2)-0.00000000232820948*POWER((((L76+40)*9/5)-40),3))/(1.00130346-0.000134722124*(((L75+40)*9/5)-40)+0.00000204052596*POWER((((L75+40)*9/5)-40),2)-0.00000000232820948*POWER((((L75+40)*9/5)-40),3))),1)-1000)</f>
        <v>79.900000000000091</v>
      </c>
      <c r="M78" s="520">
        <f>1*FIXED((M77+1000)*((1.00130346-0.000134722124*M76+0.00000204052596*POWER(M76,2)-0.00000000232820948*POWER(M76,3))/(1.00130346-0.000134722124*M75+0.00000204052596*POWER(M75,2)-0.00000000232820948*POWER(M75,3))),1)-1000</f>
        <v>79.900000000000091</v>
      </c>
      <c r="N78" s="4"/>
      <c r="O78" s="4"/>
      <c r="P78" s="4"/>
      <c r="Q78" s="4"/>
      <c r="R78" s="709"/>
      <c r="S78" s="47"/>
    </row>
    <row r="79" spans="1:19" ht="15" customHeight="1">
      <c r="A79" s="4"/>
      <c r="B79" s="4"/>
      <c r="C79" s="4"/>
      <c r="D79" s="4"/>
      <c r="E79" s="4"/>
      <c r="F79" s="4"/>
      <c r="G79" s="4"/>
      <c r="H79" s="4"/>
      <c r="I79" s="560"/>
      <c r="J79" s="4"/>
      <c r="K79" s="4"/>
      <c r="L79" s="4"/>
      <c r="M79" s="4"/>
      <c r="N79" s="4"/>
      <c r="O79" s="4"/>
      <c r="P79" s="4"/>
      <c r="Q79" s="4"/>
      <c r="R79" s="709"/>
      <c r="S79" s="47"/>
    </row>
    <row r="80" spans="1:19" ht="15" customHeight="1">
      <c r="A80" s="4"/>
      <c r="B80" s="4"/>
      <c r="C80" s="4"/>
      <c r="D80" s="4"/>
      <c r="E80" s="4"/>
      <c r="F80" s="4"/>
      <c r="G80" s="4"/>
      <c r="H80" s="4"/>
      <c r="I80" s="560"/>
      <c r="J80" s="4"/>
      <c r="K80" s="4"/>
      <c r="L80" s="4"/>
      <c r="M80" s="4"/>
      <c r="N80" s="4"/>
      <c r="O80" s="4"/>
      <c r="P80" s="4"/>
      <c r="Q80" s="4"/>
      <c r="R80" s="709"/>
      <c r="S80" s="47"/>
    </row>
    <row r="81" spans="1:19" ht="15" customHeight="1">
      <c r="A81" s="927" t="s">
        <v>8</v>
      </c>
      <c r="B81" s="927"/>
      <c r="C81" s="4"/>
      <c r="D81" s="4"/>
      <c r="E81" s="4"/>
      <c r="F81" s="4"/>
      <c r="G81" s="4"/>
      <c r="H81" s="4"/>
      <c r="I81" s="202" t="s">
        <v>129</v>
      </c>
      <c r="J81" s="972" t="s">
        <v>130</v>
      </c>
      <c r="K81" s="972"/>
      <c r="L81" s="972"/>
      <c r="M81" s="972"/>
      <c r="N81" s="4"/>
      <c r="O81" s="4"/>
      <c r="P81" s="4"/>
      <c r="Q81" s="4"/>
      <c r="R81" s="709"/>
      <c r="S81" s="47"/>
    </row>
    <row r="82" spans="1:19" ht="15" customHeight="1">
      <c r="A82" s="985" t="s">
        <v>135</v>
      </c>
      <c r="B82" s="986"/>
      <c r="C82" s="447" t="s">
        <v>136</v>
      </c>
      <c r="D82" s="987" t="s">
        <v>137</v>
      </c>
      <c r="E82" s="987"/>
      <c r="F82" s="694" t="s">
        <v>138</v>
      </c>
      <c r="G82" s="1137" t="s">
        <v>139</v>
      </c>
      <c r="H82" s="1138"/>
      <c r="I82" s="1139"/>
      <c r="J82" s="447" t="s">
        <v>136</v>
      </c>
      <c r="K82" s="987" t="s">
        <v>137</v>
      </c>
      <c r="L82" s="987"/>
      <c r="M82" s="694" t="s">
        <v>138</v>
      </c>
      <c r="N82" s="487"/>
      <c r="O82" s="251"/>
      <c r="P82" s="251"/>
      <c r="Q82" s="251"/>
      <c r="R82" s="709"/>
      <c r="S82" s="47"/>
    </row>
    <row r="83" spans="1:19" ht="15" customHeight="1">
      <c r="A83" s="709"/>
      <c r="B83" s="709"/>
      <c r="C83" s="762">
        <v>1080</v>
      </c>
      <c r="D83" s="988">
        <f>(-616.868)+(1111.14*(C83/1000))-(630.272*(C83/1000)^2)+(135.997*(C83/1000)^3)</f>
        <v>19.330992064000014</v>
      </c>
      <c r="E83" s="989"/>
      <c r="F83" s="521">
        <f>145.14-(145140/C83)</f>
        <v>10.751111111111101</v>
      </c>
      <c r="G83" s="1137"/>
      <c r="H83" s="1138"/>
      <c r="I83" s="1139"/>
      <c r="J83" s="762">
        <v>80</v>
      </c>
      <c r="K83" s="988">
        <f>(-616.868)+(1111.14*((J83+1000)/1000))-(630.272*((J83+1000)/1000)^2)+(135.997*((J83+1000)/1000)^3)</f>
        <v>19.330992064000014</v>
      </c>
      <c r="L83" s="989"/>
      <c r="M83" s="561">
        <f>145.14-((145140/(J83+1000)))</f>
        <v>10.751111111111101</v>
      </c>
      <c r="N83" s="857"/>
      <c r="O83" s="251"/>
      <c r="P83" s="251"/>
      <c r="Q83" s="251"/>
      <c r="R83" s="709"/>
      <c r="S83" s="47"/>
    </row>
    <row r="84" spans="1:19" ht="15" customHeight="1">
      <c r="A84" s="709"/>
      <c r="B84" s="709"/>
      <c r="C84" s="691">
        <f>1000*(1+(D84/(258.6-((D84/258.2)*227.1))))</f>
        <v>1020.0697094798217</v>
      </c>
      <c r="D84" s="990">
        <v>5.0999999999999996</v>
      </c>
      <c r="E84" s="991"/>
      <c r="F84" s="691">
        <f>145.14-(145140/C84)</f>
        <v>2.8556064422172938</v>
      </c>
      <c r="G84" s="4"/>
      <c r="H84" s="4"/>
      <c r="I84" s="4"/>
      <c r="J84" s="691">
        <f>1000*((K84/(258.6-((K84/258.2)*227.1))))</f>
        <v>20.069709479821693</v>
      </c>
      <c r="K84" s="992">
        <v>5.0999999999999996</v>
      </c>
      <c r="L84" s="992"/>
      <c r="M84" s="691">
        <f>145.14-((145140/(J84+1000)))</f>
        <v>2.8556064422172938</v>
      </c>
      <c r="N84" s="857"/>
      <c r="O84" s="251"/>
      <c r="P84" s="251"/>
      <c r="Q84" s="251"/>
      <c r="R84" s="709"/>
      <c r="S84" s="47"/>
    </row>
    <row r="85" spans="1:19" ht="15" customHeight="1">
      <c r="A85" s="709"/>
      <c r="B85" s="709"/>
      <c r="C85" s="691">
        <f>1000*145.14/(145.14-F85)</f>
        <v>1063.7642919964819</v>
      </c>
      <c r="D85" s="988">
        <f>(-616.868)+(1111.14*(C85/1000))-(630.272*(C85/1000)^2)+(135.997*(C85/1000)^3)</f>
        <v>15.617106353030067</v>
      </c>
      <c r="E85" s="989"/>
      <c r="F85" s="762">
        <v>8.6999999999999993</v>
      </c>
      <c r="G85" s="4"/>
      <c r="H85" s="4"/>
      <c r="I85" s="4"/>
      <c r="J85" s="691">
        <f>1000*(145.14/(145.14-M85)-1)</f>
        <v>63.764291996481816</v>
      </c>
      <c r="K85" s="993">
        <f>(-616.868)+(1111.14*((J85+1000)/1000))-(630.272*((J85+1000)/1000)^2)+(135.997*((J85+1000)/1000)^3)</f>
        <v>15.617106353030067</v>
      </c>
      <c r="L85" s="993"/>
      <c r="M85" s="762">
        <v>8.6999999999999993</v>
      </c>
      <c r="N85" s="857"/>
      <c r="O85" s="251"/>
      <c r="P85" s="251"/>
      <c r="Q85" s="251"/>
      <c r="R85" s="709"/>
      <c r="S85" s="47"/>
    </row>
    <row r="86" spans="1:19" ht="15" customHeight="1">
      <c r="A86" s="709"/>
      <c r="B86" s="1140" t="s">
        <v>140</v>
      </c>
      <c r="C86" s="1140"/>
      <c r="D86" s="1140"/>
      <c r="E86" s="1140"/>
      <c r="F86" s="1140"/>
      <c r="G86" s="1140"/>
      <c r="H86" s="1140"/>
      <c r="I86" s="709"/>
      <c r="J86" s="4"/>
      <c r="K86" s="4"/>
      <c r="L86" s="4"/>
      <c r="M86" s="4"/>
      <c r="N86" s="4"/>
      <c r="O86" s="4"/>
      <c r="P86" s="4"/>
      <c r="Q86" s="4"/>
      <c r="R86" s="709"/>
      <c r="S86" s="47"/>
    </row>
    <row r="87" spans="1:19" ht="15" customHeight="1">
      <c r="A87" s="709"/>
      <c r="B87" s="1140"/>
      <c r="C87" s="1140"/>
      <c r="D87" s="1140"/>
      <c r="E87" s="1140"/>
      <c r="F87" s="1140"/>
      <c r="G87" s="1140"/>
      <c r="H87" s="1140"/>
      <c r="I87" s="709"/>
      <c r="J87" s="994" t="s">
        <v>141</v>
      </c>
      <c r="K87" s="995"/>
      <c r="L87" s="995"/>
      <c r="M87" s="996"/>
      <c r="N87" s="4"/>
      <c r="O87" s="4"/>
      <c r="P87" s="4"/>
      <c r="Q87" s="4"/>
      <c r="R87" s="709"/>
      <c r="S87" s="47"/>
    </row>
    <row r="88" spans="1:19" ht="15" customHeight="1">
      <c r="A88" s="709"/>
      <c r="B88" s="1140"/>
      <c r="C88" s="1140"/>
      <c r="D88" s="1140"/>
      <c r="E88" s="1140"/>
      <c r="F88" s="1140"/>
      <c r="G88" s="1140"/>
      <c r="H88" s="1140"/>
      <c r="I88" s="709"/>
      <c r="J88" s="997" t="s">
        <v>142</v>
      </c>
      <c r="K88" s="998"/>
      <c r="L88" s="999"/>
      <c r="M88" s="562">
        <v>1079</v>
      </c>
      <c r="N88" s="4"/>
      <c r="O88" s="4"/>
      <c r="P88" s="4"/>
      <c r="Q88" s="4"/>
      <c r="R88" s="709"/>
      <c r="S88" s="47"/>
    </row>
    <row r="89" spans="1:19" ht="15" customHeight="1">
      <c r="A89" s="709"/>
      <c r="B89" s="1140"/>
      <c r="C89" s="1140"/>
      <c r="D89" s="1140"/>
      <c r="E89" s="1140"/>
      <c r="F89" s="1140"/>
      <c r="G89" s="1140"/>
      <c r="H89" s="1140"/>
      <c r="I89" s="709"/>
      <c r="J89" s="1000" t="s">
        <v>143</v>
      </c>
      <c r="K89" s="1001"/>
      <c r="L89" s="1002"/>
      <c r="M89" s="563">
        <v>21</v>
      </c>
      <c r="N89" s="4"/>
      <c r="O89" s="4"/>
      <c r="P89" s="4"/>
      <c r="Q89" s="4"/>
      <c r="R89" s="709"/>
      <c r="S89" s="47"/>
    </row>
    <row r="90" spans="1:19" ht="15" customHeight="1">
      <c r="A90" s="709"/>
      <c r="B90" s="1003" t="s">
        <v>144</v>
      </c>
      <c r="C90" s="1003"/>
      <c r="D90" s="1003"/>
      <c r="E90" s="1003"/>
      <c r="F90" s="1003"/>
      <c r="G90" s="1003"/>
      <c r="H90" s="1003"/>
      <c r="I90" s="709"/>
      <c r="J90" s="1004" t="s">
        <v>145</v>
      </c>
      <c r="K90" s="1005"/>
      <c r="L90" s="1005"/>
      <c r="M90" s="564">
        <f>M89*M89/((0.66872*M88)-463.37-(205.347*((M88/1000)^2)))</f>
        <v>23.082378571129247</v>
      </c>
      <c r="N90" s="845"/>
      <c r="O90" s="845"/>
      <c r="P90" s="845"/>
      <c r="Q90" s="845"/>
      <c r="R90" s="709"/>
      <c r="S90" s="47"/>
    </row>
    <row r="91" spans="1:19" ht="15" customHeight="1">
      <c r="A91" s="709"/>
      <c r="B91" s="709"/>
      <c r="C91" s="709"/>
      <c r="D91" s="709"/>
      <c r="E91" s="709"/>
      <c r="F91" s="709"/>
      <c r="G91" s="709"/>
      <c r="H91" s="709"/>
      <c r="I91" s="709"/>
      <c r="J91" s="709"/>
      <c r="K91" s="709"/>
      <c r="L91" s="709"/>
      <c r="M91" s="709"/>
      <c r="N91" s="709"/>
      <c r="O91" s="709"/>
      <c r="P91" s="845"/>
      <c r="Q91" s="845"/>
      <c r="R91" s="709"/>
      <c r="S91" s="47"/>
    </row>
    <row r="92" spans="1:19" ht="15" customHeight="1">
      <c r="A92" s="709"/>
      <c r="B92" s="709"/>
      <c r="C92" s="709"/>
      <c r="D92" s="709"/>
      <c r="E92" s="709"/>
      <c r="F92" s="709"/>
      <c r="G92" s="709"/>
      <c r="H92" s="709"/>
      <c r="I92" s="709"/>
      <c r="J92" s="4"/>
      <c r="K92" s="4"/>
      <c r="L92" s="4"/>
      <c r="M92" s="4"/>
      <c r="N92" s="4"/>
      <c r="O92" s="4"/>
      <c r="P92" s="4"/>
      <c r="Q92" s="4"/>
      <c r="R92" s="709"/>
      <c r="S92" s="47"/>
    </row>
    <row r="93" spans="1:19" ht="15" customHeight="1">
      <c r="A93" s="1006" t="s">
        <v>146</v>
      </c>
      <c r="B93" s="1006"/>
      <c r="C93" s="1006"/>
      <c r="D93" s="1006"/>
      <c r="E93" s="1006"/>
      <c r="F93" s="1006"/>
      <c r="G93" s="1006"/>
      <c r="H93" s="1006"/>
      <c r="I93" s="1006"/>
      <c r="J93" s="4"/>
      <c r="K93" s="4"/>
      <c r="L93" s="4"/>
      <c r="M93" s="4"/>
      <c r="N93" s="4"/>
      <c r="O93" s="4"/>
      <c r="P93" s="4"/>
      <c r="Q93" s="4"/>
      <c r="R93" s="709"/>
      <c r="S93" s="47"/>
    </row>
    <row r="94" spans="1:19" ht="15" customHeight="1">
      <c r="A94" s="4"/>
      <c r="B94" s="737"/>
      <c r="C94" s="858" t="s">
        <v>147</v>
      </c>
      <c r="D94" s="1007" t="s">
        <v>148</v>
      </c>
      <c r="E94" s="1007"/>
      <c r="F94" s="1008" t="s">
        <v>149</v>
      </c>
      <c r="G94" s="1009"/>
      <c r="H94" s="1008" t="s">
        <v>150</v>
      </c>
      <c r="I94" s="1009"/>
      <c r="J94" s="985" t="s">
        <v>151</v>
      </c>
      <c r="K94" s="985"/>
      <c r="L94" s="985"/>
      <c r="M94" s="565">
        <v>3.15</v>
      </c>
      <c r="N94" s="240" t="s">
        <v>51</v>
      </c>
      <c r="O94" s="4"/>
      <c r="P94" s="4"/>
      <c r="Q94" s="4"/>
      <c r="R94" s="709"/>
      <c r="S94" s="47"/>
    </row>
    <row r="95" spans="1:19" ht="15" customHeight="1">
      <c r="A95" s="4"/>
      <c r="B95" s="737"/>
      <c r="C95" s="522" t="s">
        <v>152</v>
      </c>
      <c r="D95" s="459" t="s">
        <v>95</v>
      </c>
      <c r="E95" s="447" t="s">
        <v>97</v>
      </c>
      <c r="F95" s="523">
        <f>F96/1000*(C96-VLOOKUP(D96,P110:Q153,2))/Q109</f>
        <v>8.1034151785714297</v>
      </c>
      <c r="G95" s="859" t="str">
        <f>FIXED(SUM(-16.6999,PRODUCT(-0.0101059,E96),PRODUCT(0.00116512,POWER(E96,2)),PRODUCT(0.173354,E96,C96),PRODUCT(4.24267,C96),PRODUCT(-0.0684226,POWER(C96,2))),2)</f>
        <v>35.48</v>
      </c>
      <c r="H95" s="1010" t="s">
        <v>153</v>
      </c>
      <c r="I95" s="1011"/>
      <c r="J95" s="240"/>
      <c r="K95" s="1012" t="s">
        <v>154</v>
      </c>
      <c r="L95" s="1013"/>
      <c r="M95" s="1014"/>
      <c r="N95" s="240"/>
      <c r="O95" s="4"/>
      <c r="P95" s="240"/>
      <c r="Q95" s="240"/>
      <c r="R95" s="709"/>
      <c r="S95" s="47"/>
    </row>
    <row r="96" spans="1:19" ht="15" customHeight="1">
      <c r="A96" s="4"/>
      <c r="B96" s="737"/>
      <c r="C96" s="524">
        <v>3</v>
      </c>
      <c r="D96" s="762">
        <v>20</v>
      </c>
      <c r="E96" s="525">
        <f>((D96+40)*(9/5))-40</f>
        <v>68</v>
      </c>
      <c r="F96" s="526">
        <v>1000</v>
      </c>
      <c r="G96" s="527" t="s">
        <v>73</v>
      </c>
      <c r="H96" s="1015" t="str">
        <f>FIXED((G95),1)&amp;" PSI"</f>
        <v>35.5 PSI</v>
      </c>
      <c r="I96" s="1016"/>
      <c r="J96" s="709"/>
      <c r="K96" s="353" t="s">
        <v>54</v>
      </c>
      <c r="L96" s="353" t="s">
        <v>155</v>
      </c>
      <c r="M96" s="353" t="s">
        <v>156</v>
      </c>
      <c r="N96" s="240"/>
      <c r="O96" s="240"/>
      <c r="P96" s="240"/>
      <c r="Q96" s="240"/>
      <c r="R96" s="709"/>
      <c r="S96" s="47"/>
    </row>
    <row r="97" spans="1:19" ht="15" customHeight="1">
      <c r="A97" s="4"/>
      <c r="B97" s="737"/>
      <c r="C97" s="528" t="s">
        <v>157</v>
      </c>
      <c r="D97" s="1017" t="s">
        <v>158</v>
      </c>
      <c r="E97" s="1018"/>
      <c r="F97" s="529" t="str">
        <f>"= "&amp;FIXED(F95)&amp;""</f>
        <v>= 8.10</v>
      </c>
      <c r="G97" s="530" t="s">
        <v>51</v>
      </c>
      <c r="H97" s="1019" t="str">
        <f>"OR "&amp;FIXED((G95*0.068046),2)&amp;" Atm."</f>
        <v>OR 2.41 Atm.</v>
      </c>
      <c r="I97" s="1020"/>
      <c r="J97" s="240"/>
      <c r="K97" s="341">
        <f>L97*M94</f>
        <v>3.15</v>
      </c>
      <c r="L97" s="762">
        <v>1</v>
      </c>
      <c r="M97" s="356">
        <f>L97/M94</f>
        <v>0.31746031746031744</v>
      </c>
      <c r="N97" s="240"/>
      <c r="O97" s="240"/>
      <c r="P97" s="240"/>
      <c r="Q97" s="240"/>
      <c r="R97" s="709"/>
      <c r="S97" s="47"/>
    </row>
    <row r="98" spans="1:19" ht="15" customHeight="1">
      <c r="A98" s="4"/>
      <c r="B98" s="737"/>
      <c r="C98" s="811" t="s">
        <v>159</v>
      </c>
      <c r="D98" s="1021" t="s">
        <v>160</v>
      </c>
      <c r="E98" s="1022"/>
      <c r="F98" s="1023" t="str">
        <f>"= "&amp;FIXED(F95/M94,2)&amp;" level 5ml tsp"</f>
        <v>= 2.57 level 5ml tsp</v>
      </c>
      <c r="G98" s="1023"/>
      <c r="H98" s="1024" t="str">
        <f>"OR "&amp;FIXED((G95*0.068948),2)&amp;" Bar "</f>
        <v xml:space="preserve">OR 2.45 Bar </v>
      </c>
      <c r="I98" s="1025"/>
      <c r="J98" s="240"/>
      <c r="K98" s="923" t="str">
        <f>1*FIXED(L97)&amp;" g sugar = "&amp;1*FIXED(M97,3)&amp;" tsp"</f>
        <v>1 g sugar = 0.317 tsp</v>
      </c>
      <c r="L98" s="923"/>
      <c r="M98" s="923"/>
      <c r="N98" s="240"/>
      <c r="O98" s="240"/>
      <c r="P98" s="240"/>
      <c r="Q98" s="240"/>
      <c r="R98" s="709"/>
      <c r="S98" s="47"/>
    </row>
    <row r="99" spans="1:19" ht="15" customHeight="1">
      <c r="A99" s="4"/>
      <c r="B99" s="4"/>
      <c r="C99" s="4"/>
      <c r="D99" s="4"/>
      <c r="E99" s="4"/>
      <c r="F99" s="4"/>
      <c r="G99" s="4"/>
      <c r="H99" s="4"/>
      <c r="I99" s="4"/>
      <c r="J99" s="4"/>
      <c r="K99" s="924" t="str">
        <f>1*FIXED(L97)&amp;" tsp sugar = "&amp;1*FIXED(K97,2)&amp;" g"</f>
        <v>1 tsp sugar = 3.15 g</v>
      </c>
      <c r="L99" s="924"/>
      <c r="M99" s="924"/>
      <c r="N99" s="693"/>
      <c r="O99" s="693"/>
      <c r="P99" s="693"/>
      <c r="Q99" s="693"/>
      <c r="R99" s="709"/>
      <c r="S99" s="47"/>
    </row>
    <row r="100" spans="1:19" ht="15" customHeight="1">
      <c r="A100" s="4"/>
      <c r="B100" s="531" t="s">
        <v>161</v>
      </c>
      <c r="C100" s="812" t="s">
        <v>162</v>
      </c>
      <c r="D100" s="812"/>
      <c r="E100" s="723">
        <v>20</v>
      </c>
      <c r="F100" s="1032" t="str">
        <f>"°C ("&amp;FIXED((((E100+40)*(9/5))-40),1)&amp;"°F)"</f>
        <v>°C (68.0°F)</v>
      </c>
      <c r="G100" s="1033"/>
      <c r="H100" s="1033"/>
      <c r="I100" s="1033"/>
      <c r="J100" s="1034"/>
      <c r="K100" s="4"/>
      <c r="L100" s="4"/>
      <c r="M100" s="4"/>
      <c r="N100" s="4"/>
      <c r="O100" s="4"/>
      <c r="P100" s="4"/>
      <c r="Q100" s="4"/>
      <c r="R100" s="709"/>
      <c r="S100" s="47"/>
    </row>
    <row r="101" spans="1:19" ht="15" customHeight="1">
      <c r="A101" s="4"/>
      <c r="B101" s="693"/>
      <c r="C101" s="982" t="s">
        <v>163</v>
      </c>
      <c r="D101" s="983"/>
      <c r="E101" s="723">
        <v>8.1</v>
      </c>
      <c r="F101" s="1032" t="str">
        <f>"g ̸ litre giving a carbonation value of "&amp;FIXED(E101*Q109+VLOOKUP(E100,P110:Q153,2))&amp;" Vol's CO2."</f>
        <v>g ̸ litre giving a carbonation value of 3.00 Vol's CO2.</v>
      </c>
      <c r="G101" s="1033"/>
      <c r="H101" s="1033"/>
      <c r="I101" s="1033"/>
      <c r="J101" s="1034"/>
      <c r="K101" s="4"/>
      <c r="L101" s="4"/>
      <c r="M101" s="583"/>
      <c r="N101" s="583"/>
      <c r="O101" s="583"/>
      <c r="P101" s="583"/>
      <c r="Q101" s="4"/>
      <c r="R101" s="709"/>
      <c r="S101" s="47"/>
    </row>
    <row r="102" spans="1:19" ht="15" customHeight="1">
      <c r="A102" s="4"/>
      <c r="B102" s="532"/>
      <c r="C102" s="1035" t="s">
        <v>164</v>
      </c>
      <c r="D102" s="1036"/>
      <c r="E102" s="341">
        <f>E101/M94</f>
        <v>2.5714285714285712</v>
      </c>
      <c r="F102" s="960" t="s">
        <v>165</v>
      </c>
      <c r="G102" s="1037"/>
      <c r="H102" s="1037"/>
      <c r="I102" s="1037"/>
      <c r="J102" s="961"/>
      <c r="K102" s="4"/>
      <c r="L102" s="4"/>
      <c r="M102" s="583"/>
      <c r="N102" s="583"/>
      <c r="O102" s="583"/>
      <c r="P102" s="583"/>
      <c r="Q102" s="4"/>
      <c r="R102" s="709"/>
      <c r="S102" s="47"/>
    </row>
    <row r="103" spans="1:19" ht="15" customHeight="1">
      <c r="A103" s="4"/>
      <c r="B103" s="532"/>
      <c r="C103" s="982" t="s">
        <v>166</v>
      </c>
      <c r="D103" s="983"/>
      <c r="E103" s="762">
        <v>750</v>
      </c>
      <c r="F103" s="1032" t="str">
        <f>"ml for a bottle use "&amp;FIXED(E101*E103/1000)&amp;"g or "&amp;FIXED(E101*E103/(1000*M94),2)&amp;" level 5ml tsp. per bottle."</f>
        <v>ml for a bottle use 6.08g or 1.93 level 5ml tsp. per bottle.</v>
      </c>
      <c r="G103" s="1033"/>
      <c r="H103" s="1033"/>
      <c r="I103" s="1033"/>
      <c r="J103" s="1034"/>
      <c r="K103" s="4"/>
      <c r="L103" s="4"/>
      <c r="M103" s="583"/>
      <c r="N103" s="583"/>
      <c r="O103" s="583"/>
      <c r="P103" s="583"/>
      <c r="Q103" s="4"/>
      <c r="R103" s="709"/>
      <c r="S103" s="47"/>
    </row>
    <row r="104" spans="1:19" ht="15" customHeight="1">
      <c r="A104" s="4"/>
      <c r="B104" s="4"/>
      <c r="C104" s="4"/>
      <c r="D104" s="4"/>
      <c r="E104" s="4"/>
      <c r="F104" s="4"/>
      <c r="G104" s="4"/>
      <c r="H104" s="4"/>
      <c r="I104" s="4"/>
      <c r="J104" s="4"/>
      <c r="K104" s="4"/>
      <c r="L104" s="4"/>
      <c r="M104" s="583"/>
      <c r="N104" s="583"/>
      <c r="O104" s="583"/>
      <c r="P104" s="583"/>
      <c r="Q104" s="4"/>
      <c r="R104" s="709"/>
      <c r="S104" s="47"/>
    </row>
    <row r="105" spans="1:19" ht="15" customHeight="1">
      <c r="A105" s="4"/>
      <c r="B105" s="4"/>
      <c r="C105" s="4"/>
      <c r="D105" s="4"/>
      <c r="E105" s="4"/>
      <c r="F105" s="4"/>
      <c r="G105" s="4"/>
      <c r="H105" s="4"/>
      <c r="I105" s="4"/>
      <c r="J105" s="4"/>
      <c r="K105" s="4"/>
      <c r="L105" s="4"/>
      <c r="M105" s="4"/>
      <c r="N105" s="4"/>
      <c r="O105" s="4"/>
      <c r="P105" s="4"/>
      <c r="Q105" s="4"/>
      <c r="R105" s="709"/>
      <c r="S105" s="47"/>
    </row>
    <row r="106" spans="1:19" ht="15" customHeight="1">
      <c r="A106" s="1038" t="s">
        <v>167</v>
      </c>
      <c r="B106" s="1038"/>
      <c r="C106" s="1038"/>
      <c r="D106" s="1038"/>
      <c r="E106" s="1038"/>
      <c r="F106" s="1038"/>
      <c r="G106" s="1038"/>
      <c r="H106" s="1038"/>
      <c r="I106" s="1038"/>
      <c r="J106" s="1038"/>
      <c r="K106" s="1038"/>
      <c r="L106" s="4"/>
      <c r="M106" s="1039" t="s">
        <v>168</v>
      </c>
      <c r="N106" s="1039"/>
      <c r="O106" s="1039"/>
      <c r="P106" s="1039"/>
      <c r="Q106" s="4"/>
      <c r="R106" s="709"/>
      <c r="S106" s="47"/>
    </row>
    <row r="107" spans="1:19" ht="15" customHeight="1">
      <c r="A107" s="4"/>
      <c r="B107" s="813"/>
      <c r="C107" s="533" t="s">
        <v>169</v>
      </c>
      <c r="D107" s="1166" t="s">
        <v>170</v>
      </c>
      <c r="E107" s="1167"/>
      <c r="F107" s="814"/>
      <c r="G107" s="1141" t="e">
        <f ca="1">(6.14159265359+(S114(I109+3*M173)*P121)*Q115^Q116)</f>
        <v>#REF!</v>
      </c>
      <c r="H107" s="1142"/>
      <c r="I107" s="566" t="s">
        <v>169</v>
      </c>
      <c r="J107" s="1168" t="s">
        <v>170</v>
      </c>
      <c r="K107" s="1169"/>
      <c r="L107" s="4"/>
      <c r="M107" s="687" t="s">
        <v>171</v>
      </c>
      <c r="N107" s="567" t="s">
        <v>172</v>
      </c>
      <c r="O107" s="694" t="s">
        <v>173</v>
      </c>
      <c r="P107" s="694" t="s">
        <v>174</v>
      </c>
      <c r="Q107" s="4"/>
      <c r="R107" s="709"/>
      <c r="S107" s="47"/>
    </row>
    <row r="108" spans="1:19" ht="15" customHeight="1">
      <c r="A108" s="4"/>
      <c r="B108" s="815" t="s">
        <v>175</v>
      </c>
      <c r="C108" s="534" t="s">
        <v>174</v>
      </c>
      <c r="D108" s="679" t="s">
        <v>171</v>
      </c>
      <c r="E108" s="535" t="s">
        <v>176</v>
      </c>
      <c r="F108" s="814"/>
      <c r="G108" s="1143"/>
      <c r="H108" s="1144"/>
      <c r="I108" s="568" t="s">
        <v>174</v>
      </c>
      <c r="J108" s="569" t="s">
        <v>171</v>
      </c>
      <c r="K108" s="570" t="s">
        <v>176</v>
      </c>
      <c r="L108" s="4"/>
      <c r="M108" s="571">
        <v>5</v>
      </c>
      <c r="N108" s="572">
        <v>9.5</v>
      </c>
      <c r="O108" s="694">
        <f>(M108*12+N108)</f>
        <v>69.5</v>
      </c>
      <c r="P108" s="248">
        <f>(M108*12+N108)*2.54</f>
        <v>176.53</v>
      </c>
      <c r="Q108" s="816"/>
      <c r="R108" s="817"/>
      <c r="S108" s="47"/>
    </row>
    <row r="109" spans="1:19" ht="15" customHeight="1">
      <c r="A109" s="4"/>
      <c r="B109" s="818"/>
      <c r="C109" s="536">
        <v>175</v>
      </c>
      <c r="D109" s="537">
        <v>5</v>
      </c>
      <c r="E109" s="538">
        <v>9</v>
      </c>
      <c r="F109" s="4"/>
      <c r="G109" s="1040" t="s">
        <v>177</v>
      </c>
      <c r="H109" s="1041"/>
      <c r="I109" s="573">
        <v>90</v>
      </c>
      <c r="J109" s="651" t="s">
        <v>178</v>
      </c>
      <c r="K109" s="574">
        <v>33</v>
      </c>
      <c r="L109" s="4"/>
      <c r="M109" s="575" t="s">
        <v>129</v>
      </c>
      <c r="N109" s="4"/>
      <c r="O109" s="4"/>
      <c r="P109" s="576" t="s">
        <v>179</v>
      </c>
      <c r="Q109" s="588">
        <f>89.6/342</f>
        <v>0.26198830409356721</v>
      </c>
      <c r="R109" s="819"/>
      <c r="S109" s="47"/>
    </row>
    <row r="110" spans="1:19" ht="15" customHeight="1">
      <c r="A110" s="4"/>
      <c r="B110" s="815" t="s">
        <v>180</v>
      </c>
      <c r="C110" s="539" t="s">
        <v>57</v>
      </c>
      <c r="D110" s="540" t="s">
        <v>181</v>
      </c>
      <c r="E110" s="541" t="s">
        <v>53</v>
      </c>
      <c r="F110" s="4"/>
      <c r="G110" s="1042" t="s">
        <v>175</v>
      </c>
      <c r="H110" s="1043"/>
      <c r="I110" s="536">
        <v>170</v>
      </c>
      <c r="J110" s="577">
        <v>5</v>
      </c>
      <c r="K110" s="578">
        <v>7</v>
      </c>
      <c r="L110" s="4"/>
      <c r="M110" s="694" t="s">
        <v>174</v>
      </c>
      <c r="N110" s="694" t="s">
        <v>173</v>
      </c>
      <c r="O110" s="694" t="s">
        <v>182</v>
      </c>
      <c r="P110" s="425">
        <v>0</v>
      </c>
      <c r="Q110" s="457">
        <v>1.7130000000000001</v>
      </c>
      <c r="R110" s="819"/>
      <c r="S110" s="47"/>
    </row>
    <row r="111" spans="1:19" ht="15" customHeight="1">
      <c r="A111" s="4"/>
      <c r="B111" s="818"/>
      <c r="C111" s="542">
        <v>75</v>
      </c>
      <c r="D111" s="543">
        <v>11</v>
      </c>
      <c r="E111" s="544">
        <v>7</v>
      </c>
      <c r="F111" s="4"/>
      <c r="G111" s="1040" t="s">
        <v>183</v>
      </c>
      <c r="H111" s="1041"/>
      <c r="I111" s="579">
        <f>100*(I109/I110)</f>
        <v>52.941176470588239</v>
      </c>
      <c r="J111" s="820"/>
      <c r="K111" s="580">
        <f>100*K109/(12*J110+K110)</f>
        <v>49.253731343283583</v>
      </c>
      <c r="L111" s="4"/>
      <c r="M111" s="672">
        <v>176.5</v>
      </c>
      <c r="N111" s="694">
        <f>FIXED(M111*39.37,-1)/100</f>
        <v>69.5</v>
      </c>
      <c r="O111" s="447" t="str">
        <f>INT((M111*39.37/1200))&amp;"`   "&amp;FIXED(MOD(M111*39.37,1200)/100,1)&amp;""""</f>
        <v>5`   9.5"</v>
      </c>
      <c r="P111" s="425">
        <v>1</v>
      </c>
      <c r="Q111" s="457">
        <v>1.6459999999999999</v>
      </c>
      <c r="R111" s="819"/>
      <c r="S111" s="47"/>
    </row>
    <row r="112" spans="1:19" ht="15" customHeight="1">
      <c r="A112" s="4"/>
      <c r="B112" s="545" t="s">
        <v>184</v>
      </c>
      <c r="C112" s="546">
        <f>C111/100000*(C109^2)</f>
        <v>22.96875</v>
      </c>
      <c r="D112" s="1026">
        <f>M174/(M173^2)</f>
        <v>23.796665950819829</v>
      </c>
      <c r="E112" s="1027"/>
      <c r="F112" s="4"/>
      <c r="G112" s="1028" t="s">
        <v>185</v>
      </c>
      <c r="H112" s="1029"/>
      <c r="I112" s="581">
        <f>100*(I109/I110)</f>
        <v>52.941176470588239</v>
      </c>
      <c r="J112" s="821"/>
      <c r="K112" s="582">
        <f>100*K109/(12*J110+K110)</f>
        <v>49.253731343283583</v>
      </c>
      <c r="L112" s="487"/>
      <c r="M112" s="4"/>
      <c r="N112" s="4"/>
      <c r="O112" s="4"/>
      <c r="P112" s="425">
        <v>2</v>
      </c>
      <c r="Q112" s="457">
        <v>1.5840000000000001</v>
      </c>
      <c r="R112" s="819"/>
      <c r="S112" s="47"/>
    </row>
    <row r="113" spans="1:19" ht="15" customHeight="1">
      <c r="A113" s="4"/>
      <c r="B113" s="547" t="s">
        <v>186</v>
      </c>
      <c r="C113" s="1170" t="s">
        <v>187</v>
      </c>
      <c r="D113" s="1171"/>
      <c r="E113" s="1172"/>
      <c r="F113" s="4"/>
      <c r="G113" s="1176"/>
      <c r="H113" s="1145" t="s">
        <v>188</v>
      </c>
      <c r="I113" s="1146"/>
      <c r="J113" s="1067"/>
      <c r="K113" s="1030"/>
      <c r="L113" s="4"/>
      <c r="M113" s="583"/>
      <c r="N113" s="583"/>
      <c r="O113" s="583"/>
      <c r="P113" s="425">
        <v>3</v>
      </c>
      <c r="Q113" s="457">
        <v>1.53</v>
      </c>
      <c r="R113" s="819"/>
      <c r="S113" s="47"/>
    </row>
    <row r="114" spans="1:19" ht="15" customHeight="1">
      <c r="A114" s="4"/>
      <c r="B114" s="548" t="s">
        <v>189</v>
      </c>
      <c r="C114" s="1173" t="s">
        <v>190</v>
      </c>
      <c r="D114" s="1174"/>
      <c r="E114" s="1175"/>
      <c r="F114" s="4"/>
      <c r="G114" s="1177"/>
      <c r="H114" s="1147"/>
      <c r="I114" s="1148"/>
      <c r="J114" s="1149"/>
      <c r="K114" s="1031"/>
      <c r="L114" s="4"/>
      <c r="M114" s="583"/>
      <c r="N114" s="583"/>
      <c r="O114" s="583"/>
      <c r="P114" s="425">
        <v>4</v>
      </c>
      <c r="Q114" s="457">
        <v>1.4730000000000001</v>
      </c>
      <c r="R114" s="819"/>
      <c r="S114" s="47"/>
    </row>
    <row r="115" spans="1:19" ht="15" customHeight="1">
      <c r="A115" s="4"/>
      <c r="B115" s="549" t="s">
        <v>191</v>
      </c>
      <c r="C115" s="1153" t="s">
        <v>192</v>
      </c>
      <c r="D115" s="1154"/>
      <c r="E115" s="1155"/>
      <c r="F115" s="4"/>
      <c r="G115" s="551" t="s">
        <v>193</v>
      </c>
      <c r="H115" s="1156" t="s">
        <v>194</v>
      </c>
      <c r="I115" s="1157"/>
      <c r="J115" s="1158"/>
      <c r="K115" s="551" t="s">
        <v>193</v>
      </c>
      <c r="L115" s="4"/>
      <c r="M115" s="583"/>
      <c r="N115" s="583"/>
      <c r="O115" s="583"/>
      <c r="P115" s="425">
        <v>5</v>
      </c>
      <c r="Q115" s="457">
        <v>1.4239999999999999</v>
      </c>
      <c r="R115" s="819"/>
      <c r="S115" s="47"/>
    </row>
    <row r="116" spans="1:19" ht="15" customHeight="1">
      <c r="A116" s="4"/>
      <c r="B116" s="550" t="s">
        <v>195</v>
      </c>
      <c r="C116" s="1150" t="s">
        <v>196</v>
      </c>
      <c r="D116" s="1151"/>
      <c r="E116" s="1152"/>
      <c r="F116" s="4"/>
      <c r="G116" s="551" t="s">
        <v>197</v>
      </c>
      <c r="H116" s="1156" t="s">
        <v>198</v>
      </c>
      <c r="I116" s="1157"/>
      <c r="J116" s="1158"/>
      <c r="K116" s="551" t="s">
        <v>199</v>
      </c>
      <c r="L116" s="4"/>
      <c r="M116" s="583"/>
      <c r="N116" s="583"/>
      <c r="O116" s="583"/>
      <c r="P116" s="425">
        <v>6</v>
      </c>
      <c r="Q116" s="457">
        <v>1.377</v>
      </c>
      <c r="R116" s="819"/>
      <c r="S116" s="47"/>
    </row>
    <row r="117" spans="1:19" ht="15" customHeight="1">
      <c r="A117" s="4"/>
      <c r="B117" s="1159" t="s">
        <v>200</v>
      </c>
      <c r="C117" s="1159"/>
      <c r="D117" s="1159"/>
      <c r="E117" s="1159"/>
      <c r="F117" s="4"/>
      <c r="G117" s="552" t="s">
        <v>201</v>
      </c>
      <c r="H117" s="1160" t="s">
        <v>202</v>
      </c>
      <c r="I117" s="1161"/>
      <c r="J117" s="1162"/>
      <c r="K117" s="552" t="s">
        <v>203</v>
      </c>
      <c r="L117" s="4"/>
      <c r="M117" s="583"/>
      <c r="N117" s="583"/>
      <c r="O117" s="583"/>
      <c r="P117" s="425">
        <v>7</v>
      </c>
      <c r="Q117" s="457">
        <v>1.331</v>
      </c>
      <c r="R117" s="819"/>
      <c r="S117" s="47"/>
    </row>
    <row r="118" spans="1:19" ht="15" customHeight="1">
      <c r="A118" s="4"/>
      <c r="B118" s="683"/>
      <c r="C118" s="683"/>
      <c r="D118" s="683"/>
      <c r="E118" s="4"/>
      <c r="F118" s="4"/>
      <c r="G118" s="552" t="s">
        <v>204</v>
      </c>
      <c r="H118" s="1160" t="s">
        <v>205</v>
      </c>
      <c r="I118" s="1161"/>
      <c r="J118" s="1162"/>
      <c r="K118" s="552" t="s">
        <v>206</v>
      </c>
      <c r="L118" s="4"/>
      <c r="M118" s="583"/>
      <c r="N118" s="583"/>
      <c r="O118" s="583"/>
      <c r="P118" s="425">
        <v>8</v>
      </c>
      <c r="Q118" s="457">
        <v>1.282</v>
      </c>
      <c r="R118" s="819"/>
      <c r="S118" s="47"/>
    </row>
    <row r="119" spans="1:19" ht="15" customHeight="1">
      <c r="A119" s="4"/>
      <c r="B119" s="495" t="s">
        <v>207</v>
      </c>
      <c r="C119" s="240"/>
      <c r="D119" s="240"/>
      <c r="E119" s="583"/>
      <c r="F119" s="583"/>
      <c r="G119" s="553" t="s">
        <v>208</v>
      </c>
      <c r="H119" s="1153" t="s">
        <v>192</v>
      </c>
      <c r="I119" s="1154"/>
      <c r="J119" s="1155"/>
      <c r="K119" s="553" t="s">
        <v>209</v>
      </c>
      <c r="L119" s="4"/>
      <c r="M119" s="4"/>
      <c r="N119" s="583"/>
      <c r="O119" s="583"/>
      <c r="P119" s="425">
        <v>9</v>
      </c>
      <c r="Q119" s="457">
        <v>1.2370000000000001</v>
      </c>
      <c r="R119" s="819"/>
      <c r="S119" s="47"/>
    </row>
    <row r="120" spans="1:19" ht="15" customHeight="1">
      <c r="A120" s="4"/>
      <c r="B120" s="940" t="s">
        <v>210</v>
      </c>
      <c r="C120" s="940"/>
      <c r="D120" s="940"/>
      <c r="E120" s="940"/>
      <c r="F120" s="583"/>
      <c r="G120" s="554" t="s">
        <v>211</v>
      </c>
      <c r="H120" s="1163" t="s">
        <v>212</v>
      </c>
      <c r="I120" s="1164"/>
      <c r="J120" s="1165"/>
      <c r="K120" s="554" t="s">
        <v>213</v>
      </c>
      <c r="L120" s="4"/>
      <c r="M120" s="4"/>
      <c r="N120" s="583"/>
      <c r="O120" s="583"/>
      <c r="P120" s="425">
        <v>10</v>
      </c>
      <c r="Q120" s="457">
        <v>1.194</v>
      </c>
      <c r="R120" s="819"/>
      <c r="S120" s="47"/>
    </row>
    <row r="121" spans="1:19" ht="15" customHeight="1">
      <c r="A121" s="4"/>
      <c r="B121" s="940"/>
      <c r="C121" s="940"/>
      <c r="D121" s="940"/>
      <c r="E121" s="940"/>
      <c r="F121" s="583"/>
      <c r="G121" s="555" t="s">
        <v>214</v>
      </c>
      <c r="H121" s="1150" t="s">
        <v>215</v>
      </c>
      <c r="I121" s="1151"/>
      <c r="J121" s="1152"/>
      <c r="K121" s="555" t="s">
        <v>216</v>
      </c>
      <c r="L121" s="4"/>
      <c r="M121" s="4"/>
      <c r="N121" s="583"/>
      <c r="O121" s="583"/>
      <c r="P121" s="425">
        <v>11</v>
      </c>
      <c r="Q121" s="457">
        <v>1.1539999999999999</v>
      </c>
      <c r="R121" s="819"/>
      <c r="S121" s="47"/>
    </row>
    <row r="122" spans="1:19" ht="15" customHeight="1">
      <c r="A122" s="4"/>
      <c r="B122" s="4"/>
      <c r="C122" s="4"/>
      <c r="D122" s="4"/>
      <c r="E122" s="583"/>
      <c r="F122" s="583"/>
      <c r="G122" s="1056" t="s">
        <v>217</v>
      </c>
      <c r="H122" s="1056"/>
      <c r="I122" s="1056"/>
      <c r="J122" s="1056"/>
      <c r="K122" s="1056"/>
      <c r="L122" s="4"/>
      <c r="M122" s="4"/>
      <c r="N122" s="583"/>
      <c r="O122" s="583"/>
      <c r="P122" s="425">
        <v>12</v>
      </c>
      <c r="Q122" s="457">
        <v>1.117</v>
      </c>
      <c r="R122" s="819"/>
      <c r="S122" s="47"/>
    </row>
    <row r="123" spans="1:19" ht="15" customHeight="1">
      <c r="A123" s="737"/>
      <c r="B123" s="4"/>
      <c r="C123" s="4"/>
      <c r="D123" s="4"/>
      <c r="E123" s="583"/>
      <c r="F123" s="583"/>
      <c r="G123" s="1057"/>
      <c r="H123" s="1057"/>
      <c r="I123" s="1057"/>
      <c r="J123" s="1057"/>
      <c r="K123" s="1057"/>
      <c r="L123" s="4"/>
      <c r="M123" s="4"/>
      <c r="N123" s="4"/>
      <c r="O123" s="4"/>
      <c r="P123" s="425">
        <v>13</v>
      </c>
      <c r="Q123" s="457">
        <v>1.083</v>
      </c>
      <c r="R123" s="819"/>
      <c r="S123" s="47"/>
    </row>
    <row r="124" spans="1:19" ht="15" customHeight="1">
      <c r="A124" s="4"/>
      <c r="B124" s="4"/>
      <c r="C124" s="4"/>
      <c r="D124" s="4"/>
      <c r="E124" s="822"/>
      <c r="F124" s="822"/>
      <c r="G124" s="822"/>
      <c r="H124" s="4"/>
      <c r="I124" s="4"/>
      <c r="J124" s="4"/>
      <c r="K124" s="4"/>
      <c r="L124" s="4"/>
      <c r="M124" s="4"/>
      <c r="N124" s="4"/>
      <c r="O124" s="4"/>
      <c r="P124" s="425">
        <f>(P123+P125)/2</f>
        <v>13.5</v>
      </c>
      <c r="Q124" s="425">
        <f>(Q123+Q125)/2</f>
        <v>1.0665</v>
      </c>
      <c r="R124" s="819"/>
      <c r="S124" s="47"/>
    </row>
    <row r="125" spans="1:19" ht="15" customHeight="1">
      <c r="A125" s="4"/>
      <c r="B125" s="4"/>
      <c r="C125" s="4"/>
      <c r="D125" s="823"/>
      <c r="E125" s="4"/>
      <c r="F125" s="822"/>
      <c r="G125" s="822"/>
      <c r="H125" s="4"/>
      <c r="I125" s="4"/>
      <c r="J125" s="4"/>
      <c r="K125" s="4"/>
      <c r="L125" s="4"/>
      <c r="M125" s="4"/>
      <c r="N125" s="4"/>
      <c r="O125" s="4"/>
      <c r="P125" s="425">
        <v>14</v>
      </c>
      <c r="Q125" s="457">
        <v>1.05</v>
      </c>
      <c r="R125" s="819"/>
      <c r="S125" s="47"/>
    </row>
    <row r="126" spans="1:19" ht="15" customHeight="1">
      <c r="A126" s="927" t="s">
        <v>954</v>
      </c>
      <c r="B126" s="927"/>
      <c r="C126" s="927"/>
      <c r="D126" s="927"/>
      <c r="E126" s="683"/>
      <c r="F126" s="822"/>
      <c r="G126" s="822"/>
      <c r="H126" s="4"/>
      <c r="I126" s="4"/>
      <c r="J126" s="4"/>
      <c r="K126" s="4"/>
      <c r="L126" s="1044"/>
      <c r="M126" s="1045"/>
      <c r="N126" s="1046" t="s">
        <v>218</v>
      </c>
      <c r="O126" s="1047"/>
      <c r="P126" s="425">
        <f>(P125+P127)/2</f>
        <v>14.5</v>
      </c>
      <c r="Q126" s="425">
        <f>(Q125+Q127)/2</f>
        <v>1.034</v>
      </c>
      <c r="R126" s="819"/>
      <c r="S126" s="47"/>
    </row>
    <row r="127" spans="1:19" ht="15" customHeight="1">
      <c r="A127" s="4"/>
      <c r="B127" s="556" t="s">
        <v>219</v>
      </c>
      <c r="C127" s="557">
        <v>10</v>
      </c>
      <c r="D127" s="824" t="s">
        <v>220</v>
      </c>
      <c r="E127" s="487"/>
      <c r="F127" s="822"/>
      <c r="G127" s="822"/>
      <c r="H127" s="4"/>
      <c r="I127" s="4"/>
      <c r="J127" s="4"/>
      <c r="K127" s="4"/>
      <c r="L127" s="1048" t="s">
        <v>221</v>
      </c>
      <c r="M127" s="1049"/>
      <c r="N127" s="1050" t="s">
        <v>222</v>
      </c>
      <c r="O127" s="1051"/>
      <c r="P127" s="425">
        <v>15</v>
      </c>
      <c r="Q127" s="457">
        <v>1.018</v>
      </c>
      <c r="R127" s="819"/>
      <c r="S127" s="47"/>
    </row>
    <row r="128" spans="1:19" ht="15" customHeight="1">
      <c r="A128" s="4"/>
      <c r="B128" s="918" t="s">
        <v>223</v>
      </c>
      <c r="C128" s="921"/>
      <c r="D128" s="1052" t="s">
        <v>224</v>
      </c>
      <c r="E128" s="1053"/>
      <c r="F128" s="447" t="s">
        <v>100</v>
      </c>
      <c r="G128" s="758" t="s">
        <v>225</v>
      </c>
      <c r="H128" s="694" t="s">
        <v>226</v>
      </c>
      <c r="I128" s="4"/>
      <c r="J128" s="4"/>
      <c r="K128" s="4"/>
      <c r="L128" s="1054" t="s">
        <v>227</v>
      </c>
      <c r="M128" s="1055"/>
      <c r="N128" s="584">
        <v>12.7</v>
      </c>
      <c r="O128" s="585">
        <f t="shared" ref="O128:O148" si="0">N128*N$150/1000</f>
        <v>10.025379999999998</v>
      </c>
      <c r="P128" s="425">
        <f>(P127+P129)/2</f>
        <v>15.5</v>
      </c>
      <c r="Q128" s="425">
        <f>(Q127+Q129)/2</f>
        <v>1.0015000000000001</v>
      </c>
      <c r="R128" s="819"/>
      <c r="S128" s="47"/>
    </row>
    <row r="129" spans="1:19" ht="15" customHeight="1">
      <c r="A129" s="4"/>
      <c r="B129" s="491">
        <v>500</v>
      </c>
      <c r="C129" s="763" t="s">
        <v>73</v>
      </c>
      <c r="D129" s="1058">
        <v>1</v>
      </c>
      <c r="E129" s="1059"/>
      <c r="F129" s="20">
        <v>3.8</v>
      </c>
      <c r="G129" s="463">
        <f>(B129*F129*D129)/(100*C127)</f>
        <v>1.9</v>
      </c>
      <c r="H129" s="694" t="str">
        <f>D129*B129&amp;"ml"</f>
        <v>500ml</v>
      </c>
      <c r="I129" s="4"/>
      <c r="J129" s="4"/>
      <c r="K129" s="4"/>
      <c r="L129" s="1060" t="s">
        <v>228</v>
      </c>
      <c r="M129" s="1061"/>
      <c r="N129" s="586">
        <v>7.62</v>
      </c>
      <c r="O129" s="587">
        <f t="shared" si="0"/>
        <v>6.0152280000000005</v>
      </c>
      <c r="P129" s="425">
        <v>16</v>
      </c>
      <c r="Q129" s="457">
        <v>0.98499999999999999</v>
      </c>
      <c r="R129" s="819"/>
      <c r="S129" s="47"/>
    </row>
    <row r="130" spans="1:19" ht="15" customHeight="1">
      <c r="A130" s="4"/>
      <c r="B130" s="491">
        <v>1</v>
      </c>
      <c r="C130" s="589" t="s">
        <v>953</v>
      </c>
      <c r="D130" s="1058">
        <v>1</v>
      </c>
      <c r="E130" s="1059"/>
      <c r="F130" s="20">
        <f>F129</f>
        <v>3.8</v>
      </c>
      <c r="G130" s="463">
        <f>(B130*568.3*F130*D130)/(100*C127)</f>
        <v>2.1595399999999993</v>
      </c>
      <c r="H130" s="688" t="str">
        <f>D130*FIXED(B130*568,0)&amp;"ml"</f>
        <v>568ml</v>
      </c>
      <c r="I130" s="4"/>
      <c r="J130" s="4"/>
      <c r="K130" s="4"/>
      <c r="L130" s="1062" t="s">
        <v>229</v>
      </c>
      <c r="M130" s="1063"/>
      <c r="N130" s="586">
        <v>17.2</v>
      </c>
      <c r="O130" s="587">
        <f t="shared" si="0"/>
        <v>13.577679999999999</v>
      </c>
      <c r="P130" s="425">
        <f>(P129+P131)/2</f>
        <v>16.5</v>
      </c>
      <c r="Q130" s="425">
        <f>(Q129+Q131)/2</f>
        <v>0.97049999999999992</v>
      </c>
      <c r="R130" s="819"/>
      <c r="S130" s="47"/>
    </row>
    <row r="131" spans="1:19" ht="15" customHeight="1">
      <c r="A131" s="4"/>
      <c r="B131" s="491">
        <v>16</v>
      </c>
      <c r="C131" s="590" t="s">
        <v>230</v>
      </c>
      <c r="D131" s="1058">
        <v>1</v>
      </c>
      <c r="E131" s="1059"/>
      <c r="F131" s="20">
        <f>F130</f>
        <v>3.8</v>
      </c>
      <c r="G131" s="248">
        <f>(B131*F131*D131/0.0338)/(100*C127)</f>
        <v>1.7988165680473374</v>
      </c>
      <c r="H131" s="688" t="str">
        <f>D131*FIXED(B131*29.5735,0)&amp;"ml"</f>
        <v>473ml</v>
      </c>
      <c r="I131" s="4"/>
      <c r="J131" s="4"/>
      <c r="K131" s="4"/>
      <c r="L131" s="1062" t="s">
        <v>231</v>
      </c>
      <c r="M131" s="1063"/>
      <c r="N131" s="610">
        <v>15.2</v>
      </c>
      <c r="O131" s="587">
        <f t="shared" si="0"/>
        <v>11.99888</v>
      </c>
      <c r="P131" s="425">
        <v>17</v>
      </c>
      <c r="Q131" s="457">
        <v>0.95599999999999996</v>
      </c>
      <c r="R131" s="819"/>
      <c r="S131" s="47"/>
    </row>
    <row r="132" spans="1:19" ht="15" customHeight="1">
      <c r="A132" s="4"/>
      <c r="B132" s="4"/>
      <c r="C132" s="4"/>
      <c r="D132" s="4"/>
      <c r="E132" s="4"/>
      <c r="F132" s="4"/>
      <c r="G132" s="4"/>
      <c r="H132" s="4"/>
      <c r="I132" s="4"/>
      <c r="J132" s="4"/>
      <c r="K132" s="4"/>
      <c r="L132" s="1064" t="s">
        <v>232</v>
      </c>
      <c r="M132" s="1065"/>
      <c r="N132" s="610">
        <v>15.2</v>
      </c>
      <c r="O132" s="587">
        <f t="shared" si="0"/>
        <v>11.99888</v>
      </c>
      <c r="P132" s="425">
        <f>(P131+P133)/2</f>
        <v>17.5</v>
      </c>
      <c r="Q132" s="425">
        <f>(Q131+Q133)/2</f>
        <v>0.94199999999999995</v>
      </c>
      <c r="R132" s="819"/>
      <c r="S132" s="47"/>
    </row>
    <row r="133" spans="1:19" ht="15" customHeight="1">
      <c r="A133" s="4"/>
      <c r="B133" s="4"/>
      <c r="C133" s="4"/>
      <c r="D133" s="4"/>
      <c r="E133" s="4"/>
      <c r="F133" s="4"/>
      <c r="G133" s="4"/>
      <c r="H133" s="4"/>
      <c r="I133" s="4"/>
      <c r="J133" s="4"/>
      <c r="K133" s="4"/>
      <c r="L133" s="1062" t="s">
        <v>233</v>
      </c>
      <c r="M133" s="1063"/>
      <c r="N133" s="610">
        <v>12.7</v>
      </c>
      <c r="O133" s="587">
        <f t="shared" si="0"/>
        <v>10.025379999999998</v>
      </c>
      <c r="P133" s="425">
        <v>18</v>
      </c>
      <c r="Q133" s="457">
        <v>0.92800000000000005</v>
      </c>
      <c r="R133" s="819"/>
      <c r="S133" s="47"/>
    </row>
    <row r="134" spans="1:19" ht="15" customHeight="1">
      <c r="A134" s="4"/>
      <c r="B134" s="4"/>
      <c r="C134" s="4"/>
      <c r="D134" s="4"/>
      <c r="E134" s="583"/>
      <c r="F134" s="583"/>
      <c r="G134" s="583"/>
      <c r="H134" s="4"/>
      <c r="I134" s="4"/>
      <c r="J134" s="4"/>
      <c r="K134" s="4"/>
      <c r="L134" s="1062" t="s">
        <v>235</v>
      </c>
      <c r="M134" s="1063"/>
      <c r="N134" s="586">
        <v>21.5</v>
      </c>
      <c r="O134" s="587">
        <f t="shared" si="0"/>
        <v>16.972099999999998</v>
      </c>
      <c r="P134" s="425">
        <f>(P133+P135)/2</f>
        <v>18.5</v>
      </c>
      <c r="Q134" s="425">
        <f>(Q133+Q135)/2</f>
        <v>0.91500000000000004</v>
      </c>
      <c r="R134" s="819"/>
      <c r="S134" s="47"/>
    </row>
    <row r="135" spans="1:19" ht="15" customHeight="1">
      <c r="A135" s="4"/>
      <c r="B135" s="914" t="s">
        <v>964</v>
      </c>
      <c r="C135" s="914"/>
      <c r="D135" s="914"/>
      <c r="E135" s="914"/>
      <c r="F135" s="914"/>
      <c r="G135" s="914"/>
      <c r="H135" s="914"/>
      <c r="I135" s="914"/>
      <c r="J135" s="914"/>
      <c r="K135" s="240"/>
      <c r="L135" s="1064" t="s">
        <v>236</v>
      </c>
      <c r="M135" s="1065"/>
      <c r="N135" s="610">
        <v>10</v>
      </c>
      <c r="O135" s="587">
        <f t="shared" si="0"/>
        <v>7.8940000000000001</v>
      </c>
      <c r="P135" s="425">
        <v>19</v>
      </c>
      <c r="Q135" s="457">
        <v>0.90200000000000002</v>
      </c>
      <c r="R135" s="819"/>
      <c r="S135" s="47"/>
    </row>
    <row r="136" spans="1:19" ht="15" customHeight="1">
      <c r="A136" s="4"/>
      <c r="B136" s="240"/>
      <c r="C136" s="240"/>
      <c r="D136" s="583"/>
      <c r="E136" s="583"/>
      <c r="F136" s="583"/>
      <c r="G136" s="583"/>
      <c r="H136" s="240"/>
      <c r="I136" s="240"/>
      <c r="J136" s="240"/>
      <c r="K136" s="240"/>
      <c r="L136" s="1062" t="s">
        <v>237</v>
      </c>
      <c r="M136" s="1063"/>
      <c r="N136" s="610">
        <v>12.7</v>
      </c>
      <c r="O136" s="587">
        <f t="shared" si="0"/>
        <v>10.025379999999998</v>
      </c>
      <c r="P136" s="425">
        <f>(P135+P137)/2</f>
        <v>19.5</v>
      </c>
      <c r="Q136" s="425">
        <f>(Q135+Q137)/2</f>
        <v>0.88949999999999996</v>
      </c>
      <c r="R136" s="819"/>
      <c r="S136" s="47"/>
    </row>
    <row r="137" spans="1:19" ht="15" customHeight="1">
      <c r="A137" s="240"/>
      <c r="B137" s="240"/>
      <c r="C137" s="240"/>
      <c r="D137" s="240"/>
      <c r="E137" s="240"/>
      <c r="F137" s="240"/>
      <c r="G137" s="240"/>
      <c r="H137" s="240"/>
      <c r="I137" s="240"/>
      <c r="J137" s="240"/>
      <c r="K137" s="240"/>
      <c r="L137" s="1062" t="s">
        <v>238</v>
      </c>
      <c r="M137" s="1063"/>
      <c r="N137" s="610">
        <v>12.7</v>
      </c>
      <c r="O137" s="587">
        <f t="shared" si="0"/>
        <v>10.025379999999998</v>
      </c>
      <c r="P137" s="425">
        <v>20</v>
      </c>
      <c r="Q137" s="457">
        <v>0.877</v>
      </c>
      <c r="R137" s="819"/>
      <c r="S137" s="47"/>
    </row>
    <row r="138" spans="1:19" ht="15" customHeight="1">
      <c r="A138" s="917" t="s">
        <v>11</v>
      </c>
      <c r="B138" s="917"/>
      <c r="C138" s="917"/>
      <c r="D138" s="917"/>
      <c r="E138" s="917"/>
      <c r="F138" s="240"/>
      <c r="G138" s="240"/>
      <c r="H138" s="240"/>
      <c r="I138" s="240"/>
      <c r="J138" s="240"/>
      <c r="K138" s="240"/>
      <c r="L138" s="1069" t="s">
        <v>240</v>
      </c>
      <c r="M138" s="1070"/>
      <c r="N138" s="610">
        <v>25</v>
      </c>
      <c r="O138" s="587">
        <f t="shared" si="0"/>
        <v>19.734999999999999</v>
      </c>
      <c r="P138" s="425">
        <f>(P137+P139)/2</f>
        <v>20.5</v>
      </c>
      <c r="Q138" s="425">
        <f>(Q137+Q139)/2</f>
        <v>0.86450000000000005</v>
      </c>
      <c r="R138" s="819"/>
      <c r="S138" s="47"/>
    </row>
    <row r="139" spans="1:19" ht="15" customHeight="1">
      <c r="A139" s="4"/>
      <c r="B139" s="4"/>
      <c r="C139" s="447" t="s">
        <v>100</v>
      </c>
      <c r="D139" s="1052" t="s">
        <v>239</v>
      </c>
      <c r="E139" s="1053"/>
      <c r="F139" s="1068"/>
      <c r="G139" s="240"/>
      <c r="H139" s="240"/>
      <c r="I139" s="240"/>
      <c r="J139" s="240"/>
      <c r="K139" s="240"/>
      <c r="L139" s="1062" t="s">
        <v>241</v>
      </c>
      <c r="M139" s="1063"/>
      <c r="N139" s="610">
        <v>12.5</v>
      </c>
      <c r="O139" s="587">
        <f t="shared" si="0"/>
        <v>9.8674999999999997</v>
      </c>
      <c r="P139" s="425">
        <v>21</v>
      </c>
      <c r="Q139" s="457">
        <v>0.85199999999999998</v>
      </c>
      <c r="R139" s="819"/>
      <c r="S139" s="47"/>
    </row>
    <row r="140" spans="1:19" ht="15" customHeight="1">
      <c r="A140" s="4"/>
      <c r="B140" s="4"/>
      <c r="C140" s="761">
        <v>18</v>
      </c>
      <c r="D140" s="1052" t="str">
        <f>FIXED((-0.00074*(2*C140)^2.1-0.182*C140*2),1)&amp;"°C ("&amp;FIXED(((((-0.00074*(2*C140)^2.1-0.182*C140*2)+40)*9/5)-40),0)&amp;"°F)"</f>
        <v>-7.9°C (18°F)</v>
      </c>
      <c r="E140" s="1053"/>
      <c r="F140" s="1068"/>
      <c r="G140" s="240"/>
      <c r="H140" s="240"/>
      <c r="I140" s="240"/>
      <c r="J140" s="240"/>
      <c r="K140" s="240"/>
      <c r="L140" s="1062" t="s">
        <v>243</v>
      </c>
      <c r="M140" s="1063"/>
      <c r="N140" s="610">
        <v>12.7</v>
      </c>
      <c r="O140" s="587">
        <f t="shared" si="0"/>
        <v>10.025379999999998</v>
      </c>
      <c r="P140" s="425">
        <f>(P139+P141)/2</f>
        <v>21.5</v>
      </c>
      <c r="Q140" s="425">
        <f>(Q139+Q141)/2</f>
        <v>0.83949999999999991</v>
      </c>
      <c r="R140" s="819"/>
      <c r="S140" s="47"/>
    </row>
    <row r="141" spans="1:19" ht="15" customHeight="1">
      <c r="A141" s="4"/>
      <c r="B141" s="4"/>
      <c r="C141" s="923" t="s">
        <v>242</v>
      </c>
      <c r="D141" s="923"/>
      <c r="E141" s="923"/>
      <c r="F141" s="923"/>
      <c r="G141" s="240"/>
      <c r="H141" s="240"/>
      <c r="I141" s="240"/>
      <c r="J141" s="240"/>
      <c r="K141" s="240"/>
      <c r="L141" s="1062" t="s">
        <v>244</v>
      </c>
      <c r="M141" s="1063"/>
      <c r="N141" s="610">
        <v>12.7</v>
      </c>
      <c r="O141" s="587">
        <f t="shared" si="0"/>
        <v>10.025379999999998</v>
      </c>
      <c r="P141" s="425">
        <v>22</v>
      </c>
      <c r="Q141" s="457">
        <v>0.82699999999999996</v>
      </c>
      <c r="R141" s="819"/>
      <c r="S141" s="47"/>
    </row>
    <row r="142" spans="1:19" ht="15" customHeight="1">
      <c r="A142" s="4"/>
      <c r="B142" s="4"/>
      <c r="C142" s="4"/>
      <c r="D142" s="4"/>
      <c r="E142" s="4"/>
      <c r="F142" s="4"/>
      <c r="G142" s="240"/>
      <c r="H142" s="240"/>
      <c r="I142" s="240"/>
      <c r="J142" s="240"/>
      <c r="K142" s="240"/>
      <c r="L142" s="1062" t="s">
        <v>245</v>
      </c>
      <c r="M142" s="1063"/>
      <c r="N142" s="610">
        <v>17.7</v>
      </c>
      <c r="O142" s="587">
        <f t="shared" si="0"/>
        <v>13.972379999999999</v>
      </c>
      <c r="P142" s="425">
        <f>(P141+P143)/2</f>
        <v>22.5</v>
      </c>
      <c r="Q142" s="425">
        <f>(Q141+Q143)/2</f>
        <v>0.8145</v>
      </c>
      <c r="R142" s="819"/>
      <c r="S142" s="47"/>
    </row>
    <row r="143" spans="1:19" ht="15" customHeight="1">
      <c r="A143" s="240"/>
      <c r="B143" s="240"/>
      <c r="C143" s="240"/>
      <c r="D143" s="240"/>
      <c r="E143" s="240"/>
      <c r="F143" s="240"/>
      <c r="G143" s="240"/>
      <c r="H143" s="240"/>
      <c r="I143" s="240"/>
      <c r="J143" s="240"/>
      <c r="K143" s="240"/>
      <c r="L143" s="1062" t="s">
        <v>248</v>
      </c>
      <c r="M143" s="1063"/>
      <c r="N143" s="610">
        <v>12.7</v>
      </c>
      <c r="O143" s="587">
        <f t="shared" si="0"/>
        <v>10.025379999999998</v>
      </c>
      <c r="P143" s="425">
        <v>23</v>
      </c>
      <c r="Q143" s="457">
        <v>0.80200000000000005</v>
      </c>
      <c r="R143" s="819"/>
      <c r="S143" s="47"/>
    </row>
    <row r="144" spans="1:19" ht="15" customHeight="1">
      <c r="A144" s="1072" t="s">
        <v>246</v>
      </c>
      <c r="B144" s="1072"/>
      <c r="C144" s="1073" t="s">
        <v>247</v>
      </c>
      <c r="D144" s="1073"/>
      <c r="E144" s="1073"/>
      <c r="F144" s="1073"/>
      <c r="G144" s="1073"/>
      <c r="H144" s="1073"/>
      <c r="I144" s="1073"/>
      <c r="J144" s="240"/>
      <c r="K144" s="240"/>
      <c r="L144" s="1078" t="s">
        <v>253</v>
      </c>
      <c r="M144" s="1079"/>
      <c r="N144" s="637">
        <v>10</v>
      </c>
      <c r="O144" s="638">
        <f t="shared" si="0"/>
        <v>7.8940000000000001</v>
      </c>
      <c r="P144" s="425">
        <f>(P143+P145)/2</f>
        <v>23.5</v>
      </c>
      <c r="Q144" s="425">
        <f>(Q143+Q145)/2</f>
        <v>0.79150000000000009</v>
      </c>
      <c r="R144" s="819"/>
      <c r="S144" s="47"/>
    </row>
    <row r="145" spans="1:19" ht="15" customHeight="1">
      <c r="A145" s="4"/>
      <c r="B145" s="825" t="s">
        <v>249</v>
      </c>
      <c r="C145" s="562">
        <v>1100</v>
      </c>
      <c r="D145" s="1074" t="s">
        <v>250</v>
      </c>
      <c r="E145" s="1075"/>
      <c r="F145" s="826" t="s">
        <v>251</v>
      </c>
      <c r="G145" s="1076" t="s">
        <v>252</v>
      </c>
      <c r="H145" s="1077"/>
      <c r="I145" s="331">
        <f>C145+F146-C146+F147-C147</f>
        <v>1114</v>
      </c>
      <c r="J145" s="240"/>
      <c r="K145" s="240"/>
      <c r="L145" s="1083" t="s">
        <v>952</v>
      </c>
      <c r="M145" s="1084"/>
      <c r="N145" s="639">
        <v>17.7</v>
      </c>
      <c r="O145" s="640">
        <f t="shared" si="0"/>
        <v>13.972379999999999</v>
      </c>
      <c r="P145" s="425">
        <v>24</v>
      </c>
      <c r="Q145" s="457">
        <v>0.78100000000000003</v>
      </c>
      <c r="R145" s="819"/>
      <c r="S145" s="47"/>
    </row>
    <row r="146" spans="1:19" ht="15" customHeight="1">
      <c r="A146" s="4"/>
      <c r="B146" s="827" t="s">
        <v>254</v>
      </c>
      <c r="C146" s="338">
        <v>1010</v>
      </c>
      <c r="D146" s="1080" t="s">
        <v>255</v>
      </c>
      <c r="E146" s="986"/>
      <c r="F146" s="338">
        <v>1024</v>
      </c>
      <c r="G146" s="1081" t="s">
        <v>256</v>
      </c>
      <c r="H146" s="1082"/>
      <c r="I146" s="295">
        <f>I145-((C145-C146)+(F146-C147)+(F147-C148))</f>
        <v>994</v>
      </c>
      <c r="J146" s="240"/>
      <c r="K146" s="240"/>
      <c r="L146" s="1060" t="s">
        <v>259</v>
      </c>
      <c r="M146" s="1061"/>
      <c r="N146" s="612"/>
      <c r="O146" s="587">
        <f t="shared" si="0"/>
        <v>0</v>
      </c>
      <c r="P146" s="425">
        <f>(P145+P147)/2</f>
        <v>24.5</v>
      </c>
      <c r="Q146" s="425">
        <f>(Q145+Q147)/2</f>
        <v>0.77</v>
      </c>
      <c r="R146" s="819"/>
      <c r="S146" s="47"/>
    </row>
    <row r="147" spans="1:19" ht="15" customHeight="1">
      <c r="A147" s="4"/>
      <c r="B147" s="827" t="s">
        <v>257</v>
      </c>
      <c r="C147" s="338"/>
      <c r="D147" s="1089" t="s">
        <v>255</v>
      </c>
      <c r="E147" s="1090"/>
      <c r="F147" s="563"/>
      <c r="G147" s="1091" t="s">
        <v>258</v>
      </c>
      <c r="H147" s="1092"/>
      <c r="I147" s="611">
        <f>(I145-I146)/(7.75-(3*(I145-1000)/800))</f>
        <v>16.387845681119838</v>
      </c>
      <c r="J147" s="240"/>
      <c r="K147" s="240"/>
      <c r="L147" s="1060" t="s">
        <v>262</v>
      </c>
      <c r="M147" s="1061"/>
      <c r="N147" s="612"/>
      <c r="O147" s="587">
        <f t="shared" si="0"/>
        <v>0</v>
      </c>
      <c r="P147" s="425">
        <v>25</v>
      </c>
      <c r="Q147" s="457">
        <v>0.75900000000000001</v>
      </c>
      <c r="R147" s="819"/>
      <c r="S147" s="47"/>
    </row>
    <row r="148" spans="1:19" ht="15" customHeight="1">
      <c r="A148" s="4"/>
      <c r="B148" s="706" t="s">
        <v>260</v>
      </c>
      <c r="C148" s="563">
        <v>994</v>
      </c>
      <c r="D148" s="1093" t="s">
        <v>261</v>
      </c>
      <c r="E148" s="1094"/>
      <c r="F148" s="1094"/>
      <c r="G148" s="1094"/>
      <c r="H148" s="1094"/>
      <c r="I148" s="1095"/>
      <c r="J148" s="240"/>
      <c r="K148" s="240"/>
      <c r="L148" s="1096" t="s">
        <v>264</v>
      </c>
      <c r="M148" s="1097"/>
      <c r="N148" s="612"/>
      <c r="O148" s="303">
        <f t="shared" si="0"/>
        <v>0</v>
      </c>
      <c r="P148" s="425">
        <f>(P147+P149)/2</f>
        <v>25.5</v>
      </c>
      <c r="Q148" s="425">
        <f>(Q147+Q149)/2</f>
        <v>0.74849999999999994</v>
      </c>
      <c r="R148" s="819"/>
      <c r="S148" s="47"/>
    </row>
    <row r="149" spans="1:19" ht="15" customHeight="1">
      <c r="A149" s="4"/>
      <c r="B149" s="940" t="s">
        <v>263</v>
      </c>
      <c r="C149" s="940"/>
      <c r="D149" s="940"/>
      <c r="E149" s="940"/>
      <c r="F149" s="940"/>
      <c r="G149" s="940"/>
      <c r="H149" s="940"/>
      <c r="I149" s="940"/>
      <c r="J149" s="940"/>
      <c r="K149" s="240"/>
      <c r="L149" s="1085" t="s">
        <v>265</v>
      </c>
      <c r="M149" s="1086"/>
      <c r="N149" s="1066" t="s">
        <v>266</v>
      </c>
      <c r="O149" s="1067"/>
      <c r="P149" s="425">
        <v>26</v>
      </c>
      <c r="Q149" s="457">
        <v>0.73799999999999999</v>
      </c>
      <c r="R149" s="819"/>
      <c r="S149" s="47"/>
    </row>
    <row r="150" spans="1:19" ht="15" customHeight="1">
      <c r="A150" s="4"/>
      <c r="B150" s="1071" t="s">
        <v>267</v>
      </c>
      <c r="C150" s="1071"/>
      <c r="D150" s="31"/>
      <c r="E150" s="31"/>
      <c r="F150" s="31"/>
      <c r="G150" s="31"/>
      <c r="H150" s="31"/>
      <c r="I150" s="31"/>
      <c r="J150" s="240"/>
      <c r="K150" s="240"/>
      <c r="L150" s="1087"/>
      <c r="M150" s="1088"/>
      <c r="N150" s="613">
        <v>789.4</v>
      </c>
      <c r="O150" s="828" t="s">
        <v>268</v>
      </c>
      <c r="P150" s="425">
        <v>27</v>
      </c>
      <c r="Q150" s="457">
        <v>0.71799999999999997</v>
      </c>
      <c r="R150" s="819"/>
      <c r="S150" s="47"/>
    </row>
    <row r="151" spans="1:19" ht="15" customHeight="1">
      <c r="A151" s="4"/>
      <c r="B151" s="4"/>
      <c r="C151" s="4"/>
      <c r="D151" s="4"/>
      <c r="E151" s="4"/>
      <c r="F151" s="4"/>
      <c r="G151" s="4"/>
      <c r="H151" s="4"/>
      <c r="I151" s="4"/>
      <c r="J151" s="240"/>
      <c r="K151" s="240"/>
      <c r="L151" s="4"/>
      <c r="M151" s="693"/>
      <c r="N151" s="693"/>
      <c r="O151" s="240"/>
      <c r="P151" s="425">
        <v>28</v>
      </c>
      <c r="Q151" s="457">
        <v>0.69899999999999995</v>
      </c>
      <c r="R151" s="817"/>
      <c r="S151" s="47"/>
    </row>
    <row r="152" spans="1:19" ht="15" customHeight="1">
      <c r="A152" s="4"/>
      <c r="B152" s="4"/>
      <c r="C152" s="4"/>
      <c r="D152" s="4"/>
      <c r="E152" s="4"/>
      <c r="F152" s="4"/>
      <c r="G152" s="4"/>
      <c r="H152" s="4"/>
      <c r="I152" s="4"/>
      <c r="J152" s="240"/>
      <c r="K152" s="4"/>
      <c r="L152" s="4"/>
      <c r="M152" s="693"/>
      <c r="N152" s="240"/>
      <c r="O152" s="693"/>
      <c r="P152" s="425">
        <v>29</v>
      </c>
      <c r="Q152" s="457">
        <v>0.68200000000000005</v>
      </c>
      <c r="R152" s="817"/>
      <c r="S152" s="47"/>
    </row>
    <row r="153" spans="1:19" ht="15" customHeight="1">
      <c r="A153" s="917" t="s">
        <v>13</v>
      </c>
      <c r="B153" s="917"/>
      <c r="C153" s="917"/>
      <c r="D153" s="829"/>
      <c r="E153" s="829"/>
      <c r="F153" s="829"/>
      <c r="G153" s="829"/>
      <c r="H153" s="829"/>
      <c r="I153" s="829"/>
      <c r="J153" s="829"/>
      <c r="K153" s="709"/>
      <c r="L153" s="709"/>
      <c r="M153" s="709"/>
      <c r="N153" s="709"/>
      <c r="O153" s="709"/>
      <c r="P153" s="425">
        <v>30</v>
      </c>
      <c r="Q153" s="457">
        <v>0.66500000000000004</v>
      </c>
      <c r="R153" s="817"/>
      <c r="S153" s="47"/>
    </row>
    <row r="154" spans="1:19" ht="15" customHeight="1">
      <c r="A154" s="4"/>
      <c r="B154" s="1099" t="s">
        <v>269</v>
      </c>
      <c r="C154" s="1099"/>
      <c r="D154" s="1099"/>
      <c r="E154" s="591" t="s">
        <v>63</v>
      </c>
      <c r="F154" s="591" t="s">
        <v>65</v>
      </c>
      <c r="G154" s="591" t="s">
        <v>270</v>
      </c>
      <c r="H154" s="1118" t="s">
        <v>271</v>
      </c>
      <c r="I154" s="1119"/>
      <c r="J154" s="1120"/>
      <c r="K154" s="1124" t="s">
        <v>272</v>
      </c>
      <c r="L154" s="1125"/>
      <c r="M154" s="1125"/>
      <c r="N154" s="1125"/>
      <c r="O154" s="1125"/>
      <c r="P154" s="1126"/>
      <c r="Q154" s="606"/>
      <c r="R154" s="709"/>
      <c r="S154" s="47"/>
    </row>
    <row r="155" spans="1:19" ht="15" customHeight="1">
      <c r="A155" s="4"/>
      <c r="B155" s="1100" t="s">
        <v>273</v>
      </c>
      <c r="C155" s="1100"/>
      <c r="D155" s="1100"/>
      <c r="E155" s="592"/>
      <c r="F155" s="593" t="s">
        <v>274</v>
      </c>
      <c r="G155" s="592" t="s">
        <v>275</v>
      </c>
      <c r="H155" s="1121"/>
      <c r="I155" s="1122"/>
      <c r="J155" s="1123"/>
      <c r="K155" s="1127"/>
      <c r="L155" s="1128"/>
      <c r="M155" s="1128"/>
      <c r="N155" s="1128"/>
      <c r="O155" s="1128"/>
      <c r="P155" s="1129"/>
      <c r="Q155" s="606"/>
      <c r="R155" s="709"/>
      <c r="S155" s="47"/>
    </row>
    <row r="156" spans="1:19" ht="15" customHeight="1">
      <c r="A156" s="4"/>
      <c r="B156" s="764" t="s">
        <v>276</v>
      </c>
      <c r="C156" s="562">
        <v>9</v>
      </c>
      <c r="D156" s="728" t="s">
        <v>277</v>
      </c>
      <c r="E156" s="594">
        <f>C156-F156</f>
        <v>4</v>
      </c>
      <c r="F156" s="562">
        <v>5</v>
      </c>
      <c r="G156" s="562">
        <v>5</v>
      </c>
      <c r="H156" s="1101" t="s">
        <v>278</v>
      </c>
      <c r="I156" s="1101"/>
      <c r="J156" s="1101"/>
      <c r="K156" s="1076" t="s">
        <v>279</v>
      </c>
      <c r="L156" s="1077"/>
      <c r="M156" s="614">
        <f>E156+G156</f>
        <v>9</v>
      </c>
      <c r="N156" s="1102" t="s">
        <v>280</v>
      </c>
      <c r="O156" s="1103"/>
      <c r="P156" s="1104"/>
      <c r="Q156" s="606"/>
      <c r="R156" s="709"/>
      <c r="S156" s="47"/>
    </row>
    <row r="157" spans="1:19" ht="15" customHeight="1">
      <c r="A157" s="4"/>
      <c r="B157" s="767" t="s">
        <v>114</v>
      </c>
      <c r="C157" s="180">
        <v>1080</v>
      </c>
      <c r="D157" s="1117"/>
      <c r="E157" s="729"/>
      <c r="F157" s="765"/>
      <c r="G157" s="730"/>
      <c r="H157" s="1105" t="s">
        <v>281</v>
      </c>
      <c r="I157" s="1105"/>
      <c r="J157" s="1105"/>
      <c r="K157" s="1081" t="s">
        <v>282</v>
      </c>
      <c r="L157" s="1082"/>
      <c r="M157" s="301">
        <f>(E158*G156+G158*E156)/(E156+G156)</f>
        <v>993</v>
      </c>
      <c r="N157" s="1081" t="s">
        <v>283</v>
      </c>
      <c r="O157" s="1106"/>
      <c r="P157" s="1082"/>
      <c r="Q157" s="682"/>
      <c r="R157" s="709"/>
      <c r="S157" s="47"/>
    </row>
    <row r="158" spans="1:19" ht="15" customHeight="1">
      <c r="A158" s="4"/>
      <c r="B158" s="767" t="s">
        <v>117</v>
      </c>
      <c r="C158" s="180">
        <v>993</v>
      </c>
      <c r="D158" s="1117"/>
      <c r="E158" s="594">
        <f>C158</f>
        <v>993</v>
      </c>
      <c r="F158" s="595">
        <f>C158</f>
        <v>993</v>
      </c>
      <c r="G158" s="596">
        <f>1000+(C158-1000)*F156/G156</f>
        <v>993</v>
      </c>
      <c r="H158" s="980" t="s">
        <v>284</v>
      </c>
      <c r="I158" s="980"/>
      <c r="J158" s="980"/>
      <c r="K158" s="1107" t="s">
        <v>285</v>
      </c>
      <c r="L158" s="1107"/>
      <c r="M158" s="615">
        <v>0</v>
      </c>
      <c r="N158" s="1108" t="str">
        <f>"g ̸ litre, equivalent to "&amp;FIXED(M158/M94)&amp;" tsp"</f>
        <v>g ̸ litre, equivalent to 0.00 tsp</v>
      </c>
      <c r="O158" s="1109"/>
      <c r="P158" s="1110"/>
      <c r="Q158" s="616"/>
      <c r="R158" s="709"/>
      <c r="S158" s="47"/>
    </row>
    <row r="159" spans="1:19" ht="15" customHeight="1">
      <c r="A159" s="4"/>
      <c r="B159" s="760" t="s">
        <v>286</v>
      </c>
      <c r="C159" s="248">
        <f>(C157-C158)/(7.75-(3*(C157-1000)/800))</f>
        <v>11.677852348993289</v>
      </c>
      <c r="D159" s="597" t="s">
        <v>284</v>
      </c>
      <c r="E159" s="598">
        <f>C159</f>
        <v>11.677852348993289</v>
      </c>
      <c r="F159" s="599">
        <f>E159</f>
        <v>11.677852348993289</v>
      </c>
      <c r="G159" s="762">
        <v>0</v>
      </c>
      <c r="H159" s="983" t="s">
        <v>287</v>
      </c>
      <c r="I159" s="983"/>
      <c r="J159" s="983"/>
      <c r="K159" s="1032" t="s">
        <v>288</v>
      </c>
      <c r="L159" s="1034"/>
      <c r="M159" s="461">
        <f>(C159*E156+G156*G159)/M156+(0.001*M158*365)/(7.75-(3*(C158-1000)/800))</f>
        <v>5.1901565995525729</v>
      </c>
      <c r="N159" s="1032" t="s">
        <v>284</v>
      </c>
      <c r="O159" s="1033"/>
      <c r="P159" s="1034"/>
      <c r="Q159" s="682"/>
      <c r="R159" s="709"/>
      <c r="S159" s="47"/>
    </row>
    <row r="160" spans="1:19" ht="15" customHeight="1">
      <c r="A160" s="4"/>
      <c r="B160" s="1111" t="s">
        <v>289</v>
      </c>
      <c r="C160" s="1111"/>
      <c r="D160" s="1111"/>
      <c r="E160" s="1111"/>
      <c r="F160" s="1111"/>
      <c r="G160" s="1111"/>
      <c r="H160" s="1111"/>
      <c r="I160" s="1111"/>
      <c r="J160" s="1111"/>
      <c r="K160" s="1111"/>
      <c r="L160" s="1111"/>
      <c r="M160" s="1111"/>
      <c r="N160" s="1111"/>
      <c r="O160" s="1111"/>
      <c r="P160" s="1111"/>
      <c r="Q160" s="766"/>
      <c r="R160" s="709"/>
      <c r="S160" s="47"/>
    </row>
    <row r="161" spans="1:19" ht="15" customHeight="1">
      <c r="A161" s="4"/>
      <c r="B161" s="1112"/>
      <c r="C161" s="1112"/>
      <c r="D161" s="1112"/>
      <c r="E161" s="1112"/>
      <c r="F161" s="1112"/>
      <c r="G161" s="1112"/>
      <c r="H161" s="1112"/>
      <c r="I161" s="1112"/>
      <c r="J161" s="1112"/>
      <c r="K161" s="1112"/>
      <c r="L161" s="1112"/>
      <c r="M161" s="1112"/>
      <c r="N161" s="1112"/>
      <c r="O161" s="1112"/>
      <c r="P161" s="1112"/>
      <c r="Q161" s="766"/>
      <c r="R161" s="709"/>
      <c r="S161" s="47"/>
    </row>
    <row r="162" spans="1:19" ht="15" customHeight="1">
      <c r="A162" s="4"/>
      <c r="B162" s="940" t="s">
        <v>290</v>
      </c>
      <c r="C162" s="940"/>
      <c r="D162" s="940"/>
      <c r="E162" s="940"/>
      <c r="F162" s="940"/>
      <c r="G162" s="940"/>
      <c r="H162" s="940"/>
      <c r="I162" s="240"/>
      <c r="J162" s="240"/>
      <c r="K162" s="240"/>
      <c r="L162" s="240"/>
      <c r="M162" s="4"/>
      <c r="N162" s="4"/>
      <c r="O162" s="4"/>
      <c r="P162" s="4"/>
      <c r="Q162" s="4"/>
      <c r="R162" s="709"/>
      <c r="S162" s="47"/>
    </row>
    <row r="163" spans="1:19" ht="15" customHeight="1">
      <c r="A163" s="4"/>
      <c r="B163" s="683"/>
      <c r="C163" s="683"/>
      <c r="D163" s="683"/>
      <c r="E163" s="240"/>
      <c r="F163" s="240"/>
      <c r="G163" s="240"/>
      <c r="H163" s="240"/>
      <c r="I163" s="240"/>
      <c r="J163" s="240"/>
      <c r="K163" s="240"/>
      <c r="L163" s="240"/>
      <c r="M163" s="4"/>
      <c r="N163" s="4"/>
      <c r="O163" s="4"/>
      <c r="P163" s="4"/>
      <c r="Q163" s="4"/>
      <c r="R163" s="709"/>
      <c r="S163" s="47"/>
    </row>
    <row r="164" spans="1:19" ht="15" customHeight="1">
      <c r="A164" s="4"/>
      <c r="B164" s="240"/>
      <c r="C164" s="240"/>
      <c r="D164" s="240"/>
      <c r="E164" s="240"/>
      <c r="F164" s="240"/>
      <c r="G164" s="240"/>
      <c r="H164" s="240"/>
      <c r="I164" s="240"/>
      <c r="J164" s="240"/>
      <c r="K164" s="240"/>
      <c r="L164" s="240"/>
      <c r="M164" s="709"/>
      <c r="N164" s="709"/>
      <c r="O164" s="709"/>
      <c r="P164" s="709"/>
      <c r="Q164" s="709"/>
      <c r="R164" s="709"/>
      <c r="S164" s="47"/>
    </row>
    <row r="165" spans="1:19" ht="14.25" customHeight="1">
      <c r="A165" s="1115" t="s">
        <v>291</v>
      </c>
      <c r="B165" s="1115"/>
      <c r="C165" s="1115"/>
      <c r="D165" s="240"/>
      <c r="E165" s="240"/>
      <c r="F165" s="600"/>
      <c r="G165" s="600"/>
      <c r="H165" s="240"/>
      <c r="I165" s="487"/>
      <c r="J165" s="773" t="s">
        <v>292</v>
      </c>
      <c r="K165" s="240"/>
      <c r="L165" s="4"/>
      <c r="M165" s="4"/>
      <c r="N165" s="4"/>
      <c r="O165" s="4"/>
      <c r="P165" s="4"/>
      <c r="Q165" s="4"/>
      <c r="R165" s="709"/>
      <c r="S165" s="47"/>
    </row>
    <row r="166" spans="1:19" ht="17.399999999999999" customHeight="1">
      <c r="A166" s="4"/>
      <c r="B166" s="830" t="s">
        <v>293</v>
      </c>
      <c r="C166" s="601" t="s">
        <v>294</v>
      </c>
      <c r="D166" s="240"/>
      <c r="E166" s="240"/>
      <c r="F166" s="600"/>
      <c r="G166" s="600"/>
      <c r="H166" s="240"/>
      <c r="I166" s="240"/>
      <c r="J166" s="240"/>
      <c r="K166" s="240"/>
      <c r="L166" s="4"/>
      <c r="M166" s="4"/>
      <c r="N166" s="4"/>
      <c r="O166" s="4"/>
      <c r="P166" s="4"/>
      <c r="Q166" s="4"/>
      <c r="R166" s="709"/>
      <c r="S166" s="47"/>
    </row>
    <row r="167" spans="1:19" ht="15" customHeight="1">
      <c r="A167" s="4"/>
      <c r="B167" s="831" t="s">
        <v>295</v>
      </c>
      <c r="C167" s="602">
        <v>20</v>
      </c>
      <c r="D167" s="240"/>
      <c r="E167" s="240"/>
      <c r="F167" s="600"/>
      <c r="G167" s="600"/>
      <c r="H167" s="240"/>
      <c r="I167" s="240"/>
      <c r="J167" s="832"/>
      <c r="K167" s="833">
        <f>M54*N150/1000</f>
        <v>78.94</v>
      </c>
      <c r="L167" s="645">
        <f>K167+(100-M54)</f>
        <v>78.94</v>
      </c>
      <c r="M167" s="646">
        <f>(M170)/(M54)</f>
        <v>1</v>
      </c>
      <c r="N167" s="4"/>
      <c r="O167" s="4"/>
      <c r="P167" s="4"/>
      <c r="Q167" s="4"/>
      <c r="R167" s="709"/>
      <c r="S167" s="47"/>
    </row>
    <row r="168" spans="1:19" ht="15" customHeight="1">
      <c r="A168" s="4"/>
      <c r="B168" s="834" t="s">
        <v>296</v>
      </c>
      <c r="C168" s="603" t="s">
        <v>297</v>
      </c>
      <c r="D168" s="240"/>
      <c r="E168" s="240"/>
      <c r="F168" s="600"/>
      <c r="G168" s="600"/>
      <c r="H168" s="240"/>
      <c r="I168" s="240"/>
      <c r="J168" s="832"/>
      <c r="K168" s="833">
        <f>C51*N150/1000</f>
        <v>31.576000000000001</v>
      </c>
      <c r="L168" s="645">
        <f>K168+(100-C51)</f>
        <v>91.575999999999993</v>
      </c>
      <c r="M168" s="646">
        <f>(E51)/(C51)</f>
        <v>0.862016248798812</v>
      </c>
      <c r="N168" s="4"/>
      <c r="O168" s="4"/>
      <c r="P168" s="4"/>
      <c r="Q168" s="4"/>
      <c r="R168" s="709"/>
      <c r="S168" s="47"/>
    </row>
    <row r="169" spans="1:19" ht="6" customHeight="1">
      <c r="A169" s="4"/>
      <c r="B169" s="604"/>
      <c r="C169" s="834"/>
      <c r="D169" s="240"/>
      <c r="E169" s="240"/>
      <c r="F169" s="600"/>
      <c r="G169" s="600"/>
      <c r="H169" s="240"/>
      <c r="I169" s="240"/>
      <c r="J169" s="832"/>
      <c r="K169" s="833">
        <f>H51*N150/1000</f>
        <v>31.576000000000001</v>
      </c>
      <c r="L169" s="645">
        <f>K169+(100-H51)</f>
        <v>91.575999999999993</v>
      </c>
      <c r="M169" s="646">
        <f>(J51)/(H51)</f>
        <v>0.862016248798812</v>
      </c>
      <c r="N169" s="4"/>
      <c r="O169" s="4"/>
      <c r="P169" s="4"/>
      <c r="Q169" s="4"/>
      <c r="R169" s="709"/>
      <c r="S169" s="47"/>
    </row>
    <row r="170" spans="1:19" ht="15" customHeight="1">
      <c r="A170" s="4"/>
      <c r="B170" s="835" t="s">
        <v>298</v>
      </c>
      <c r="C170" s="605" t="s">
        <v>299</v>
      </c>
      <c r="D170" s="240"/>
      <c r="E170" s="240"/>
      <c r="F170" s="600"/>
      <c r="G170" s="600"/>
      <c r="H170" s="240"/>
      <c r="I170" s="240"/>
      <c r="J170" s="832"/>
      <c r="K170" s="836"/>
      <c r="L170" s="647"/>
      <c r="M170" s="648">
        <f>100*K167/L167</f>
        <v>100</v>
      </c>
      <c r="N170" s="4"/>
      <c r="O170" s="4"/>
      <c r="P170" s="4"/>
      <c r="Q170" s="4"/>
      <c r="R170" s="709"/>
      <c r="S170" s="47"/>
    </row>
    <row r="171" spans="1:19" ht="15" customHeight="1">
      <c r="A171" s="4"/>
      <c r="B171" s="835" t="s">
        <v>300</v>
      </c>
      <c r="C171" s="605" t="s">
        <v>301</v>
      </c>
      <c r="D171" s="240"/>
      <c r="E171" s="240"/>
      <c r="F171" s="600"/>
      <c r="G171" s="606"/>
      <c r="H171" s="240"/>
      <c r="I171" s="240"/>
      <c r="J171" s="832"/>
      <c r="K171" s="833">
        <f>C54*N$150/1000</f>
        <v>2.6839599999999999</v>
      </c>
      <c r="L171" s="645">
        <f>K171+(100-C54)</f>
        <v>99.283959999999993</v>
      </c>
      <c r="M171" s="646">
        <f>(D54)/(C54)</f>
        <v>0.79509318524361861</v>
      </c>
      <c r="N171" s="4"/>
      <c r="O171" s="4"/>
      <c r="P171" s="4"/>
      <c r="Q171" s="4"/>
      <c r="R171" s="709"/>
      <c r="S171" s="47"/>
    </row>
    <row r="172" spans="1:19" ht="15" customHeight="1">
      <c r="A172" s="4"/>
      <c r="B172" s="835" t="s">
        <v>302</v>
      </c>
      <c r="C172" s="605" t="s">
        <v>303</v>
      </c>
      <c r="D172" s="240"/>
      <c r="E172" s="240"/>
      <c r="F172" s="600"/>
      <c r="G172" s="606"/>
      <c r="H172" s="240"/>
      <c r="I172" s="240"/>
      <c r="J172" s="832"/>
      <c r="K172" s="832"/>
      <c r="L172" s="832"/>
      <c r="M172" s="832"/>
      <c r="N172" s="4"/>
      <c r="O172" s="4"/>
      <c r="P172" s="4"/>
      <c r="Q172" s="4"/>
      <c r="R172" s="709"/>
      <c r="S172" s="47"/>
    </row>
    <row r="173" spans="1:19" ht="6" customHeight="1">
      <c r="A173" s="709"/>
      <c r="B173" s="607"/>
      <c r="C173" s="605"/>
      <c r="D173" s="240"/>
      <c r="E173" s="240"/>
      <c r="F173" s="600"/>
      <c r="G173" s="606"/>
      <c r="H173" s="240"/>
      <c r="I173" s="240"/>
      <c r="J173" s="832"/>
      <c r="K173" s="837">
        <f>D109*12+E109</f>
        <v>69</v>
      </c>
      <c r="L173" s="837" t="s">
        <v>304</v>
      </c>
      <c r="M173" s="649">
        <f>2.54*K173</f>
        <v>175.26</v>
      </c>
      <c r="N173" s="709"/>
      <c r="O173" s="709"/>
      <c r="P173" s="709"/>
      <c r="Q173" s="709"/>
      <c r="R173" s="709"/>
      <c r="S173" s="47"/>
    </row>
    <row r="174" spans="1:19" ht="15" customHeight="1">
      <c r="A174" s="709"/>
      <c r="B174" s="835" t="s">
        <v>305</v>
      </c>
      <c r="C174" s="605" t="s">
        <v>306</v>
      </c>
      <c r="D174" s="240"/>
      <c r="E174" s="240"/>
      <c r="F174" s="600"/>
      <c r="G174" s="606"/>
      <c r="H174" s="240"/>
      <c r="I174" s="240"/>
      <c r="J174" s="832"/>
      <c r="K174" s="837">
        <f>D111*14+E111</f>
        <v>161</v>
      </c>
      <c r="L174" s="837" t="s">
        <v>307</v>
      </c>
      <c r="M174" s="650">
        <f>0.454*K174*10000</f>
        <v>730940.00000000012</v>
      </c>
      <c r="N174" s="709"/>
      <c r="O174" s="709"/>
      <c r="P174" s="709"/>
      <c r="Q174" s="709"/>
      <c r="R174" s="709"/>
      <c r="S174" s="47"/>
    </row>
    <row r="175" spans="1:19" ht="15" customHeight="1">
      <c r="A175" s="709"/>
      <c r="B175" s="835" t="s">
        <v>308</v>
      </c>
      <c r="C175" s="605" t="s">
        <v>309</v>
      </c>
      <c r="D175" s="240"/>
      <c r="E175" s="240"/>
      <c r="F175" s="600"/>
      <c r="G175" s="606"/>
      <c r="H175" s="240"/>
      <c r="I175" s="240"/>
      <c r="J175" s="832"/>
      <c r="K175" s="832"/>
      <c r="L175" s="832"/>
      <c r="M175" s="832"/>
      <c r="N175" s="709"/>
      <c r="O175" s="709"/>
      <c r="P175" s="709"/>
      <c r="Q175" s="709"/>
      <c r="R175" s="709"/>
      <c r="S175" s="47"/>
    </row>
    <row r="176" spans="1:19" ht="6" customHeight="1">
      <c r="A176" s="4"/>
      <c r="B176" s="608"/>
      <c r="C176" s="838"/>
      <c r="D176" s="240"/>
      <c r="E176" s="240"/>
      <c r="F176" s="600"/>
      <c r="G176" s="606"/>
      <c r="H176" s="240"/>
      <c r="I176" s="240"/>
      <c r="J176" s="832"/>
      <c r="K176" s="832"/>
      <c r="L176" s="832"/>
      <c r="M176" s="832"/>
      <c r="N176" s="4"/>
      <c r="O176" s="4"/>
      <c r="P176" s="4"/>
      <c r="Q176" s="4"/>
      <c r="R176" s="709"/>
      <c r="S176" s="47"/>
    </row>
    <row r="177" spans="1:19" ht="15" customHeight="1">
      <c r="A177" s="4"/>
      <c r="B177" s="835" t="s">
        <v>310</v>
      </c>
      <c r="C177" s="609" t="s">
        <v>311</v>
      </c>
      <c r="D177" s="240"/>
      <c r="E177" s="240"/>
      <c r="F177" s="600"/>
      <c r="G177" s="606"/>
      <c r="H177" s="240"/>
      <c r="I177" s="240"/>
      <c r="J177" s="832"/>
      <c r="K177" s="832"/>
      <c r="L177" s="832"/>
      <c r="M177" s="832"/>
      <c r="N177" s="4"/>
      <c r="O177" s="4"/>
      <c r="P177" s="4"/>
      <c r="Q177" s="4"/>
      <c r="R177" s="709"/>
      <c r="S177" s="47"/>
    </row>
    <row r="178" spans="1:19" ht="15" customHeight="1">
      <c r="A178" s="4"/>
      <c r="B178" s="835" t="s">
        <v>312</v>
      </c>
      <c r="C178" s="609" t="s">
        <v>313</v>
      </c>
      <c r="D178" s="240"/>
      <c r="E178" s="240"/>
      <c r="F178" s="600"/>
      <c r="G178" s="606"/>
      <c r="H178" s="240"/>
      <c r="I178" s="240"/>
      <c r="J178" s="832"/>
      <c r="K178" s="832"/>
      <c r="L178" s="839" t="e">
        <f ca="1">G107</f>
        <v>#REF!</v>
      </c>
      <c r="M178" s="832"/>
      <c r="N178" s="4"/>
      <c r="O178" s="4"/>
      <c r="P178" s="4"/>
      <c r="Q178" s="4"/>
      <c r="R178" s="709"/>
      <c r="S178" s="47"/>
    </row>
    <row r="179" spans="1:19" ht="15" customHeight="1">
      <c r="A179" s="4"/>
      <c r="B179" s="835" t="s">
        <v>314</v>
      </c>
      <c r="C179" s="609" t="s">
        <v>309</v>
      </c>
      <c r="D179" s="240"/>
      <c r="E179" s="240"/>
      <c r="F179" s="600"/>
      <c r="G179" s="606"/>
      <c r="H179" s="240"/>
      <c r="I179" s="240"/>
      <c r="J179" s="240"/>
      <c r="K179" s="240"/>
      <c r="L179" s="4"/>
      <c r="M179" s="4"/>
      <c r="N179" s="4"/>
      <c r="O179" s="4"/>
      <c r="P179" s="4"/>
      <c r="Q179" s="4"/>
      <c r="R179" s="709"/>
      <c r="S179" s="47"/>
    </row>
    <row r="180" spans="1:19" ht="15" customHeight="1">
      <c r="A180" s="709"/>
      <c r="B180" s="835" t="s">
        <v>315</v>
      </c>
      <c r="C180" s="605" t="s">
        <v>316</v>
      </c>
      <c r="D180" s="240"/>
      <c r="E180" s="240"/>
      <c r="F180" s="600"/>
      <c r="G180" s="606"/>
      <c r="H180" s="240"/>
      <c r="I180" s="240"/>
      <c r="J180" s="240"/>
      <c r="K180" s="240"/>
      <c r="L180" s="4"/>
      <c r="M180" s="4"/>
      <c r="N180" s="709"/>
      <c r="O180" s="709"/>
      <c r="P180" s="709"/>
      <c r="Q180" s="709"/>
      <c r="R180" s="709"/>
      <c r="S180" s="47"/>
    </row>
    <row r="181" spans="1:19" ht="15" customHeight="1">
      <c r="A181" s="4"/>
      <c r="B181" s="835" t="s">
        <v>317</v>
      </c>
      <c r="C181" s="609" t="s">
        <v>318</v>
      </c>
      <c r="D181" s="240"/>
      <c r="E181" s="240"/>
      <c r="F181" s="600"/>
      <c r="G181" s="606"/>
      <c r="H181" s="240"/>
      <c r="I181" s="240"/>
      <c r="J181" s="240"/>
      <c r="K181" s="240"/>
      <c r="L181" s="4"/>
      <c r="M181" s="4"/>
      <c r="N181" s="4"/>
      <c r="O181" s="4"/>
      <c r="P181" s="4"/>
      <c r="Q181" s="4"/>
      <c r="R181" s="709"/>
      <c r="S181" s="47"/>
    </row>
    <row r="182" spans="1:19" ht="15" customHeight="1">
      <c r="A182" s="4"/>
      <c r="B182" s="835" t="s">
        <v>319</v>
      </c>
      <c r="C182" s="609" t="s">
        <v>320</v>
      </c>
      <c r="D182" s="240"/>
      <c r="E182" s="240"/>
      <c r="F182" s="600"/>
      <c r="G182" s="606"/>
      <c r="H182" s="240"/>
      <c r="I182" s="240"/>
      <c r="J182" s="240"/>
      <c r="K182" s="240"/>
      <c r="L182" s="4"/>
      <c r="M182" s="4"/>
      <c r="N182" s="4"/>
      <c r="O182" s="4"/>
      <c r="P182" s="4"/>
      <c r="Q182" s="4"/>
      <c r="R182" s="709"/>
      <c r="S182" s="47"/>
    </row>
    <row r="183" spans="1:19" ht="6" customHeight="1">
      <c r="A183" s="4"/>
      <c r="B183" s="604"/>
      <c r="C183" s="609"/>
      <c r="D183" s="240"/>
      <c r="E183" s="240"/>
      <c r="F183" s="600"/>
      <c r="G183" s="606"/>
      <c r="H183" s="240"/>
      <c r="I183" s="240"/>
      <c r="J183" s="240"/>
      <c r="K183" s="240"/>
      <c r="L183" s="4"/>
      <c r="M183" s="4"/>
      <c r="N183" s="4"/>
      <c r="O183" s="4"/>
      <c r="P183" s="4"/>
      <c r="Q183" s="4"/>
      <c r="R183" s="709"/>
      <c r="S183" s="47"/>
    </row>
    <row r="184" spans="1:19" ht="15" customHeight="1">
      <c r="A184" s="4"/>
      <c r="B184" s="835" t="s">
        <v>321</v>
      </c>
      <c r="C184" s="609" t="s">
        <v>311</v>
      </c>
      <c r="D184" s="240"/>
      <c r="E184" s="240"/>
      <c r="F184" s="600"/>
      <c r="G184" s="606"/>
      <c r="H184" s="240"/>
      <c r="I184" s="240"/>
      <c r="J184" s="240"/>
      <c r="K184" s="240"/>
      <c r="L184" s="4"/>
      <c r="M184" s="4"/>
      <c r="N184" s="4"/>
      <c r="O184" s="4"/>
      <c r="P184" s="4"/>
      <c r="Q184" s="4"/>
      <c r="R184" s="709"/>
      <c r="S184" s="47"/>
    </row>
    <row r="185" spans="1:19" ht="15" customHeight="1">
      <c r="A185" s="4"/>
      <c r="B185" s="835" t="s">
        <v>322</v>
      </c>
      <c r="C185" s="609" t="s">
        <v>323</v>
      </c>
      <c r="D185" s="240"/>
      <c r="E185" s="240"/>
      <c r="F185" s="600"/>
      <c r="G185" s="606"/>
      <c r="H185" s="240"/>
      <c r="I185" s="240"/>
      <c r="J185" s="240"/>
      <c r="K185" s="240"/>
      <c r="L185" s="4"/>
      <c r="M185" s="4"/>
      <c r="N185" s="4"/>
      <c r="O185" s="4"/>
      <c r="P185" s="4"/>
      <c r="Q185" s="4"/>
      <c r="R185" s="709"/>
      <c r="S185" s="47"/>
    </row>
    <row r="186" spans="1:19" ht="6" customHeight="1">
      <c r="A186" s="4"/>
      <c r="B186" s="840"/>
      <c r="C186" s="841"/>
      <c r="D186" s="240"/>
      <c r="E186" s="240"/>
      <c r="F186" s="600"/>
      <c r="G186" s="606"/>
      <c r="H186" s="240"/>
      <c r="I186" s="240"/>
      <c r="J186" s="240"/>
      <c r="K186" s="240"/>
      <c r="L186" s="4"/>
      <c r="M186" s="4"/>
      <c r="N186" s="842"/>
      <c r="O186" s="842"/>
      <c r="P186" s="4"/>
      <c r="Q186" s="4"/>
      <c r="R186" s="709"/>
      <c r="S186" s="47"/>
    </row>
    <row r="187" spans="1:19" ht="14.4" customHeight="1">
      <c r="A187" s="4"/>
      <c r="B187" s="1113" t="s">
        <v>324</v>
      </c>
      <c r="C187" s="1113"/>
      <c r="D187" s="240"/>
      <c r="E187" s="240"/>
      <c r="F187" s="600"/>
      <c r="G187" s="4"/>
      <c r="H187" s="240"/>
      <c r="I187" s="240"/>
      <c r="J187" s="240"/>
      <c r="K187" s="240"/>
      <c r="L187" s="240"/>
      <c r="M187" s="240"/>
      <c r="N187" s="240"/>
      <c r="O187" s="240"/>
      <c r="P187" s="240"/>
      <c r="Q187" s="240"/>
      <c r="R187" s="709"/>
      <c r="S187" s="47"/>
    </row>
    <row r="188" spans="1:19" ht="14.4" customHeight="1">
      <c r="A188" s="4"/>
      <c r="B188" s="1114"/>
      <c r="C188" s="1114"/>
      <c r="D188" s="240"/>
      <c r="E188" s="240"/>
      <c r="F188" s="600"/>
      <c r="G188" s="4"/>
      <c r="H188" s="842"/>
      <c r="I188" s="842"/>
      <c r="J188" s="842"/>
      <c r="K188" s="842"/>
      <c r="L188" s="1116"/>
      <c r="M188" s="1116"/>
      <c r="N188" s="1116"/>
      <c r="O188" s="710"/>
      <c r="P188" s="710"/>
      <c r="Q188" s="756"/>
      <c r="R188" s="709"/>
      <c r="S188" s="47"/>
    </row>
    <row r="189" spans="1:19" ht="14.4" customHeight="1">
      <c r="A189" s="4"/>
      <c r="B189" s="1114"/>
      <c r="C189" s="1114"/>
      <c r="D189" s="240"/>
      <c r="E189" s="240"/>
      <c r="F189" s="600"/>
      <c r="G189" s="4"/>
      <c r="H189" s="842"/>
      <c r="I189" s="842"/>
      <c r="J189" s="842"/>
      <c r="K189" s="842"/>
      <c r="L189" s="1116"/>
      <c r="M189" s="1116"/>
      <c r="N189" s="1116"/>
      <c r="O189" s="710"/>
      <c r="P189" s="710"/>
      <c r="Q189" s="756"/>
      <c r="R189" s="709"/>
      <c r="S189" s="47"/>
    </row>
    <row r="190" spans="1:19" s="149" customFormat="1" ht="14.4" customHeight="1">
      <c r="A190" s="4"/>
      <c r="B190" s="1114"/>
      <c r="C190" s="1114"/>
      <c r="D190" s="240"/>
      <c r="E190" s="240"/>
      <c r="F190" s="600"/>
      <c r="G190" s="4"/>
      <c r="H190" s="842"/>
      <c r="I190" s="842"/>
      <c r="J190" s="842"/>
      <c r="K190" s="842"/>
      <c r="L190" s="755"/>
      <c r="M190" s="755"/>
      <c r="N190" s="710"/>
      <c r="O190" s="710"/>
      <c r="P190" s="710"/>
      <c r="Q190" s="756"/>
      <c r="R190" s="709"/>
      <c r="S190" s="643"/>
    </row>
    <row r="191" spans="1:19" s="149" customFormat="1" ht="17.25" customHeight="1">
      <c r="A191" s="914" t="s">
        <v>964</v>
      </c>
      <c r="B191" s="914"/>
      <c r="C191" s="914"/>
      <c r="D191" s="914"/>
      <c r="E191" s="914"/>
      <c r="F191" s="914"/>
      <c r="G191" s="914"/>
      <c r="H191" s="914"/>
      <c r="I191" s="914"/>
      <c r="J191" s="883"/>
      <c r="K191" s="883"/>
      <c r="L191" s="883"/>
      <c r="M191" s="883"/>
      <c r="N191" s="1098" t="s">
        <v>968</v>
      </c>
      <c r="O191" s="1098"/>
      <c r="P191" s="1098"/>
      <c r="Q191" s="710"/>
      <c r="R191" s="709"/>
      <c r="S191" s="643"/>
    </row>
    <row r="192" spans="1:19" ht="14.4" customHeight="1">
      <c r="A192" s="842"/>
      <c r="B192" s="842"/>
      <c r="C192" s="842"/>
      <c r="D192" s="842"/>
      <c r="E192" s="842"/>
      <c r="F192" s="842"/>
      <c r="G192" s="842"/>
      <c r="H192" s="842"/>
      <c r="I192" s="842"/>
      <c r="J192" s="842"/>
      <c r="K192" s="842"/>
      <c r="L192" s="710"/>
      <c r="M192" s="710"/>
      <c r="N192" s="710"/>
      <c r="O192" s="630"/>
      <c r="P192" s="630"/>
      <c r="Q192" s="756"/>
      <c r="R192" s="709"/>
      <c r="S192" s="47"/>
    </row>
    <row r="193" spans="1:19" ht="13.2">
      <c r="A193" s="47"/>
      <c r="B193" s="47"/>
      <c r="C193" s="47"/>
      <c r="D193" s="47"/>
      <c r="E193" s="47"/>
      <c r="F193" s="47"/>
      <c r="G193" s="47"/>
      <c r="H193" s="47"/>
      <c r="I193" s="47"/>
      <c r="J193" s="47"/>
      <c r="K193" s="47"/>
      <c r="L193" s="47"/>
      <c r="M193" s="47"/>
      <c r="N193" s="47"/>
      <c r="O193" s="47"/>
      <c r="P193" s="47"/>
      <c r="Q193" s="47"/>
      <c r="R193" s="47"/>
      <c r="S193" s="47"/>
    </row>
    <row r="194" spans="1:19" ht="13.2">
      <c r="A194" s="47"/>
      <c r="B194" s="47"/>
      <c r="C194" s="47"/>
      <c r="D194" s="47"/>
      <c r="E194" s="47"/>
      <c r="F194" s="47"/>
      <c r="G194" s="47"/>
      <c r="H194" s="47"/>
      <c r="I194" s="47"/>
      <c r="J194" s="47"/>
      <c r="K194" s="47"/>
      <c r="L194" s="47"/>
      <c r="M194" s="47"/>
      <c r="N194" s="47"/>
      <c r="O194" s="47"/>
      <c r="P194" s="47"/>
      <c r="Q194" s="47"/>
      <c r="R194" s="47"/>
      <c r="S194" s="47"/>
    </row>
    <row r="195" spans="1:19">
      <c r="A195" s="487"/>
      <c r="B195" s="487"/>
      <c r="C195" s="487"/>
      <c r="D195" s="487"/>
      <c r="E195" s="487"/>
      <c r="F195" s="487"/>
      <c r="G195" s="487"/>
      <c r="H195" s="487"/>
      <c r="I195" s="487"/>
      <c r="J195" s="487"/>
      <c r="K195" s="487"/>
      <c r="L195" s="487"/>
      <c r="M195" s="487"/>
      <c r="N195" s="487"/>
      <c r="O195" s="487"/>
      <c r="P195" s="487"/>
      <c r="Q195" s="487"/>
      <c r="R195" s="643"/>
      <c r="S195" s="47"/>
    </row>
    <row r="196" spans="1:19">
      <c r="A196" s="487"/>
      <c r="B196" s="487"/>
      <c r="C196" s="487"/>
      <c r="D196" s="487"/>
      <c r="E196" s="487"/>
      <c r="F196" s="487"/>
      <c r="G196" s="487"/>
      <c r="H196" s="487"/>
      <c r="I196" s="487"/>
      <c r="J196" s="487"/>
      <c r="K196" s="487"/>
      <c r="L196" s="487"/>
      <c r="M196" s="487"/>
      <c r="N196" s="487"/>
      <c r="O196" s="487"/>
      <c r="P196" s="487"/>
      <c r="Q196" s="487"/>
      <c r="R196" s="643"/>
      <c r="S196" s="47"/>
    </row>
    <row r="197" spans="1:19">
      <c r="A197" s="487"/>
      <c r="B197" s="487"/>
      <c r="C197" s="487"/>
      <c r="D197" s="487"/>
      <c r="E197" s="487"/>
      <c r="F197" s="487"/>
      <c r="G197" s="487"/>
      <c r="H197" s="487"/>
      <c r="I197" s="487"/>
      <c r="J197" s="487"/>
      <c r="K197" s="487"/>
      <c r="L197" s="487"/>
      <c r="M197" s="487"/>
      <c r="N197" s="487"/>
      <c r="O197" s="487"/>
      <c r="P197" s="487"/>
      <c r="Q197" s="487"/>
      <c r="R197" s="643"/>
      <c r="S197" s="47"/>
    </row>
    <row r="198" spans="1:19">
      <c r="A198" s="487"/>
      <c r="B198" s="487"/>
      <c r="C198" s="487"/>
      <c r="D198" s="487"/>
      <c r="E198" s="487"/>
      <c r="F198" s="487"/>
      <c r="G198" s="487"/>
      <c r="H198" s="487"/>
      <c r="I198" s="487"/>
      <c r="J198" s="487"/>
      <c r="K198" s="487"/>
      <c r="L198" s="487"/>
      <c r="M198" s="487"/>
      <c r="N198" s="487"/>
      <c r="O198" s="487"/>
      <c r="P198" s="487"/>
      <c r="Q198" s="487"/>
      <c r="R198" s="643"/>
      <c r="S198" s="47"/>
    </row>
    <row r="199" spans="1:19">
      <c r="A199" s="487"/>
      <c r="B199" s="487"/>
      <c r="C199" s="487"/>
      <c r="D199" s="487"/>
      <c r="E199" s="487"/>
      <c r="F199" s="487"/>
      <c r="G199" s="487"/>
      <c r="H199" s="487"/>
      <c r="I199" s="487"/>
      <c r="J199" s="487"/>
      <c r="K199" s="487"/>
      <c r="L199" s="487"/>
      <c r="M199" s="487"/>
      <c r="N199" s="487"/>
      <c r="O199" s="487"/>
      <c r="P199" s="487"/>
      <c r="Q199" s="487"/>
      <c r="R199" s="643"/>
      <c r="S199" s="47"/>
    </row>
    <row r="200" spans="1:19">
      <c r="A200" s="487"/>
      <c r="B200" s="487"/>
      <c r="C200" s="487"/>
      <c r="D200" s="487"/>
      <c r="E200" s="487"/>
      <c r="F200" s="487"/>
      <c r="G200" s="487"/>
      <c r="H200" s="487"/>
      <c r="I200" s="487"/>
      <c r="J200" s="487"/>
      <c r="K200" s="487"/>
      <c r="L200" s="487"/>
      <c r="M200" s="487"/>
      <c r="N200" s="487"/>
      <c r="O200" s="487"/>
      <c r="P200" s="487"/>
      <c r="Q200" s="487"/>
      <c r="R200" s="643"/>
      <c r="S200" s="47"/>
    </row>
    <row r="201" spans="1:19">
      <c r="A201" s="487"/>
      <c r="B201" s="487"/>
      <c r="C201" s="487"/>
      <c r="D201" s="487"/>
      <c r="E201" s="487"/>
      <c r="F201" s="487"/>
      <c r="G201" s="487"/>
      <c r="H201" s="487"/>
      <c r="I201" s="487"/>
      <c r="J201" s="487"/>
      <c r="K201" s="487"/>
      <c r="L201" s="487"/>
      <c r="M201" s="487"/>
      <c r="N201" s="487"/>
      <c r="O201" s="487"/>
      <c r="P201" s="487"/>
      <c r="Q201" s="487"/>
      <c r="R201" s="643"/>
      <c r="S201" s="47"/>
    </row>
    <row r="202" spans="1:19">
      <c r="A202" s="487"/>
      <c r="B202" s="487"/>
      <c r="C202" s="487"/>
      <c r="D202" s="487"/>
      <c r="E202" s="487"/>
      <c r="F202" s="487"/>
      <c r="G202" s="487"/>
      <c r="H202" s="487"/>
      <c r="I202" s="487"/>
      <c r="J202" s="487"/>
      <c r="K202" s="487"/>
      <c r="L202" s="487"/>
      <c r="M202" s="487"/>
      <c r="N202" s="487"/>
      <c r="O202" s="487"/>
      <c r="P202" s="487"/>
      <c r="Q202" s="487"/>
      <c r="R202" s="643"/>
      <c r="S202" s="47"/>
    </row>
    <row r="203" spans="1:19">
      <c r="A203" s="487"/>
      <c r="B203" s="487"/>
      <c r="C203" s="487"/>
      <c r="D203" s="487"/>
      <c r="E203" s="487"/>
      <c r="F203" s="487"/>
      <c r="G203" s="487"/>
      <c r="H203" s="487"/>
      <c r="I203" s="487"/>
      <c r="J203" s="487"/>
      <c r="K203" s="487"/>
      <c r="L203" s="487"/>
      <c r="M203" s="487"/>
      <c r="N203" s="487"/>
      <c r="O203" s="487"/>
      <c r="P203" s="487"/>
      <c r="Q203" s="487"/>
      <c r="R203" s="643"/>
      <c r="S203" s="47"/>
    </row>
    <row r="204" spans="1:19">
      <c r="A204" s="487"/>
      <c r="B204" s="487"/>
      <c r="C204" s="487"/>
      <c r="D204" s="487"/>
      <c r="E204" s="487"/>
      <c r="F204" s="487"/>
      <c r="G204" s="487"/>
      <c r="H204" s="487"/>
      <c r="I204" s="487"/>
      <c r="J204" s="487"/>
      <c r="K204" s="487"/>
      <c r="L204" s="487"/>
      <c r="M204" s="487"/>
      <c r="N204" s="487"/>
      <c r="O204" s="487"/>
      <c r="P204" s="487"/>
      <c r="Q204" s="487"/>
      <c r="R204" s="643"/>
      <c r="S204" s="47"/>
    </row>
    <row r="205" spans="1:19">
      <c r="A205" s="487"/>
      <c r="B205" s="487"/>
      <c r="C205" s="487"/>
      <c r="D205" s="487"/>
      <c r="E205" s="487"/>
      <c r="F205" s="487"/>
      <c r="G205" s="487"/>
      <c r="H205" s="487"/>
      <c r="I205" s="487"/>
      <c r="J205" s="487"/>
      <c r="K205" s="487"/>
      <c r="L205" s="487"/>
      <c r="M205" s="487"/>
      <c r="N205" s="487"/>
      <c r="O205" s="487"/>
      <c r="P205" s="487"/>
      <c r="Q205" s="487"/>
      <c r="R205" s="643"/>
      <c r="S205" s="47"/>
    </row>
    <row r="206" spans="1:19">
      <c r="A206" s="487"/>
      <c r="B206" s="487"/>
      <c r="C206" s="487"/>
      <c r="D206" s="487"/>
      <c r="E206" s="487"/>
      <c r="F206" s="487"/>
      <c r="G206" s="487"/>
      <c r="H206" s="487"/>
      <c r="I206" s="487"/>
      <c r="J206" s="487"/>
      <c r="K206" s="487"/>
      <c r="L206" s="487"/>
      <c r="M206" s="487"/>
      <c r="N206" s="487"/>
      <c r="O206" s="487"/>
      <c r="P206" s="487"/>
      <c r="Q206" s="487"/>
      <c r="R206" s="643"/>
      <c r="S206" s="47"/>
    </row>
    <row r="207" spans="1:19">
      <c r="A207" s="487"/>
      <c r="B207" s="487"/>
      <c r="C207" s="487"/>
      <c r="D207" s="487"/>
      <c r="E207" s="487"/>
      <c r="F207" s="487"/>
      <c r="G207" s="487"/>
      <c r="H207" s="487"/>
      <c r="I207" s="487"/>
      <c r="J207" s="487"/>
      <c r="K207" s="487"/>
      <c r="L207" s="487"/>
      <c r="M207" s="487"/>
      <c r="N207" s="487"/>
      <c r="O207" s="487"/>
      <c r="P207" s="487"/>
      <c r="Q207" s="487"/>
      <c r="R207" s="643"/>
      <c r="S207" s="47"/>
    </row>
    <row r="208" spans="1:19">
      <c r="A208" s="487"/>
      <c r="B208" s="487"/>
      <c r="C208" s="487"/>
      <c r="D208" s="487"/>
      <c r="E208" s="487"/>
      <c r="F208" s="487"/>
      <c r="G208" s="487"/>
      <c r="H208" s="487"/>
      <c r="I208" s="487"/>
      <c r="J208" s="487"/>
      <c r="K208" s="487"/>
      <c r="L208" s="487"/>
      <c r="M208" s="487"/>
      <c r="N208" s="487"/>
      <c r="O208" s="487"/>
      <c r="P208" s="487"/>
      <c r="Q208" s="487"/>
      <c r="R208" s="643"/>
      <c r="S208" s="47"/>
    </row>
    <row r="209" spans="1:19">
      <c r="A209" s="487"/>
      <c r="B209" s="487"/>
      <c r="C209" s="487"/>
      <c r="D209" s="487"/>
      <c r="E209" s="487"/>
      <c r="F209" s="487"/>
      <c r="G209" s="487"/>
      <c r="H209" s="487"/>
      <c r="I209" s="487"/>
      <c r="J209" s="487"/>
      <c r="K209" s="487"/>
      <c r="L209" s="487"/>
      <c r="M209" s="487"/>
      <c r="N209" s="487"/>
      <c r="O209" s="487"/>
      <c r="P209" s="487"/>
      <c r="Q209" s="487"/>
      <c r="R209" s="643"/>
      <c r="S209" s="47"/>
    </row>
    <row r="210" spans="1:19">
      <c r="A210" s="487"/>
      <c r="B210" s="487"/>
      <c r="C210" s="487"/>
      <c r="D210" s="487"/>
      <c r="E210" s="487"/>
      <c r="F210" s="487"/>
      <c r="G210" s="487"/>
      <c r="H210" s="487"/>
      <c r="I210" s="487"/>
      <c r="J210" s="487"/>
      <c r="K210" s="487"/>
      <c r="L210" s="487"/>
      <c r="M210" s="487"/>
      <c r="N210" s="487"/>
      <c r="O210" s="487"/>
      <c r="P210" s="487"/>
      <c r="Q210" s="487"/>
      <c r="R210" s="643"/>
      <c r="S210" s="47"/>
    </row>
    <row r="211" spans="1:19">
      <c r="A211" s="487"/>
      <c r="B211" s="487"/>
      <c r="C211" s="487"/>
      <c r="D211" s="487"/>
      <c r="E211" s="487"/>
      <c r="F211" s="487"/>
      <c r="G211" s="487"/>
      <c r="H211" s="487"/>
      <c r="I211" s="487"/>
      <c r="J211" s="487"/>
      <c r="K211" s="487"/>
      <c r="L211" s="487"/>
      <c r="M211" s="487"/>
      <c r="N211" s="487"/>
      <c r="O211" s="487"/>
      <c r="P211" s="487"/>
      <c r="Q211" s="487"/>
      <c r="R211" s="643"/>
      <c r="S211" s="47"/>
    </row>
    <row r="212" spans="1:19">
      <c r="A212" s="487"/>
      <c r="B212" s="487"/>
      <c r="C212" s="487"/>
      <c r="D212" s="487"/>
      <c r="E212" s="487"/>
      <c r="F212" s="487"/>
      <c r="G212" s="487"/>
      <c r="H212" s="487"/>
      <c r="I212" s="487"/>
      <c r="J212" s="487"/>
      <c r="K212" s="487"/>
      <c r="L212" s="487"/>
      <c r="M212" s="487"/>
      <c r="N212" s="487"/>
      <c r="O212" s="487"/>
      <c r="P212" s="487"/>
      <c r="Q212" s="487"/>
      <c r="R212" s="643"/>
      <c r="S212" s="47"/>
    </row>
    <row r="213" spans="1:19">
      <c r="A213" s="487"/>
      <c r="B213" s="487"/>
      <c r="C213" s="487"/>
      <c r="D213" s="487"/>
      <c r="E213" s="487"/>
      <c r="F213" s="487"/>
      <c r="G213" s="487"/>
      <c r="H213" s="487"/>
      <c r="I213" s="487"/>
      <c r="J213" s="487"/>
      <c r="K213" s="487"/>
      <c r="L213" s="487"/>
      <c r="M213" s="487"/>
      <c r="N213" s="487"/>
      <c r="O213" s="487"/>
      <c r="P213" s="487"/>
      <c r="Q213" s="487"/>
      <c r="R213" s="643"/>
      <c r="S213" s="47"/>
    </row>
    <row r="214" spans="1:19">
      <c r="A214" s="487"/>
      <c r="B214" s="487"/>
      <c r="C214" s="487"/>
      <c r="D214" s="487"/>
      <c r="E214" s="487"/>
      <c r="F214" s="487"/>
      <c r="G214" s="487"/>
      <c r="H214" s="487"/>
      <c r="I214" s="487"/>
      <c r="J214" s="487"/>
      <c r="K214" s="487"/>
      <c r="L214" s="487"/>
      <c r="M214" s="487"/>
      <c r="N214" s="487"/>
      <c r="O214" s="487"/>
      <c r="P214" s="487"/>
      <c r="Q214" s="487"/>
      <c r="R214" s="643"/>
      <c r="S214" s="47"/>
    </row>
    <row r="215" spans="1:19">
      <c r="A215" s="487"/>
      <c r="B215" s="487"/>
      <c r="C215" s="487"/>
      <c r="D215" s="487"/>
      <c r="E215" s="487"/>
      <c r="F215" s="487"/>
      <c r="G215" s="487"/>
      <c r="H215" s="487"/>
      <c r="I215" s="487"/>
      <c r="J215" s="487"/>
      <c r="K215" s="487"/>
      <c r="L215" s="487"/>
      <c r="M215" s="487"/>
      <c r="N215" s="487"/>
      <c r="O215" s="487"/>
      <c r="P215" s="487"/>
      <c r="Q215" s="487"/>
      <c r="R215" s="643"/>
      <c r="S215" s="47"/>
    </row>
    <row r="216" spans="1:19">
      <c r="A216" s="487"/>
      <c r="B216" s="487"/>
      <c r="C216" s="487"/>
      <c r="D216" s="487"/>
      <c r="E216" s="487"/>
      <c r="F216" s="487"/>
      <c r="G216" s="487"/>
      <c r="H216" s="487"/>
      <c r="I216" s="487"/>
      <c r="J216" s="487"/>
      <c r="K216" s="487"/>
      <c r="L216" s="487"/>
      <c r="M216" s="487"/>
      <c r="N216" s="487"/>
      <c r="O216" s="487"/>
      <c r="P216" s="487"/>
      <c r="Q216" s="487"/>
      <c r="R216" s="643"/>
      <c r="S216" s="47"/>
    </row>
    <row r="217" spans="1:19">
      <c r="A217" s="487"/>
      <c r="B217" s="487"/>
      <c r="C217" s="487"/>
      <c r="D217" s="487"/>
      <c r="E217" s="487"/>
      <c r="F217" s="487"/>
      <c r="G217" s="487"/>
      <c r="H217" s="487"/>
      <c r="I217" s="487"/>
      <c r="J217" s="487"/>
      <c r="K217" s="487"/>
      <c r="L217" s="487"/>
      <c r="M217" s="487"/>
      <c r="N217" s="487"/>
      <c r="O217" s="487"/>
      <c r="P217" s="487"/>
      <c r="Q217" s="487"/>
      <c r="R217" s="643"/>
      <c r="S217" s="47"/>
    </row>
    <row r="218" spans="1:19">
      <c r="A218" s="487"/>
      <c r="B218" s="487"/>
      <c r="C218" s="487"/>
      <c r="D218" s="487"/>
      <c r="E218" s="487"/>
      <c r="F218" s="487"/>
      <c r="G218" s="487"/>
      <c r="H218" s="487"/>
      <c r="I218" s="487"/>
      <c r="J218" s="487"/>
      <c r="K218" s="487"/>
      <c r="L218" s="487"/>
      <c r="M218" s="487"/>
      <c r="N218" s="487"/>
      <c r="O218" s="487"/>
      <c r="P218" s="487"/>
      <c r="Q218" s="487"/>
      <c r="R218" s="643"/>
      <c r="S218" s="47"/>
    </row>
    <row r="219" spans="1:19">
      <c r="A219" s="487"/>
      <c r="B219" s="487"/>
      <c r="C219" s="487"/>
      <c r="D219" s="487"/>
      <c r="E219" s="487"/>
      <c r="F219" s="487"/>
      <c r="G219" s="487"/>
      <c r="H219" s="487"/>
      <c r="I219" s="487"/>
      <c r="J219" s="487"/>
      <c r="K219" s="487"/>
      <c r="L219" s="487"/>
      <c r="M219" s="487"/>
      <c r="N219" s="487"/>
      <c r="O219" s="487"/>
      <c r="P219" s="487"/>
      <c r="Q219" s="487"/>
      <c r="R219" s="643"/>
      <c r="S219" s="47"/>
    </row>
    <row r="220" spans="1:19">
      <c r="A220" s="487"/>
      <c r="B220" s="487"/>
      <c r="C220" s="487"/>
      <c r="D220" s="487"/>
      <c r="E220" s="487"/>
      <c r="F220" s="487"/>
      <c r="G220" s="487"/>
      <c r="H220" s="487"/>
      <c r="I220" s="487"/>
      <c r="J220" s="487"/>
      <c r="K220" s="487"/>
      <c r="L220" s="487"/>
      <c r="M220" s="487"/>
      <c r="N220" s="487"/>
      <c r="O220" s="487"/>
      <c r="P220" s="487"/>
      <c r="Q220" s="487"/>
      <c r="R220" s="643"/>
      <c r="S220" s="47"/>
    </row>
    <row r="221" spans="1:19">
      <c r="A221" s="487"/>
      <c r="B221" s="487"/>
      <c r="C221" s="487"/>
      <c r="D221" s="487"/>
      <c r="E221" s="487"/>
      <c r="F221" s="487"/>
      <c r="G221" s="487"/>
      <c r="H221" s="487"/>
      <c r="I221" s="487"/>
      <c r="J221" s="487"/>
      <c r="K221" s="487"/>
      <c r="L221" s="487"/>
      <c r="M221" s="487"/>
      <c r="N221" s="487"/>
      <c r="O221" s="487"/>
      <c r="P221" s="487"/>
      <c r="Q221" s="487"/>
      <c r="R221" s="643"/>
      <c r="S221" s="47"/>
    </row>
    <row r="222" spans="1:19">
      <c r="A222" s="487"/>
      <c r="B222" s="487"/>
      <c r="C222" s="487"/>
      <c r="D222" s="487"/>
      <c r="E222" s="487"/>
      <c r="F222" s="487"/>
      <c r="G222" s="487"/>
      <c r="H222" s="487"/>
      <c r="I222" s="487"/>
      <c r="J222" s="487"/>
      <c r="K222" s="487"/>
      <c r="L222" s="487"/>
      <c r="M222" s="487"/>
      <c r="N222" s="487"/>
      <c r="O222" s="487"/>
      <c r="P222" s="487"/>
      <c r="Q222" s="487"/>
      <c r="R222" s="643"/>
      <c r="S222" s="47"/>
    </row>
    <row r="223" spans="1:19">
      <c r="A223" s="487"/>
      <c r="B223" s="487"/>
      <c r="C223" s="487"/>
      <c r="D223" s="487"/>
      <c r="E223" s="487"/>
      <c r="F223" s="487"/>
      <c r="G223" s="487"/>
      <c r="H223" s="487"/>
      <c r="I223" s="487"/>
      <c r="J223" s="487"/>
      <c r="K223" s="487"/>
      <c r="L223" s="487"/>
      <c r="M223" s="487"/>
      <c r="N223" s="487"/>
      <c r="O223" s="487"/>
      <c r="P223" s="487"/>
      <c r="Q223" s="487"/>
      <c r="R223" s="643"/>
      <c r="S223" s="47"/>
    </row>
    <row r="224" spans="1:19">
      <c r="A224" s="487"/>
      <c r="B224" s="487"/>
      <c r="C224" s="487"/>
      <c r="D224" s="487"/>
      <c r="E224" s="487"/>
      <c r="F224" s="487"/>
      <c r="G224" s="487"/>
      <c r="H224" s="487"/>
      <c r="I224" s="487"/>
      <c r="J224" s="487"/>
      <c r="K224" s="487"/>
      <c r="L224" s="487"/>
      <c r="M224" s="487"/>
      <c r="N224" s="487"/>
      <c r="O224" s="487"/>
      <c r="P224" s="487"/>
      <c r="Q224" s="487"/>
      <c r="R224" s="643"/>
      <c r="S224" s="47"/>
    </row>
    <row r="225" spans="1:19">
      <c r="A225" s="487"/>
      <c r="B225" s="487"/>
      <c r="C225" s="487"/>
      <c r="D225" s="487"/>
      <c r="E225" s="487"/>
      <c r="F225" s="487"/>
      <c r="G225" s="487"/>
      <c r="H225" s="487"/>
      <c r="I225" s="487"/>
      <c r="J225" s="487"/>
      <c r="K225" s="487"/>
      <c r="L225" s="487"/>
      <c r="M225" s="487"/>
      <c r="N225" s="487"/>
      <c r="O225" s="487"/>
      <c r="P225" s="487"/>
      <c r="Q225" s="487"/>
      <c r="R225" s="643"/>
      <c r="S225" s="47"/>
    </row>
    <row r="226" spans="1:19">
      <c r="A226" s="487"/>
      <c r="B226" s="487"/>
      <c r="C226" s="487"/>
      <c r="D226" s="487"/>
      <c r="E226" s="487"/>
      <c r="F226" s="487"/>
      <c r="G226" s="487"/>
      <c r="H226" s="487"/>
      <c r="I226" s="487"/>
      <c r="J226" s="487"/>
      <c r="K226" s="487"/>
      <c r="L226" s="487"/>
      <c r="M226" s="487"/>
      <c r="N226" s="487"/>
      <c r="O226" s="487"/>
      <c r="P226" s="487"/>
      <c r="Q226" s="487"/>
      <c r="R226" s="643"/>
      <c r="S226" s="47"/>
    </row>
    <row r="227" spans="1:19">
      <c r="A227" s="487"/>
      <c r="B227" s="487"/>
      <c r="C227" s="487"/>
      <c r="D227" s="487"/>
      <c r="E227" s="487"/>
      <c r="F227" s="487"/>
      <c r="G227" s="487"/>
      <c r="H227" s="487"/>
      <c r="I227" s="487"/>
      <c r="J227" s="487"/>
      <c r="K227" s="487"/>
      <c r="L227" s="487"/>
      <c r="M227" s="487"/>
      <c r="N227" s="487"/>
      <c r="O227" s="487"/>
      <c r="P227" s="487"/>
      <c r="Q227" s="487"/>
      <c r="R227" s="643"/>
      <c r="S227" s="47"/>
    </row>
    <row r="228" spans="1:19">
      <c r="A228" s="487"/>
      <c r="B228" s="487"/>
      <c r="C228" s="487"/>
      <c r="D228" s="487"/>
      <c r="E228" s="487"/>
      <c r="F228" s="487"/>
      <c r="G228" s="487"/>
      <c r="H228" s="487"/>
      <c r="I228" s="487"/>
      <c r="J228" s="487"/>
      <c r="K228" s="487"/>
      <c r="L228" s="487"/>
      <c r="M228" s="487"/>
      <c r="N228" s="487"/>
      <c r="O228" s="487"/>
      <c r="P228" s="487"/>
      <c r="Q228" s="487"/>
      <c r="R228" s="643"/>
      <c r="S228" s="47"/>
    </row>
    <row r="229" spans="1:19">
      <c r="A229" s="487"/>
      <c r="B229" s="487"/>
      <c r="C229" s="487"/>
      <c r="D229" s="487"/>
      <c r="E229" s="487"/>
      <c r="F229" s="487"/>
      <c r="G229" s="487"/>
      <c r="H229" s="487"/>
      <c r="I229" s="487"/>
      <c r="J229" s="487"/>
      <c r="K229" s="487"/>
      <c r="L229" s="487"/>
      <c r="M229" s="487"/>
      <c r="N229" s="487"/>
      <c r="O229" s="487"/>
      <c r="P229" s="487"/>
      <c r="Q229" s="487"/>
      <c r="R229" s="643"/>
      <c r="S229" s="47"/>
    </row>
    <row r="230" spans="1:19">
      <c r="A230" s="487"/>
      <c r="B230" s="487"/>
      <c r="C230" s="487"/>
      <c r="D230" s="487"/>
      <c r="E230" s="487"/>
      <c r="F230" s="487"/>
      <c r="G230" s="487"/>
      <c r="H230" s="487"/>
      <c r="I230" s="487"/>
      <c r="J230" s="487"/>
      <c r="K230" s="487"/>
      <c r="L230" s="487"/>
      <c r="M230" s="487"/>
      <c r="N230" s="487"/>
      <c r="O230" s="487"/>
      <c r="P230" s="487"/>
      <c r="Q230" s="487"/>
      <c r="R230" s="643"/>
      <c r="S230" s="47"/>
    </row>
    <row r="231" spans="1:19">
      <c r="A231" s="487"/>
      <c r="B231" s="487"/>
      <c r="C231" s="487"/>
      <c r="D231" s="487"/>
      <c r="E231" s="487"/>
      <c r="F231" s="487"/>
      <c r="G231" s="487"/>
      <c r="H231" s="487"/>
      <c r="I231" s="487"/>
      <c r="J231" s="487"/>
      <c r="K231" s="487"/>
      <c r="L231" s="487"/>
      <c r="M231" s="487"/>
      <c r="N231" s="487"/>
      <c r="O231" s="487"/>
      <c r="P231" s="487"/>
      <c r="Q231" s="487"/>
      <c r="R231" s="643"/>
      <c r="S231" s="47"/>
    </row>
    <row r="232" spans="1:19">
      <c r="A232" s="487"/>
      <c r="B232" s="487"/>
      <c r="C232" s="487"/>
      <c r="D232" s="487"/>
      <c r="E232" s="487"/>
      <c r="F232" s="487"/>
      <c r="G232" s="487"/>
      <c r="H232" s="487"/>
      <c r="I232" s="487"/>
      <c r="J232" s="487"/>
      <c r="K232" s="487"/>
      <c r="L232" s="487"/>
      <c r="M232" s="487"/>
      <c r="N232" s="487"/>
      <c r="O232" s="487"/>
      <c r="P232" s="487"/>
      <c r="Q232" s="487"/>
      <c r="R232" s="643"/>
      <c r="S232" s="47"/>
    </row>
    <row r="233" spans="1:19">
      <c r="A233" s="487"/>
      <c r="B233" s="487"/>
      <c r="C233" s="487"/>
      <c r="D233" s="487"/>
      <c r="E233" s="487"/>
      <c r="F233" s="487"/>
      <c r="G233" s="487"/>
      <c r="H233" s="487"/>
      <c r="I233" s="487"/>
      <c r="J233" s="487"/>
      <c r="K233" s="487"/>
      <c r="L233" s="487"/>
      <c r="M233" s="487"/>
      <c r="N233" s="487"/>
      <c r="O233" s="487"/>
      <c r="P233" s="487"/>
      <c r="Q233" s="487"/>
      <c r="R233" s="643"/>
      <c r="S233" s="47"/>
    </row>
    <row r="234" spans="1:19">
      <c r="A234" s="487"/>
      <c r="B234" s="487"/>
      <c r="C234" s="487"/>
      <c r="D234" s="487"/>
      <c r="E234" s="487"/>
      <c r="F234" s="487"/>
      <c r="G234" s="487"/>
      <c r="H234" s="487"/>
      <c r="I234" s="487"/>
      <c r="J234" s="487"/>
      <c r="K234" s="487"/>
      <c r="L234" s="487"/>
      <c r="M234" s="487"/>
      <c r="N234" s="487"/>
      <c r="O234" s="487"/>
      <c r="P234" s="487"/>
      <c r="Q234" s="487"/>
      <c r="R234" s="643"/>
      <c r="S234" s="47"/>
    </row>
    <row r="235" spans="1:19">
      <c r="A235" s="487"/>
      <c r="B235" s="487"/>
      <c r="C235" s="487"/>
      <c r="D235" s="487"/>
      <c r="E235" s="487"/>
      <c r="F235" s="487"/>
      <c r="G235" s="487"/>
      <c r="H235" s="487"/>
      <c r="I235" s="487"/>
      <c r="J235" s="487"/>
      <c r="K235" s="487"/>
      <c r="L235" s="487"/>
      <c r="M235" s="487"/>
      <c r="N235" s="487"/>
      <c r="O235" s="487"/>
      <c r="P235" s="487"/>
      <c r="Q235" s="487"/>
      <c r="R235" s="643"/>
      <c r="S235" s="47"/>
    </row>
    <row r="236" spans="1:19">
      <c r="A236" s="487"/>
      <c r="B236" s="487"/>
      <c r="C236" s="487"/>
      <c r="D236" s="487"/>
      <c r="E236" s="487"/>
      <c r="F236" s="487"/>
      <c r="G236" s="487"/>
      <c r="H236" s="487"/>
      <c r="I236" s="487"/>
      <c r="J236" s="487"/>
      <c r="K236" s="487"/>
      <c r="L236" s="487"/>
      <c r="M236" s="487"/>
      <c r="N236" s="487"/>
      <c r="O236" s="487"/>
      <c r="P236" s="487"/>
      <c r="Q236" s="487"/>
      <c r="R236" s="643"/>
      <c r="S236" s="47"/>
    </row>
    <row r="237" spans="1:19">
      <c r="A237" s="487"/>
      <c r="B237" s="487"/>
      <c r="C237" s="487"/>
      <c r="D237" s="487"/>
      <c r="E237" s="487"/>
      <c r="F237" s="487"/>
      <c r="G237" s="487"/>
      <c r="H237" s="487"/>
      <c r="I237" s="487"/>
      <c r="J237" s="487"/>
      <c r="K237" s="487"/>
      <c r="L237" s="487"/>
      <c r="M237" s="487"/>
      <c r="N237" s="487"/>
      <c r="O237" s="487"/>
      <c r="P237" s="487"/>
      <c r="Q237" s="487"/>
      <c r="R237" s="643"/>
      <c r="S237" s="47"/>
    </row>
    <row r="238" spans="1:19">
      <c r="A238" s="487"/>
      <c r="B238" s="487"/>
      <c r="C238" s="487"/>
      <c r="D238" s="487"/>
      <c r="E238" s="487"/>
      <c r="F238" s="487"/>
      <c r="G238" s="487"/>
      <c r="H238" s="487"/>
      <c r="I238" s="487"/>
      <c r="J238" s="487"/>
      <c r="K238" s="487"/>
      <c r="L238" s="487"/>
      <c r="M238" s="487"/>
      <c r="N238" s="487"/>
      <c r="O238" s="487"/>
      <c r="P238" s="487"/>
      <c r="Q238" s="487"/>
      <c r="R238" s="643"/>
      <c r="S238" s="47"/>
    </row>
    <row r="239" spans="1:19">
      <c r="A239" s="487"/>
      <c r="B239" s="487"/>
      <c r="C239" s="487"/>
      <c r="D239" s="487"/>
      <c r="E239" s="487"/>
      <c r="F239" s="487"/>
      <c r="G239" s="487"/>
      <c r="H239" s="487"/>
      <c r="I239" s="487"/>
      <c r="J239" s="487"/>
      <c r="K239" s="487"/>
      <c r="L239" s="487"/>
      <c r="M239" s="487"/>
      <c r="N239" s="487"/>
      <c r="O239" s="487"/>
      <c r="P239" s="487"/>
      <c r="Q239" s="487"/>
      <c r="R239" s="643"/>
      <c r="S239" s="47"/>
    </row>
    <row r="240" spans="1:19">
      <c r="A240" s="487"/>
      <c r="B240" s="487"/>
      <c r="C240" s="487"/>
      <c r="D240" s="487"/>
      <c r="E240" s="487"/>
      <c r="F240" s="487"/>
      <c r="G240" s="487"/>
      <c r="H240" s="487"/>
      <c r="I240" s="487"/>
      <c r="J240" s="487"/>
      <c r="K240" s="487"/>
      <c r="L240" s="487"/>
      <c r="M240" s="487"/>
      <c r="N240" s="487"/>
      <c r="O240" s="487"/>
      <c r="P240" s="487"/>
      <c r="Q240" s="487"/>
      <c r="R240" s="643"/>
      <c r="S240" s="47"/>
    </row>
    <row r="241" spans="1:19">
      <c r="A241" s="487"/>
      <c r="B241" s="487"/>
      <c r="C241" s="487"/>
      <c r="D241" s="487"/>
      <c r="E241" s="487"/>
      <c r="F241" s="487"/>
      <c r="G241" s="487"/>
      <c r="H241" s="487"/>
      <c r="I241" s="487"/>
      <c r="J241" s="487"/>
      <c r="K241" s="487"/>
      <c r="L241" s="487"/>
      <c r="M241" s="487"/>
      <c r="N241" s="487"/>
      <c r="O241" s="487"/>
      <c r="P241" s="487"/>
      <c r="Q241" s="487"/>
      <c r="R241" s="643"/>
      <c r="S241" s="47"/>
    </row>
    <row r="242" spans="1:19">
      <c r="A242" s="487"/>
      <c r="B242" s="487"/>
      <c r="C242" s="487"/>
      <c r="D242" s="487"/>
      <c r="E242" s="487"/>
      <c r="F242" s="487"/>
      <c r="G242" s="487"/>
      <c r="H242" s="487"/>
      <c r="I242" s="487"/>
      <c r="J242" s="487"/>
      <c r="K242" s="487"/>
      <c r="L242" s="487"/>
      <c r="M242" s="487"/>
      <c r="N242" s="487"/>
      <c r="O242" s="487"/>
      <c r="P242" s="487"/>
      <c r="Q242" s="487"/>
      <c r="R242" s="643"/>
      <c r="S242" s="47"/>
    </row>
    <row r="243" spans="1:19">
      <c r="A243" s="487"/>
      <c r="B243" s="487"/>
      <c r="C243" s="487"/>
      <c r="D243" s="487"/>
      <c r="E243" s="487"/>
      <c r="F243" s="487"/>
      <c r="G243" s="487"/>
      <c r="H243" s="487"/>
      <c r="I243" s="487"/>
      <c r="J243" s="487"/>
      <c r="K243" s="487"/>
      <c r="L243" s="487"/>
      <c r="M243" s="487"/>
      <c r="N243" s="487"/>
      <c r="O243" s="487"/>
      <c r="P243" s="487"/>
      <c r="Q243" s="487"/>
      <c r="R243" s="643"/>
      <c r="S243" s="47"/>
    </row>
    <row r="244" spans="1:19">
      <c r="A244" s="487"/>
      <c r="B244" s="487"/>
      <c r="C244" s="487"/>
      <c r="D244" s="487"/>
      <c r="E244" s="487"/>
      <c r="F244" s="487"/>
      <c r="G244" s="487"/>
      <c r="H244" s="487"/>
      <c r="I244" s="487"/>
      <c r="J244" s="487"/>
      <c r="K244" s="487"/>
      <c r="L244" s="487"/>
      <c r="M244" s="487"/>
      <c r="N244" s="487"/>
      <c r="O244" s="487"/>
      <c r="P244" s="487"/>
      <c r="Q244" s="487"/>
      <c r="R244" s="643"/>
      <c r="S244" s="47"/>
    </row>
    <row r="245" spans="1:19">
      <c r="A245" s="487"/>
      <c r="B245" s="487"/>
      <c r="C245" s="487"/>
      <c r="D245" s="487"/>
      <c r="E245" s="487"/>
      <c r="F245" s="487"/>
      <c r="G245" s="487"/>
      <c r="H245" s="487"/>
      <c r="I245" s="487"/>
      <c r="J245" s="487"/>
      <c r="K245" s="487"/>
      <c r="L245" s="487"/>
      <c r="M245" s="487"/>
      <c r="N245" s="487"/>
      <c r="O245" s="487"/>
      <c r="P245" s="487"/>
      <c r="Q245" s="487"/>
      <c r="R245" s="643"/>
      <c r="S245" s="47"/>
    </row>
    <row r="246" spans="1:19">
      <c r="A246" s="487"/>
      <c r="B246" s="487"/>
      <c r="C246" s="487"/>
      <c r="D246" s="487"/>
      <c r="E246" s="487"/>
      <c r="F246" s="487"/>
      <c r="G246" s="487"/>
      <c r="H246" s="487"/>
      <c r="I246" s="487"/>
      <c r="J246" s="487"/>
      <c r="K246" s="487"/>
      <c r="L246" s="487"/>
      <c r="M246" s="487"/>
      <c r="N246" s="487"/>
      <c r="O246" s="487"/>
      <c r="P246" s="487"/>
      <c r="Q246" s="487"/>
      <c r="R246" s="643"/>
      <c r="S246" s="47"/>
    </row>
    <row r="247" spans="1:19">
      <c r="A247" s="487"/>
      <c r="B247" s="487"/>
      <c r="C247" s="487"/>
      <c r="D247" s="487"/>
      <c r="E247" s="487"/>
      <c r="F247" s="487"/>
      <c r="G247" s="487"/>
      <c r="H247" s="487"/>
      <c r="I247" s="487"/>
      <c r="J247" s="487"/>
      <c r="K247" s="487"/>
      <c r="L247" s="487"/>
      <c r="M247" s="487"/>
      <c r="N247" s="487"/>
      <c r="O247" s="487"/>
      <c r="P247" s="487"/>
      <c r="Q247" s="487"/>
      <c r="R247" s="643"/>
      <c r="S247" s="47"/>
    </row>
    <row r="248" spans="1:19">
      <c r="A248" s="487"/>
      <c r="B248" s="487"/>
      <c r="C248" s="487"/>
      <c r="D248" s="487"/>
      <c r="E248" s="487"/>
      <c r="F248" s="487"/>
      <c r="G248" s="487"/>
      <c r="H248" s="487"/>
      <c r="I248" s="487"/>
      <c r="J248" s="487"/>
      <c r="K248" s="487"/>
      <c r="L248" s="487"/>
      <c r="M248" s="487"/>
      <c r="N248" s="487"/>
      <c r="O248" s="487"/>
      <c r="P248" s="487"/>
      <c r="Q248" s="487"/>
      <c r="R248" s="643"/>
      <c r="S248" s="47"/>
    </row>
  </sheetData>
  <sheetProtection password="FA80" sheet="1" objects="1" scenarios="1"/>
  <mergeCells count="212">
    <mergeCell ref="M37:P38"/>
    <mergeCell ref="N61:Q63"/>
    <mergeCell ref="C64:E66"/>
    <mergeCell ref="F67:H71"/>
    <mergeCell ref="G82:I83"/>
    <mergeCell ref="B86:H89"/>
    <mergeCell ref="G107:H108"/>
    <mergeCell ref="H113:J114"/>
    <mergeCell ref="B120:E121"/>
    <mergeCell ref="H121:J121"/>
    <mergeCell ref="C115:E115"/>
    <mergeCell ref="H115:J115"/>
    <mergeCell ref="C116:E116"/>
    <mergeCell ref="H116:J116"/>
    <mergeCell ref="B117:E117"/>
    <mergeCell ref="H117:J117"/>
    <mergeCell ref="H118:J118"/>
    <mergeCell ref="H119:J119"/>
    <mergeCell ref="H120:J120"/>
    <mergeCell ref="D107:E107"/>
    <mergeCell ref="J107:K107"/>
    <mergeCell ref="C113:E113"/>
    <mergeCell ref="C114:E114"/>
    <mergeCell ref="G113:G114"/>
    <mergeCell ref="N191:P191"/>
    <mergeCell ref="B154:D154"/>
    <mergeCell ref="B155:D155"/>
    <mergeCell ref="H156:J156"/>
    <mergeCell ref="K156:L156"/>
    <mergeCell ref="N156:P156"/>
    <mergeCell ref="H157:J157"/>
    <mergeCell ref="K157:L157"/>
    <mergeCell ref="N157:P157"/>
    <mergeCell ref="H158:J158"/>
    <mergeCell ref="K158:L158"/>
    <mergeCell ref="N158:P158"/>
    <mergeCell ref="B160:P161"/>
    <mergeCell ref="B187:C190"/>
    <mergeCell ref="H159:J159"/>
    <mergeCell ref="K159:L159"/>
    <mergeCell ref="N159:P159"/>
    <mergeCell ref="B162:H162"/>
    <mergeCell ref="A165:C165"/>
    <mergeCell ref="L188:N188"/>
    <mergeCell ref="L189:N189"/>
    <mergeCell ref="D157:D158"/>
    <mergeCell ref="H154:J155"/>
    <mergeCell ref="K154:P155"/>
    <mergeCell ref="B150:C150"/>
    <mergeCell ref="A153:C153"/>
    <mergeCell ref="L142:M142"/>
    <mergeCell ref="A144:B144"/>
    <mergeCell ref="C144:I144"/>
    <mergeCell ref="L143:M143"/>
    <mergeCell ref="D145:E145"/>
    <mergeCell ref="G145:H145"/>
    <mergeCell ref="L144:M144"/>
    <mergeCell ref="D146:E146"/>
    <mergeCell ref="G146:H146"/>
    <mergeCell ref="L145:M145"/>
    <mergeCell ref="L149:M150"/>
    <mergeCell ref="D147:E147"/>
    <mergeCell ref="G147:H147"/>
    <mergeCell ref="L146:M146"/>
    <mergeCell ref="D148:I148"/>
    <mergeCell ref="L147:M147"/>
    <mergeCell ref="L148:M148"/>
    <mergeCell ref="N149:O149"/>
    <mergeCell ref="B149:J149"/>
    <mergeCell ref="L135:M135"/>
    <mergeCell ref="L136:M136"/>
    <mergeCell ref="A138:E138"/>
    <mergeCell ref="L137:M137"/>
    <mergeCell ref="D139:F139"/>
    <mergeCell ref="L138:M138"/>
    <mergeCell ref="D140:F140"/>
    <mergeCell ref="L139:M139"/>
    <mergeCell ref="C141:F141"/>
    <mergeCell ref="L140:M140"/>
    <mergeCell ref="L141:M141"/>
    <mergeCell ref="B135:J135"/>
    <mergeCell ref="D129:E129"/>
    <mergeCell ref="L129:M129"/>
    <mergeCell ref="D130:E130"/>
    <mergeCell ref="L130:M130"/>
    <mergeCell ref="D131:E131"/>
    <mergeCell ref="L131:M131"/>
    <mergeCell ref="L132:M132"/>
    <mergeCell ref="L133:M133"/>
    <mergeCell ref="L134:M134"/>
    <mergeCell ref="A126:D126"/>
    <mergeCell ref="L126:M126"/>
    <mergeCell ref="N126:O126"/>
    <mergeCell ref="L127:M127"/>
    <mergeCell ref="N127:O127"/>
    <mergeCell ref="B128:C128"/>
    <mergeCell ref="D128:E128"/>
    <mergeCell ref="L128:M128"/>
    <mergeCell ref="G122:K123"/>
    <mergeCell ref="K113:K114"/>
    <mergeCell ref="K99:M99"/>
    <mergeCell ref="F100:J100"/>
    <mergeCell ref="C101:D101"/>
    <mergeCell ref="F101:J101"/>
    <mergeCell ref="C102:D102"/>
    <mergeCell ref="F102:J102"/>
    <mergeCell ref="C103:D103"/>
    <mergeCell ref="F103:J103"/>
    <mergeCell ref="A106:K106"/>
    <mergeCell ref="M106:P106"/>
    <mergeCell ref="G109:H109"/>
    <mergeCell ref="G110:H110"/>
    <mergeCell ref="G111:H111"/>
    <mergeCell ref="H96:I96"/>
    <mergeCell ref="D97:E97"/>
    <mergeCell ref="H97:I97"/>
    <mergeCell ref="D98:E98"/>
    <mergeCell ref="F98:G98"/>
    <mergeCell ref="H98:I98"/>
    <mergeCell ref="K98:M98"/>
    <mergeCell ref="D112:E112"/>
    <mergeCell ref="G112:H112"/>
    <mergeCell ref="B90:H90"/>
    <mergeCell ref="J90:L90"/>
    <mergeCell ref="A93:I93"/>
    <mergeCell ref="D94:E94"/>
    <mergeCell ref="F94:G94"/>
    <mergeCell ref="H94:I94"/>
    <mergeCell ref="J94:L94"/>
    <mergeCell ref="H95:I95"/>
    <mergeCell ref="K95:M95"/>
    <mergeCell ref="D83:E83"/>
    <mergeCell ref="K83:L83"/>
    <mergeCell ref="D84:E84"/>
    <mergeCell ref="K84:L84"/>
    <mergeCell ref="D85:E85"/>
    <mergeCell ref="K85:L85"/>
    <mergeCell ref="J87:M87"/>
    <mergeCell ref="J88:L88"/>
    <mergeCell ref="J89:L89"/>
    <mergeCell ref="C76:D76"/>
    <mergeCell ref="J76:K76"/>
    <mergeCell ref="C77:D77"/>
    <mergeCell ref="J77:K77"/>
    <mergeCell ref="C78:D78"/>
    <mergeCell ref="J78:K78"/>
    <mergeCell ref="A81:B81"/>
    <mergeCell ref="J81:M81"/>
    <mergeCell ref="A82:B82"/>
    <mergeCell ref="D82:E82"/>
    <mergeCell ref="K82:L82"/>
    <mergeCell ref="C70:D70"/>
    <mergeCell ref="K70:L70"/>
    <mergeCell ref="A73:D73"/>
    <mergeCell ref="J73:M73"/>
    <mergeCell ref="C74:D74"/>
    <mergeCell ref="J74:K74"/>
    <mergeCell ref="N74:Q74"/>
    <mergeCell ref="C75:D75"/>
    <mergeCell ref="J75:K75"/>
    <mergeCell ref="K64:L64"/>
    <mergeCell ref="K65:L65"/>
    <mergeCell ref="K66:L66"/>
    <mergeCell ref="B67:E67"/>
    <mergeCell ref="K67:L67"/>
    <mergeCell ref="C68:D68"/>
    <mergeCell ref="K68:L68"/>
    <mergeCell ref="C69:D69"/>
    <mergeCell ref="K69:L69"/>
    <mergeCell ref="B56:Q56"/>
    <mergeCell ref="A59:M59"/>
    <mergeCell ref="C60:E60"/>
    <mergeCell ref="K60:L60"/>
    <mergeCell ref="C61:D61"/>
    <mergeCell ref="K61:L61"/>
    <mergeCell ref="C62:D62"/>
    <mergeCell ref="K62:L62"/>
    <mergeCell ref="C63:D63"/>
    <mergeCell ref="K63:L63"/>
    <mergeCell ref="A41:B41"/>
    <mergeCell ref="C42:D42"/>
    <mergeCell ref="F42:G42"/>
    <mergeCell ref="I42:K42"/>
    <mergeCell ref="M42:N42"/>
    <mergeCell ref="A49:B49"/>
    <mergeCell ref="M49:O49"/>
    <mergeCell ref="J53:L53"/>
    <mergeCell ref="J54:L54"/>
    <mergeCell ref="A191:I191"/>
    <mergeCell ref="E3:I3"/>
    <mergeCell ref="P1:Q1"/>
    <mergeCell ref="A4:B4"/>
    <mergeCell ref="I12:K12"/>
    <mergeCell ref="O15:P15"/>
    <mergeCell ref="A22:B22"/>
    <mergeCell ref="H32:J32"/>
    <mergeCell ref="H33:J33"/>
    <mergeCell ref="E1:K1"/>
    <mergeCell ref="M11:P13"/>
    <mergeCell ref="M22:P25"/>
    <mergeCell ref="A36:C36"/>
    <mergeCell ref="C37:D37"/>
    <mergeCell ref="E37:F37"/>
    <mergeCell ref="G37:H37"/>
    <mergeCell ref="I37:J37"/>
    <mergeCell ref="K37:L37"/>
    <mergeCell ref="C38:D38"/>
    <mergeCell ref="E38:F38"/>
    <mergeCell ref="G38:H38"/>
    <mergeCell ref="I38:J38"/>
    <mergeCell ref="K38:L38"/>
    <mergeCell ref="C39:H39"/>
  </mergeCells>
  <conditionalFormatting sqref="C96">
    <cfRule type="cellIs" dxfId="51" priority="14" stopIfTrue="1" operator="greaterThan">
      <formula>4</formula>
    </cfRule>
  </conditionalFormatting>
  <conditionalFormatting sqref="C140">
    <cfRule type="cellIs" dxfId="50" priority="2" stopIfTrue="1" operator="greaterThanOrEqual">
      <formula>81</formula>
    </cfRule>
  </conditionalFormatting>
  <conditionalFormatting sqref="C112:E112">
    <cfRule type="cellIs" dxfId="49" priority="4" stopIfTrue="1" operator="between">
      <formula>20</formula>
      <formula>25</formula>
    </cfRule>
    <cfRule type="cellIs" dxfId="48" priority="5" stopIfTrue="1" operator="between">
      <formula>25</formula>
      <formula>30</formula>
    </cfRule>
    <cfRule type="cellIs" dxfId="47" priority="6" stopIfTrue="1" operator="greaterThanOrEqual">
      <formula>30</formula>
    </cfRule>
  </conditionalFormatting>
  <conditionalFormatting sqref="D51 M51:N51 O54 E54:E55 M55">
    <cfRule type="cellIs" dxfId="46" priority="16" stopIfTrue="1" operator="greaterThan">
      <formula>175</formula>
    </cfRule>
  </conditionalFormatting>
  <conditionalFormatting sqref="E69">
    <cfRule type="cellIs" dxfId="45" priority="1" operator="lessThan">
      <formula>0</formula>
    </cfRule>
  </conditionalFormatting>
  <conditionalFormatting sqref="E76">
    <cfRule type="cellIs" dxfId="44" priority="17" stopIfTrue="1" operator="notEqual">
      <formula>E75</formula>
    </cfRule>
  </conditionalFormatting>
  <conditionalFormatting sqref="F76">
    <cfRule type="cellIs" dxfId="43" priority="23" stopIfTrue="1" operator="notEqual">
      <formula>F75</formula>
    </cfRule>
    <cfRule type="cellIs" dxfId="42" priority="24" stopIfTrue="1" operator="notEqual">
      <formula>F75</formula>
    </cfRule>
  </conditionalFormatting>
  <conditionalFormatting sqref="F83:F84 M83:M84 C85 J85">
    <cfRule type="cellIs" dxfId="41" priority="3" stopIfTrue="1" operator="lessThan">
      <formula>0</formula>
    </cfRule>
  </conditionalFormatting>
  <conditionalFormatting sqref="I51 O51 P54 F54:F55 N55">
    <cfRule type="cellIs" dxfId="40" priority="15" stopIfTrue="1" operator="greaterThan">
      <formula>200</formula>
    </cfRule>
  </conditionalFormatting>
  <conditionalFormatting sqref="I111 K111">
    <cfRule type="cellIs" dxfId="39" priority="8" stopIfTrue="1" operator="between">
      <formula>49</formula>
      <formula>54</formula>
    </cfRule>
    <cfRule type="cellIs" dxfId="38" priority="9" stopIfTrue="1" operator="greaterThanOrEqual">
      <formula>54</formula>
    </cfRule>
  </conditionalFormatting>
  <conditionalFormatting sqref="I111">
    <cfRule type="cellIs" dxfId="37" priority="7" stopIfTrue="1" operator="between">
      <formula>42</formula>
      <formula>49</formula>
    </cfRule>
  </conditionalFormatting>
  <conditionalFormatting sqref="I112 K112">
    <cfRule type="cellIs" dxfId="36" priority="10" stopIfTrue="1" operator="between">
      <formula>43</formula>
      <formula>53</formula>
    </cfRule>
    <cfRule type="cellIs" dxfId="35" priority="11" stopIfTrue="1" operator="between">
      <formula>53</formula>
      <formula>58</formula>
    </cfRule>
    <cfRule type="cellIs" dxfId="34" priority="12" stopIfTrue="1" operator="greaterThanOrEqual">
      <formula>58</formula>
    </cfRule>
  </conditionalFormatting>
  <conditionalFormatting sqref="J62">
    <cfRule type="cellIs" dxfId="33" priority="27" stopIfTrue="1" operator="notEqual">
      <formula>J61</formula>
    </cfRule>
  </conditionalFormatting>
  <conditionalFormatting sqref="J67">
    <cfRule type="cellIs" dxfId="32" priority="29" stopIfTrue="1" operator="notEqual">
      <formula>J66</formula>
    </cfRule>
  </conditionalFormatting>
  <conditionalFormatting sqref="K111">
    <cfRule type="cellIs" dxfId="31" priority="13" stopIfTrue="1" operator="between">
      <formula>43</formula>
      <formula>49</formula>
    </cfRule>
  </conditionalFormatting>
  <conditionalFormatting sqref="L76">
    <cfRule type="cellIs" dxfId="30" priority="21" stopIfTrue="1" operator="notEqual">
      <formula>L75</formula>
    </cfRule>
  </conditionalFormatting>
  <conditionalFormatting sqref="M62">
    <cfRule type="cellIs" dxfId="29" priority="31" stopIfTrue="1" operator="notEqual">
      <formula>M61</formula>
    </cfRule>
    <cfRule type="cellIs" dxfId="28" priority="32" stopIfTrue="1" operator="notEqual">
      <formula>M61</formula>
    </cfRule>
    <cfRule type="cellIs" dxfId="27" priority="33" stopIfTrue="1" operator="notEqual">
      <formula>M61</formula>
    </cfRule>
  </conditionalFormatting>
  <conditionalFormatting sqref="M64">
    <cfRule type="cellIs" dxfId="26" priority="25" stopIfTrue="1" operator="notEqual">
      <formula>#REF!</formula>
    </cfRule>
    <cfRule type="cellIs" dxfId="25" priority="26" stopIfTrue="1" operator="notEqual">
      <formula>#REF!</formula>
    </cfRule>
  </conditionalFormatting>
  <conditionalFormatting sqref="M67">
    <cfRule type="cellIs" dxfId="24" priority="36" stopIfTrue="1" operator="notEqual">
      <formula>M66</formula>
    </cfRule>
    <cfRule type="cellIs" dxfId="23" priority="34" stopIfTrue="1" operator="notEqual">
      <formula>M66</formula>
    </cfRule>
    <cfRule type="cellIs" dxfId="22" priority="35" stopIfTrue="1" operator="notEqual">
      <formula>M66</formula>
    </cfRule>
  </conditionalFormatting>
  <conditionalFormatting sqref="M76">
    <cfRule type="cellIs" priority="19" stopIfTrue="1" operator="notEqual">
      <formula>M76</formula>
    </cfRule>
    <cfRule type="cellIs" dxfId="21" priority="20" stopIfTrue="1" operator="notEqual">
      <formula>L75</formula>
    </cfRule>
    <cfRule type="cellIs" dxfId="20" priority="18" stopIfTrue="1" operator="notEqual">
      <formula>"f63"</formula>
    </cfRule>
  </conditionalFormatting>
  <hyperlinks>
    <hyperlink ref="P15" r:id="rId1" display="http://www.petespintpot.co.uk/" xr:uid="{00000000-0004-0000-0100-000000000000}"/>
    <hyperlink ref="E17" location="'Primer'!D1" display="'Primer'!D1" xr:uid="{00000000-0004-0000-0100-000001000000}"/>
    <hyperlink ref="A27" location="'Beer Scaling Calc'!C4" display="'Beer Scaling Calc'!C4" xr:uid="{00000000-0004-0000-0100-000002000000}"/>
    <hyperlink ref="A29:B29" location="'Beer Scaling Calc'!L58" display="'Beer Scaling Calc'!L58" xr:uid="{00000000-0004-0000-0100-000003000000}"/>
    <hyperlink ref="C29" location="'Beer Scaling Calc'!I8" display="'Beer Scaling Calc'!I8" xr:uid="{00000000-0004-0000-0100-000004000000}"/>
    <hyperlink ref="A47" location="'Beer Scaling Calc'!C4" display="'Beer Scaling Calc'!C4" xr:uid="{00000000-0004-0000-0100-000005000000}"/>
    <hyperlink ref="N49" r:id="rId2" display="http://www.petespintpot.co.uk/diabetic.html" xr:uid="{00000000-0004-0000-0100-000006000000}"/>
    <hyperlink ref="D52" location="Primer!D1" display="Primer!D1" xr:uid="{00000000-0004-0000-0100-000007000000}"/>
    <hyperlink ref="E60" location="'Primer'!D1" display="'Primer'!D1" xr:uid="{00000000-0004-0000-0100-000008000000}"/>
    <hyperlink ref="I73" location="'General Calc''s'!C67" display="OR" xr:uid="{00000000-0004-0000-0100-000009000000}"/>
    <hyperlink ref="K77" r:id="rId3" display="http://www.signaturewinesofohio.com/" xr:uid="{00000000-0004-0000-0100-00000A000000}"/>
    <hyperlink ref="B81" location="'Beer Kit Calc's'!A90" display="'Beer Kit Calc's'!A90" xr:uid="{00000000-0004-0000-0100-00000B000000}"/>
    <hyperlink ref="B82" location="'Beer Kit Calc's'!K23" display="'Beer Kit Calc's'!K23" xr:uid="{00000000-0004-0000-0100-00000C000000}"/>
    <hyperlink ref="I93" r:id="rId4" display="mailto:david.barrow@live.co.uk" xr:uid="{00000000-0004-0000-0100-00000D000000}"/>
    <hyperlink ref="M95" r:id="rId5" display="mailto:david.barrow@live.co.uk" xr:uid="{00000000-0004-0000-0100-00000E000000}"/>
    <hyperlink ref="I97" location="'General Calc's'!N98" display="'General Calc's'!N98" xr:uid="{00000000-0004-0000-0100-00000F000000}"/>
    <hyperlink ref="P106" location="'Wine &amp; Cider Calc'!H40" display="'Wine &amp; Cider Calc'!H40" xr:uid="{00000000-0004-0000-0100-000010000000}"/>
    <hyperlink ref="K107" location="'BJCP'!F1" display="'BJCP'!F1" xr:uid="{00000000-0004-0000-0100-000011000000}"/>
    <hyperlink ref="E112" location="'Beer Data Sheet'!AO4" display="'Beer Data Sheet'!AO4" xr:uid="{00000000-0004-0000-0100-000012000000}"/>
    <hyperlink ref="E117" location="'BJCP'!F1" display="'BJCP'!F1" xr:uid="{00000000-0004-0000-0100-000013000000}"/>
    <hyperlink ref="C126" location="'BJCP'!F1" display="'BJCP'!F1" xr:uid="{00000000-0004-0000-0100-000014000000}"/>
    <hyperlink ref="M127" r:id="rId6" display="http://www.yobrew.co.uk/" xr:uid="{00000000-0004-0000-0100-000015000000}"/>
    <hyperlink ref="O127" location="'General Calc''s'!C24" display="'General Calc''s'!C24" xr:uid="{00000000-0004-0000-0100-000016000000}"/>
    <hyperlink ref="M128" r:id="rId7" display="http://www.yobrew.co.uk/" xr:uid="{00000000-0004-0000-0100-000017000000}"/>
    <hyperlink ref="M129" r:id="rId8" display="http://www.yobrew.co.uk/" xr:uid="{00000000-0004-0000-0100-000018000000}"/>
    <hyperlink ref="I155:J155" location="'Beer Kit Calc's'!Y5" display="'Beer Kit Calc's'!Y5" xr:uid="{00000000-0004-0000-0100-000019000000}"/>
    <hyperlink ref="I156" r:id="rId9" display="http://www.petespintpot.co.uk/health.html" xr:uid="{00000000-0004-0000-0100-00001A000000}"/>
    <hyperlink ref="J156" location="'Beer Data Sheet'!AO4" display="'Beer Data Sheet'!AO4" xr:uid="{00000000-0004-0000-0100-00001B000000}"/>
    <hyperlink ref="I157" r:id="rId10" display="http://www.petespintpot.co.uk/health.html" xr:uid="{00000000-0004-0000-0100-00001C000000}"/>
    <hyperlink ref="N188" r:id="rId11" display="mailto:david.barrow@live.co.uk" xr:uid="{00000000-0004-0000-0100-00001D000000}"/>
    <hyperlink ref="I81" location="'General Calc''s'!C67" display="OR" xr:uid="{00000000-0004-0000-0100-00001E000000}"/>
  </hyperlinks>
  <printOptions horizontalCentered="1"/>
  <pageMargins left="0.43333300000000002" right="0.43333300000000002" top="0.43333300000000002" bottom="0.70833299999999999" header="0.315278" footer="0.59027799999999997"/>
  <pageSetup paperSize="9" scale="52" fitToWidth="2" fitToHeight="2" pageOrder="overThenDown" orientation="portrait" r:id="rId12"/>
  <rowBreaks count="1" manualBreakCount="1">
    <brk id="92" man="1"/>
  </rowBreaks>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12"/>
  <sheetViews>
    <sheetView topLeftCell="B1" zoomScale="70" zoomScaleNormal="70" workbookViewId="0">
      <pane ySplit="10" topLeftCell="A11" activePane="bottomLeft" state="frozen"/>
      <selection pane="bottomLeft" activeCell="F13" sqref="F13"/>
    </sheetView>
  </sheetViews>
  <sheetFormatPr defaultColWidth="9" defaultRowHeight="13.8"/>
  <cols>
    <col min="1" max="2" width="6.109375" style="149" customWidth="1"/>
    <col min="3" max="3" width="9.33203125" style="149" customWidth="1"/>
    <col min="4" max="4" width="34.33203125" style="149" customWidth="1"/>
    <col min="5" max="5" width="10.88671875" style="149" customWidth="1"/>
    <col min="6" max="6" width="10.6640625" style="149" customWidth="1"/>
    <col min="7" max="7" width="10.88671875" style="149" customWidth="1"/>
    <col min="8" max="8" width="7.5546875" style="150" customWidth="1"/>
    <col min="9" max="9" width="11" style="149" customWidth="1"/>
    <col min="10" max="10" width="19.109375" style="149" customWidth="1"/>
    <col min="11" max="16" width="12.6640625" style="149" customWidth="1"/>
    <col min="17" max="23" width="12.33203125" style="149" customWidth="1"/>
    <col min="24" max="24" width="2.33203125" style="149" customWidth="1"/>
    <col min="25" max="25" width="1.5546875" style="149" customWidth="1"/>
    <col min="26" max="26" width="27.44140625" style="149" customWidth="1"/>
    <col min="27" max="38" width="12.109375" style="149" customWidth="1"/>
    <col min="39" max="39" width="8.44140625" style="149" customWidth="1"/>
    <col min="40" max="51" width="7.88671875" style="149" hidden="1" customWidth="1"/>
    <col min="52" max="52" width="5.33203125" style="149" customWidth="1"/>
    <col min="53" max="53" width="40.33203125" style="149" customWidth="1"/>
  </cols>
  <sheetData>
    <row r="1" spans="1:53" ht="15" customHeight="1">
      <c r="A1" s="876"/>
      <c r="B1" s="876"/>
      <c r="C1" s="709"/>
      <c r="D1" s="709"/>
      <c r="E1" s="709"/>
      <c r="F1" s="709"/>
      <c r="G1" s="709"/>
      <c r="H1" s="151"/>
      <c r="I1" s="709"/>
      <c r="J1" s="1447" t="s">
        <v>957</v>
      </c>
      <c r="K1" s="1447"/>
      <c r="L1" s="1447"/>
      <c r="M1" s="1447"/>
      <c r="N1" s="1447"/>
      <c r="O1" s="1447"/>
      <c r="P1" s="709"/>
      <c r="Q1" s="709"/>
      <c r="R1" s="709"/>
      <c r="S1" s="709"/>
      <c r="T1" s="709"/>
      <c r="U1" s="709"/>
      <c r="V1" s="1178" t="s">
        <v>962</v>
      </c>
      <c r="W1" s="1178"/>
      <c r="X1" s="1178"/>
      <c r="Y1" s="709"/>
      <c r="Z1" s="709"/>
      <c r="AA1" s="709"/>
      <c r="AB1" s="709"/>
      <c r="AC1" s="709"/>
      <c r="AD1" s="709"/>
      <c r="AE1" s="709"/>
      <c r="AF1" s="709"/>
      <c r="AG1" s="709"/>
      <c r="AH1" s="709"/>
      <c r="AI1" s="709"/>
      <c r="AJ1" s="709"/>
      <c r="AK1" s="709"/>
      <c r="AL1" s="709"/>
      <c r="AM1" s="709"/>
      <c r="AN1" s="709"/>
      <c r="AO1" s="709"/>
      <c r="AP1" s="709"/>
      <c r="AQ1" s="709"/>
      <c r="AR1" s="709"/>
      <c r="AS1" s="709"/>
      <c r="AT1" s="709"/>
      <c r="AU1" s="709"/>
      <c r="AV1" s="709"/>
      <c r="AW1" s="709"/>
      <c r="AX1" s="709"/>
      <c r="AY1" s="709"/>
      <c r="AZ1" s="709"/>
      <c r="BA1" s="709"/>
    </row>
    <row r="2" spans="1:53" ht="31.2" customHeight="1">
      <c r="A2" s="709"/>
      <c r="B2" s="709"/>
      <c r="C2" s="152"/>
      <c r="D2" s="153"/>
      <c r="E2" s="153"/>
      <c r="F2" s="709"/>
      <c r="G2" s="154"/>
      <c r="H2" s="155"/>
      <c r="I2" s="83"/>
      <c r="J2" s="1447"/>
      <c r="K2" s="1447"/>
      <c r="L2" s="1447"/>
      <c r="M2" s="1447"/>
      <c r="N2" s="1447"/>
      <c r="O2" s="1447"/>
      <c r="P2" s="186"/>
      <c r="Q2" s="186"/>
      <c r="R2" s="709"/>
      <c r="S2" s="709"/>
      <c r="T2" s="709"/>
      <c r="U2" s="709"/>
      <c r="V2" s="709"/>
      <c r="W2" s="709"/>
      <c r="X2" s="47"/>
      <c r="Y2" s="249"/>
      <c r="Z2" s="1179" t="s">
        <v>325</v>
      </c>
      <c r="AA2" s="1179"/>
      <c r="AB2" s="1179"/>
      <c r="AC2" s="1179"/>
      <c r="AD2" s="1179"/>
      <c r="AE2" s="1179"/>
      <c r="AF2" s="1179"/>
      <c r="AG2" s="1179"/>
      <c r="AH2" s="1179"/>
      <c r="AI2" s="1179"/>
      <c r="AJ2" s="1179"/>
      <c r="AK2" s="1179"/>
      <c r="AL2" s="1179"/>
      <c r="AM2" s="263"/>
      <c r="AN2" s="1180" t="s">
        <v>326</v>
      </c>
      <c r="AO2" s="1180"/>
      <c r="AP2" s="1180"/>
      <c r="AQ2" s="1180"/>
      <c r="AR2" s="1180"/>
      <c r="AS2" s="1180"/>
      <c r="AT2" s="1180"/>
      <c r="AU2" s="1180"/>
      <c r="AV2" s="1180"/>
      <c r="AW2" s="1180"/>
      <c r="AX2" s="1180"/>
      <c r="AY2" s="1180"/>
      <c r="AZ2" s="280"/>
      <c r="BA2" s="281"/>
    </row>
    <row r="3" spans="1:53" ht="15.6" customHeight="1">
      <c r="A3" s="240"/>
      <c r="B3" s="240"/>
      <c r="C3" s="152"/>
      <c r="D3" s="156"/>
      <c r="E3" s="157"/>
      <c r="F3" s="158"/>
      <c r="G3" s="157"/>
      <c r="H3" s="157"/>
      <c r="I3" s="157"/>
      <c r="J3" s="157"/>
      <c r="K3" s="157"/>
      <c r="L3" s="643"/>
      <c r="M3" s="3"/>
      <c r="N3" s="3"/>
      <c r="O3" s="3"/>
      <c r="P3" s="3"/>
      <c r="Q3" s="709"/>
      <c r="R3" s="709"/>
      <c r="S3" s="709"/>
      <c r="T3" s="709"/>
      <c r="U3" s="709"/>
      <c r="V3" s="709"/>
      <c r="W3" s="709"/>
      <c r="X3" s="709"/>
      <c r="Y3" s="249"/>
      <c r="Z3" s="1443" t="s">
        <v>327</v>
      </c>
      <c r="AA3" s="1181" t="s">
        <v>328</v>
      </c>
      <c r="AB3" s="1182"/>
      <c r="AC3" s="1181" t="s">
        <v>329</v>
      </c>
      <c r="AD3" s="1182"/>
      <c r="AE3" s="1181" t="s">
        <v>330</v>
      </c>
      <c r="AF3" s="1182"/>
      <c r="AG3" s="1181" t="s">
        <v>331</v>
      </c>
      <c r="AH3" s="1182"/>
      <c r="AI3" s="1181" t="s">
        <v>332</v>
      </c>
      <c r="AJ3" s="1182"/>
      <c r="AK3" s="1181" t="s">
        <v>333</v>
      </c>
      <c r="AL3" s="1182"/>
      <c r="AM3" s="770"/>
      <c r="AN3" s="771"/>
      <c r="AO3" s="771"/>
      <c r="AP3" s="771"/>
      <c r="AQ3" s="771"/>
      <c r="AR3" s="771"/>
      <c r="AS3" s="771"/>
      <c r="AT3" s="771"/>
      <c r="AU3" s="771"/>
      <c r="AV3" s="771"/>
      <c r="AW3" s="771"/>
      <c r="AX3" s="771"/>
      <c r="AY3" s="771"/>
      <c r="AZ3" s="771"/>
      <c r="BA3" s="771"/>
    </row>
    <row r="4" spans="1:53">
      <c r="A4" s="643"/>
      <c r="B4" s="159"/>
      <c r="C4" s="159"/>
      <c r="D4" s="1183" t="s">
        <v>334</v>
      </c>
      <c r="E4" s="1183"/>
      <c r="F4" s="1183"/>
      <c r="G4" s="160" t="s">
        <v>335</v>
      </c>
      <c r="H4" s="1184" t="s">
        <v>336</v>
      </c>
      <c r="I4" s="1184"/>
      <c r="J4" s="1184"/>
      <c r="K4" s="1184"/>
      <c r="L4" s="1184"/>
      <c r="M4" s="1184"/>
      <c r="N4" s="1184"/>
      <c r="O4" s="1184"/>
      <c r="P4" s="1184"/>
      <c r="Q4" s="709"/>
      <c r="R4" s="208"/>
      <c r="S4" s="1071" t="s">
        <v>337</v>
      </c>
      <c r="T4" s="1071"/>
      <c r="U4" s="1071"/>
      <c r="V4" s="1071"/>
      <c r="W4" s="1071"/>
      <c r="X4" s="1071"/>
      <c r="Y4" s="250"/>
      <c r="Z4" s="1444"/>
      <c r="AA4" s="1448"/>
      <c r="AB4" s="1449"/>
      <c r="AC4" s="1448"/>
      <c r="AD4" s="1449"/>
      <c r="AE4" s="1448"/>
      <c r="AF4" s="1449"/>
      <c r="AG4" s="1448"/>
      <c r="AH4" s="1449"/>
      <c r="AI4" s="1448"/>
      <c r="AJ4" s="1449"/>
      <c r="AK4" s="798" t="s">
        <v>338</v>
      </c>
      <c r="AL4" s="799" t="s">
        <v>339</v>
      </c>
      <c r="AM4" s="770"/>
      <c r="AN4" s="771"/>
      <c r="AO4" s="771"/>
      <c r="AP4" s="771"/>
      <c r="AQ4" s="771"/>
      <c r="AR4" s="771"/>
      <c r="AS4" s="771"/>
      <c r="AT4" s="771"/>
      <c r="AU4" s="771"/>
      <c r="AV4" s="771"/>
      <c r="AW4" s="771"/>
      <c r="AX4" s="771"/>
      <c r="AY4" s="771"/>
      <c r="AZ4" s="771"/>
      <c r="BA4" s="771"/>
    </row>
    <row r="5" spans="1:53">
      <c r="A5" s="240"/>
      <c r="B5" s="240"/>
      <c r="C5" s="240"/>
      <c r="D5" s="697" t="s">
        <v>340</v>
      </c>
      <c r="E5" s="161">
        <f>1000+(L63-1000)*(L61/L60)</f>
        <v>1072.34375</v>
      </c>
      <c r="F5" s="1191" t="s">
        <v>341</v>
      </c>
      <c r="G5" s="162" t="s">
        <v>342</v>
      </c>
      <c r="H5" s="864">
        <f>(E5-E6)/(7.75-3*(E5-1000)/800)</f>
        <v>10.437481392494329</v>
      </c>
      <c r="I5" s="1185" t="str">
        <f>"% ABV OR, = "&amp;FIXED(L87,1)&amp;"% ABV after priming with "&amp;FIXED(L80*(L81/1000),2)&amp;"g ("&amp;FIXED(((L81/1000)*L80/S100),2)&amp;" level 5ml tsp) sugar per "&amp;(L81)&amp;"ml bottle."</f>
        <v>% ABV OR, = 10.4% ABV after priming with 0.00g (0.00 level 5ml tsp) sugar per 750ml bottle.</v>
      </c>
      <c r="J5" s="1185"/>
      <c r="K5" s="1185"/>
      <c r="L5" s="1185"/>
      <c r="M5" s="1185"/>
      <c r="N5" s="1185"/>
      <c r="O5" s="1185"/>
      <c r="P5" s="1186"/>
      <c r="Q5" s="709"/>
      <c r="R5" s="209"/>
      <c r="S5" s="1071" t="s">
        <v>343</v>
      </c>
      <c r="T5" s="1130"/>
      <c r="U5" s="1071"/>
      <c r="V5" s="1071"/>
      <c r="W5" s="1071"/>
      <c r="X5" s="1071"/>
      <c r="Y5" s="250"/>
      <c r="Z5" s="800" t="s">
        <v>344</v>
      </c>
      <c r="AA5" s="1187" t="s">
        <v>345</v>
      </c>
      <c r="AB5" s="1188"/>
      <c r="AC5" s="1187" t="s">
        <v>346</v>
      </c>
      <c r="AD5" s="1188"/>
      <c r="AE5" s="1187" t="s">
        <v>347</v>
      </c>
      <c r="AF5" s="1188"/>
      <c r="AG5" s="1187" t="s">
        <v>348</v>
      </c>
      <c r="AH5" s="1188"/>
      <c r="AI5" s="1189" t="s">
        <v>349</v>
      </c>
      <c r="AJ5" s="1190"/>
      <c r="AK5" s="801" t="s">
        <v>350</v>
      </c>
      <c r="AL5" s="802" t="s">
        <v>350</v>
      </c>
      <c r="AM5" s="1450" t="s">
        <v>351</v>
      </c>
      <c r="AN5" s="1451"/>
      <c r="AO5" s="1451"/>
      <c r="AP5" s="1451"/>
      <c r="AQ5" s="1451"/>
      <c r="AR5" s="1451"/>
      <c r="AS5" s="1451"/>
      <c r="AT5" s="1451"/>
      <c r="AU5" s="1451"/>
      <c r="AV5" s="1451"/>
      <c r="AW5" s="1451"/>
      <c r="AX5" s="1451"/>
      <c r="AY5" s="1451"/>
      <c r="AZ5" s="1451"/>
      <c r="BA5" s="1451"/>
    </row>
    <row r="6" spans="1:53">
      <c r="A6" s="709"/>
      <c r="B6" s="240"/>
      <c r="C6" s="240"/>
      <c r="D6" s="698" t="s">
        <v>352</v>
      </c>
      <c r="E6" s="163">
        <f>1000+(L64-1000)*(L61/L60)</f>
        <v>994.28484374999994</v>
      </c>
      <c r="F6" s="1192"/>
      <c r="G6" s="164" t="s">
        <v>353</v>
      </c>
      <c r="H6" s="165">
        <f>((S27/(10*L61)+0.15)*L62/E8)</f>
        <v>0.58124999999999993</v>
      </c>
      <c r="I6" s="1106" t="s">
        <v>354</v>
      </c>
      <c r="J6" s="1106"/>
      <c r="K6" s="1106"/>
      <c r="L6" s="1106"/>
      <c r="M6" s="1106"/>
      <c r="N6" s="1106"/>
      <c r="O6" s="1106"/>
      <c r="P6" s="1082"/>
      <c r="Q6" s="709"/>
      <c r="R6" s="210"/>
      <c r="S6" s="1071" t="s">
        <v>355</v>
      </c>
      <c r="T6" s="1071"/>
      <c r="U6" s="1071"/>
      <c r="V6" s="1071"/>
      <c r="W6" s="1071"/>
      <c r="X6" s="1071"/>
      <c r="Y6" s="249"/>
      <c r="Z6" s="803" t="s">
        <v>356</v>
      </c>
      <c r="AA6" s="1193" t="s">
        <v>357</v>
      </c>
      <c r="AB6" s="1194"/>
      <c r="AC6" s="1193" t="s">
        <v>358</v>
      </c>
      <c r="AD6" s="1194"/>
      <c r="AE6" s="1193" t="s">
        <v>359</v>
      </c>
      <c r="AF6" s="1194"/>
      <c r="AG6" s="1193" t="s">
        <v>360</v>
      </c>
      <c r="AH6" s="1194"/>
      <c r="AI6" s="1193" t="s">
        <v>361</v>
      </c>
      <c r="AJ6" s="1194"/>
      <c r="AK6" s="801" t="s">
        <v>362</v>
      </c>
      <c r="AL6" s="804" t="s">
        <v>363</v>
      </c>
      <c r="AM6" s="1450"/>
      <c r="AN6" s="1451"/>
      <c r="AO6" s="1451"/>
      <c r="AP6" s="1451"/>
      <c r="AQ6" s="1451"/>
      <c r="AR6" s="1451"/>
      <c r="AS6" s="1451"/>
      <c r="AT6" s="1451"/>
      <c r="AU6" s="1451"/>
      <c r="AV6" s="1451"/>
      <c r="AW6" s="1451"/>
      <c r="AX6" s="1451"/>
      <c r="AY6" s="1451"/>
      <c r="AZ6" s="1451"/>
      <c r="BA6" s="1451"/>
    </row>
    <row r="7" spans="1:53">
      <c r="A7" s="709"/>
      <c r="B7" s="240"/>
      <c r="C7" s="240"/>
      <c r="D7" s="698" t="s">
        <v>364</v>
      </c>
      <c r="E7" s="163">
        <f>E6+W43</f>
        <v>994.28484374999994</v>
      </c>
      <c r="F7" s="1192"/>
      <c r="G7" s="164" t="s">
        <v>365</v>
      </c>
      <c r="H7" s="165">
        <f>(T27/(10*L60)*L62/E8)</f>
        <v>6.2499999999999995E-3</v>
      </c>
      <c r="I7" s="1106" t="s">
        <v>366</v>
      </c>
      <c r="J7" s="1106"/>
      <c r="K7" s="1106"/>
      <c r="L7" s="1106"/>
      <c r="M7" s="1106"/>
      <c r="N7" s="1106"/>
      <c r="O7" s="1106"/>
      <c r="P7" s="1082"/>
      <c r="Q7" s="709"/>
      <c r="R7" s="211"/>
      <c r="S7" s="1106" t="s">
        <v>367</v>
      </c>
      <c r="T7" s="1106"/>
      <c r="U7" s="1106"/>
      <c r="V7" s="1106"/>
      <c r="W7" s="1106"/>
      <c r="X7" s="1106"/>
      <c r="Y7" s="251"/>
      <c r="Z7" s="803" t="s">
        <v>368</v>
      </c>
      <c r="AA7" s="1193" t="s">
        <v>369</v>
      </c>
      <c r="AB7" s="1194"/>
      <c r="AC7" s="1193" t="s">
        <v>370</v>
      </c>
      <c r="AD7" s="1194"/>
      <c r="AE7" s="1193" t="s">
        <v>371</v>
      </c>
      <c r="AF7" s="1194"/>
      <c r="AG7" s="1193" t="s">
        <v>369</v>
      </c>
      <c r="AH7" s="1194"/>
      <c r="AI7" s="1193" t="s">
        <v>372</v>
      </c>
      <c r="AJ7" s="1194"/>
      <c r="AK7" s="801" t="s">
        <v>373</v>
      </c>
      <c r="AL7" s="804" t="s">
        <v>373</v>
      </c>
      <c r="AM7" s="1450"/>
      <c r="AN7" s="1451"/>
      <c r="AO7" s="1451"/>
      <c r="AP7" s="1451"/>
      <c r="AQ7" s="1451"/>
      <c r="AR7" s="1451"/>
      <c r="AS7" s="1451"/>
      <c r="AT7" s="1451"/>
      <c r="AU7" s="1451"/>
      <c r="AV7" s="1451"/>
      <c r="AW7" s="1451"/>
      <c r="AX7" s="1451"/>
      <c r="AY7" s="1451"/>
      <c r="AZ7" s="1451"/>
      <c r="BA7" s="1451"/>
    </row>
    <row r="8" spans="1:53" ht="15" customHeight="1">
      <c r="A8" s="709"/>
      <c r="B8" s="240"/>
      <c r="C8" s="240"/>
      <c r="D8" s="166" t="s">
        <v>951</v>
      </c>
      <c r="E8" s="167">
        <v>4.5</v>
      </c>
      <c r="F8" s="168" t="str">
        <f>" ̸  "&amp;FIXED(L61)&amp;" litres"</f>
        <v xml:space="preserve"> ̸  4.80 litres</v>
      </c>
      <c r="G8" s="169" t="s">
        <v>374</v>
      </c>
      <c r="H8" s="1195" t="str">
        <f>IF(E7&gt;1020,"Dessert ̸ 6",IF(E7&gt;1015,"Sweet ̸ 5",IF(E7&gt;1010,"Medium Sweet ̸ 4",IF(E7&gt;1005,"Medium ̸ 3",IF(E7&gt;998,"Medium dry ̸ 2",IF(E7&gt;0,"Dry ̸ 1"))))))</f>
        <v>Dry ̸ 1</v>
      </c>
      <c r="I8" s="1196"/>
      <c r="J8" s="1197" t="s">
        <v>375</v>
      </c>
      <c r="K8" s="1198"/>
      <c r="L8" s="1198"/>
      <c r="M8" s="1198"/>
      <c r="N8" s="1198"/>
      <c r="O8" s="1198"/>
      <c r="P8" s="1199"/>
      <c r="Q8" s="709"/>
      <c r="R8" s="212"/>
      <c r="S8" s="1106" t="s">
        <v>376</v>
      </c>
      <c r="T8" s="1106"/>
      <c r="U8" s="1106"/>
      <c r="V8" s="1106"/>
      <c r="W8" s="1106"/>
      <c r="X8" s="1106"/>
      <c r="Y8" s="251"/>
      <c r="Z8" s="805" t="s">
        <v>374</v>
      </c>
      <c r="AA8" s="1193" t="s">
        <v>377</v>
      </c>
      <c r="AB8" s="1194"/>
      <c r="AC8" s="1193" t="s">
        <v>378</v>
      </c>
      <c r="AD8" s="1194"/>
      <c r="AE8" s="1193" t="s">
        <v>379</v>
      </c>
      <c r="AF8" s="1194"/>
      <c r="AG8" s="1193" t="s">
        <v>380</v>
      </c>
      <c r="AH8" s="1194"/>
      <c r="AI8" s="1193" t="s">
        <v>381</v>
      </c>
      <c r="AJ8" s="1194"/>
      <c r="AK8" s="1193" t="s">
        <v>382</v>
      </c>
      <c r="AL8" s="1194"/>
      <c r="AM8" s="770"/>
      <c r="AN8" s="264" t="s">
        <v>383</v>
      </c>
      <c r="AO8" s="275" t="s">
        <v>384</v>
      </c>
      <c r="AP8" s="276" t="s">
        <v>385</v>
      </c>
      <c r="AQ8" s="276" t="s">
        <v>386</v>
      </c>
      <c r="AR8" s="276" t="s">
        <v>387</v>
      </c>
      <c r="AS8" s="276" t="s">
        <v>388</v>
      </c>
      <c r="AT8" s="275" t="s">
        <v>389</v>
      </c>
      <c r="AU8" s="275" t="s">
        <v>390</v>
      </c>
      <c r="AV8" s="275" t="s">
        <v>391</v>
      </c>
      <c r="AW8" s="275" t="s">
        <v>392</v>
      </c>
      <c r="AX8" s="275" t="s">
        <v>393</v>
      </c>
      <c r="AY8" s="275" t="s">
        <v>394</v>
      </c>
      <c r="AZ8" s="771"/>
      <c r="BA8" s="771"/>
    </row>
    <row r="9" spans="1:53" ht="15" customHeight="1">
      <c r="A9" s="709"/>
      <c r="B9" s="679"/>
      <c r="C9" s="708"/>
      <c r="D9" s="170"/>
      <c r="E9" s="171"/>
      <c r="F9" s="1200" t="s">
        <v>395</v>
      </c>
      <c r="G9" s="1200"/>
      <c r="H9" s="1200"/>
      <c r="I9" s="1200"/>
      <c r="J9" s="1200"/>
      <c r="K9" s="1200"/>
      <c r="L9" s="1200"/>
      <c r="M9" s="1200"/>
      <c r="N9" s="1200"/>
      <c r="O9" s="1200"/>
      <c r="P9" s="1200"/>
      <c r="Q9" s="709"/>
      <c r="R9" s="213"/>
      <c r="S9" s="1112" t="s">
        <v>396</v>
      </c>
      <c r="T9" s="1112"/>
      <c r="U9" s="1112"/>
      <c r="V9" s="1112"/>
      <c r="W9" s="1112"/>
      <c r="X9" s="1112"/>
      <c r="Y9" s="251"/>
      <c r="Z9" s="806" t="s">
        <v>397</v>
      </c>
      <c r="AA9" s="806" t="s">
        <v>292</v>
      </c>
      <c r="AB9" s="807" t="s">
        <v>366</v>
      </c>
      <c r="AC9" s="807" t="s">
        <v>366</v>
      </c>
      <c r="AD9" s="807" t="s">
        <v>366</v>
      </c>
      <c r="AE9" s="807" t="s">
        <v>366</v>
      </c>
      <c r="AF9" s="807" t="s">
        <v>366</v>
      </c>
      <c r="AG9" s="1201" t="s">
        <v>398</v>
      </c>
      <c r="AH9" s="1201"/>
      <c r="AI9" s="1201"/>
      <c r="AJ9" s="1201"/>
      <c r="AK9" s="1201"/>
      <c r="AL9" s="1201"/>
      <c r="AM9" s="1445" t="s">
        <v>399</v>
      </c>
      <c r="AN9" s="265"/>
      <c r="AO9" s="277"/>
      <c r="AP9" s="277"/>
      <c r="AQ9" s="277"/>
      <c r="AR9" s="277"/>
      <c r="AS9" s="277"/>
      <c r="AT9" s="277"/>
      <c r="AU9" s="277"/>
      <c r="AV9" s="277"/>
      <c r="AW9" s="277"/>
      <c r="AX9" s="277"/>
      <c r="AY9" s="277"/>
      <c r="AZ9" s="1452" t="s">
        <v>400</v>
      </c>
      <c r="BA9" s="1453"/>
    </row>
    <row r="10" spans="1:53">
      <c r="A10" s="643"/>
      <c r="B10" s="1202" t="s">
        <v>401</v>
      </c>
      <c r="C10" s="1202"/>
      <c r="D10" s="1202"/>
      <c r="E10" s="1202"/>
      <c r="F10" s="1202"/>
      <c r="G10" s="1202"/>
      <c r="H10" s="693"/>
      <c r="I10" s="693"/>
      <c r="J10" s="693"/>
      <c r="K10" s="693"/>
      <c r="L10" s="693"/>
      <c r="M10" s="690"/>
      <c r="N10" s="693"/>
      <c r="O10" s="693"/>
      <c r="P10" s="643"/>
      <c r="Q10" s="171"/>
      <c r="R10" s="171"/>
      <c r="S10" s="171"/>
      <c r="T10" s="171"/>
      <c r="U10" s="171"/>
      <c r="V10" s="171"/>
      <c r="W10" s="171"/>
      <c r="X10" s="171"/>
      <c r="Y10" s="249"/>
      <c r="Z10" s="808"/>
      <c r="AA10" s="808"/>
      <c r="AB10" s="809" t="s">
        <v>384</v>
      </c>
      <c r="AC10" s="810" t="s">
        <v>385</v>
      </c>
      <c r="AD10" s="810" t="s">
        <v>386</v>
      </c>
      <c r="AE10" s="810" t="s">
        <v>387</v>
      </c>
      <c r="AF10" s="810" t="s">
        <v>388</v>
      </c>
      <c r="AG10" s="809" t="s">
        <v>402</v>
      </c>
      <c r="AH10" s="809" t="s">
        <v>403</v>
      </c>
      <c r="AI10" s="809" t="s">
        <v>391</v>
      </c>
      <c r="AJ10" s="809" t="s">
        <v>392</v>
      </c>
      <c r="AK10" s="809" t="s">
        <v>393</v>
      </c>
      <c r="AL10" s="809" t="s">
        <v>394</v>
      </c>
      <c r="AM10" s="1446"/>
      <c r="AN10" s="266" t="s">
        <v>51</v>
      </c>
      <c r="AO10" s="278" t="s">
        <v>51</v>
      </c>
      <c r="AP10" s="278" t="s">
        <v>51</v>
      </c>
      <c r="AQ10" s="278" t="s">
        <v>51</v>
      </c>
      <c r="AR10" s="278" t="s">
        <v>51</v>
      </c>
      <c r="AS10" s="278" t="s">
        <v>51</v>
      </c>
      <c r="AT10" s="278" t="s">
        <v>51</v>
      </c>
      <c r="AU10" s="278" t="s">
        <v>51</v>
      </c>
      <c r="AV10" s="278" t="s">
        <v>51</v>
      </c>
      <c r="AW10" s="278" t="s">
        <v>51</v>
      </c>
      <c r="AX10" s="278" t="s">
        <v>51</v>
      </c>
      <c r="AY10" s="278" t="s">
        <v>51</v>
      </c>
      <c r="AZ10" s="1454"/>
      <c r="BA10" s="1455"/>
    </row>
    <row r="11" spans="1:53" ht="15" customHeight="1">
      <c r="A11" s="1396" t="s">
        <v>404</v>
      </c>
      <c r="B11" s="1409" t="s">
        <v>405</v>
      </c>
      <c r="C11" s="1208" t="s">
        <v>406</v>
      </c>
      <c r="D11" s="1203" t="s">
        <v>407</v>
      </c>
      <c r="E11" s="1204"/>
      <c r="F11" s="172" t="s">
        <v>52</v>
      </c>
      <c r="G11" s="240"/>
      <c r="H11" s="173"/>
      <c r="I11" s="1205" t="s">
        <v>408</v>
      </c>
      <c r="J11" s="1205"/>
      <c r="K11" s="1205"/>
      <c r="L11" s="643"/>
      <c r="M11" s="709"/>
      <c r="N11" s="709"/>
      <c r="O11" s="709"/>
      <c r="P11" s="709"/>
      <c r="Q11" s="709"/>
      <c r="R11" s="709"/>
      <c r="S11" s="709"/>
      <c r="T11" s="709"/>
      <c r="U11" s="709"/>
      <c r="V11" s="709"/>
      <c r="W11" s="240"/>
      <c r="X11" s="240"/>
      <c r="Y11" s="249"/>
      <c r="Z11" s="1206" t="s">
        <v>409</v>
      </c>
      <c r="AA11" s="1206"/>
      <c r="AB11" s="1206"/>
      <c r="AC11" s="1206"/>
      <c r="AD11" s="1206"/>
      <c r="AE11" s="1206"/>
      <c r="AF11" s="1206"/>
      <c r="AG11" s="1206"/>
      <c r="AH11" s="1206"/>
      <c r="AI11" s="1206"/>
      <c r="AJ11" s="1206"/>
      <c r="AK11" s="1206"/>
      <c r="AL11" s="1206"/>
      <c r="AM11" s="267" t="s">
        <v>410</v>
      </c>
      <c r="AN11" s="643"/>
      <c r="AO11" s="643"/>
      <c r="AP11" s="643"/>
      <c r="AQ11" s="643"/>
      <c r="AR11" s="643"/>
      <c r="AS11" s="643"/>
      <c r="AT11" s="643"/>
      <c r="AU11" s="643"/>
      <c r="AV11" s="643"/>
      <c r="AW11" s="643"/>
      <c r="AX11" s="643"/>
      <c r="AY11" s="643"/>
      <c r="AZ11" s="1207"/>
      <c r="BA11" s="1207"/>
    </row>
    <row r="12" spans="1:53">
      <c r="A12" s="1397"/>
      <c r="B12" s="1410"/>
      <c r="C12" s="1209"/>
      <c r="D12" s="1210"/>
      <c r="E12" s="1210"/>
      <c r="F12" s="174" t="s">
        <v>51</v>
      </c>
      <c r="G12" s="175"/>
      <c r="H12" s="173"/>
      <c r="I12" s="3"/>
      <c r="J12" s="1211" t="s">
        <v>411</v>
      </c>
      <c r="K12" s="1212"/>
      <c r="L12" s="16" t="s">
        <v>52</v>
      </c>
      <c r="M12" s="1213"/>
      <c r="N12" s="1214"/>
      <c r="O12" s="1214"/>
      <c r="P12" s="1214"/>
      <c r="Q12" s="1214"/>
      <c r="R12" s="1214"/>
      <c r="S12" s="1214"/>
      <c r="T12" s="1214"/>
      <c r="U12" s="1214"/>
      <c r="V12" s="1214"/>
      <c r="W12" s="1215"/>
      <c r="X12" s="240"/>
      <c r="Y12" s="249"/>
      <c r="Z12" s="776"/>
      <c r="AA12" s="777"/>
      <c r="AB12" s="777"/>
      <c r="AC12" s="777"/>
      <c r="AD12" s="777"/>
      <c r="AE12" s="777"/>
      <c r="AF12" s="777"/>
      <c r="AG12" s="777"/>
      <c r="AH12" s="777"/>
      <c r="AI12" s="777"/>
      <c r="AM12" s="662"/>
      <c r="AN12" s="644"/>
      <c r="AO12" s="644"/>
      <c r="AP12" s="644"/>
      <c r="AQ12" s="644"/>
      <c r="AR12" s="644"/>
      <c r="AS12" s="644"/>
      <c r="AT12" s="644"/>
      <c r="AU12" s="644"/>
      <c r="AV12" s="644"/>
      <c r="AW12" s="644"/>
      <c r="AX12" s="644"/>
      <c r="AY12" s="644"/>
      <c r="AZ12" s="1216" t="s">
        <v>412</v>
      </c>
      <c r="BA12" s="1216"/>
    </row>
    <row r="13" spans="1:53" ht="15" customHeight="1">
      <c r="A13" s="176">
        <v>7</v>
      </c>
      <c r="B13" s="176">
        <v>9</v>
      </c>
      <c r="C13" s="177">
        <v>0.15</v>
      </c>
      <c r="D13" s="178" t="str">
        <f t="shared" ref="D13:D34" si="0">Z13</f>
        <v>APPLE</v>
      </c>
      <c r="E13" s="179" t="str">
        <f t="shared" ref="E13:E34" si="1">AA13</f>
        <v>EATING</v>
      </c>
      <c r="F13" s="176"/>
      <c r="G13" s="240"/>
      <c r="H13" s="173"/>
      <c r="I13" s="240"/>
      <c r="J13" s="1217" t="s">
        <v>413</v>
      </c>
      <c r="K13" s="1218"/>
      <c r="L13" s="654">
        <v>650</v>
      </c>
      <c r="M13" s="1219" t="str">
        <f>"g, add to "&amp;ROUND((375*L13)/(S13-1000)-0.58*L13,-1)&amp;"ml hot water to obtain "&amp;ROUND(W13,-1)&amp;"ml of sugar syrup with an S.G. of approx."</f>
        <v>g, add to 440ml hot water to obtain 810ml of sugar syrup with an S.G. of approx.</v>
      </c>
      <c r="N13" s="1220"/>
      <c r="O13" s="1220"/>
      <c r="P13" s="1220"/>
      <c r="Q13" s="1220"/>
      <c r="R13" s="1220"/>
      <c r="S13" s="655">
        <v>1300</v>
      </c>
      <c r="T13" s="214" t="s">
        <v>414</v>
      </c>
      <c r="U13" s="214"/>
      <c r="V13" s="214"/>
      <c r="W13" s="215">
        <f>375*(L13)/(S13-1000)</f>
        <v>812.5</v>
      </c>
      <c r="X13" s="240"/>
      <c r="Y13" s="249"/>
      <c r="Z13" s="252" t="s">
        <v>415</v>
      </c>
      <c r="AA13" s="252" t="s">
        <v>416</v>
      </c>
      <c r="AB13" s="253">
        <v>10.4</v>
      </c>
      <c r="AC13" s="253">
        <v>0.7</v>
      </c>
      <c r="AD13" s="253">
        <v>0.08</v>
      </c>
      <c r="AE13" s="254">
        <v>13</v>
      </c>
      <c r="AF13" s="253">
        <v>0.8</v>
      </c>
      <c r="AG13" s="253">
        <v>40</v>
      </c>
      <c r="AH13" s="253">
        <v>107</v>
      </c>
      <c r="AI13" s="268">
        <v>0.02</v>
      </c>
      <c r="AJ13" s="268">
        <v>0.09</v>
      </c>
      <c r="AK13" s="268">
        <f>0.084/1.38</f>
        <v>6.0869565217391314E-2</v>
      </c>
      <c r="AL13" s="268">
        <v>0.04</v>
      </c>
      <c r="AM13" s="254" t="s">
        <v>417</v>
      </c>
      <c r="AN13" s="274">
        <f t="shared" ref="AN13:AN44" si="2">C13*F13</f>
        <v>0</v>
      </c>
      <c r="AO13" s="253">
        <f t="shared" ref="AO13:AO44" si="3">F13*AB13/100</f>
        <v>0</v>
      </c>
      <c r="AP13" s="279">
        <f t="shared" ref="AP13:AP44" si="4">F13*AC13/100</f>
        <v>0</v>
      </c>
      <c r="AQ13" s="279">
        <f t="shared" ref="AQ13:AQ44" si="5">F13*AD13/100</f>
        <v>0</v>
      </c>
      <c r="AR13" s="279">
        <f t="shared" ref="AR13:AR44" si="6">F13*(AE13-AB13)/100</f>
        <v>0</v>
      </c>
      <c r="AS13" s="279">
        <f t="shared" ref="AS13:AS44" si="7">F13*AF13/1200</f>
        <v>0</v>
      </c>
      <c r="AT13" s="253">
        <f t="shared" ref="AT13:AT44" si="8">$F13*AG13/100</f>
        <v>0</v>
      </c>
      <c r="AU13" s="253">
        <f t="shared" ref="AU13:AU44" si="9">$F13*AH13/100</f>
        <v>0</v>
      </c>
      <c r="AV13" s="253">
        <f t="shared" ref="AV13:AV44" si="10">$F13*AI13/100</f>
        <v>0</v>
      </c>
      <c r="AW13" s="253">
        <f t="shared" ref="AW13:AW44" si="11">$F13*AJ13/100</f>
        <v>0</v>
      </c>
      <c r="AX13" s="253">
        <f t="shared" ref="AX13:AX44" si="12">$F13*AK13/100</f>
        <v>0</v>
      </c>
      <c r="AY13" s="253">
        <f t="shared" ref="AY13:AY44" si="13">$F13*AL13/100</f>
        <v>0</v>
      </c>
      <c r="AZ13" s="782" t="s">
        <v>391</v>
      </c>
      <c r="BA13" s="780" t="s">
        <v>418</v>
      </c>
    </row>
    <row r="14" spans="1:53" ht="15" customHeight="1">
      <c r="A14" s="180">
        <v>7</v>
      </c>
      <c r="B14" s="180">
        <v>9</v>
      </c>
      <c r="C14" s="181">
        <v>0.15</v>
      </c>
      <c r="D14" s="182" t="str">
        <f t="shared" si="0"/>
        <v xml:space="preserve">      "</v>
      </c>
      <c r="E14" s="183" t="str">
        <f t="shared" si="1"/>
        <v>COOKING</v>
      </c>
      <c r="F14" s="180"/>
      <c r="G14" s="240"/>
      <c r="H14" s="173"/>
      <c r="I14" s="240"/>
      <c r="J14" s="1221" t="s">
        <v>419</v>
      </c>
      <c r="K14" s="1222"/>
      <c r="L14" s="187"/>
      <c r="M14" s="1223" t="str">
        <f>"g = "&amp;FIXED((L14/4.5),1)&amp;" level 5ml tsp of  Baking Soda ̸ Sodium Bicarb. (NaHCO3)  OR   "&amp;FIXED((L14*1.2),1)&amp;"g Potassium Bicarb. (KHCO3)   OR   "&amp;FIXED((L14*0.6),1)&amp;"g Precipitated Chalk  (CaCO3)."</f>
        <v>g = 0.0 level 5ml tsp of  Baking Soda ̸ Sodium Bicarb. (NaHCO3)  OR   0.0g Potassium Bicarb. (KHCO3)   OR   0.0g Precipitated Chalk  (CaCO3).</v>
      </c>
      <c r="N14" s="1224"/>
      <c r="O14" s="1224"/>
      <c r="P14" s="1224"/>
      <c r="Q14" s="1224"/>
      <c r="R14" s="1224"/>
      <c r="S14" s="1224"/>
      <c r="T14" s="1224"/>
      <c r="U14" s="1224"/>
      <c r="V14" s="1224"/>
      <c r="W14" s="1225"/>
      <c r="X14" s="240"/>
      <c r="Y14" s="249"/>
      <c r="Z14" s="252" t="s">
        <v>420</v>
      </c>
      <c r="AA14" s="252" t="s">
        <v>421</v>
      </c>
      <c r="AB14" s="253">
        <v>9</v>
      </c>
      <c r="AC14" s="253">
        <v>1.2</v>
      </c>
      <c r="AD14" s="253">
        <v>0.08</v>
      </c>
      <c r="AE14" s="254">
        <v>13</v>
      </c>
      <c r="AF14" s="253">
        <v>0.8</v>
      </c>
      <c r="AG14" s="253">
        <v>40</v>
      </c>
      <c r="AH14" s="253">
        <v>107</v>
      </c>
      <c r="AI14" s="268">
        <v>0.02</v>
      </c>
      <c r="AJ14" s="268">
        <v>0.09</v>
      </c>
      <c r="AK14" s="268">
        <f>0.084/1.38</f>
        <v>6.0869565217391314E-2</v>
      </c>
      <c r="AL14" s="268">
        <v>0.04</v>
      </c>
      <c r="AM14" s="254" t="s">
        <v>417</v>
      </c>
      <c r="AN14" s="274">
        <f t="shared" si="2"/>
        <v>0</v>
      </c>
      <c r="AO14" s="253">
        <f t="shared" si="3"/>
        <v>0</v>
      </c>
      <c r="AP14" s="279">
        <f t="shared" si="4"/>
        <v>0</v>
      </c>
      <c r="AQ14" s="279">
        <f t="shared" si="5"/>
        <v>0</v>
      </c>
      <c r="AR14" s="279">
        <f t="shared" si="6"/>
        <v>0</v>
      </c>
      <c r="AS14" s="279">
        <f t="shared" si="7"/>
        <v>0</v>
      </c>
      <c r="AT14" s="253">
        <f t="shared" si="8"/>
        <v>0</v>
      </c>
      <c r="AU14" s="253">
        <f t="shared" si="9"/>
        <v>0</v>
      </c>
      <c r="AV14" s="253">
        <f t="shared" si="10"/>
        <v>0</v>
      </c>
      <c r="AW14" s="253">
        <f t="shared" si="11"/>
        <v>0</v>
      </c>
      <c r="AX14" s="253">
        <f t="shared" si="12"/>
        <v>0</v>
      </c>
      <c r="AY14" s="253">
        <f t="shared" si="13"/>
        <v>0</v>
      </c>
      <c r="AZ14" s="782" t="s">
        <v>422</v>
      </c>
      <c r="BA14" s="780" t="s">
        <v>423</v>
      </c>
    </row>
    <row r="15" spans="1:53" ht="15" customHeight="1">
      <c r="A15" s="180">
        <v>7</v>
      </c>
      <c r="B15" s="180">
        <v>9</v>
      </c>
      <c r="C15" s="181">
        <v>0.18</v>
      </c>
      <c r="D15" s="182" t="str">
        <f t="shared" si="0"/>
        <v xml:space="preserve">      "</v>
      </c>
      <c r="E15" s="183" t="str">
        <f t="shared" si="1"/>
        <v>CRAB</v>
      </c>
      <c r="F15" s="180"/>
      <c r="G15" s="240"/>
      <c r="H15" s="173"/>
      <c r="I15" s="240"/>
      <c r="J15" s="1226" t="s">
        <v>424</v>
      </c>
      <c r="K15" s="1227"/>
      <c r="L15" s="187"/>
      <c r="M15" s="1228" t="str">
        <f>"g = "&amp;FIXED(L15/5)&amp;" level 5ml tsp TARTARIC"</f>
        <v>g = 0.00 level 5ml tsp TARTARIC</v>
      </c>
      <c r="N15" s="1229"/>
      <c r="O15" s="1229"/>
      <c r="P15" s="1230" t="str">
        <f>"OR = "&amp;FIXED(L15*1.17233)&amp;"g = "&amp;FIXED(L15*1.17233/4.9)&amp;" tsp CITRIC"</f>
        <v>OR = 0.00g = 0.00 tsp CITRIC</v>
      </c>
      <c r="Q15" s="1230"/>
      <c r="R15" s="1230"/>
      <c r="S15" s="1230"/>
      <c r="T15" s="1230"/>
      <c r="U15" s="1230"/>
      <c r="V15" s="1230"/>
      <c r="W15" s="1231"/>
      <c r="X15" s="240"/>
      <c r="Y15" s="249"/>
      <c r="Z15" s="252" t="s">
        <v>420</v>
      </c>
      <c r="AA15" s="252" t="s">
        <v>425</v>
      </c>
      <c r="AB15" s="253">
        <v>7.6</v>
      </c>
      <c r="AC15" s="255">
        <v>1.3</v>
      </c>
      <c r="AD15" s="255">
        <v>0.08</v>
      </c>
      <c r="AE15" s="254">
        <v>14</v>
      </c>
      <c r="AF15" s="255">
        <v>0.8</v>
      </c>
      <c r="AG15" s="255">
        <v>40</v>
      </c>
      <c r="AH15" s="253">
        <v>194</v>
      </c>
      <c r="AI15" s="268">
        <v>0.03</v>
      </c>
      <c r="AJ15" s="268">
        <v>0.1</v>
      </c>
      <c r="AK15" s="268"/>
      <c r="AL15" s="268"/>
      <c r="AM15" s="254" t="s">
        <v>417</v>
      </c>
      <c r="AN15" s="274">
        <f t="shared" si="2"/>
        <v>0</v>
      </c>
      <c r="AO15" s="253">
        <f t="shared" si="3"/>
        <v>0</v>
      </c>
      <c r="AP15" s="279">
        <f t="shared" si="4"/>
        <v>0</v>
      </c>
      <c r="AQ15" s="279">
        <f t="shared" si="5"/>
        <v>0</v>
      </c>
      <c r="AR15" s="279">
        <f t="shared" si="6"/>
        <v>0</v>
      </c>
      <c r="AS15" s="279">
        <f t="shared" si="7"/>
        <v>0</v>
      </c>
      <c r="AT15" s="253">
        <f t="shared" si="8"/>
        <v>0</v>
      </c>
      <c r="AU15" s="253">
        <f t="shared" si="9"/>
        <v>0</v>
      </c>
      <c r="AV15" s="253">
        <f t="shared" si="10"/>
        <v>0</v>
      </c>
      <c r="AW15" s="253">
        <f t="shared" si="11"/>
        <v>0</v>
      </c>
      <c r="AX15" s="253">
        <f t="shared" si="12"/>
        <v>0</v>
      </c>
      <c r="AY15" s="253">
        <f t="shared" si="13"/>
        <v>0</v>
      </c>
      <c r="AZ15" s="782" t="s">
        <v>392</v>
      </c>
      <c r="BA15" s="780" t="s">
        <v>426</v>
      </c>
    </row>
    <row r="16" spans="1:53" ht="15" customHeight="1">
      <c r="A16" s="180">
        <v>7</v>
      </c>
      <c r="B16" s="180">
        <v>9</v>
      </c>
      <c r="C16" s="181">
        <v>0.12</v>
      </c>
      <c r="D16" s="182" t="str">
        <f t="shared" si="0"/>
        <v>APRICOT</v>
      </c>
      <c r="E16" s="183" t="str">
        <f t="shared" si="1"/>
        <v>FLESH</v>
      </c>
      <c r="F16" s="180"/>
      <c r="G16" s="240"/>
      <c r="H16" s="774"/>
      <c r="I16" s="3"/>
      <c r="J16" s="1456"/>
      <c r="K16" s="1457"/>
      <c r="L16" s="1247" t="s">
        <v>427</v>
      </c>
      <c r="M16" s="1232" t="str">
        <f>"OR = "&amp;FIXED(L15*1.11982)&amp;"g = "&amp;FIXED(L15*1.11982/4.5)&amp;" tsp MALIC"</f>
        <v>OR = 0.00g = 0.00 tsp MALIC</v>
      </c>
      <c r="N16" s="1230"/>
      <c r="O16" s="1230"/>
      <c r="P16" s="1230" t="str">
        <f>"OR = "&amp;FIXED(L15*1.08696)&amp;"g = "&amp;FIXED(L15*1.08696/4.5)&amp;" tsp ACID BLEND"</f>
        <v>OR = 0.00g = 0.00 tsp ACID BLEND</v>
      </c>
      <c r="Q16" s="1230"/>
      <c r="R16" s="1230"/>
      <c r="S16" s="1230"/>
      <c r="T16" s="1230"/>
      <c r="U16" s="1230"/>
      <c r="V16" s="1230"/>
      <c r="W16" s="1231"/>
      <c r="X16" s="240"/>
      <c r="Y16" s="249"/>
      <c r="Z16" s="252" t="s">
        <v>428</v>
      </c>
      <c r="AA16" s="252" t="s">
        <v>429</v>
      </c>
      <c r="AB16" s="253">
        <v>9.24</v>
      </c>
      <c r="AC16" s="253">
        <v>1.2</v>
      </c>
      <c r="AD16" s="253">
        <v>0.1</v>
      </c>
      <c r="AE16" s="254">
        <v>11</v>
      </c>
      <c r="AF16" s="255">
        <v>0.3</v>
      </c>
      <c r="AG16" s="253">
        <v>90</v>
      </c>
      <c r="AH16" s="253">
        <v>260</v>
      </c>
      <c r="AI16" s="268">
        <v>0.03</v>
      </c>
      <c r="AJ16" s="268">
        <v>0.6</v>
      </c>
      <c r="AK16" s="268">
        <v>0.24</v>
      </c>
      <c r="AL16" s="268">
        <v>5.3999999999999999E-2</v>
      </c>
      <c r="AM16" s="254" t="s">
        <v>417</v>
      </c>
      <c r="AN16" s="274">
        <f t="shared" si="2"/>
        <v>0</v>
      </c>
      <c r="AO16" s="253">
        <f t="shared" si="3"/>
        <v>0</v>
      </c>
      <c r="AP16" s="279">
        <f t="shared" si="4"/>
        <v>0</v>
      </c>
      <c r="AQ16" s="279">
        <f t="shared" si="5"/>
        <v>0</v>
      </c>
      <c r="AR16" s="279">
        <f t="shared" si="6"/>
        <v>0</v>
      </c>
      <c r="AS16" s="279">
        <f t="shared" si="7"/>
        <v>0</v>
      </c>
      <c r="AT16" s="253">
        <f t="shared" si="8"/>
        <v>0</v>
      </c>
      <c r="AU16" s="253">
        <f t="shared" si="9"/>
        <v>0</v>
      </c>
      <c r="AV16" s="253">
        <f t="shared" si="10"/>
        <v>0</v>
      </c>
      <c r="AW16" s="253">
        <f t="shared" si="11"/>
        <v>0</v>
      </c>
      <c r="AX16" s="253">
        <f t="shared" si="12"/>
        <v>0</v>
      </c>
      <c r="AY16" s="253">
        <f t="shared" si="13"/>
        <v>0</v>
      </c>
      <c r="AZ16" s="782" t="s">
        <v>393</v>
      </c>
      <c r="BA16" s="780" t="s">
        <v>430</v>
      </c>
    </row>
    <row r="17" spans="1:53" ht="15" customHeight="1">
      <c r="A17" s="180">
        <v>7</v>
      </c>
      <c r="B17" s="180">
        <v>9</v>
      </c>
      <c r="C17" s="181">
        <v>0.74</v>
      </c>
      <c r="D17" s="182" t="str">
        <f t="shared" si="0"/>
        <v xml:space="preserve">        "</v>
      </c>
      <c r="E17" s="183" t="str">
        <f t="shared" si="1"/>
        <v>DRIED</v>
      </c>
      <c r="F17" s="180"/>
      <c r="G17" s="240"/>
      <c r="H17" s="173"/>
      <c r="I17" s="3"/>
      <c r="J17" s="1458"/>
      <c r="K17" s="1459"/>
      <c r="L17" s="1248"/>
      <c r="M17" s="1233" t="str">
        <f>" ≈ "&amp;FIXED(L15/5)*8&amp;" tsp lemon juice (about."&amp;FIXED(L15*8/5/6)&amp;" lemons)"</f>
        <v xml:space="preserve"> ≈ 0 tsp lemon juice (about.0.00 lemons)</v>
      </c>
      <c r="N17" s="1234"/>
      <c r="O17" s="1234"/>
      <c r="P17" s="1234" t="s">
        <v>431</v>
      </c>
      <c r="Q17" s="1234"/>
      <c r="R17" s="1234"/>
      <c r="S17" s="1234"/>
      <c r="T17" s="1234"/>
      <c r="U17" s="1234"/>
      <c r="V17" s="1234"/>
      <c r="W17" s="1235"/>
      <c r="X17" s="216"/>
      <c r="Y17" s="249"/>
      <c r="Z17" s="252" t="s">
        <v>432</v>
      </c>
      <c r="AA17" s="252" t="s">
        <v>433</v>
      </c>
      <c r="AB17" s="253">
        <v>42</v>
      </c>
      <c r="AC17" s="253">
        <v>3.6</v>
      </c>
      <c r="AD17" s="255">
        <v>0.3</v>
      </c>
      <c r="AE17" s="254">
        <v>63</v>
      </c>
      <c r="AF17" s="255">
        <v>2</v>
      </c>
      <c r="AG17" s="253">
        <v>540</v>
      </c>
      <c r="AH17" s="253">
        <v>1800</v>
      </c>
      <c r="AI17" s="268">
        <v>1.4999999999999999E-2</v>
      </c>
      <c r="AJ17" s="268">
        <v>2.59</v>
      </c>
      <c r="AK17" s="268">
        <v>0.51600000000000001</v>
      </c>
      <c r="AL17" s="268">
        <v>0.14299999999999999</v>
      </c>
      <c r="AM17" s="254" t="s">
        <v>417</v>
      </c>
      <c r="AN17" s="274">
        <f t="shared" si="2"/>
        <v>0</v>
      </c>
      <c r="AO17" s="253">
        <f t="shared" si="3"/>
        <v>0</v>
      </c>
      <c r="AP17" s="279">
        <f t="shared" si="4"/>
        <v>0</v>
      </c>
      <c r="AQ17" s="279">
        <f t="shared" si="5"/>
        <v>0</v>
      </c>
      <c r="AR17" s="279">
        <f t="shared" si="6"/>
        <v>0</v>
      </c>
      <c r="AS17" s="279">
        <f t="shared" si="7"/>
        <v>0</v>
      </c>
      <c r="AT17" s="253">
        <f t="shared" si="8"/>
        <v>0</v>
      </c>
      <c r="AU17" s="253">
        <f t="shared" si="9"/>
        <v>0</v>
      </c>
      <c r="AV17" s="253">
        <f t="shared" si="10"/>
        <v>0</v>
      </c>
      <c r="AW17" s="253">
        <f t="shared" si="11"/>
        <v>0</v>
      </c>
      <c r="AX17" s="253">
        <f t="shared" si="12"/>
        <v>0</v>
      </c>
      <c r="AY17" s="253">
        <f t="shared" si="13"/>
        <v>0</v>
      </c>
      <c r="AZ17" s="782" t="s">
        <v>394</v>
      </c>
      <c r="BA17" s="781" t="s">
        <v>434</v>
      </c>
    </row>
    <row r="18" spans="1:53" ht="15" customHeight="1">
      <c r="A18" s="180" t="s">
        <v>435</v>
      </c>
      <c r="B18" s="180">
        <v>9</v>
      </c>
      <c r="C18" s="181">
        <v>0.15</v>
      </c>
      <c r="D18" s="182" t="str">
        <f t="shared" si="0"/>
        <v>BANANA - NO SKINS!</v>
      </c>
      <c r="E18" s="183" t="str">
        <f t="shared" si="1"/>
        <v>FLESH</v>
      </c>
      <c r="F18" s="180"/>
      <c r="G18" s="240"/>
      <c r="H18" s="173"/>
      <c r="I18" s="188"/>
      <c r="J18" s="1035" t="s">
        <v>436</v>
      </c>
      <c r="K18" s="1036"/>
      <c r="L18" s="189">
        <v>0</v>
      </c>
      <c r="M18" s="1223" t="str">
        <f>"g = "&amp;FIXED(L18/2.8)&amp;" level 5ml tsp POWDER"</f>
        <v>g = 0.00 level 5ml tsp POWDER</v>
      </c>
      <c r="N18" s="1224"/>
      <c r="O18" s="1224"/>
      <c r="P18" s="1230" t="str">
        <f>"OR = "&amp;FIXED((L18/2.8)*4.5*5,1)&amp;"g = "&amp;FIXED((L18/2.8)*4.5,1)&amp;" tsp LIQUID TANNIN"</f>
        <v>OR = 0.0g = 0.0 tsp LIQUID TANNIN</v>
      </c>
      <c r="Q18" s="1230"/>
      <c r="R18" s="1230"/>
      <c r="S18" s="1230"/>
      <c r="T18" s="1230"/>
      <c r="U18" s="1230"/>
      <c r="V18" s="1230"/>
      <c r="W18" s="1231"/>
      <c r="X18" s="37"/>
      <c r="Y18" s="249"/>
      <c r="Z18" s="252" t="s">
        <v>437</v>
      </c>
      <c r="AA18" s="256" t="s">
        <v>429</v>
      </c>
      <c r="AB18" s="253">
        <v>18</v>
      </c>
      <c r="AC18" s="253">
        <v>0.35</v>
      </c>
      <c r="AD18" s="253">
        <v>0.1</v>
      </c>
      <c r="AE18" s="254">
        <v>22</v>
      </c>
      <c r="AF18" s="253">
        <v>0.6</v>
      </c>
      <c r="AG18" s="253">
        <v>200</v>
      </c>
      <c r="AH18" s="253">
        <v>350</v>
      </c>
      <c r="AI18" s="268">
        <v>3.1E-2</v>
      </c>
      <c r="AJ18" s="268">
        <v>0.66500000000000004</v>
      </c>
      <c r="AK18" s="268">
        <v>0.33400000000000002</v>
      </c>
      <c r="AL18" s="268">
        <v>0.36699999999999999</v>
      </c>
      <c r="AM18" s="254" t="s">
        <v>417</v>
      </c>
      <c r="AN18" s="274">
        <f t="shared" si="2"/>
        <v>0</v>
      </c>
      <c r="AO18" s="253">
        <f t="shared" si="3"/>
        <v>0</v>
      </c>
      <c r="AP18" s="279">
        <f t="shared" si="4"/>
        <v>0</v>
      </c>
      <c r="AQ18" s="279">
        <f t="shared" si="5"/>
        <v>0</v>
      </c>
      <c r="AR18" s="279">
        <f t="shared" si="6"/>
        <v>0</v>
      </c>
      <c r="AS18" s="279">
        <f t="shared" si="7"/>
        <v>0</v>
      </c>
      <c r="AT18" s="253">
        <f t="shared" si="8"/>
        <v>0</v>
      </c>
      <c r="AU18" s="253">
        <f t="shared" si="9"/>
        <v>0</v>
      </c>
      <c r="AV18" s="253">
        <f t="shared" si="10"/>
        <v>0</v>
      </c>
      <c r="AW18" s="253">
        <f t="shared" si="11"/>
        <v>0</v>
      </c>
      <c r="AX18" s="253">
        <f t="shared" si="12"/>
        <v>0</v>
      </c>
      <c r="AY18" s="253">
        <f t="shared" si="13"/>
        <v>0</v>
      </c>
      <c r="AZ18" s="782" t="s">
        <v>438</v>
      </c>
      <c r="BA18" s="780" t="s">
        <v>439</v>
      </c>
    </row>
    <row r="19" spans="1:53" ht="15" customHeight="1">
      <c r="A19" s="180" t="s">
        <v>435</v>
      </c>
      <c r="B19" s="180">
        <v>9</v>
      </c>
      <c r="C19" s="181">
        <v>0.95</v>
      </c>
      <c r="D19" s="182" t="str">
        <f t="shared" si="0"/>
        <v xml:space="preserve">       "</v>
      </c>
      <c r="E19" s="183" t="str">
        <f t="shared" si="1"/>
        <v>DRIED</v>
      </c>
      <c r="F19" s="180"/>
      <c r="G19" s="240"/>
      <c r="H19" s="173"/>
      <c r="I19" s="240"/>
      <c r="J19" s="1236"/>
      <c r="K19" s="1237"/>
      <c r="L19" s="1238"/>
      <c r="M19" s="1239" t="str">
        <f>"OR  = "&amp;FIXED(L18/0.216,1)&amp;" tea bag(s) OR = "&amp;FIXED((L18/0.216)*S19,1)&amp;"g loose tea mashed in a teapot where 1 tea bag ="</f>
        <v>OR  = 0.0 tea bag(s) OR = 0.0g loose tea mashed in a teapot where 1 tea bag =</v>
      </c>
      <c r="N19" s="1240"/>
      <c r="O19" s="1240"/>
      <c r="P19" s="1240"/>
      <c r="Q19" s="1240"/>
      <c r="R19" s="1240"/>
      <c r="S19" s="656">
        <v>3.2</v>
      </c>
      <c r="T19" s="217" t="s">
        <v>440</v>
      </c>
      <c r="U19" s="656">
        <f>S19</f>
        <v>3.2</v>
      </c>
      <c r="V19" s="218" t="s">
        <v>441</v>
      </c>
      <c r="W19" s="219"/>
      <c r="X19" s="37"/>
      <c r="Y19" s="249"/>
      <c r="Z19" s="252" t="s">
        <v>442</v>
      </c>
      <c r="AA19" s="252" t="s">
        <v>433</v>
      </c>
      <c r="AB19" s="253">
        <v>60</v>
      </c>
      <c r="AC19" s="253">
        <v>1</v>
      </c>
      <c r="AD19" s="255">
        <v>0.3</v>
      </c>
      <c r="AE19" s="254">
        <v>88</v>
      </c>
      <c r="AF19" s="255">
        <v>1.8</v>
      </c>
      <c r="AG19" s="253">
        <v>800</v>
      </c>
      <c r="AH19" s="253">
        <v>1400</v>
      </c>
      <c r="AI19" s="268">
        <v>0.18</v>
      </c>
      <c r="AJ19" s="268">
        <v>2.8</v>
      </c>
      <c r="AK19" s="270">
        <v>1.2</v>
      </c>
      <c r="AL19" s="268">
        <v>0.44</v>
      </c>
      <c r="AM19" s="254" t="s">
        <v>417</v>
      </c>
      <c r="AN19" s="274">
        <f t="shared" si="2"/>
        <v>0</v>
      </c>
      <c r="AO19" s="253">
        <f t="shared" si="3"/>
        <v>0</v>
      </c>
      <c r="AP19" s="279">
        <f t="shared" si="4"/>
        <v>0</v>
      </c>
      <c r="AQ19" s="279">
        <f t="shared" si="5"/>
        <v>0</v>
      </c>
      <c r="AR19" s="279">
        <f t="shared" si="6"/>
        <v>0</v>
      </c>
      <c r="AS19" s="279">
        <f t="shared" si="7"/>
        <v>0</v>
      </c>
      <c r="AT19" s="253">
        <f t="shared" si="8"/>
        <v>0</v>
      </c>
      <c r="AU19" s="253">
        <f t="shared" si="9"/>
        <v>0</v>
      </c>
      <c r="AV19" s="253">
        <f t="shared" si="10"/>
        <v>0</v>
      </c>
      <c r="AW19" s="253">
        <f t="shared" si="11"/>
        <v>0</v>
      </c>
      <c r="AX19" s="253">
        <f t="shared" si="12"/>
        <v>0</v>
      </c>
      <c r="AY19" s="253">
        <f t="shared" si="13"/>
        <v>0</v>
      </c>
      <c r="AZ19" s="782" t="s">
        <v>443</v>
      </c>
      <c r="BA19" s="780" t="s">
        <v>444</v>
      </c>
    </row>
    <row r="20" spans="1:53" ht="15" customHeight="1">
      <c r="A20" s="180">
        <v>5</v>
      </c>
      <c r="B20" s="180">
        <v>6</v>
      </c>
      <c r="C20" s="181">
        <v>0.13</v>
      </c>
      <c r="D20" s="182" t="str">
        <f t="shared" si="0"/>
        <v>BILBERRY</v>
      </c>
      <c r="E20" s="183" t="str">
        <f t="shared" si="1"/>
        <v>-</v>
      </c>
      <c r="F20" s="180"/>
      <c r="G20" s="240"/>
      <c r="H20" s="173"/>
      <c r="I20" s="240"/>
      <c r="J20" s="1241" t="s">
        <v>445</v>
      </c>
      <c r="K20" s="1242"/>
      <c r="L20" s="1242"/>
      <c r="M20" s="1242"/>
      <c r="N20" s="1242"/>
      <c r="O20" s="1242"/>
      <c r="P20" s="1242"/>
      <c r="Q20" s="1242"/>
      <c r="R20" s="1242"/>
      <c r="S20" s="1242"/>
      <c r="T20" s="1242"/>
      <c r="U20" s="1242"/>
      <c r="V20" s="1242"/>
      <c r="W20" s="1243"/>
      <c r="X20" s="37"/>
      <c r="Y20" s="249"/>
      <c r="Z20" s="252" t="s">
        <v>446</v>
      </c>
      <c r="AA20" s="252" t="s">
        <v>447</v>
      </c>
      <c r="AB20" s="253">
        <v>6</v>
      </c>
      <c r="AC20" s="253">
        <v>0.95</v>
      </c>
      <c r="AD20" s="253">
        <v>0.15</v>
      </c>
      <c r="AE20" s="257">
        <v>12</v>
      </c>
      <c r="AF20" s="255">
        <v>0.3</v>
      </c>
      <c r="AG20" s="253">
        <v>100</v>
      </c>
      <c r="AH20" s="255">
        <v>77</v>
      </c>
      <c r="AI20" s="270">
        <v>0.04</v>
      </c>
      <c r="AJ20" s="270">
        <v>0.42</v>
      </c>
      <c r="AK20" s="270"/>
      <c r="AL20" s="270">
        <v>0.05</v>
      </c>
      <c r="AM20" s="254" t="s">
        <v>448</v>
      </c>
      <c r="AN20" s="274">
        <f t="shared" si="2"/>
        <v>0</v>
      </c>
      <c r="AO20" s="253">
        <f t="shared" si="3"/>
        <v>0</v>
      </c>
      <c r="AP20" s="279">
        <f t="shared" si="4"/>
        <v>0</v>
      </c>
      <c r="AQ20" s="279">
        <f t="shared" si="5"/>
        <v>0</v>
      </c>
      <c r="AR20" s="279">
        <f t="shared" si="6"/>
        <v>0</v>
      </c>
      <c r="AS20" s="279">
        <f t="shared" si="7"/>
        <v>0</v>
      </c>
      <c r="AT20" s="253">
        <f t="shared" si="8"/>
        <v>0</v>
      </c>
      <c r="AU20" s="253">
        <f t="shared" si="9"/>
        <v>0</v>
      </c>
      <c r="AV20" s="253">
        <f t="shared" si="10"/>
        <v>0</v>
      </c>
      <c r="AW20" s="253">
        <f t="shared" si="11"/>
        <v>0</v>
      </c>
      <c r="AX20" s="253">
        <f t="shared" si="12"/>
        <v>0</v>
      </c>
      <c r="AY20" s="253">
        <f t="shared" si="13"/>
        <v>0</v>
      </c>
      <c r="AZ20" s="782" t="s">
        <v>449</v>
      </c>
      <c r="BA20" s="780" t="s">
        <v>450</v>
      </c>
    </row>
    <row r="21" spans="1:53" ht="15" customHeight="1">
      <c r="A21" s="180">
        <v>7</v>
      </c>
      <c r="B21" s="180">
        <v>4</v>
      </c>
      <c r="C21" s="181">
        <v>0.12</v>
      </c>
      <c r="D21" s="182" t="str">
        <f t="shared" si="0"/>
        <v>BLACKBERRY</v>
      </c>
      <c r="E21" s="183" t="str">
        <f t="shared" si="1"/>
        <v>-</v>
      </c>
      <c r="F21" s="180"/>
      <c r="G21" s="240"/>
      <c r="H21" s="173"/>
      <c r="I21" s="240"/>
      <c r="J21" s="1244" t="s">
        <v>451</v>
      </c>
      <c r="K21" s="1245"/>
      <c r="L21" s="1245"/>
      <c r="M21" s="1245"/>
      <c r="N21" s="1245"/>
      <c r="O21" s="1245"/>
      <c r="P21" s="1245"/>
      <c r="Q21" s="1245"/>
      <c r="R21" s="1245"/>
      <c r="S21" s="1245"/>
      <c r="T21" s="1245"/>
      <c r="U21" s="1245"/>
      <c r="V21" s="1245"/>
      <c r="W21" s="1246"/>
      <c r="X21" s="37"/>
      <c r="Y21" s="249"/>
      <c r="Z21" s="252" t="s">
        <v>452</v>
      </c>
      <c r="AA21" s="252" t="s">
        <v>447</v>
      </c>
      <c r="AB21" s="253">
        <v>5.5</v>
      </c>
      <c r="AC21" s="253">
        <v>1.1000000000000001</v>
      </c>
      <c r="AD21" s="253">
        <v>0.3</v>
      </c>
      <c r="AE21" s="254">
        <v>9</v>
      </c>
      <c r="AF21" s="253">
        <v>0.9</v>
      </c>
      <c r="AG21" s="253">
        <v>200</v>
      </c>
      <c r="AH21" s="253">
        <v>160</v>
      </c>
      <c r="AI21" s="268">
        <v>0.02</v>
      </c>
      <c r="AJ21" s="268">
        <v>0.65</v>
      </c>
      <c r="AK21" s="268"/>
      <c r="AL21" s="268">
        <v>0.03</v>
      </c>
      <c r="AM21" s="254" t="s">
        <v>453</v>
      </c>
      <c r="AN21" s="274">
        <f t="shared" si="2"/>
        <v>0</v>
      </c>
      <c r="AO21" s="253">
        <f t="shared" si="3"/>
        <v>0</v>
      </c>
      <c r="AP21" s="279">
        <f t="shared" si="4"/>
        <v>0</v>
      </c>
      <c r="AQ21" s="279">
        <f t="shared" si="5"/>
        <v>0</v>
      </c>
      <c r="AR21" s="279">
        <f t="shared" si="6"/>
        <v>0</v>
      </c>
      <c r="AS21" s="279">
        <f t="shared" si="7"/>
        <v>0</v>
      </c>
      <c r="AT21" s="253">
        <f t="shared" si="8"/>
        <v>0</v>
      </c>
      <c r="AU21" s="253">
        <f t="shared" si="9"/>
        <v>0</v>
      </c>
      <c r="AV21" s="253">
        <f t="shared" si="10"/>
        <v>0</v>
      </c>
      <c r="AW21" s="253">
        <f t="shared" si="11"/>
        <v>0</v>
      </c>
      <c r="AX21" s="253">
        <f t="shared" si="12"/>
        <v>0</v>
      </c>
      <c r="AY21" s="253">
        <f t="shared" si="13"/>
        <v>0</v>
      </c>
    </row>
    <row r="22" spans="1:53">
      <c r="A22" s="180">
        <v>5</v>
      </c>
      <c r="B22" s="180">
        <v>12</v>
      </c>
      <c r="C22" s="181">
        <v>0.17</v>
      </c>
      <c r="D22" s="182" t="str">
        <f t="shared" si="0"/>
        <v>BLACKCURRANT</v>
      </c>
      <c r="E22" s="183" t="str">
        <f t="shared" si="1"/>
        <v>-</v>
      </c>
      <c r="F22" s="180"/>
      <c r="G22" s="240"/>
      <c r="H22" s="240"/>
      <c r="I22" s="240"/>
      <c r="J22" s="240"/>
      <c r="K22" s="240"/>
      <c r="L22" s="240"/>
      <c r="M22" s="240"/>
      <c r="N22" s="240"/>
      <c r="O22" s="240"/>
      <c r="P22" s="240"/>
      <c r="Q22" s="240"/>
      <c r="R22" s="240"/>
      <c r="S22" s="240"/>
      <c r="T22" s="240"/>
      <c r="U22" s="240"/>
      <c r="V22" s="240"/>
      <c r="W22" s="240"/>
      <c r="X22" s="240"/>
      <c r="Y22" s="249"/>
      <c r="Z22" s="252" t="s">
        <v>454</v>
      </c>
      <c r="AA22" s="252" t="s">
        <v>447</v>
      </c>
      <c r="AB22" s="253">
        <v>7</v>
      </c>
      <c r="AC22" s="253">
        <v>3.5</v>
      </c>
      <c r="AD22" s="253">
        <v>0.35</v>
      </c>
      <c r="AE22" s="254">
        <v>15</v>
      </c>
      <c r="AF22" s="253">
        <v>1.1000000000000001</v>
      </c>
      <c r="AG22" s="253">
        <v>150</v>
      </c>
      <c r="AH22" s="253">
        <v>320</v>
      </c>
      <c r="AI22" s="268">
        <v>0.05</v>
      </c>
      <c r="AJ22" s="268">
        <v>0.3</v>
      </c>
      <c r="AK22" s="268">
        <v>0.4</v>
      </c>
      <c r="AL22" s="268">
        <v>6.6000000000000003E-2</v>
      </c>
      <c r="AM22" s="254" t="s">
        <v>448</v>
      </c>
      <c r="AN22" s="274">
        <f t="shared" si="2"/>
        <v>0</v>
      </c>
      <c r="AO22" s="253">
        <f t="shared" si="3"/>
        <v>0</v>
      </c>
      <c r="AP22" s="279">
        <f t="shared" si="4"/>
        <v>0</v>
      </c>
      <c r="AQ22" s="279">
        <f t="shared" si="5"/>
        <v>0</v>
      </c>
      <c r="AR22" s="279">
        <f t="shared" si="6"/>
        <v>0</v>
      </c>
      <c r="AS22" s="279">
        <f t="shared" si="7"/>
        <v>0</v>
      </c>
      <c r="AT22" s="253">
        <f t="shared" si="8"/>
        <v>0</v>
      </c>
      <c r="AU22" s="253">
        <f t="shared" si="9"/>
        <v>0</v>
      </c>
      <c r="AV22" s="253">
        <f t="shared" si="10"/>
        <v>0</v>
      </c>
      <c r="AW22" s="253">
        <f t="shared" si="11"/>
        <v>0</v>
      </c>
      <c r="AX22" s="253">
        <f t="shared" si="12"/>
        <v>0</v>
      </c>
      <c r="AY22" s="253">
        <f t="shared" si="13"/>
        <v>0</v>
      </c>
    </row>
    <row r="23" spans="1:53">
      <c r="A23" s="180">
        <v>7</v>
      </c>
      <c r="B23" s="180">
        <v>3</v>
      </c>
      <c r="C23" s="181">
        <v>0.14000000000000001</v>
      </c>
      <c r="D23" s="182" t="str">
        <f t="shared" si="0"/>
        <v>BLUEBERRY</v>
      </c>
      <c r="E23" s="183" t="str">
        <f t="shared" si="1"/>
        <v>-</v>
      </c>
      <c r="F23" s="180"/>
      <c r="G23" s="240"/>
      <c r="H23" s="173"/>
      <c r="I23" s="173"/>
      <c r="J23" s="173"/>
      <c r="K23" s="173"/>
      <c r="L23" s="173"/>
      <c r="M23" s="173"/>
      <c r="N23" s="173"/>
      <c r="O23" s="173"/>
      <c r="P23" s="173"/>
      <c r="Q23" s="173"/>
      <c r="R23" s="173"/>
      <c r="S23" s="173"/>
      <c r="T23" s="173"/>
      <c r="U23" s="173"/>
      <c r="V23" s="173"/>
      <c r="W23" s="220"/>
      <c r="X23" s="240"/>
      <c r="Y23" s="249"/>
      <c r="Z23" s="252" t="s">
        <v>455</v>
      </c>
      <c r="AA23" s="252" t="s">
        <v>447</v>
      </c>
      <c r="AB23" s="253">
        <v>10</v>
      </c>
      <c r="AC23" s="253">
        <v>0.3</v>
      </c>
      <c r="AD23" s="255">
        <v>0.1</v>
      </c>
      <c r="AE23" s="254">
        <v>15</v>
      </c>
      <c r="AF23" s="255">
        <v>0.3</v>
      </c>
      <c r="AG23" s="255">
        <v>100</v>
      </c>
      <c r="AH23" s="253">
        <v>77</v>
      </c>
      <c r="AI23" s="268">
        <v>0.04</v>
      </c>
      <c r="AJ23" s="268">
        <v>0.42</v>
      </c>
      <c r="AK23" s="268"/>
      <c r="AL23" s="268">
        <v>0.05</v>
      </c>
      <c r="AM23" s="254" t="s">
        <v>448</v>
      </c>
      <c r="AN23" s="274">
        <f t="shared" si="2"/>
        <v>0</v>
      </c>
      <c r="AO23" s="253">
        <f t="shared" si="3"/>
        <v>0</v>
      </c>
      <c r="AP23" s="279">
        <f t="shared" si="4"/>
        <v>0</v>
      </c>
      <c r="AQ23" s="279">
        <f t="shared" si="5"/>
        <v>0</v>
      </c>
      <c r="AR23" s="279">
        <f t="shared" si="6"/>
        <v>0</v>
      </c>
      <c r="AS23" s="279">
        <f t="shared" si="7"/>
        <v>0</v>
      </c>
      <c r="AT23" s="253">
        <f t="shared" si="8"/>
        <v>0</v>
      </c>
      <c r="AU23" s="253">
        <f t="shared" si="9"/>
        <v>0</v>
      </c>
      <c r="AV23" s="253">
        <f t="shared" si="10"/>
        <v>0</v>
      </c>
      <c r="AW23" s="253">
        <f t="shared" si="11"/>
        <v>0</v>
      </c>
      <c r="AX23" s="253">
        <f t="shared" si="12"/>
        <v>0</v>
      </c>
      <c r="AY23" s="253">
        <f t="shared" si="13"/>
        <v>0</v>
      </c>
    </row>
    <row r="24" spans="1:53">
      <c r="A24" s="180">
        <v>7</v>
      </c>
      <c r="B24" s="180">
        <v>12</v>
      </c>
      <c r="C24" s="181">
        <v>0.15</v>
      </c>
      <c r="D24" s="182" t="str">
        <f t="shared" si="0"/>
        <v>CHERRY + pits</v>
      </c>
      <c r="E24" s="183" t="str">
        <f t="shared" si="1"/>
        <v>EATING</v>
      </c>
      <c r="F24" s="180"/>
      <c r="G24" s="240"/>
      <c r="H24" s="173"/>
      <c r="I24" s="693"/>
      <c r="J24" s="693"/>
      <c r="K24" s="693"/>
      <c r="L24" s="693"/>
      <c r="M24" s="693"/>
      <c r="N24" s="693"/>
      <c r="O24" s="173"/>
      <c r="P24" s="693"/>
      <c r="Q24" s="693"/>
      <c r="R24" s="693"/>
      <c r="S24" s="693"/>
      <c r="T24" s="693"/>
      <c r="U24" s="693"/>
      <c r="V24" s="693"/>
      <c r="W24" s="240"/>
      <c r="X24" s="240"/>
      <c r="Y24" s="249"/>
      <c r="Z24" s="252" t="s">
        <v>456</v>
      </c>
      <c r="AA24" s="252" t="s">
        <v>416</v>
      </c>
      <c r="AB24" s="253">
        <v>12.5</v>
      </c>
      <c r="AC24" s="253">
        <v>0.5</v>
      </c>
      <c r="AD24" s="253">
        <v>0.1</v>
      </c>
      <c r="AE24" s="254">
        <v>16</v>
      </c>
      <c r="AF24" s="253">
        <v>0.3</v>
      </c>
      <c r="AG24" s="253">
        <v>90</v>
      </c>
      <c r="AH24" s="253">
        <v>220</v>
      </c>
      <c r="AI24" s="268">
        <v>0.03</v>
      </c>
      <c r="AJ24" s="268">
        <v>0.04</v>
      </c>
      <c r="AK24" s="268">
        <v>0.309</v>
      </c>
      <c r="AL24" s="268">
        <v>0.04</v>
      </c>
      <c r="AM24" s="254" t="s">
        <v>417</v>
      </c>
      <c r="AN24" s="274">
        <f t="shared" si="2"/>
        <v>0</v>
      </c>
      <c r="AO24" s="253">
        <f t="shared" si="3"/>
        <v>0</v>
      </c>
      <c r="AP24" s="279">
        <f t="shared" si="4"/>
        <v>0</v>
      </c>
      <c r="AQ24" s="279">
        <f t="shared" si="5"/>
        <v>0</v>
      </c>
      <c r="AR24" s="279">
        <f t="shared" si="6"/>
        <v>0</v>
      </c>
      <c r="AS24" s="279">
        <f t="shared" si="7"/>
        <v>0</v>
      </c>
      <c r="AT24" s="253">
        <f t="shared" si="8"/>
        <v>0</v>
      </c>
      <c r="AU24" s="253">
        <f t="shared" si="9"/>
        <v>0</v>
      </c>
      <c r="AV24" s="253">
        <f t="shared" si="10"/>
        <v>0</v>
      </c>
      <c r="AW24" s="253">
        <f t="shared" si="11"/>
        <v>0</v>
      </c>
      <c r="AX24" s="253">
        <f t="shared" si="12"/>
        <v>0</v>
      </c>
      <c r="AY24" s="253">
        <f t="shared" si="13"/>
        <v>0</v>
      </c>
    </row>
    <row r="25" spans="1:53">
      <c r="A25" s="180">
        <v>7</v>
      </c>
      <c r="B25" s="180">
        <v>12</v>
      </c>
      <c r="C25" s="181">
        <v>0.15</v>
      </c>
      <c r="D25" s="182" t="str">
        <f t="shared" si="0"/>
        <v xml:space="preserve">            "</v>
      </c>
      <c r="E25" s="183" t="str">
        <f t="shared" si="1"/>
        <v xml:space="preserve">SOUR </v>
      </c>
      <c r="F25" s="180"/>
      <c r="G25" s="240"/>
      <c r="H25" s="173"/>
      <c r="I25" s="693"/>
      <c r="J25" s="1217" t="s">
        <v>949</v>
      </c>
      <c r="K25" s="1218"/>
      <c r="L25" s="190">
        <f>5*E8*V27/L61</f>
        <v>2.34375</v>
      </c>
      <c r="M25" s="1249" t="str">
        <f>"g or "&amp;FIXED((E8*V27/L61),1)&amp;" level 5ml tsp (approx.)"</f>
        <v>g or 0.5 level 5ml tsp (approx.)</v>
      </c>
      <c r="N25" s="1250"/>
      <c r="O25" s="173"/>
      <c r="P25" s="693"/>
      <c r="Q25" s="1251" t="s">
        <v>457</v>
      </c>
      <c r="R25" s="1252"/>
      <c r="S25" s="1252"/>
      <c r="T25" s="1252"/>
      <c r="U25" s="1252"/>
      <c r="V25" s="1253"/>
      <c r="W25" s="240"/>
      <c r="X25" s="240"/>
      <c r="Y25" s="249"/>
      <c r="Z25" s="252" t="s">
        <v>458</v>
      </c>
      <c r="AA25" s="252" t="s">
        <v>459</v>
      </c>
      <c r="AB25" s="253">
        <v>9</v>
      </c>
      <c r="AC25" s="253">
        <v>0.7</v>
      </c>
      <c r="AD25" s="253">
        <v>0.1</v>
      </c>
      <c r="AE25" s="254">
        <v>12</v>
      </c>
      <c r="AF25" s="255">
        <v>0.3</v>
      </c>
      <c r="AG25" s="253">
        <v>90</v>
      </c>
      <c r="AH25" s="253">
        <v>173</v>
      </c>
      <c r="AI25" s="268">
        <v>0.03</v>
      </c>
      <c r="AJ25" s="268">
        <v>0.15</v>
      </c>
      <c r="AK25" s="270">
        <v>0.309</v>
      </c>
      <c r="AL25" s="268">
        <v>0.05</v>
      </c>
      <c r="AM25" s="254" t="s">
        <v>417</v>
      </c>
      <c r="AN25" s="274">
        <f t="shared" si="2"/>
        <v>0</v>
      </c>
      <c r="AO25" s="253">
        <f t="shared" si="3"/>
        <v>0</v>
      </c>
      <c r="AP25" s="279">
        <f t="shared" si="4"/>
        <v>0</v>
      </c>
      <c r="AQ25" s="279">
        <f t="shared" si="5"/>
        <v>0</v>
      </c>
      <c r="AR25" s="279">
        <f t="shared" si="6"/>
        <v>0</v>
      </c>
      <c r="AS25" s="279">
        <f t="shared" si="7"/>
        <v>0</v>
      </c>
      <c r="AT25" s="253">
        <f t="shared" si="8"/>
        <v>0</v>
      </c>
      <c r="AU25" s="253">
        <f t="shared" si="9"/>
        <v>0</v>
      </c>
      <c r="AV25" s="253">
        <f t="shared" si="10"/>
        <v>0</v>
      </c>
      <c r="AW25" s="253">
        <f t="shared" si="11"/>
        <v>0</v>
      </c>
      <c r="AX25" s="253">
        <f t="shared" si="12"/>
        <v>0</v>
      </c>
      <c r="AY25" s="253">
        <f t="shared" si="13"/>
        <v>0</v>
      </c>
    </row>
    <row r="26" spans="1:53">
      <c r="A26" s="180">
        <v>7</v>
      </c>
      <c r="B26" s="180">
        <v>9</v>
      </c>
      <c r="C26" s="181">
        <v>0.13</v>
      </c>
      <c r="D26" s="182" t="str">
        <f t="shared" si="0"/>
        <v>CRANBERRY</v>
      </c>
      <c r="E26" s="183" t="str">
        <f t="shared" si="1"/>
        <v>-</v>
      </c>
      <c r="F26" s="180"/>
      <c r="G26" s="240"/>
      <c r="H26" s="173"/>
      <c r="I26" s="693"/>
      <c r="J26" s="1226" t="s">
        <v>950</v>
      </c>
      <c r="K26" s="1227"/>
      <c r="L26" s="191">
        <f>4.5*E8/4.5</f>
        <v>4.5</v>
      </c>
      <c r="M26" s="1254" t="str">
        <f>"g or "&amp;FIXED((E8/4.5),1)&amp;" level 5ml tsp (approx.)"</f>
        <v>g or 1.0 level 5ml tsp (approx.)</v>
      </c>
      <c r="N26" s="1255"/>
      <c r="O26" s="173"/>
      <c r="P26" s="643"/>
      <c r="Q26" s="221" t="s">
        <v>180</v>
      </c>
      <c r="R26" s="222" t="s">
        <v>460</v>
      </c>
      <c r="S26" s="223" t="s">
        <v>385</v>
      </c>
      <c r="T26" s="223" t="s">
        <v>386</v>
      </c>
      <c r="U26" s="223" t="s">
        <v>387</v>
      </c>
      <c r="V26" s="223" t="s">
        <v>388</v>
      </c>
      <c r="W26" s="240"/>
      <c r="X26" s="240"/>
      <c r="Y26" s="249"/>
      <c r="Z26" s="252" t="s">
        <v>461</v>
      </c>
      <c r="AA26" s="252" t="s">
        <v>447</v>
      </c>
      <c r="AB26" s="253">
        <v>3.8</v>
      </c>
      <c r="AC26" s="253">
        <v>3</v>
      </c>
      <c r="AD26" s="255">
        <v>0.15</v>
      </c>
      <c r="AE26" s="254">
        <v>12</v>
      </c>
      <c r="AF26" s="255">
        <v>0.8</v>
      </c>
      <c r="AG26" s="255">
        <v>90</v>
      </c>
      <c r="AH26" s="253">
        <v>85</v>
      </c>
      <c r="AI26" s="268">
        <v>0.01</v>
      </c>
      <c r="AJ26" s="268">
        <v>0.1</v>
      </c>
      <c r="AK26" s="268">
        <v>0.29499999999999998</v>
      </c>
      <c r="AL26" s="268">
        <v>0.06</v>
      </c>
      <c r="AM26" s="254"/>
      <c r="AN26" s="274">
        <f t="shared" si="2"/>
        <v>0</v>
      </c>
      <c r="AO26" s="253">
        <f t="shared" si="3"/>
        <v>0</v>
      </c>
      <c r="AP26" s="279">
        <f t="shared" si="4"/>
        <v>0</v>
      </c>
      <c r="AQ26" s="279">
        <f t="shared" si="5"/>
        <v>0</v>
      </c>
      <c r="AR26" s="279">
        <f t="shared" si="6"/>
        <v>0</v>
      </c>
      <c r="AS26" s="279">
        <f t="shared" si="7"/>
        <v>0</v>
      </c>
      <c r="AT26" s="253">
        <f t="shared" si="8"/>
        <v>0</v>
      </c>
      <c r="AU26" s="253">
        <f t="shared" si="9"/>
        <v>0</v>
      </c>
      <c r="AV26" s="253">
        <f t="shared" si="10"/>
        <v>0</v>
      </c>
      <c r="AW26" s="253">
        <f t="shared" si="11"/>
        <v>0</v>
      </c>
      <c r="AX26" s="253">
        <f t="shared" si="12"/>
        <v>0</v>
      </c>
      <c r="AY26" s="253">
        <f t="shared" si="13"/>
        <v>0</v>
      </c>
    </row>
    <row r="27" spans="1:53">
      <c r="A27" s="180">
        <v>7</v>
      </c>
      <c r="B27" s="180">
        <v>12</v>
      </c>
      <c r="C27" s="181">
        <v>0.16</v>
      </c>
      <c r="D27" s="182" t="str">
        <f t="shared" si="0"/>
        <v>DAMSON</v>
      </c>
      <c r="E27" s="183" t="str">
        <f t="shared" si="1"/>
        <v>-</v>
      </c>
      <c r="F27" s="180"/>
      <c r="G27" s="240"/>
      <c r="H27" s="173"/>
      <c r="I27" s="693"/>
      <c r="J27" s="709"/>
      <c r="K27" s="709"/>
      <c r="L27" s="709"/>
      <c r="M27" s="709"/>
      <c r="N27" s="709"/>
      <c r="O27" s="709"/>
      <c r="P27" s="709"/>
      <c r="Q27" s="224">
        <f>SUM(F13:F131)</f>
        <v>3000</v>
      </c>
      <c r="R27" s="222">
        <f>L13+AO144</f>
        <v>926</v>
      </c>
      <c r="S27" s="225">
        <f>AP144-(L14*5/3)+L15</f>
        <v>20.7</v>
      </c>
      <c r="T27" s="226">
        <f>AQ144+L18</f>
        <v>0.3</v>
      </c>
      <c r="U27" s="225">
        <f>AR144</f>
        <v>2.7600000000000158</v>
      </c>
      <c r="V27" s="226">
        <f>AS144</f>
        <v>0.5</v>
      </c>
      <c r="W27" s="240"/>
      <c r="X27" s="240"/>
      <c r="Y27" s="249"/>
      <c r="Z27" s="252" t="s">
        <v>462</v>
      </c>
      <c r="AA27" s="252" t="s">
        <v>447</v>
      </c>
      <c r="AB27" s="253">
        <v>9</v>
      </c>
      <c r="AC27" s="253">
        <v>2.2000000000000002</v>
      </c>
      <c r="AD27" s="255">
        <v>0.15</v>
      </c>
      <c r="AE27" s="255">
        <v>0.15</v>
      </c>
      <c r="AF27" s="253">
        <v>1.1000000000000001</v>
      </c>
      <c r="AG27" s="253">
        <v>80</v>
      </c>
      <c r="AH27" s="255">
        <v>155</v>
      </c>
      <c r="AI27" s="270">
        <v>2.8000000000000001E-2</v>
      </c>
      <c r="AJ27" s="270">
        <v>0.41699999999999998</v>
      </c>
      <c r="AK27" s="270">
        <v>0.13500000000000001</v>
      </c>
      <c r="AL27" s="270">
        <v>2.9000000000000001E-2</v>
      </c>
      <c r="AM27" s="254" t="s">
        <v>417</v>
      </c>
      <c r="AN27" s="274">
        <f t="shared" si="2"/>
        <v>0</v>
      </c>
      <c r="AO27" s="253">
        <f t="shared" si="3"/>
        <v>0</v>
      </c>
      <c r="AP27" s="279">
        <f t="shared" si="4"/>
        <v>0</v>
      </c>
      <c r="AQ27" s="279">
        <f t="shared" si="5"/>
        <v>0</v>
      </c>
      <c r="AR27" s="279">
        <f t="shared" si="6"/>
        <v>0</v>
      </c>
      <c r="AS27" s="279">
        <f t="shared" si="7"/>
        <v>0</v>
      </c>
      <c r="AT27" s="253">
        <f t="shared" si="8"/>
        <v>0</v>
      </c>
      <c r="AU27" s="253">
        <f t="shared" si="9"/>
        <v>0</v>
      </c>
      <c r="AV27" s="253">
        <f t="shared" si="10"/>
        <v>0</v>
      </c>
      <c r="AW27" s="253">
        <f t="shared" si="11"/>
        <v>0</v>
      </c>
      <c r="AX27" s="253">
        <f t="shared" si="12"/>
        <v>0</v>
      </c>
      <c r="AY27" s="253">
        <f t="shared" si="13"/>
        <v>0</v>
      </c>
    </row>
    <row r="28" spans="1:53">
      <c r="A28" s="180">
        <v>7</v>
      </c>
      <c r="B28" s="180">
        <v>12</v>
      </c>
      <c r="C28" s="181">
        <v>0.85</v>
      </c>
      <c r="D28" s="182" t="str">
        <f t="shared" si="0"/>
        <v>DATE</v>
      </c>
      <c r="E28" s="183" t="str">
        <f t="shared" si="1"/>
        <v>-</v>
      </c>
      <c r="F28" s="180"/>
      <c r="G28" s="240"/>
      <c r="H28" s="173"/>
      <c r="I28" s="693"/>
      <c r="J28" s="709"/>
      <c r="K28" s="693"/>
      <c r="L28" s="693"/>
      <c r="M28" s="693"/>
      <c r="N28" s="693"/>
      <c r="O28" s="693"/>
      <c r="P28" s="693"/>
      <c r="Q28" s="693"/>
      <c r="R28" s="693"/>
      <c r="S28" s="693"/>
      <c r="T28" s="693"/>
      <c r="U28" s="693"/>
      <c r="V28" s="693"/>
      <c r="W28" s="240"/>
      <c r="X28" s="240"/>
      <c r="Y28" s="249"/>
      <c r="Z28" s="252" t="s">
        <v>463</v>
      </c>
      <c r="AA28" s="252" t="s">
        <v>447</v>
      </c>
      <c r="AB28" s="253">
        <v>64</v>
      </c>
      <c r="AC28" s="253">
        <v>1</v>
      </c>
      <c r="AD28" s="255">
        <v>0.15</v>
      </c>
      <c r="AE28" s="254">
        <v>75</v>
      </c>
      <c r="AF28" s="255">
        <v>0.8</v>
      </c>
      <c r="AG28" s="255">
        <v>90</v>
      </c>
      <c r="AH28" s="253">
        <v>656</v>
      </c>
      <c r="AI28" s="268">
        <v>0.05</v>
      </c>
      <c r="AJ28" s="268">
        <v>1.27</v>
      </c>
      <c r="AK28" s="268">
        <v>0.57999999999999996</v>
      </c>
      <c r="AL28" s="268">
        <v>0.17</v>
      </c>
      <c r="AM28" s="254" t="s">
        <v>417</v>
      </c>
      <c r="AN28" s="274">
        <f t="shared" si="2"/>
        <v>0</v>
      </c>
      <c r="AO28" s="253">
        <f t="shared" si="3"/>
        <v>0</v>
      </c>
      <c r="AP28" s="279">
        <f t="shared" si="4"/>
        <v>0</v>
      </c>
      <c r="AQ28" s="279">
        <f t="shared" si="5"/>
        <v>0</v>
      </c>
      <c r="AR28" s="279">
        <f t="shared" si="6"/>
        <v>0</v>
      </c>
      <c r="AS28" s="279">
        <f t="shared" si="7"/>
        <v>0</v>
      </c>
      <c r="AT28" s="253">
        <f t="shared" si="8"/>
        <v>0</v>
      </c>
      <c r="AU28" s="253">
        <f t="shared" si="9"/>
        <v>0</v>
      </c>
      <c r="AV28" s="253">
        <f t="shared" si="10"/>
        <v>0</v>
      </c>
      <c r="AW28" s="253">
        <f t="shared" si="11"/>
        <v>0</v>
      </c>
      <c r="AX28" s="253">
        <f t="shared" si="12"/>
        <v>0</v>
      </c>
      <c r="AY28" s="253">
        <f t="shared" si="13"/>
        <v>0</v>
      </c>
    </row>
    <row r="29" spans="1:53">
      <c r="A29" s="180">
        <v>3</v>
      </c>
      <c r="B29" s="180">
        <v>6</v>
      </c>
      <c r="C29" s="181">
        <v>0.2</v>
      </c>
      <c r="D29" s="182" t="str">
        <f t="shared" si="0"/>
        <v>ELDERBERRY</v>
      </c>
      <c r="E29" s="183" t="str">
        <f t="shared" si="1"/>
        <v>-</v>
      </c>
      <c r="F29" s="180"/>
      <c r="G29" s="240"/>
      <c r="H29" s="173"/>
      <c r="I29" s="693"/>
      <c r="J29" s="709"/>
      <c r="K29" s="693"/>
      <c r="L29" s="240"/>
      <c r="M29" s="240"/>
      <c r="N29" s="240"/>
      <c r="O29" s="240"/>
      <c r="P29" s="240"/>
      <c r="Q29" s="240"/>
      <c r="R29" s="240"/>
      <c r="S29" s="240"/>
      <c r="T29" s="240"/>
      <c r="U29" s="240"/>
      <c r="V29" s="240"/>
      <c r="W29" s="240"/>
      <c r="X29" s="240"/>
      <c r="Y29" s="249"/>
      <c r="Z29" s="252" t="s">
        <v>464</v>
      </c>
      <c r="AA29" s="252" t="s">
        <v>447</v>
      </c>
      <c r="AB29" s="253">
        <v>11.5</v>
      </c>
      <c r="AC29" s="253">
        <v>1.05</v>
      </c>
      <c r="AD29" s="253">
        <v>0.55000000000000004</v>
      </c>
      <c r="AE29" s="254">
        <v>18</v>
      </c>
      <c r="AF29" s="255">
        <v>0.8</v>
      </c>
      <c r="AG29" s="253">
        <v>200</v>
      </c>
      <c r="AH29" s="253">
        <v>280</v>
      </c>
      <c r="AI29" s="268">
        <v>7.0000000000000007E-2</v>
      </c>
      <c r="AJ29" s="268">
        <v>0.5</v>
      </c>
      <c r="AK29" s="268">
        <v>0.14000000000000001</v>
      </c>
      <c r="AL29" s="268">
        <v>0.23</v>
      </c>
      <c r="AM29" s="254" t="s">
        <v>448</v>
      </c>
      <c r="AN29" s="274">
        <f t="shared" si="2"/>
        <v>0</v>
      </c>
      <c r="AO29" s="253">
        <f t="shared" si="3"/>
        <v>0</v>
      </c>
      <c r="AP29" s="279">
        <f t="shared" si="4"/>
        <v>0</v>
      </c>
      <c r="AQ29" s="279">
        <f t="shared" si="5"/>
        <v>0</v>
      </c>
      <c r="AR29" s="279">
        <f t="shared" si="6"/>
        <v>0</v>
      </c>
      <c r="AS29" s="279">
        <f t="shared" si="7"/>
        <v>0</v>
      </c>
      <c r="AT29" s="253">
        <f t="shared" si="8"/>
        <v>0</v>
      </c>
      <c r="AU29" s="253">
        <f t="shared" si="9"/>
        <v>0</v>
      </c>
      <c r="AV29" s="253">
        <f t="shared" si="10"/>
        <v>0</v>
      </c>
      <c r="AW29" s="253">
        <f t="shared" si="11"/>
        <v>0</v>
      </c>
      <c r="AX29" s="253">
        <f t="shared" si="12"/>
        <v>0</v>
      </c>
      <c r="AY29" s="253">
        <f t="shared" si="13"/>
        <v>0</v>
      </c>
    </row>
    <row r="30" spans="1:53" ht="13.95" customHeight="1">
      <c r="A30" s="180" t="s">
        <v>435</v>
      </c>
      <c r="B30" s="180">
        <v>6</v>
      </c>
      <c r="C30" s="181">
        <v>0</v>
      </c>
      <c r="D30" s="182" t="str">
        <f t="shared" si="0"/>
        <v xml:space="preserve">            "</v>
      </c>
      <c r="E30" s="183" t="str">
        <f t="shared" si="1"/>
        <v>JUICE</v>
      </c>
      <c r="F30" s="180"/>
      <c r="G30" s="240"/>
      <c r="H30" s="173"/>
      <c r="I30" s="872"/>
      <c r="J30" s="872"/>
      <c r="K30" s="693"/>
      <c r="L30" s="1256" t="s">
        <v>465</v>
      </c>
      <c r="M30" s="1256"/>
      <c r="N30" s="1256"/>
      <c r="O30" s="1256"/>
      <c r="P30" s="1256"/>
      <c r="Q30" s="227" t="s">
        <v>389</v>
      </c>
      <c r="R30" s="227" t="s">
        <v>390</v>
      </c>
      <c r="S30" s="227" t="s">
        <v>391</v>
      </c>
      <c r="T30" s="227" t="s">
        <v>392</v>
      </c>
      <c r="U30" s="227" t="s">
        <v>393</v>
      </c>
      <c r="V30" s="227" t="s">
        <v>394</v>
      </c>
      <c r="W30" s="240"/>
      <c r="X30" s="240"/>
      <c r="Y30" s="249"/>
      <c r="Z30" s="252" t="s">
        <v>458</v>
      </c>
      <c r="AA30" s="252" t="s">
        <v>466</v>
      </c>
      <c r="AB30" s="255">
        <v>12</v>
      </c>
      <c r="AC30" s="255">
        <v>1</v>
      </c>
      <c r="AD30" s="255">
        <v>0.31</v>
      </c>
      <c r="AE30" s="257">
        <v>18.3</v>
      </c>
      <c r="AF30" s="255">
        <v>0.8</v>
      </c>
      <c r="AG30" s="255">
        <v>200</v>
      </c>
      <c r="AH30" s="255">
        <v>280</v>
      </c>
      <c r="AI30" s="270">
        <v>7.0000000000000007E-2</v>
      </c>
      <c r="AJ30" s="270">
        <v>0.5</v>
      </c>
      <c r="AK30" s="270">
        <v>0.14000000000000001</v>
      </c>
      <c r="AL30" s="270">
        <v>0.23</v>
      </c>
      <c r="AM30" s="254" t="s">
        <v>448</v>
      </c>
      <c r="AN30" s="274">
        <f t="shared" si="2"/>
        <v>0</v>
      </c>
      <c r="AO30" s="253">
        <f t="shared" si="3"/>
        <v>0</v>
      </c>
      <c r="AP30" s="279">
        <f t="shared" si="4"/>
        <v>0</v>
      </c>
      <c r="AQ30" s="279">
        <f t="shared" si="5"/>
        <v>0</v>
      </c>
      <c r="AR30" s="279">
        <f t="shared" si="6"/>
        <v>0</v>
      </c>
      <c r="AS30" s="279">
        <f t="shared" si="7"/>
        <v>0</v>
      </c>
      <c r="AT30" s="253">
        <f t="shared" si="8"/>
        <v>0</v>
      </c>
      <c r="AU30" s="253">
        <f t="shared" si="9"/>
        <v>0</v>
      </c>
      <c r="AV30" s="253">
        <f t="shared" si="10"/>
        <v>0</v>
      </c>
      <c r="AW30" s="253">
        <f t="shared" si="11"/>
        <v>0</v>
      </c>
      <c r="AX30" s="253">
        <f t="shared" si="12"/>
        <v>0</v>
      </c>
      <c r="AY30" s="253">
        <f t="shared" si="13"/>
        <v>0</v>
      </c>
    </row>
    <row r="31" spans="1:53" ht="13.95" customHeight="1">
      <c r="A31" s="180">
        <v>7</v>
      </c>
      <c r="B31" s="180">
        <v>12</v>
      </c>
      <c r="C31" s="181">
        <v>0.21</v>
      </c>
      <c r="D31" s="182" t="str">
        <f t="shared" si="0"/>
        <v>FIGS</v>
      </c>
      <c r="E31" s="183" t="str">
        <f t="shared" si="1"/>
        <v>FLESH</v>
      </c>
      <c r="F31" s="180"/>
      <c r="G31" s="240"/>
      <c r="H31" s="173"/>
      <c r="I31" s="1269" t="s">
        <v>234</v>
      </c>
      <c r="J31" s="1269"/>
      <c r="K31" s="693"/>
      <c r="L31" s="1257" t="s">
        <v>467</v>
      </c>
      <c r="M31" s="1257"/>
      <c r="N31" s="1257"/>
      <c r="O31" s="1257"/>
      <c r="P31" s="1257"/>
      <c r="Q31" s="228">
        <f t="shared" ref="Q31:V31" si="14">AT144</f>
        <v>990</v>
      </c>
      <c r="R31" s="229">
        <f t="shared" si="14"/>
        <v>3450</v>
      </c>
      <c r="S31" s="230">
        <f t="shared" si="14"/>
        <v>0.6</v>
      </c>
      <c r="T31" s="230">
        <f t="shared" si="14"/>
        <v>3</v>
      </c>
      <c r="U31" s="230">
        <f t="shared" si="14"/>
        <v>1.47</v>
      </c>
      <c r="V31" s="230">
        <f t="shared" si="14"/>
        <v>0.9</v>
      </c>
      <c r="W31" s="240"/>
      <c r="X31" s="240"/>
      <c r="Y31" s="249"/>
      <c r="Z31" s="252" t="s">
        <v>468</v>
      </c>
      <c r="AA31" s="252" t="s">
        <v>429</v>
      </c>
      <c r="AB31" s="253">
        <v>15</v>
      </c>
      <c r="AC31" s="253">
        <v>0.4</v>
      </c>
      <c r="AD31" s="255">
        <v>0.31</v>
      </c>
      <c r="AE31" s="254">
        <v>19</v>
      </c>
      <c r="AF31" s="255">
        <v>0.8</v>
      </c>
      <c r="AG31" s="255">
        <v>200</v>
      </c>
      <c r="AH31" s="253">
        <v>232</v>
      </c>
      <c r="AI31" s="268">
        <v>0.06</v>
      </c>
      <c r="AJ31" s="268">
        <v>0.4</v>
      </c>
      <c r="AK31" s="268">
        <v>0.3</v>
      </c>
      <c r="AL31" s="268">
        <v>0.113</v>
      </c>
      <c r="AM31" s="254" t="s">
        <v>417</v>
      </c>
      <c r="AN31" s="274">
        <f t="shared" si="2"/>
        <v>0</v>
      </c>
      <c r="AO31" s="253">
        <f t="shared" si="3"/>
        <v>0</v>
      </c>
      <c r="AP31" s="279">
        <f t="shared" si="4"/>
        <v>0</v>
      </c>
      <c r="AQ31" s="279">
        <f t="shared" si="5"/>
        <v>0</v>
      </c>
      <c r="AR31" s="279">
        <f t="shared" si="6"/>
        <v>0</v>
      </c>
      <c r="AS31" s="279">
        <f t="shared" si="7"/>
        <v>0</v>
      </c>
      <c r="AT31" s="253">
        <f t="shared" si="8"/>
        <v>0</v>
      </c>
      <c r="AU31" s="253">
        <f t="shared" si="9"/>
        <v>0</v>
      </c>
      <c r="AV31" s="253">
        <f t="shared" si="10"/>
        <v>0</v>
      </c>
      <c r="AW31" s="253">
        <f t="shared" si="11"/>
        <v>0</v>
      </c>
      <c r="AX31" s="253">
        <f t="shared" si="12"/>
        <v>0</v>
      </c>
      <c r="AY31" s="253">
        <f t="shared" si="13"/>
        <v>0</v>
      </c>
    </row>
    <row r="32" spans="1:53" ht="13.95" customHeight="1">
      <c r="A32" s="180">
        <v>7</v>
      </c>
      <c r="B32" s="180">
        <v>12</v>
      </c>
      <c r="C32" s="181">
        <v>0.7</v>
      </c>
      <c r="D32" s="182" t="str">
        <f t="shared" si="0"/>
        <v xml:space="preserve">   "</v>
      </c>
      <c r="E32" s="183" t="str">
        <f t="shared" si="1"/>
        <v>DRIED</v>
      </c>
      <c r="F32" s="180"/>
      <c r="G32" s="240"/>
      <c r="H32" s="173"/>
      <c r="I32" s="1269"/>
      <c r="J32" s="1269"/>
      <c r="K32" s="874"/>
      <c r="L32" s="1257" t="str">
        <f>"Nutrient &amp; vitamins required for "&amp;FIXED(L61,2)&amp;" litres of must "</f>
        <v xml:space="preserve">Nutrient &amp; vitamins required for 4.80 litres of must </v>
      </c>
      <c r="M32" s="1257"/>
      <c r="N32" s="1257"/>
      <c r="O32" s="1257"/>
      <c r="P32" s="1257"/>
      <c r="Q32" s="222">
        <f>L61*Q35*4.5/E8</f>
        <v>720</v>
      </c>
      <c r="R32" s="222">
        <f>$L61*R35*4.5/E8</f>
        <v>2640</v>
      </c>
      <c r="S32" s="231">
        <f>$L61*S35*4.5/E8</f>
        <v>0.48000000000000004</v>
      </c>
      <c r="T32" s="231">
        <f>$L61*T35*4.5/E8</f>
        <v>0.96000000000000008</v>
      </c>
      <c r="U32" s="231">
        <f>$L61*U35*4.5/E8</f>
        <v>0.96000000000000008</v>
      </c>
      <c r="V32" s="231">
        <f>$L61*V35*4.5/E8</f>
        <v>0.96000000000000008</v>
      </c>
      <c r="W32" s="240"/>
      <c r="X32" s="240"/>
      <c r="Y32" s="249"/>
      <c r="Z32" s="252" t="s">
        <v>469</v>
      </c>
      <c r="AA32" s="252" t="s">
        <v>433</v>
      </c>
      <c r="AB32" s="253">
        <v>48</v>
      </c>
      <c r="AC32" s="253">
        <v>2.5</v>
      </c>
      <c r="AD32" s="255">
        <v>1</v>
      </c>
      <c r="AE32" s="254">
        <v>64</v>
      </c>
      <c r="AF32" s="255">
        <v>0.8</v>
      </c>
      <c r="AG32" s="255">
        <v>200</v>
      </c>
      <c r="AH32" s="253">
        <v>680</v>
      </c>
      <c r="AI32" s="268">
        <v>8.5000000000000006E-2</v>
      </c>
      <c r="AJ32" s="268">
        <v>0.61899999999999999</v>
      </c>
      <c r="AK32" s="268">
        <v>0.434</v>
      </c>
      <c r="AL32" s="268">
        <v>0</v>
      </c>
      <c r="AM32" s="254" t="s">
        <v>417</v>
      </c>
      <c r="AN32" s="274">
        <f t="shared" si="2"/>
        <v>0</v>
      </c>
      <c r="AO32" s="253">
        <f t="shared" si="3"/>
        <v>0</v>
      </c>
      <c r="AP32" s="279">
        <f t="shared" si="4"/>
        <v>0</v>
      </c>
      <c r="AQ32" s="279">
        <f t="shared" si="5"/>
        <v>0</v>
      </c>
      <c r="AR32" s="279">
        <f t="shared" si="6"/>
        <v>0</v>
      </c>
      <c r="AS32" s="279">
        <f t="shared" si="7"/>
        <v>0</v>
      </c>
      <c r="AT32" s="253">
        <f t="shared" si="8"/>
        <v>0</v>
      </c>
      <c r="AU32" s="253">
        <f t="shared" si="9"/>
        <v>0</v>
      </c>
      <c r="AV32" s="253">
        <f t="shared" si="10"/>
        <v>0</v>
      </c>
      <c r="AW32" s="253">
        <f t="shared" si="11"/>
        <v>0</v>
      </c>
      <c r="AX32" s="253">
        <f t="shared" si="12"/>
        <v>0</v>
      </c>
      <c r="AY32" s="253">
        <f t="shared" si="13"/>
        <v>0</v>
      </c>
    </row>
    <row r="33" spans="1:53" ht="13.95" customHeight="1">
      <c r="A33" s="180">
        <v>7</v>
      </c>
      <c r="B33" s="180">
        <v>9</v>
      </c>
      <c r="C33" s="181">
        <v>0.22</v>
      </c>
      <c r="D33" s="182" t="str">
        <f t="shared" si="0"/>
        <v>GOOSEBERRY</v>
      </c>
      <c r="E33" s="183" t="str">
        <f t="shared" si="1"/>
        <v>EATING</v>
      </c>
      <c r="F33" s="180"/>
      <c r="G33" s="240"/>
      <c r="H33" s="173"/>
      <c r="I33" s="1269"/>
      <c r="J33" s="1269"/>
      <c r="K33" s="874"/>
      <c r="L33" s="657"/>
      <c r="M33" s="1258" t="str">
        <f>"g = "&amp;FIXED(L33/E8)&amp;" level 5ml tsp nutrient giving a total of"</f>
        <v>g = 0.00 level 5ml tsp nutrient giving a total of</v>
      </c>
      <c r="N33" s="1258"/>
      <c r="O33" s="1258"/>
      <c r="P33" s="1258"/>
      <c r="Q33" s="232">
        <f>(Q31-Q32)+Q36*$L33</f>
        <v>270</v>
      </c>
      <c r="R33" s="232">
        <f>((R31-R32)+R36*$L33)</f>
        <v>810</v>
      </c>
      <c r="S33" s="233"/>
      <c r="T33" s="233"/>
      <c r="U33" s="233"/>
      <c r="V33" s="233"/>
      <c r="W33" s="240"/>
      <c r="X33" s="240"/>
      <c r="Y33" s="249"/>
      <c r="Z33" s="252" t="s">
        <v>470</v>
      </c>
      <c r="AA33" s="252" t="s">
        <v>416</v>
      </c>
      <c r="AB33" s="253">
        <v>8.5</v>
      </c>
      <c r="AC33" s="253">
        <v>1.7</v>
      </c>
      <c r="AD33" s="253">
        <v>0.1</v>
      </c>
      <c r="AE33" s="257">
        <v>10</v>
      </c>
      <c r="AF33" s="253">
        <v>0.9</v>
      </c>
      <c r="AG33" s="253">
        <v>160</v>
      </c>
      <c r="AH33" s="253">
        <v>198</v>
      </c>
      <c r="AI33" s="268">
        <v>0.04</v>
      </c>
      <c r="AJ33" s="268">
        <v>0.3</v>
      </c>
      <c r="AK33" s="268">
        <v>0.28599999999999998</v>
      </c>
      <c r="AL33" s="268">
        <v>0</v>
      </c>
      <c r="AM33" s="254" t="s">
        <v>453</v>
      </c>
      <c r="AN33" s="274">
        <f t="shared" si="2"/>
        <v>0</v>
      </c>
      <c r="AO33" s="253">
        <f t="shared" si="3"/>
        <v>0</v>
      </c>
      <c r="AP33" s="279">
        <f t="shared" si="4"/>
        <v>0</v>
      </c>
      <c r="AQ33" s="279">
        <f t="shared" si="5"/>
        <v>0</v>
      </c>
      <c r="AR33" s="279">
        <f t="shared" si="6"/>
        <v>0</v>
      </c>
      <c r="AS33" s="279">
        <f t="shared" si="7"/>
        <v>0</v>
      </c>
      <c r="AT33" s="253">
        <f t="shared" si="8"/>
        <v>0</v>
      </c>
      <c r="AU33" s="253">
        <f t="shared" si="9"/>
        <v>0</v>
      </c>
      <c r="AV33" s="253">
        <f t="shared" si="10"/>
        <v>0</v>
      </c>
      <c r="AW33" s="253">
        <f t="shared" si="11"/>
        <v>0</v>
      </c>
      <c r="AX33" s="253">
        <f t="shared" si="12"/>
        <v>0</v>
      </c>
      <c r="AY33" s="253">
        <f t="shared" si="13"/>
        <v>0</v>
      </c>
    </row>
    <row r="34" spans="1:53" ht="13.95" customHeight="1">
      <c r="A34" s="180">
        <v>7</v>
      </c>
      <c r="B34" s="180">
        <v>9</v>
      </c>
      <c r="C34" s="181">
        <v>0.22</v>
      </c>
      <c r="D34" s="182" t="str">
        <f t="shared" si="0"/>
        <v xml:space="preserve">             "</v>
      </c>
      <c r="E34" s="183" t="str">
        <f t="shared" si="1"/>
        <v>COOKING</v>
      </c>
      <c r="F34" s="180"/>
      <c r="G34" s="240"/>
      <c r="H34" s="173"/>
      <c r="I34" s="1269"/>
      <c r="J34" s="1269"/>
      <c r="K34" s="240"/>
      <c r="L34" s="657"/>
      <c r="M34" s="1258" t="s">
        <v>471</v>
      </c>
      <c r="N34" s="1258"/>
      <c r="O34" s="1258"/>
      <c r="P34" s="1258"/>
      <c r="Q34" s="233"/>
      <c r="R34" s="233"/>
      <c r="S34" s="234">
        <f>((S31-S32)+S36*$L34)</f>
        <v>0.11999999999999994</v>
      </c>
      <c r="T34" s="234">
        <f>(T31-T32)+T36*$L34</f>
        <v>2.04</v>
      </c>
      <c r="U34" s="234">
        <f>(U31-U32)+U36*$L34</f>
        <v>0.5099999999999999</v>
      </c>
      <c r="V34" s="234">
        <f>(V31-V32)+V36*$L34</f>
        <v>-6.0000000000000053E-2</v>
      </c>
      <c r="W34" s="240"/>
      <c r="X34" s="240"/>
      <c r="Y34" s="249"/>
      <c r="Z34" s="252" t="s">
        <v>472</v>
      </c>
      <c r="AA34" s="252" t="s">
        <v>421</v>
      </c>
      <c r="AB34" s="253">
        <v>5</v>
      </c>
      <c r="AC34" s="253">
        <v>1.7</v>
      </c>
      <c r="AD34" s="253">
        <v>0.1</v>
      </c>
      <c r="AE34" s="254">
        <v>10</v>
      </c>
      <c r="AF34" s="253">
        <v>0.9</v>
      </c>
      <c r="AG34" s="253">
        <v>160</v>
      </c>
      <c r="AH34" s="253">
        <v>198</v>
      </c>
      <c r="AI34" s="268">
        <v>0.04</v>
      </c>
      <c r="AJ34" s="268">
        <v>0.3</v>
      </c>
      <c r="AK34" s="268">
        <v>0.28599999999999998</v>
      </c>
      <c r="AL34" s="268">
        <v>0</v>
      </c>
      <c r="AM34" s="254" t="s">
        <v>453</v>
      </c>
      <c r="AN34" s="274">
        <f t="shared" si="2"/>
        <v>0</v>
      </c>
      <c r="AO34" s="253">
        <f t="shared" si="3"/>
        <v>0</v>
      </c>
      <c r="AP34" s="279">
        <f t="shared" si="4"/>
        <v>0</v>
      </c>
      <c r="AQ34" s="279">
        <f t="shared" si="5"/>
        <v>0</v>
      </c>
      <c r="AR34" s="279">
        <f t="shared" si="6"/>
        <v>0</v>
      </c>
      <c r="AS34" s="279">
        <f t="shared" si="7"/>
        <v>0</v>
      </c>
      <c r="AT34" s="253">
        <f t="shared" si="8"/>
        <v>0</v>
      </c>
      <c r="AU34" s="253">
        <f t="shared" si="9"/>
        <v>0</v>
      </c>
      <c r="AV34" s="253">
        <f t="shared" si="10"/>
        <v>0</v>
      </c>
      <c r="AW34" s="253">
        <f t="shared" si="11"/>
        <v>0</v>
      </c>
      <c r="AX34" s="253">
        <f t="shared" si="12"/>
        <v>0</v>
      </c>
      <c r="AY34" s="253">
        <f t="shared" si="13"/>
        <v>0</v>
      </c>
    </row>
    <row r="35" spans="1:53" ht="13.95" hidden="1" customHeight="1">
      <c r="A35" s="180"/>
      <c r="B35" s="180"/>
      <c r="C35" s="181"/>
      <c r="D35" s="182" t="s">
        <v>473</v>
      </c>
      <c r="E35" s="183"/>
      <c r="F35" s="180"/>
      <c r="G35" s="240"/>
      <c r="H35" s="173"/>
      <c r="I35" s="872"/>
      <c r="J35" s="872"/>
      <c r="K35" s="240"/>
      <c r="L35" s="192"/>
      <c r="M35" s="193"/>
      <c r="N35" s="193"/>
      <c r="O35" s="1259" t="s">
        <v>474</v>
      </c>
      <c r="P35" s="1259"/>
      <c r="Q35" s="221">
        <v>150</v>
      </c>
      <c r="R35" s="221">
        <v>550</v>
      </c>
      <c r="S35" s="221">
        <v>0.1</v>
      </c>
      <c r="T35" s="231">
        <v>0.2</v>
      </c>
      <c r="U35" s="231">
        <v>0.2</v>
      </c>
      <c r="V35" s="231">
        <v>0.2</v>
      </c>
      <c r="W35" s="240"/>
      <c r="X35" s="240"/>
      <c r="Y35" s="249"/>
      <c r="Z35" s="256"/>
      <c r="AA35" s="258"/>
      <c r="AB35" s="258"/>
      <c r="AC35" s="258"/>
      <c r="AD35" s="258"/>
      <c r="AE35" s="258"/>
      <c r="AF35" s="258"/>
      <c r="AG35" s="258"/>
      <c r="AH35" s="258"/>
      <c r="AI35" s="271"/>
      <c r="AJ35" s="271"/>
      <c r="AK35" s="271"/>
      <c r="AL35" s="271"/>
      <c r="AM35" s="272" t="s">
        <v>475</v>
      </c>
      <c r="AN35" s="274">
        <f t="shared" si="2"/>
        <v>0</v>
      </c>
      <c r="AO35" s="253">
        <f t="shared" si="3"/>
        <v>0</v>
      </c>
      <c r="AP35" s="279">
        <f t="shared" si="4"/>
        <v>0</v>
      </c>
      <c r="AQ35" s="279">
        <f t="shared" si="5"/>
        <v>0</v>
      </c>
      <c r="AR35" s="279">
        <f t="shared" si="6"/>
        <v>0</v>
      </c>
      <c r="AS35" s="279">
        <f t="shared" si="7"/>
        <v>0</v>
      </c>
      <c r="AT35" s="253">
        <f t="shared" si="8"/>
        <v>0</v>
      </c>
      <c r="AU35" s="253">
        <f t="shared" si="9"/>
        <v>0</v>
      </c>
      <c r="AV35" s="253">
        <f t="shared" si="10"/>
        <v>0</v>
      </c>
      <c r="AW35" s="253">
        <f t="shared" si="11"/>
        <v>0</v>
      </c>
      <c r="AX35" s="253">
        <f t="shared" si="12"/>
        <v>0</v>
      </c>
      <c r="AY35" s="253">
        <f t="shared" si="13"/>
        <v>0</v>
      </c>
      <c r="AZ35" s="644"/>
      <c r="BA35" s="644"/>
    </row>
    <row r="36" spans="1:53" ht="13.95" hidden="1" customHeight="1">
      <c r="A36" s="180"/>
      <c r="B36" s="180"/>
      <c r="C36" s="181"/>
      <c r="D36" s="182" t="s">
        <v>473</v>
      </c>
      <c r="E36" s="183"/>
      <c r="F36" s="180"/>
      <c r="G36" s="240"/>
      <c r="H36" s="173"/>
      <c r="I36" s="872"/>
      <c r="J36" s="872"/>
      <c r="K36" s="240"/>
      <c r="L36" s="193"/>
      <c r="M36" s="193"/>
      <c r="N36" s="193"/>
      <c r="O36" s="193"/>
      <c r="P36" s="193"/>
      <c r="Q36" s="235">
        <v>210</v>
      </c>
      <c r="R36" s="235">
        <v>120</v>
      </c>
      <c r="S36" s="236">
        <v>1.4</v>
      </c>
      <c r="T36" s="236">
        <v>18</v>
      </c>
      <c r="U36" s="236">
        <v>6</v>
      </c>
      <c r="V36" s="236">
        <v>2</v>
      </c>
      <c r="W36" s="240"/>
      <c r="X36" s="240"/>
      <c r="Y36" s="249"/>
      <c r="Z36" s="256"/>
      <c r="AA36" s="256"/>
      <c r="AB36" s="258"/>
      <c r="AC36" s="258"/>
      <c r="AD36" s="258"/>
      <c r="AE36" s="258"/>
      <c r="AF36" s="258"/>
      <c r="AG36" s="258"/>
      <c r="AH36" s="258"/>
      <c r="AI36" s="271"/>
      <c r="AJ36" s="271"/>
      <c r="AK36" s="271"/>
      <c r="AL36" s="271"/>
      <c r="AM36" s="272" t="s">
        <v>475</v>
      </c>
      <c r="AN36" s="274">
        <f t="shared" si="2"/>
        <v>0</v>
      </c>
      <c r="AO36" s="253">
        <f t="shared" si="3"/>
        <v>0</v>
      </c>
      <c r="AP36" s="279">
        <f t="shared" si="4"/>
        <v>0</v>
      </c>
      <c r="AQ36" s="279">
        <f t="shared" si="5"/>
        <v>0</v>
      </c>
      <c r="AR36" s="279">
        <f t="shared" si="6"/>
        <v>0</v>
      </c>
      <c r="AS36" s="279">
        <f t="shared" si="7"/>
        <v>0</v>
      </c>
      <c r="AT36" s="253">
        <f t="shared" si="8"/>
        <v>0</v>
      </c>
      <c r="AU36" s="253">
        <f t="shared" si="9"/>
        <v>0</v>
      </c>
      <c r="AV36" s="253">
        <f t="shared" si="10"/>
        <v>0</v>
      </c>
      <c r="AW36" s="253">
        <f t="shared" si="11"/>
        <v>0</v>
      </c>
      <c r="AX36" s="253">
        <f t="shared" si="12"/>
        <v>0</v>
      </c>
      <c r="AY36" s="253">
        <f t="shared" si="13"/>
        <v>0</v>
      </c>
      <c r="AZ36" s="644"/>
      <c r="BA36" s="644"/>
    </row>
    <row r="37" spans="1:53" ht="13.95" hidden="1" customHeight="1">
      <c r="A37" s="180"/>
      <c r="B37" s="180"/>
      <c r="C37" s="181"/>
      <c r="D37" s="182" t="s">
        <v>473</v>
      </c>
      <c r="E37" s="183"/>
      <c r="F37" s="180"/>
      <c r="G37" s="240"/>
      <c r="H37" s="173"/>
      <c r="I37" s="872"/>
      <c r="J37" s="872"/>
      <c r="K37" s="240"/>
      <c r="L37" s="193"/>
      <c r="M37" s="193"/>
      <c r="N37" s="193"/>
      <c r="O37" s="193"/>
      <c r="P37" s="192"/>
      <c r="Q37" s="235" t="s">
        <v>476</v>
      </c>
      <c r="R37" s="235" t="s">
        <v>477</v>
      </c>
      <c r="S37" s="235" t="s">
        <v>478</v>
      </c>
      <c r="T37" s="235" t="s">
        <v>478</v>
      </c>
      <c r="U37" s="235" t="s">
        <v>478</v>
      </c>
      <c r="V37" s="235" t="s">
        <v>478</v>
      </c>
      <c r="W37" s="240"/>
      <c r="X37" s="240"/>
      <c r="Y37" s="249"/>
      <c r="Z37" s="644"/>
      <c r="AA37" s="644"/>
      <c r="AB37" s="644"/>
      <c r="AC37" s="644"/>
      <c r="AD37" s="644"/>
      <c r="AE37" s="644"/>
      <c r="AF37" s="644"/>
      <c r="AG37" s="644"/>
      <c r="AH37" s="644"/>
      <c r="AI37" s="273"/>
      <c r="AJ37" s="273"/>
      <c r="AK37" s="273"/>
      <c r="AL37" s="273"/>
      <c r="AM37" s="272" t="s">
        <v>475</v>
      </c>
      <c r="AN37" s="274">
        <f t="shared" si="2"/>
        <v>0</v>
      </c>
      <c r="AO37" s="253">
        <f t="shared" si="3"/>
        <v>0</v>
      </c>
      <c r="AP37" s="279">
        <f t="shared" si="4"/>
        <v>0</v>
      </c>
      <c r="AQ37" s="279">
        <f t="shared" si="5"/>
        <v>0</v>
      </c>
      <c r="AR37" s="279">
        <f t="shared" si="6"/>
        <v>0</v>
      </c>
      <c r="AS37" s="279">
        <f t="shared" si="7"/>
        <v>0</v>
      </c>
      <c r="AT37" s="253">
        <f t="shared" si="8"/>
        <v>0</v>
      </c>
      <c r="AU37" s="253">
        <f t="shared" si="9"/>
        <v>0</v>
      </c>
      <c r="AV37" s="253">
        <f t="shared" si="10"/>
        <v>0</v>
      </c>
      <c r="AW37" s="253">
        <f t="shared" si="11"/>
        <v>0</v>
      </c>
      <c r="AX37" s="253">
        <f t="shared" si="12"/>
        <v>0</v>
      </c>
      <c r="AY37" s="253">
        <f t="shared" si="13"/>
        <v>0</v>
      </c>
      <c r="AZ37" s="644"/>
      <c r="BA37" s="644"/>
    </row>
    <row r="38" spans="1:53" ht="15" customHeight="1">
      <c r="A38" s="180">
        <v>7</v>
      </c>
      <c r="B38" s="180">
        <v>12</v>
      </c>
      <c r="C38" s="181">
        <v>0.2</v>
      </c>
      <c r="D38" s="182" t="str">
        <f t="shared" ref="D38:E41" si="15">Z38</f>
        <v>GRAPE</v>
      </c>
      <c r="E38" s="183" t="str">
        <f t="shared" si="15"/>
        <v>NO SKIN</v>
      </c>
      <c r="F38" s="180"/>
      <c r="G38" s="240"/>
      <c r="H38" s="173"/>
      <c r="I38" s="872"/>
      <c r="J38" s="872"/>
      <c r="K38" s="240"/>
      <c r="L38" s="194" t="s">
        <v>479</v>
      </c>
      <c r="M38" s="195"/>
      <c r="N38" s="195"/>
      <c r="O38" s="195"/>
      <c r="P38" s="195"/>
      <c r="Q38" s="195"/>
      <c r="R38" s="237"/>
      <c r="S38" s="1260" t="s">
        <v>480</v>
      </c>
      <c r="T38" s="1261"/>
      <c r="U38" s="1261"/>
      <c r="V38" s="1262"/>
      <c r="W38" s="240"/>
      <c r="X38" s="240"/>
      <c r="Y38" s="249"/>
      <c r="Z38" s="252" t="s">
        <v>481</v>
      </c>
      <c r="AA38" s="252" t="s">
        <v>482</v>
      </c>
      <c r="AB38" s="253">
        <v>16.2</v>
      </c>
      <c r="AC38" s="253">
        <v>0.85</v>
      </c>
      <c r="AD38" s="253">
        <v>0.02</v>
      </c>
      <c r="AE38" s="254">
        <v>17</v>
      </c>
      <c r="AF38" s="255">
        <v>0.4</v>
      </c>
      <c r="AG38" s="253">
        <v>100</v>
      </c>
      <c r="AH38" s="253">
        <v>190</v>
      </c>
      <c r="AI38" s="268">
        <v>0.09</v>
      </c>
      <c r="AJ38" s="268">
        <v>0.3</v>
      </c>
      <c r="AK38" s="268">
        <v>2.4E-2</v>
      </c>
      <c r="AL38" s="268">
        <v>0.11</v>
      </c>
      <c r="AM38" s="254" t="s">
        <v>483</v>
      </c>
      <c r="AN38" s="274">
        <f t="shared" si="2"/>
        <v>0</v>
      </c>
      <c r="AO38" s="253">
        <f t="shared" si="3"/>
        <v>0</v>
      </c>
      <c r="AP38" s="279">
        <f t="shared" si="4"/>
        <v>0</v>
      </c>
      <c r="AQ38" s="279">
        <f t="shared" si="5"/>
        <v>0</v>
      </c>
      <c r="AR38" s="279">
        <f t="shared" si="6"/>
        <v>0</v>
      </c>
      <c r="AS38" s="279">
        <f t="shared" si="7"/>
        <v>0</v>
      </c>
      <c r="AT38" s="253">
        <f t="shared" si="8"/>
        <v>0</v>
      </c>
      <c r="AU38" s="253">
        <f t="shared" si="9"/>
        <v>0</v>
      </c>
      <c r="AV38" s="253">
        <f t="shared" si="10"/>
        <v>0</v>
      </c>
      <c r="AW38" s="253">
        <f t="shared" si="11"/>
        <v>0</v>
      </c>
      <c r="AX38" s="253">
        <f t="shared" si="12"/>
        <v>0</v>
      </c>
      <c r="AY38" s="253">
        <f t="shared" si="13"/>
        <v>0</v>
      </c>
      <c r="AZ38" s="644"/>
      <c r="BA38" s="644"/>
    </row>
    <row r="39" spans="1:53">
      <c r="A39" s="180">
        <v>7</v>
      </c>
      <c r="B39" s="180">
        <v>12</v>
      </c>
      <c r="C39" s="181">
        <v>0.22</v>
      </c>
      <c r="D39" s="182" t="str">
        <f t="shared" si="15"/>
        <v xml:space="preserve">      "</v>
      </c>
      <c r="E39" s="183" t="str">
        <f t="shared" si="15"/>
        <v>+ SKIN</v>
      </c>
      <c r="F39" s="180"/>
      <c r="G39" s="240"/>
      <c r="H39" s="173"/>
      <c r="I39" s="693"/>
      <c r="J39" s="693"/>
      <c r="K39" s="240"/>
      <c r="L39" s="709"/>
      <c r="M39" s="709"/>
      <c r="N39" s="709"/>
      <c r="O39" s="709"/>
      <c r="P39" s="709"/>
      <c r="Q39" s="709"/>
      <c r="R39" s="709"/>
      <c r="S39" s="709"/>
      <c r="T39" s="709"/>
      <c r="U39" s="709"/>
      <c r="V39" s="709"/>
      <c r="W39" s="709"/>
      <c r="X39" s="693"/>
      <c r="Y39" s="249"/>
      <c r="Z39" s="252" t="s">
        <v>420</v>
      </c>
      <c r="AA39" s="252" t="str">
        <f>"+ SKIN"</f>
        <v>+ SKIN</v>
      </c>
      <c r="AB39" s="253">
        <v>15.5</v>
      </c>
      <c r="AC39" s="253">
        <v>0.85</v>
      </c>
      <c r="AD39" s="253">
        <v>0.2</v>
      </c>
      <c r="AE39" s="254">
        <v>18.100000000000001</v>
      </c>
      <c r="AF39" s="253">
        <v>0.4</v>
      </c>
      <c r="AG39" s="253">
        <v>100</v>
      </c>
      <c r="AH39" s="253">
        <v>190</v>
      </c>
      <c r="AI39" s="268">
        <v>7.0000000000000007E-2</v>
      </c>
      <c r="AJ39" s="268">
        <v>0.19</v>
      </c>
      <c r="AK39" s="268">
        <v>0.05</v>
      </c>
      <c r="AL39" s="268">
        <v>0.09</v>
      </c>
      <c r="AM39" s="254" t="s">
        <v>483</v>
      </c>
      <c r="AN39" s="274">
        <f t="shared" si="2"/>
        <v>0</v>
      </c>
      <c r="AO39" s="253">
        <f t="shared" si="3"/>
        <v>0</v>
      </c>
      <c r="AP39" s="279">
        <f t="shared" si="4"/>
        <v>0</v>
      </c>
      <c r="AQ39" s="279">
        <f t="shared" si="5"/>
        <v>0</v>
      </c>
      <c r="AR39" s="279">
        <f t="shared" si="6"/>
        <v>0</v>
      </c>
      <c r="AS39" s="279">
        <f t="shared" si="7"/>
        <v>0</v>
      </c>
      <c r="AT39" s="253">
        <f t="shared" si="8"/>
        <v>0</v>
      </c>
      <c r="AU39" s="253">
        <f t="shared" si="9"/>
        <v>0</v>
      </c>
      <c r="AV39" s="253">
        <f t="shared" si="10"/>
        <v>0</v>
      </c>
      <c r="AW39" s="253">
        <f t="shared" si="11"/>
        <v>0</v>
      </c>
      <c r="AX39" s="253">
        <f t="shared" si="12"/>
        <v>0</v>
      </c>
      <c r="AY39" s="253">
        <f t="shared" si="13"/>
        <v>0</v>
      </c>
      <c r="AZ39" s="644"/>
      <c r="BA39" s="644"/>
    </row>
    <row r="40" spans="1:53">
      <c r="A40" s="180" t="s">
        <v>435</v>
      </c>
      <c r="B40" s="180">
        <v>3</v>
      </c>
      <c r="C40" s="181">
        <v>0</v>
      </c>
      <c r="D40" s="182" t="str">
        <f t="shared" si="15"/>
        <v>GRAPE JUICE  ml</v>
      </c>
      <c r="E40" s="183" t="str">
        <f t="shared" si="15"/>
        <v>WHITE</v>
      </c>
      <c r="F40" s="180"/>
      <c r="G40" s="240"/>
      <c r="H40" s="173"/>
      <c r="I40" s="693"/>
      <c r="J40" s="693"/>
      <c r="K40" s="693"/>
      <c r="L40" s="693"/>
      <c r="M40" s="693"/>
      <c r="N40" s="693"/>
      <c r="O40" s="693"/>
      <c r="P40" s="693"/>
      <c r="Q40" s="693"/>
      <c r="R40" s="693"/>
      <c r="S40" s="693"/>
      <c r="T40" s="693"/>
      <c r="U40" s="693"/>
      <c r="V40" s="693"/>
      <c r="W40" s="693"/>
      <c r="X40" s="693"/>
      <c r="Y40" s="249"/>
      <c r="Z40" s="259" t="s">
        <v>484</v>
      </c>
      <c r="AA40" s="252" t="s">
        <v>485</v>
      </c>
      <c r="AB40" s="253">
        <v>17</v>
      </c>
      <c r="AC40" s="253">
        <v>0.85</v>
      </c>
      <c r="AD40" s="253">
        <v>0.02</v>
      </c>
      <c r="AE40" s="257">
        <v>17.100000000000001</v>
      </c>
      <c r="AF40" s="253">
        <v>0.1</v>
      </c>
      <c r="AG40" s="255">
        <v>100</v>
      </c>
      <c r="AH40" s="253">
        <v>100</v>
      </c>
      <c r="AI40" s="268">
        <v>0.04</v>
      </c>
      <c r="AJ40" s="268">
        <v>0.2</v>
      </c>
      <c r="AK40" s="268">
        <v>0.01</v>
      </c>
      <c r="AL40" s="268">
        <v>0.09</v>
      </c>
      <c r="AM40" s="254" t="s">
        <v>483</v>
      </c>
      <c r="AN40" s="274">
        <f t="shared" si="2"/>
        <v>0</v>
      </c>
      <c r="AO40" s="253">
        <f t="shared" si="3"/>
        <v>0</v>
      </c>
      <c r="AP40" s="279">
        <f t="shared" si="4"/>
        <v>0</v>
      </c>
      <c r="AQ40" s="279">
        <f t="shared" si="5"/>
        <v>0</v>
      </c>
      <c r="AR40" s="279">
        <f t="shared" si="6"/>
        <v>0</v>
      </c>
      <c r="AS40" s="279">
        <f t="shared" si="7"/>
        <v>0</v>
      </c>
      <c r="AT40" s="253">
        <f t="shared" si="8"/>
        <v>0</v>
      </c>
      <c r="AU40" s="253">
        <f t="shared" si="9"/>
        <v>0</v>
      </c>
      <c r="AV40" s="253">
        <f t="shared" si="10"/>
        <v>0</v>
      </c>
      <c r="AW40" s="253">
        <f t="shared" si="11"/>
        <v>0</v>
      </c>
      <c r="AX40" s="253">
        <f t="shared" si="12"/>
        <v>0</v>
      </c>
      <c r="AY40" s="253">
        <f t="shared" si="13"/>
        <v>0</v>
      </c>
      <c r="AZ40" s="644"/>
      <c r="BA40" s="644"/>
    </row>
    <row r="41" spans="1:53">
      <c r="A41" s="180" t="s">
        <v>435</v>
      </c>
      <c r="B41" s="180">
        <v>3</v>
      </c>
      <c r="C41" s="181">
        <v>0</v>
      </c>
      <c r="D41" s="182" t="str">
        <f t="shared" si="15"/>
        <v xml:space="preserve">                 "         ml</v>
      </c>
      <c r="E41" s="183" t="str">
        <f t="shared" si="15"/>
        <v>RED</v>
      </c>
      <c r="F41" s="180"/>
      <c r="G41" s="240"/>
      <c r="H41" s="173"/>
      <c r="I41" s="1183" t="s">
        <v>486</v>
      </c>
      <c r="J41" s="1183"/>
      <c r="K41" s="1183"/>
      <c r="L41" s="196"/>
      <c r="M41" s="197"/>
      <c r="N41" s="197"/>
      <c r="O41" s="197"/>
      <c r="P41" s="197"/>
      <c r="Q41" s="197"/>
      <c r="R41" s="197"/>
      <c r="S41" s="197"/>
      <c r="T41" s="197"/>
      <c r="U41" s="197"/>
      <c r="V41" s="197"/>
      <c r="W41" s="197"/>
      <c r="X41" s="3"/>
      <c r="Y41" s="260"/>
      <c r="Z41" s="261" t="s">
        <v>487</v>
      </c>
      <c r="AA41" s="252" t="s">
        <v>488</v>
      </c>
      <c r="AB41" s="253">
        <v>17</v>
      </c>
      <c r="AC41" s="253">
        <v>0.85</v>
      </c>
      <c r="AD41" s="253">
        <v>0.2</v>
      </c>
      <c r="AE41" s="257">
        <v>17.100000000000001</v>
      </c>
      <c r="AF41" s="253">
        <v>0.1</v>
      </c>
      <c r="AG41" s="255">
        <v>100</v>
      </c>
      <c r="AH41" s="253">
        <v>100</v>
      </c>
      <c r="AI41" s="268">
        <v>0.04</v>
      </c>
      <c r="AJ41" s="268">
        <v>0.2</v>
      </c>
      <c r="AK41" s="268">
        <v>0.01</v>
      </c>
      <c r="AL41" s="268">
        <v>0.09</v>
      </c>
      <c r="AM41" s="254" t="s">
        <v>483</v>
      </c>
      <c r="AN41" s="274">
        <f t="shared" si="2"/>
        <v>0</v>
      </c>
      <c r="AO41" s="253">
        <f t="shared" si="3"/>
        <v>0</v>
      </c>
      <c r="AP41" s="279">
        <f t="shared" si="4"/>
        <v>0</v>
      </c>
      <c r="AQ41" s="279">
        <f t="shared" si="5"/>
        <v>0</v>
      </c>
      <c r="AR41" s="279">
        <f t="shared" si="6"/>
        <v>0</v>
      </c>
      <c r="AS41" s="279">
        <f t="shared" si="7"/>
        <v>0</v>
      </c>
      <c r="AT41" s="253">
        <f t="shared" si="8"/>
        <v>0</v>
      </c>
      <c r="AU41" s="253">
        <f t="shared" si="9"/>
        <v>0</v>
      </c>
      <c r="AV41" s="253">
        <f t="shared" si="10"/>
        <v>0</v>
      </c>
      <c r="AW41" s="253">
        <f t="shared" si="11"/>
        <v>0</v>
      </c>
      <c r="AX41" s="253">
        <f t="shared" si="12"/>
        <v>0</v>
      </c>
      <c r="AY41" s="253">
        <f t="shared" si="13"/>
        <v>0</v>
      </c>
      <c r="AZ41" s="644"/>
      <c r="BA41" s="644"/>
    </row>
    <row r="42" spans="1:53">
      <c r="A42" s="180" t="s">
        <v>435</v>
      </c>
      <c r="B42" s="180">
        <v>3</v>
      </c>
      <c r="C42" s="181">
        <v>0</v>
      </c>
      <c r="D42" s="184" t="str">
        <f>Z42&amp;" (equiv. to "&amp;1*FIXED((F42/1.25),0)&amp;"ml)"</f>
        <v>GRAPE CONC. g  (equiv. to 0ml)</v>
      </c>
      <c r="E42" s="183" t="str">
        <f t="shared" ref="E42:E79" si="16">AA42</f>
        <v>WHITE</v>
      </c>
      <c r="F42" s="180"/>
      <c r="G42" s="240"/>
      <c r="H42" s="173"/>
      <c r="I42" s="1263" t="s">
        <v>489</v>
      </c>
      <c r="J42" s="1264"/>
      <c r="K42" s="1264"/>
      <c r="L42" s="1264"/>
      <c r="M42" s="1264"/>
      <c r="N42" s="1264"/>
      <c r="O42" s="1264"/>
      <c r="P42" s="1264"/>
      <c r="Q42" s="1264"/>
      <c r="R42" s="1264"/>
      <c r="S42" s="1264"/>
      <c r="T42" s="1264"/>
      <c r="U42" s="1264"/>
      <c r="V42" s="1264"/>
      <c r="W42" s="1265"/>
      <c r="X42" s="238"/>
      <c r="Y42" s="249"/>
      <c r="Z42" s="259" t="s">
        <v>490</v>
      </c>
      <c r="AA42" s="252" t="s">
        <v>485</v>
      </c>
      <c r="AB42" s="253">
        <v>65</v>
      </c>
      <c r="AC42" s="253">
        <v>2</v>
      </c>
      <c r="AD42" s="253">
        <v>0.06</v>
      </c>
      <c r="AE42" s="257">
        <v>70</v>
      </c>
      <c r="AF42" s="255">
        <v>0.4</v>
      </c>
      <c r="AG42" s="253">
        <v>400</v>
      </c>
      <c r="AH42" s="253">
        <v>400</v>
      </c>
      <c r="AI42" s="270">
        <v>0.16</v>
      </c>
      <c r="AJ42" s="270">
        <v>0.8</v>
      </c>
      <c r="AK42" s="270">
        <v>0.08</v>
      </c>
      <c r="AL42" s="270">
        <v>0.36</v>
      </c>
      <c r="AM42" s="254" t="s">
        <v>483</v>
      </c>
      <c r="AN42" s="274">
        <f t="shared" si="2"/>
        <v>0</v>
      </c>
      <c r="AO42" s="253">
        <f t="shared" si="3"/>
        <v>0</v>
      </c>
      <c r="AP42" s="279">
        <f t="shared" si="4"/>
        <v>0</v>
      </c>
      <c r="AQ42" s="279">
        <f t="shared" si="5"/>
        <v>0</v>
      </c>
      <c r="AR42" s="279">
        <f t="shared" si="6"/>
        <v>0</v>
      </c>
      <c r="AS42" s="279">
        <f t="shared" si="7"/>
        <v>0</v>
      </c>
      <c r="AT42" s="253">
        <f t="shared" si="8"/>
        <v>0</v>
      </c>
      <c r="AU42" s="253">
        <f t="shared" si="9"/>
        <v>0</v>
      </c>
      <c r="AV42" s="253">
        <f t="shared" si="10"/>
        <v>0</v>
      </c>
      <c r="AW42" s="253">
        <f t="shared" si="11"/>
        <v>0</v>
      </c>
      <c r="AX42" s="253">
        <f t="shared" si="12"/>
        <v>0</v>
      </c>
      <c r="AY42" s="253">
        <f t="shared" si="13"/>
        <v>0</v>
      </c>
      <c r="AZ42" s="644"/>
      <c r="BA42" s="644"/>
    </row>
    <row r="43" spans="1:53" ht="14.25" customHeight="1">
      <c r="A43" s="180" t="s">
        <v>435</v>
      </c>
      <c r="B43" s="180">
        <v>3</v>
      </c>
      <c r="C43" s="181">
        <v>0</v>
      </c>
      <c r="D43" s="184" t="str">
        <f>Z43&amp;" (equiv. to "&amp;1*FIXED((F43/1.25),0)&amp;"ml)"</f>
        <v xml:space="preserve">               "           g  (equiv. to 0ml)</v>
      </c>
      <c r="E43" s="183" t="str">
        <f t="shared" si="16"/>
        <v>RED</v>
      </c>
      <c r="F43" s="180"/>
      <c r="G43" s="240"/>
      <c r="H43" s="173"/>
      <c r="I43" s="979" t="s">
        <v>491</v>
      </c>
      <c r="J43" s="981"/>
      <c r="K43" s="981"/>
      <c r="L43" s="658">
        <v>0</v>
      </c>
      <c r="M43" s="1106" t="str">
        <f>"g for an estimated gravity increase of "&amp;FIXED((L43*0.375/E8),1)&amp;" ("&amp;IF(E7&gt;1020,"Dessert ̸ 6)",IF(E7&gt;1015,"Sweet ̸ 5)",IF(E7&gt;1010,"Medium Sweet ̸ 4)",IF(E7&gt;1005,"Medium ̸ 3)",IF(E7&gt;998,"Medium dry ̸ 2)",IF(E7&gt;0,"Dry ̸ 1)"))))))&amp;". This cell is nominally set as blank or '0' (for a dry wine)."</f>
        <v>g for an estimated gravity increase of 0.0 (Dry ̸ 1). This cell is nominally set as blank or '0' (for a dry wine).</v>
      </c>
      <c r="N43" s="1106"/>
      <c r="O43" s="1106"/>
      <c r="P43" s="1106"/>
      <c r="Q43" s="1106"/>
      <c r="R43" s="1106"/>
      <c r="S43" s="1106"/>
      <c r="T43" s="1106"/>
      <c r="U43" s="1106"/>
      <c r="V43" s="1106"/>
      <c r="W43" s="239">
        <f>(L43*0.375/E8)</f>
        <v>0</v>
      </c>
      <c r="X43" s="238"/>
      <c r="Y43" s="249"/>
      <c r="Z43" s="259" t="s">
        <v>492</v>
      </c>
      <c r="AA43" s="252" t="s">
        <v>488</v>
      </c>
      <c r="AB43" s="253">
        <v>65</v>
      </c>
      <c r="AC43" s="253">
        <v>2</v>
      </c>
      <c r="AD43" s="253">
        <v>0.6</v>
      </c>
      <c r="AE43" s="257">
        <v>70</v>
      </c>
      <c r="AF43" s="255">
        <v>0.4</v>
      </c>
      <c r="AG43" s="253">
        <v>400</v>
      </c>
      <c r="AH43" s="253">
        <v>400</v>
      </c>
      <c r="AI43" s="270">
        <v>0.16</v>
      </c>
      <c r="AJ43" s="270">
        <v>0.8</v>
      </c>
      <c r="AK43" s="270">
        <v>0.08</v>
      </c>
      <c r="AL43" s="270">
        <v>0.36</v>
      </c>
      <c r="AM43" s="254" t="s">
        <v>483</v>
      </c>
      <c r="AN43" s="274">
        <f t="shared" si="2"/>
        <v>0</v>
      </c>
      <c r="AO43" s="253">
        <f t="shared" si="3"/>
        <v>0</v>
      </c>
      <c r="AP43" s="279">
        <f t="shared" si="4"/>
        <v>0</v>
      </c>
      <c r="AQ43" s="279">
        <f t="shared" si="5"/>
        <v>0</v>
      </c>
      <c r="AR43" s="279">
        <f t="shared" si="6"/>
        <v>0</v>
      </c>
      <c r="AS43" s="279">
        <f t="shared" si="7"/>
        <v>0</v>
      </c>
      <c r="AT43" s="253">
        <f t="shared" si="8"/>
        <v>0</v>
      </c>
      <c r="AU43" s="253">
        <f t="shared" si="9"/>
        <v>0</v>
      </c>
      <c r="AV43" s="253">
        <f t="shared" si="10"/>
        <v>0</v>
      </c>
      <c r="AW43" s="253">
        <f t="shared" si="11"/>
        <v>0</v>
      </c>
      <c r="AX43" s="253">
        <f t="shared" si="12"/>
        <v>0</v>
      </c>
      <c r="AY43" s="253">
        <f t="shared" si="13"/>
        <v>0</v>
      </c>
      <c r="AZ43" s="644"/>
      <c r="BA43" s="644"/>
    </row>
    <row r="44" spans="1:53">
      <c r="A44" s="180" t="s">
        <v>435</v>
      </c>
      <c r="B44" s="180">
        <v>3</v>
      </c>
      <c r="C44" s="181">
        <v>0</v>
      </c>
      <c r="D44" s="184" t="str">
        <f>Z44&amp;"  (equiv. to "&amp;1*FIXED((F44*1.25),0)&amp;"g)"</f>
        <v xml:space="preserve">               "           ml  (equiv. to 0g)</v>
      </c>
      <c r="E44" s="183" t="str">
        <f t="shared" si="16"/>
        <v>WHITE</v>
      </c>
      <c r="F44" s="180"/>
      <c r="G44" s="240"/>
      <c r="H44" s="173"/>
      <c r="I44" s="1266" t="str">
        <f>"Assume "&amp;L43&amp;"g sugar makes approx."</f>
        <v>Assume 0g sugar makes approx.</v>
      </c>
      <c r="J44" s="1267"/>
      <c r="K44" s="1267"/>
      <c r="L44" s="198">
        <f>(375*L43)/(300)</f>
        <v>0</v>
      </c>
      <c r="M44" s="1267" t="str">
        <f>"ml of syrup, S.G. 1300, by adding approx. "&amp;FIXED((L44-0.58*L43),-1)&amp;"ml. of water."</f>
        <v>ml of syrup, S.G. 1300, by adding approx. 0ml. of water.</v>
      </c>
      <c r="N44" s="1267"/>
      <c r="O44" s="1267"/>
      <c r="P44" s="1267"/>
      <c r="Q44" s="1267"/>
      <c r="R44" s="1267"/>
      <c r="S44" s="1267"/>
      <c r="T44" s="1267"/>
      <c r="U44" s="1267"/>
      <c r="V44" s="1267"/>
      <c r="W44" s="1268"/>
      <c r="X44" s="238"/>
      <c r="Y44" s="249"/>
      <c r="Z44" s="262" t="s">
        <v>493</v>
      </c>
      <c r="AA44" s="252" t="s">
        <v>485</v>
      </c>
      <c r="AB44" s="253">
        <f t="shared" ref="AB44:AE45" si="17">AB42*1.25</f>
        <v>81.25</v>
      </c>
      <c r="AC44" s="253">
        <f t="shared" si="17"/>
        <v>2.5</v>
      </c>
      <c r="AD44" s="253">
        <f t="shared" si="17"/>
        <v>7.4999999999999997E-2</v>
      </c>
      <c r="AE44" s="255">
        <f t="shared" si="17"/>
        <v>87.5</v>
      </c>
      <c r="AF44" s="255">
        <f t="shared" ref="AF44:AH45" si="18">1.25*AF43</f>
        <v>0.5</v>
      </c>
      <c r="AG44" s="255">
        <f t="shared" si="18"/>
        <v>500</v>
      </c>
      <c r="AH44" s="255">
        <f t="shared" si="18"/>
        <v>500</v>
      </c>
      <c r="AI44" s="270">
        <v>0.16</v>
      </c>
      <c r="AJ44" s="270">
        <v>0.8</v>
      </c>
      <c r="AK44" s="270">
        <v>0.08</v>
      </c>
      <c r="AL44" s="270">
        <v>0.36</v>
      </c>
      <c r="AM44" s="254" t="s">
        <v>483</v>
      </c>
      <c r="AN44" s="274">
        <f t="shared" si="2"/>
        <v>0</v>
      </c>
      <c r="AO44" s="253">
        <f t="shared" si="3"/>
        <v>0</v>
      </c>
      <c r="AP44" s="279">
        <f t="shared" si="4"/>
        <v>0</v>
      </c>
      <c r="AQ44" s="279">
        <f t="shared" si="5"/>
        <v>0</v>
      </c>
      <c r="AR44" s="279">
        <f t="shared" si="6"/>
        <v>0</v>
      </c>
      <c r="AS44" s="279">
        <f t="shared" si="7"/>
        <v>0</v>
      </c>
      <c r="AT44" s="253">
        <f t="shared" si="8"/>
        <v>0</v>
      </c>
      <c r="AU44" s="253">
        <f t="shared" si="9"/>
        <v>0</v>
      </c>
      <c r="AV44" s="253">
        <f t="shared" si="10"/>
        <v>0</v>
      </c>
      <c r="AW44" s="253">
        <f t="shared" si="11"/>
        <v>0</v>
      </c>
      <c r="AX44" s="253">
        <f t="shared" si="12"/>
        <v>0</v>
      </c>
      <c r="AY44" s="253">
        <f t="shared" si="13"/>
        <v>0</v>
      </c>
      <c r="AZ44" s="644"/>
      <c r="BA44" s="644"/>
    </row>
    <row r="45" spans="1:53">
      <c r="A45" s="180" t="s">
        <v>435</v>
      </c>
      <c r="B45" s="180">
        <v>3</v>
      </c>
      <c r="C45" s="181">
        <v>0</v>
      </c>
      <c r="D45" s="184" t="str">
        <f>Z45&amp;"  (equiv. to "&amp;1*FIXED((F45*1.25),0)&amp;"g)"</f>
        <v xml:space="preserve">               "           ml  (equiv. to 0g)</v>
      </c>
      <c r="E45" s="183" t="str">
        <f t="shared" si="16"/>
        <v>RED</v>
      </c>
      <c r="F45" s="180"/>
      <c r="G45" s="240"/>
      <c r="H45" s="173"/>
      <c r="I45" s="1270" t="s">
        <v>494</v>
      </c>
      <c r="J45" s="1271"/>
      <c r="K45" s="1272"/>
      <c r="L45" s="1273" t="s">
        <v>495</v>
      </c>
      <c r="M45" s="1274"/>
      <c r="N45" s="1273" t="s">
        <v>496</v>
      </c>
      <c r="O45" s="1274"/>
      <c r="P45" s="1273" t="s">
        <v>497</v>
      </c>
      <c r="Q45" s="1274"/>
      <c r="R45" s="1273" t="s">
        <v>498</v>
      </c>
      <c r="S45" s="1274"/>
      <c r="T45" s="1273" t="s">
        <v>499</v>
      </c>
      <c r="U45" s="1274"/>
      <c r="V45" s="1273" t="s">
        <v>500</v>
      </c>
      <c r="W45" s="1274"/>
      <c r="X45" s="238"/>
      <c r="Y45" s="249"/>
      <c r="Z45" s="262" t="s">
        <v>493</v>
      </c>
      <c r="AA45" s="252" t="s">
        <v>488</v>
      </c>
      <c r="AB45" s="253">
        <f t="shared" si="17"/>
        <v>81.25</v>
      </c>
      <c r="AC45" s="253">
        <f t="shared" si="17"/>
        <v>2.5</v>
      </c>
      <c r="AD45" s="253">
        <f t="shared" si="17"/>
        <v>0.75</v>
      </c>
      <c r="AE45" s="255">
        <f t="shared" si="17"/>
        <v>87.5</v>
      </c>
      <c r="AF45" s="255">
        <f t="shared" si="18"/>
        <v>0.625</v>
      </c>
      <c r="AG45" s="255">
        <f t="shared" si="18"/>
        <v>625</v>
      </c>
      <c r="AH45" s="255">
        <f t="shared" si="18"/>
        <v>625</v>
      </c>
      <c r="AI45" s="270">
        <v>0.16</v>
      </c>
      <c r="AJ45" s="270">
        <v>0.8</v>
      </c>
      <c r="AK45" s="270">
        <v>0.08</v>
      </c>
      <c r="AL45" s="270">
        <v>0.36</v>
      </c>
      <c r="AM45" s="254" t="s">
        <v>483</v>
      </c>
      <c r="AN45" s="274">
        <f t="shared" ref="AN45:AN79" si="19">C45*F45</f>
        <v>0</v>
      </c>
      <c r="AO45" s="253">
        <f t="shared" ref="AO45:AO79" si="20">F45*AB45/100</f>
        <v>0</v>
      </c>
      <c r="AP45" s="279">
        <f t="shared" ref="AP45:AP79" si="21">F45*AC45/100</f>
        <v>0</v>
      </c>
      <c r="AQ45" s="279">
        <f t="shared" ref="AQ45:AQ79" si="22">F45*AD45/100</f>
        <v>0</v>
      </c>
      <c r="AR45" s="279">
        <f t="shared" ref="AR45:AR79" si="23">F45*(AE45-AB45)/100</f>
        <v>0</v>
      </c>
      <c r="AS45" s="279">
        <f t="shared" ref="AS45:AS79" si="24">F45*AF45/1200</f>
        <v>0</v>
      </c>
      <c r="AT45" s="253">
        <f t="shared" ref="AT45:AT79" si="25">$F45*AG45/100</f>
        <v>0</v>
      </c>
      <c r="AU45" s="253">
        <f t="shared" ref="AU45:AU79" si="26">$F45*AH45/100</f>
        <v>0</v>
      </c>
      <c r="AV45" s="253">
        <f t="shared" ref="AV45:AV79" si="27">$F45*AI45/100</f>
        <v>0</v>
      </c>
      <c r="AW45" s="253">
        <f t="shared" ref="AW45:AW79" si="28">$F45*AJ45/100</f>
        <v>0</v>
      </c>
      <c r="AX45" s="253">
        <f t="shared" ref="AX45:AX79" si="29">$F45*AK45/100</f>
        <v>0</v>
      </c>
      <c r="AY45" s="253">
        <f t="shared" ref="AY45:AY79" si="30">$F45*AL45/100</f>
        <v>0</v>
      </c>
      <c r="AZ45" s="644"/>
      <c r="BA45" s="644"/>
    </row>
    <row r="46" spans="1:53">
      <c r="A46" s="180">
        <v>7</v>
      </c>
      <c r="B46" s="180">
        <v>9</v>
      </c>
      <c r="C46" s="181">
        <v>0.1</v>
      </c>
      <c r="D46" s="182" t="str">
        <f t="shared" ref="D46:D79" si="31">Z46</f>
        <v>GRAPEFRUIT</v>
      </c>
      <c r="E46" s="183" t="str">
        <f t="shared" si="16"/>
        <v>FLESH</v>
      </c>
      <c r="F46" s="180"/>
      <c r="G46" s="240"/>
      <c r="H46" s="173"/>
      <c r="I46" s="1275" t="s">
        <v>117</v>
      </c>
      <c r="J46" s="1276"/>
      <c r="K46" s="1276"/>
      <c r="L46" s="1273" t="s">
        <v>501</v>
      </c>
      <c r="M46" s="1274"/>
      <c r="N46" s="1277" t="s">
        <v>502</v>
      </c>
      <c r="O46" s="1277"/>
      <c r="P46" s="1273" t="s">
        <v>503</v>
      </c>
      <c r="Q46" s="1274"/>
      <c r="R46" s="1277" t="s">
        <v>504</v>
      </c>
      <c r="S46" s="1277"/>
      <c r="T46" s="1273" t="s">
        <v>505</v>
      </c>
      <c r="U46" s="1274"/>
      <c r="V46" s="1277" t="s">
        <v>506</v>
      </c>
      <c r="W46" s="1274"/>
      <c r="X46" s="238"/>
      <c r="Y46" s="249"/>
      <c r="Z46" s="252" t="s">
        <v>507</v>
      </c>
      <c r="AA46" s="252" t="s">
        <v>429</v>
      </c>
      <c r="AB46" s="253">
        <v>6.8</v>
      </c>
      <c r="AC46" s="253">
        <v>2</v>
      </c>
      <c r="AD46" s="255">
        <v>0.1</v>
      </c>
      <c r="AE46" s="254">
        <v>8</v>
      </c>
      <c r="AF46" s="253">
        <v>1.6</v>
      </c>
      <c r="AG46" s="253">
        <v>50</v>
      </c>
      <c r="AH46" s="253">
        <v>135</v>
      </c>
      <c r="AI46" s="268">
        <v>3.5999999999999997E-2</v>
      </c>
      <c r="AJ46" s="268">
        <v>0.25</v>
      </c>
      <c r="AK46" s="268">
        <v>0.28299999999999997</v>
      </c>
      <c r="AL46" s="268">
        <v>4.2000000000000003E-2</v>
      </c>
      <c r="AM46" s="254" t="s">
        <v>448</v>
      </c>
      <c r="AN46" s="274">
        <f t="shared" si="19"/>
        <v>0</v>
      </c>
      <c r="AO46" s="253">
        <f t="shared" si="20"/>
        <v>0</v>
      </c>
      <c r="AP46" s="279">
        <f t="shared" si="21"/>
        <v>0</v>
      </c>
      <c r="AQ46" s="279">
        <f t="shared" si="22"/>
        <v>0</v>
      </c>
      <c r="AR46" s="279">
        <f t="shared" si="23"/>
        <v>0</v>
      </c>
      <c r="AS46" s="279">
        <f t="shared" si="24"/>
        <v>0</v>
      </c>
      <c r="AT46" s="253">
        <f t="shared" si="25"/>
        <v>0</v>
      </c>
      <c r="AU46" s="253">
        <f t="shared" si="26"/>
        <v>0</v>
      </c>
      <c r="AV46" s="253">
        <f t="shared" si="27"/>
        <v>0</v>
      </c>
      <c r="AW46" s="253">
        <f t="shared" si="28"/>
        <v>0</v>
      </c>
      <c r="AX46" s="253">
        <f t="shared" si="29"/>
        <v>0</v>
      </c>
      <c r="AY46" s="253">
        <f t="shared" si="30"/>
        <v>0</v>
      </c>
      <c r="AZ46" s="644"/>
      <c r="BA46" s="644"/>
    </row>
    <row r="47" spans="1:53" ht="15" customHeight="1">
      <c r="A47" s="180">
        <v>7</v>
      </c>
      <c r="B47" s="180">
        <v>3</v>
      </c>
      <c r="C47" s="181">
        <v>0</v>
      </c>
      <c r="D47" s="182" t="str">
        <f t="shared" si="31"/>
        <v xml:space="preserve">            "</v>
      </c>
      <c r="E47" s="183" t="str">
        <f t="shared" si="16"/>
        <v>JUICE</v>
      </c>
      <c r="F47" s="180"/>
      <c r="G47" s="240"/>
      <c r="H47" s="173"/>
      <c r="I47" s="1278" t="s">
        <v>508</v>
      </c>
      <c r="J47" s="1279"/>
      <c r="K47" s="1280"/>
      <c r="L47" s="1281" t="s">
        <v>509</v>
      </c>
      <c r="M47" s="1282"/>
      <c r="N47" s="1283" t="s">
        <v>510</v>
      </c>
      <c r="O47" s="1283"/>
      <c r="P47" s="1281" t="s">
        <v>511</v>
      </c>
      <c r="Q47" s="1282"/>
      <c r="R47" s="1283" t="s">
        <v>512</v>
      </c>
      <c r="S47" s="1283"/>
      <c r="T47" s="1281" t="s">
        <v>513</v>
      </c>
      <c r="U47" s="1282"/>
      <c r="V47" s="1283" t="s">
        <v>514</v>
      </c>
      <c r="W47" s="1282"/>
      <c r="X47" s="238"/>
      <c r="Y47" s="249"/>
      <c r="Z47" s="252" t="s">
        <v>458</v>
      </c>
      <c r="AA47" s="252" t="s">
        <v>466</v>
      </c>
      <c r="AB47" s="253">
        <v>9</v>
      </c>
      <c r="AC47" s="253">
        <v>1.8</v>
      </c>
      <c r="AD47" s="255">
        <v>0.01</v>
      </c>
      <c r="AE47" s="254">
        <v>9.1999999999999993</v>
      </c>
      <c r="AF47" s="255">
        <v>0.2</v>
      </c>
      <c r="AG47" s="255">
        <v>50</v>
      </c>
      <c r="AH47" s="253">
        <v>162</v>
      </c>
      <c r="AI47" s="268">
        <v>0.04</v>
      </c>
      <c r="AJ47" s="268">
        <v>0.2</v>
      </c>
      <c r="AK47" s="268">
        <v>0.189</v>
      </c>
      <c r="AL47" s="268">
        <v>4.3999999999999997E-2</v>
      </c>
      <c r="AM47" s="254" t="s">
        <v>448</v>
      </c>
      <c r="AN47" s="274">
        <f t="shared" si="19"/>
        <v>0</v>
      </c>
      <c r="AO47" s="253">
        <f t="shared" si="20"/>
        <v>0</v>
      </c>
      <c r="AP47" s="279">
        <f t="shared" si="21"/>
        <v>0</v>
      </c>
      <c r="AQ47" s="279">
        <f t="shared" si="22"/>
        <v>0</v>
      </c>
      <c r="AR47" s="279">
        <f t="shared" si="23"/>
        <v>0</v>
      </c>
      <c r="AS47" s="279">
        <f t="shared" si="24"/>
        <v>0</v>
      </c>
      <c r="AT47" s="253">
        <f t="shared" si="25"/>
        <v>0</v>
      </c>
      <c r="AU47" s="253">
        <f t="shared" si="26"/>
        <v>0</v>
      </c>
      <c r="AV47" s="253">
        <f t="shared" si="27"/>
        <v>0</v>
      </c>
      <c r="AW47" s="253">
        <f t="shared" si="28"/>
        <v>0</v>
      </c>
      <c r="AX47" s="253">
        <f t="shared" si="29"/>
        <v>0</v>
      </c>
      <c r="AY47" s="253">
        <f t="shared" si="30"/>
        <v>0</v>
      </c>
      <c r="AZ47" s="644"/>
      <c r="BA47" s="644"/>
    </row>
    <row r="48" spans="1:53">
      <c r="A48" s="180">
        <v>7</v>
      </c>
      <c r="B48" s="180">
        <v>12</v>
      </c>
      <c r="C48" s="181">
        <v>0.16</v>
      </c>
      <c r="D48" s="182" t="str">
        <f t="shared" si="31"/>
        <v>GREENGAGE</v>
      </c>
      <c r="E48" s="183" t="str">
        <f t="shared" si="16"/>
        <v>-</v>
      </c>
      <c r="F48" s="180"/>
      <c r="G48" s="240"/>
      <c r="H48" s="173"/>
      <c r="I48" s="1284" t="s">
        <v>515</v>
      </c>
      <c r="J48" s="1285"/>
      <c r="K48" s="199" t="str">
        <f>"(g ̸ "&amp;FIXED(($E$8),1)&amp;" litres)"</f>
        <v>(g ̸ 4.5 litres)</v>
      </c>
      <c r="L48" s="1286" t="str">
        <f>"0-"&amp;(FIXED(($E$8*20*8.3*6/4.5),-2))/20</f>
        <v>0-50</v>
      </c>
      <c r="M48" s="1287"/>
      <c r="N48" s="1288" t="str">
        <f>FIXED(($E$8*20*8.3*6/4.5),-2)/20&amp;"-"&amp;FIXED(($E$8*20*22*6/4.5),-2)/20</f>
        <v>50-130</v>
      </c>
      <c r="O48" s="1288"/>
      <c r="P48" s="1286" t="str">
        <f>FIXED(($E$8*20*22*6/4.5),-2)/20&amp;"-"&amp;FIXED(($E$8*20*33*6/4.5),-2)/20</f>
        <v>130-200</v>
      </c>
      <c r="Q48" s="1287"/>
      <c r="R48" s="1288" t="str">
        <f>FIXED(($E$8*20*33*6/4.5),-2)/20&amp;"-"&amp;FIXED(($E$8*20*43*6/4.5),-2)/20</f>
        <v>200-260</v>
      </c>
      <c r="S48" s="1288"/>
      <c r="T48" s="1286" t="str">
        <f>FIXED(($E$8*20*43*6/4.5),-2)/20&amp;"-"&amp;FIXED(($E$8*20*52*6/4.5),-2)/20</f>
        <v>260-310</v>
      </c>
      <c r="U48" s="1287"/>
      <c r="V48" s="1288" t="str">
        <f>FIXED(($E$8*20*52*6/4.5),-2)/20&amp;"+"</f>
        <v>310+</v>
      </c>
      <c r="W48" s="1287"/>
      <c r="X48" s="238"/>
      <c r="Y48" s="249"/>
      <c r="Z48" s="252" t="s">
        <v>516</v>
      </c>
      <c r="AA48" s="252" t="s">
        <v>447</v>
      </c>
      <c r="AB48" s="253">
        <v>11</v>
      </c>
      <c r="AC48" s="253">
        <v>1.2</v>
      </c>
      <c r="AD48" s="255">
        <v>0.1</v>
      </c>
      <c r="AE48" s="257">
        <v>12</v>
      </c>
      <c r="AF48" s="255">
        <v>0.9</v>
      </c>
      <c r="AG48" s="253">
        <v>120</v>
      </c>
      <c r="AH48" s="255">
        <v>155</v>
      </c>
      <c r="AI48" s="270">
        <v>2.8000000000000001E-2</v>
      </c>
      <c r="AJ48" s="270">
        <v>0.41699999999999998</v>
      </c>
      <c r="AK48" s="270">
        <v>0.13500000000000001</v>
      </c>
      <c r="AL48" s="270">
        <v>2.9000000000000001E-2</v>
      </c>
      <c r="AM48" s="254" t="s">
        <v>417</v>
      </c>
      <c r="AN48" s="274">
        <f t="shared" si="19"/>
        <v>0</v>
      </c>
      <c r="AO48" s="253">
        <f t="shared" si="20"/>
        <v>0</v>
      </c>
      <c r="AP48" s="279">
        <f t="shared" si="21"/>
        <v>0</v>
      </c>
      <c r="AQ48" s="279">
        <f t="shared" si="22"/>
        <v>0</v>
      </c>
      <c r="AR48" s="279">
        <f t="shared" si="23"/>
        <v>0</v>
      </c>
      <c r="AS48" s="279">
        <f t="shared" si="24"/>
        <v>0</v>
      </c>
      <c r="AT48" s="253">
        <f t="shared" si="25"/>
        <v>0</v>
      </c>
      <c r="AU48" s="253">
        <f t="shared" si="26"/>
        <v>0</v>
      </c>
      <c r="AV48" s="253">
        <f t="shared" si="27"/>
        <v>0</v>
      </c>
      <c r="AW48" s="253">
        <f t="shared" si="28"/>
        <v>0</v>
      </c>
      <c r="AX48" s="253">
        <f t="shared" si="29"/>
        <v>0</v>
      </c>
      <c r="AY48" s="253">
        <f t="shared" si="30"/>
        <v>0</v>
      </c>
      <c r="AZ48" s="644"/>
      <c r="BA48" s="644"/>
    </row>
    <row r="49" spans="1:53">
      <c r="A49" s="180">
        <v>7</v>
      </c>
      <c r="B49" s="180">
        <v>6</v>
      </c>
      <c r="C49" s="181">
        <v>0.14000000000000001</v>
      </c>
      <c r="D49" s="182" t="str">
        <f t="shared" si="31"/>
        <v>GUAVA</v>
      </c>
      <c r="E49" s="183" t="str">
        <f t="shared" si="16"/>
        <v>-</v>
      </c>
      <c r="F49" s="180"/>
      <c r="G49" s="240"/>
      <c r="H49" s="240"/>
      <c r="I49" s="240"/>
      <c r="J49" s="240"/>
      <c r="K49" s="240"/>
      <c r="L49" s="240"/>
      <c r="M49" s="240"/>
      <c r="N49" s="240"/>
      <c r="O49" s="240"/>
      <c r="P49" s="240"/>
      <c r="Q49" s="240"/>
      <c r="R49" s="240"/>
      <c r="S49" s="240"/>
      <c r="T49" s="240"/>
      <c r="U49" s="240"/>
      <c r="V49" s="240"/>
      <c r="W49" s="240"/>
      <c r="X49" s="30"/>
      <c r="Y49" s="240"/>
      <c r="Z49" s="252" t="s">
        <v>517</v>
      </c>
      <c r="AA49" s="252" t="s">
        <v>447</v>
      </c>
      <c r="AB49" s="253">
        <v>8.6</v>
      </c>
      <c r="AC49" s="253">
        <v>0.4</v>
      </c>
      <c r="AD49" s="255">
        <v>0.1</v>
      </c>
      <c r="AE49" s="254">
        <v>14</v>
      </c>
      <c r="AF49" s="255">
        <v>0.5</v>
      </c>
      <c r="AG49" s="255">
        <v>50</v>
      </c>
      <c r="AH49" s="253">
        <v>290</v>
      </c>
      <c r="AI49" s="268">
        <v>6.7000000000000004E-2</v>
      </c>
      <c r="AJ49" s="268">
        <v>1.04</v>
      </c>
      <c r="AK49" s="268">
        <v>0.45100000000000001</v>
      </c>
      <c r="AL49" s="268">
        <v>0.11</v>
      </c>
      <c r="AM49" s="254"/>
      <c r="AN49" s="274">
        <f t="shared" si="19"/>
        <v>0</v>
      </c>
      <c r="AO49" s="253">
        <f t="shared" si="20"/>
        <v>0</v>
      </c>
      <c r="AP49" s="279">
        <f t="shared" si="21"/>
        <v>0</v>
      </c>
      <c r="AQ49" s="279">
        <f t="shared" si="22"/>
        <v>0</v>
      </c>
      <c r="AR49" s="279">
        <f t="shared" si="23"/>
        <v>0</v>
      </c>
      <c r="AS49" s="279">
        <f t="shared" si="24"/>
        <v>0</v>
      </c>
      <c r="AT49" s="253">
        <f t="shared" si="25"/>
        <v>0</v>
      </c>
      <c r="AU49" s="253">
        <f t="shared" si="26"/>
        <v>0</v>
      </c>
      <c r="AV49" s="253">
        <f t="shared" si="27"/>
        <v>0</v>
      </c>
      <c r="AW49" s="253">
        <f t="shared" si="28"/>
        <v>0</v>
      </c>
      <c r="AX49" s="253">
        <f t="shared" si="29"/>
        <v>0</v>
      </c>
      <c r="AY49" s="253">
        <f t="shared" si="30"/>
        <v>0</v>
      </c>
      <c r="AZ49" s="644"/>
      <c r="BA49" s="644"/>
    </row>
    <row r="50" spans="1:53">
      <c r="A50" s="180" t="s">
        <v>435</v>
      </c>
      <c r="B50" s="180">
        <v>12</v>
      </c>
      <c r="C50" s="181">
        <v>0</v>
      </c>
      <c r="D50" s="182" t="str">
        <f t="shared" si="31"/>
        <v>HONEY (1 lb = 454g)</v>
      </c>
      <c r="E50" s="183" t="str">
        <f t="shared" si="16"/>
        <v>-</v>
      </c>
      <c r="F50" s="180"/>
      <c r="G50" s="240"/>
      <c r="H50" s="240"/>
      <c r="I50" s="240"/>
      <c r="J50" s="240"/>
      <c r="K50" s="240"/>
      <c r="L50" s="240"/>
      <c r="M50" s="240"/>
      <c r="N50" s="240"/>
      <c r="O50" s="240"/>
      <c r="P50" s="240"/>
      <c r="Q50" s="240"/>
      <c r="R50" s="240"/>
      <c r="S50" s="240"/>
      <c r="T50" s="240"/>
      <c r="U50" s="240"/>
      <c r="V50" s="240"/>
      <c r="W50" s="240"/>
      <c r="X50" s="240"/>
      <c r="Y50" s="240"/>
      <c r="Z50" s="252" t="s">
        <v>518</v>
      </c>
      <c r="AA50" s="252" t="s">
        <v>447</v>
      </c>
      <c r="AB50" s="253">
        <v>80</v>
      </c>
      <c r="AC50" s="253">
        <v>0.5</v>
      </c>
      <c r="AD50" s="253">
        <v>0</v>
      </c>
      <c r="AE50" s="257">
        <v>80</v>
      </c>
      <c r="AF50" s="253">
        <v>0.01</v>
      </c>
      <c r="AG50" s="255">
        <v>0</v>
      </c>
      <c r="AH50" s="253">
        <v>52</v>
      </c>
      <c r="AI50" s="268">
        <v>0</v>
      </c>
      <c r="AJ50" s="268">
        <v>0.121</v>
      </c>
      <c r="AK50" s="268">
        <v>6.8000000000000005E-2</v>
      </c>
      <c r="AL50" s="268">
        <v>2.4E-2</v>
      </c>
      <c r="AM50" s="254"/>
      <c r="AN50" s="274">
        <f t="shared" si="19"/>
        <v>0</v>
      </c>
      <c r="AO50" s="253">
        <f t="shared" si="20"/>
        <v>0</v>
      </c>
      <c r="AP50" s="279">
        <f t="shared" si="21"/>
        <v>0</v>
      </c>
      <c r="AQ50" s="279">
        <f t="shared" si="22"/>
        <v>0</v>
      </c>
      <c r="AR50" s="279">
        <f t="shared" si="23"/>
        <v>0</v>
      </c>
      <c r="AS50" s="279">
        <f t="shared" si="24"/>
        <v>0</v>
      </c>
      <c r="AT50" s="253">
        <f t="shared" si="25"/>
        <v>0</v>
      </c>
      <c r="AU50" s="253">
        <f t="shared" si="26"/>
        <v>0</v>
      </c>
      <c r="AV50" s="253">
        <f t="shared" si="27"/>
        <v>0</v>
      </c>
      <c r="AW50" s="253">
        <f t="shared" si="28"/>
        <v>0</v>
      </c>
      <c r="AX50" s="253">
        <f t="shared" si="29"/>
        <v>0</v>
      </c>
      <c r="AY50" s="253">
        <f t="shared" si="30"/>
        <v>0</v>
      </c>
      <c r="AZ50" s="644"/>
      <c r="BA50" s="644"/>
    </row>
    <row r="51" spans="1:53">
      <c r="A51" s="180">
        <v>7</v>
      </c>
      <c r="B51" s="180">
        <v>3</v>
      </c>
      <c r="C51" s="181">
        <v>0.16</v>
      </c>
      <c r="D51" s="182" t="str">
        <f t="shared" si="31"/>
        <v>KIWIFRUIT</v>
      </c>
      <c r="E51" s="183" t="str">
        <f t="shared" si="16"/>
        <v>-</v>
      </c>
      <c r="F51" s="180"/>
      <c r="G51" s="240"/>
      <c r="H51" s="173"/>
      <c r="I51" s="1289" t="s">
        <v>519</v>
      </c>
      <c r="J51" s="1289"/>
      <c r="K51" s="1289"/>
      <c r="L51" s="709"/>
      <c r="M51" s="709"/>
      <c r="N51" s="709"/>
      <c r="O51" s="709"/>
      <c r="P51" s="709"/>
      <c r="Q51" s="709"/>
      <c r="R51" s="709"/>
      <c r="S51" s="709"/>
      <c r="T51" s="240"/>
      <c r="U51" s="240"/>
      <c r="V51" s="240"/>
      <c r="W51" s="240"/>
      <c r="X51" s="240"/>
      <c r="Y51" s="240"/>
      <c r="Z51" s="252" t="s">
        <v>520</v>
      </c>
      <c r="AA51" s="252" t="s">
        <v>447</v>
      </c>
      <c r="AB51" s="253">
        <v>14</v>
      </c>
      <c r="AC51" s="253">
        <v>3</v>
      </c>
      <c r="AD51" s="255">
        <v>0.1</v>
      </c>
      <c r="AE51" s="254">
        <v>15</v>
      </c>
      <c r="AF51" s="255">
        <v>0.5</v>
      </c>
      <c r="AG51" s="255">
        <v>50</v>
      </c>
      <c r="AH51" s="253">
        <v>312</v>
      </c>
      <c r="AI51" s="268">
        <v>2.7E-2</v>
      </c>
      <c r="AJ51" s="268">
        <v>0.34100000000000003</v>
      </c>
      <c r="AK51" s="268">
        <v>0.183</v>
      </c>
      <c r="AL51" s="268">
        <v>6.3E-2</v>
      </c>
      <c r="AM51" s="254"/>
      <c r="AN51" s="274">
        <f t="shared" si="19"/>
        <v>0</v>
      </c>
      <c r="AO51" s="253">
        <f t="shared" si="20"/>
        <v>0</v>
      </c>
      <c r="AP51" s="279">
        <f t="shared" si="21"/>
        <v>0</v>
      </c>
      <c r="AQ51" s="279">
        <f t="shared" si="22"/>
        <v>0</v>
      </c>
      <c r="AR51" s="279">
        <f t="shared" si="23"/>
        <v>0</v>
      </c>
      <c r="AS51" s="279">
        <f t="shared" si="24"/>
        <v>0</v>
      </c>
      <c r="AT51" s="253">
        <f t="shared" si="25"/>
        <v>0</v>
      </c>
      <c r="AU51" s="253">
        <f t="shared" si="26"/>
        <v>0</v>
      </c>
      <c r="AV51" s="253">
        <f t="shared" si="27"/>
        <v>0</v>
      </c>
      <c r="AW51" s="253">
        <f t="shared" si="28"/>
        <v>0</v>
      </c>
      <c r="AX51" s="253">
        <f t="shared" si="29"/>
        <v>0</v>
      </c>
      <c r="AY51" s="253">
        <f t="shared" si="30"/>
        <v>0</v>
      </c>
      <c r="AZ51" s="644"/>
      <c r="BA51" s="644"/>
    </row>
    <row r="52" spans="1:53">
      <c r="A52" s="180" t="s">
        <v>435</v>
      </c>
      <c r="B52" s="180">
        <v>6</v>
      </c>
      <c r="C52" s="181">
        <v>0</v>
      </c>
      <c r="D52" s="182" t="str">
        <f t="shared" si="31"/>
        <v>LEMON (1 fruit ≈ 30ml juice)</v>
      </c>
      <c r="E52" s="183" t="str">
        <f t="shared" si="16"/>
        <v>JUICE</v>
      </c>
      <c r="F52" s="180"/>
      <c r="G52" s="1290" t="str">
        <f>"= "&amp;FIXED((F52/30),1)&amp;" lemons?"</f>
        <v>= 0.0 lemons?</v>
      </c>
      <c r="H52" s="1291"/>
      <c r="I52" s="1292" t="s">
        <v>521</v>
      </c>
      <c r="J52" s="1292"/>
      <c r="K52" s="1292"/>
      <c r="L52" s="1292"/>
      <c r="M52" s="1292"/>
      <c r="N52" s="1292"/>
      <c r="O52" s="1292"/>
      <c r="P52" s="1292"/>
      <c r="Q52" s="1292"/>
      <c r="R52" s="1292"/>
      <c r="S52" s="1292"/>
      <c r="T52" s="240"/>
      <c r="U52" s="240"/>
      <c r="V52" s="240"/>
      <c r="W52" s="240"/>
      <c r="X52" s="240"/>
      <c r="Y52" s="240"/>
      <c r="Z52" s="252" t="s">
        <v>522</v>
      </c>
      <c r="AA52" s="252" t="s">
        <v>466</v>
      </c>
      <c r="AB52" s="253">
        <v>1.5</v>
      </c>
      <c r="AC52" s="253">
        <v>4.3</v>
      </c>
      <c r="AD52" s="255">
        <v>0.01</v>
      </c>
      <c r="AE52" s="254">
        <v>9</v>
      </c>
      <c r="AF52" s="255">
        <v>0.2</v>
      </c>
      <c r="AG52" s="253">
        <v>150</v>
      </c>
      <c r="AH52" s="253">
        <v>124</v>
      </c>
      <c r="AI52" s="268">
        <v>0.03</v>
      </c>
      <c r="AJ52" s="268">
        <v>0.1</v>
      </c>
      <c r="AK52" s="268">
        <v>0.10299999999999999</v>
      </c>
      <c r="AL52" s="268">
        <v>0</v>
      </c>
      <c r="AM52" s="254" t="s">
        <v>448</v>
      </c>
      <c r="AN52" s="274">
        <f t="shared" si="19"/>
        <v>0</v>
      </c>
      <c r="AO52" s="253">
        <f t="shared" si="20"/>
        <v>0</v>
      </c>
      <c r="AP52" s="279">
        <f t="shared" si="21"/>
        <v>0</v>
      </c>
      <c r="AQ52" s="279">
        <f t="shared" si="22"/>
        <v>0</v>
      </c>
      <c r="AR52" s="279">
        <f t="shared" si="23"/>
        <v>0</v>
      </c>
      <c r="AS52" s="279">
        <f t="shared" si="24"/>
        <v>0</v>
      </c>
      <c r="AT52" s="253">
        <f t="shared" si="25"/>
        <v>0</v>
      </c>
      <c r="AU52" s="253">
        <f t="shared" si="26"/>
        <v>0</v>
      </c>
      <c r="AV52" s="253">
        <f t="shared" si="27"/>
        <v>0</v>
      </c>
      <c r="AW52" s="253">
        <f t="shared" si="28"/>
        <v>0</v>
      </c>
      <c r="AX52" s="253">
        <f t="shared" si="29"/>
        <v>0</v>
      </c>
      <c r="AY52" s="253">
        <f t="shared" si="30"/>
        <v>0</v>
      </c>
      <c r="AZ52" s="644"/>
      <c r="BA52" s="644"/>
    </row>
    <row r="53" spans="1:53">
      <c r="A53" s="180">
        <v>7</v>
      </c>
      <c r="B53" s="180">
        <v>3</v>
      </c>
      <c r="C53" s="181">
        <v>0.19</v>
      </c>
      <c r="D53" s="182" t="str">
        <f t="shared" si="31"/>
        <v>LITCHI (LYCHEE)</v>
      </c>
      <c r="E53" s="183" t="str">
        <f t="shared" si="16"/>
        <v>-</v>
      </c>
      <c r="F53" s="180"/>
      <c r="G53" s="240"/>
      <c r="H53" s="173"/>
      <c r="I53" s="1293" t="s">
        <v>523</v>
      </c>
      <c r="J53" s="1294"/>
      <c r="K53" s="1294"/>
      <c r="L53" s="200">
        <f>(Q27+W13+10)/1000</f>
        <v>3.8224999999999998</v>
      </c>
      <c r="M53" s="952" t="s">
        <v>524</v>
      </c>
      <c r="N53" s="1295"/>
      <c r="O53" s="1295"/>
      <c r="P53" s="1295"/>
      <c r="Q53" s="1295"/>
      <c r="R53" s="1295"/>
      <c r="S53" s="1295"/>
      <c r="T53" s="1295"/>
      <c r="U53" s="1295"/>
      <c r="V53" s="1295"/>
      <c r="W53" s="953"/>
      <c r="X53" s="240"/>
      <c r="Y53" s="240"/>
      <c r="Z53" s="252" t="s">
        <v>525</v>
      </c>
      <c r="AA53" s="252" t="s">
        <v>447</v>
      </c>
      <c r="AB53" s="253">
        <v>15.2</v>
      </c>
      <c r="AC53" s="253">
        <v>0.3</v>
      </c>
      <c r="AD53" s="255">
        <v>0.1</v>
      </c>
      <c r="AE53" s="254">
        <v>16.5</v>
      </c>
      <c r="AF53" s="255">
        <v>0.5</v>
      </c>
      <c r="AG53" s="255">
        <v>50</v>
      </c>
      <c r="AH53" s="253">
        <v>171</v>
      </c>
      <c r="AI53" s="268">
        <v>1.0999999999999999E-2</v>
      </c>
      <c r="AJ53" s="268">
        <v>0.60299999999999998</v>
      </c>
      <c r="AK53" s="268">
        <v>0</v>
      </c>
      <c r="AL53" s="268">
        <v>0.1</v>
      </c>
      <c r="AM53" s="254"/>
      <c r="AN53" s="274">
        <f t="shared" si="19"/>
        <v>0</v>
      </c>
      <c r="AO53" s="253">
        <f t="shared" si="20"/>
        <v>0</v>
      </c>
      <c r="AP53" s="279">
        <f t="shared" si="21"/>
        <v>0</v>
      </c>
      <c r="AQ53" s="279">
        <f t="shared" si="22"/>
        <v>0</v>
      </c>
      <c r="AR53" s="279">
        <f t="shared" si="23"/>
        <v>0</v>
      </c>
      <c r="AS53" s="279">
        <f t="shared" si="24"/>
        <v>0</v>
      </c>
      <c r="AT53" s="253">
        <f t="shared" si="25"/>
        <v>0</v>
      </c>
      <c r="AU53" s="253">
        <f t="shared" si="26"/>
        <v>0</v>
      </c>
      <c r="AV53" s="253">
        <f t="shared" si="27"/>
        <v>0</v>
      </c>
      <c r="AW53" s="253">
        <f t="shared" si="28"/>
        <v>0</v>
      </c>
      <c r="AX53" s="253">
        <f t="shared" si="29"/>
        <v>0</v>
      </c>
      <c r="AY53" s="253">
        <f t="shared" si="30"/>
        <v>0</v>
      </c>
      <c r="AZ53" s="644"/>
      <c r="BA53" s="644"/>
    </row>
    <row r="54" spans="1:53">
      <c r="A54" s="180">
        <v>7</v>
      </c>
      <c r="B54" s="180">
        <v>6</v>
      </c>
      <c r="C54" s="181">
        <v>0.15</v>
      </c>
      <c r="D54" s="182" t="str">
        <f t="shared" si="31"/>
        <v>LOGANBERRY</v>
      </c>
      <c r="E54" s="183" t="str">
        <f t="shared" si="16"/>
        <v>-</v>
      </c>
      <c r="F54" s="180"/>
      <c r="G54" s="240"/>
      <c r="H54" s="173"/>
      <c r="I54" s="956" t="s">
        <v>526</v>
      </c>
      <c r="J54" s="1296"/>
      <c r="K54" s="1296"/>
      <c r="L54" s="201">
        <f>L61-L53</f>
        <v>0.97750000000000004</v>
      </c>
      <c r="M54" s="956" t="s">
        <v>527</v>
      </c>
      <c r="N54" s="1296"/>
      <c r="O54" s="1296"/>
      <c r="P54" s="1296"/>
      <c r="Q54" s="1296"/>
      <c r="R54" s="1296"/>
      <c r="S54" s="1296"/>
      <c r="T54" s="1296"/>
      <c r="U54" s="1296"/>
      <c r="V54" s="1296"/>
      <c r="W54" s="957"/>
      <c r="X54" s="31"/>
      <c r="Y54" s="240"/>
      <c r="Z54" s="252" t="s">
        <v>528</v>
      </c>
      <c r="AA54" s="252" t="s">
        <v>447</v>
      </c>
      <c r="AB54" s="253">
        <v>5</v>
      </c>
      <c r="AC54" s="253">
        <v>2</v>
      </c>
      <c r="AD54" s="253">
        <v>0.2</v>
      </c>
      <c r="AE54" s="254">
        <v>15</v>
      </c>
      <c r="AF54" s="253">
        <v>0.6</v>
      </c>
      <c r="AG54" s="253">
        <v>180</v>
      </c>
      <c r="AH54" s="253">
        <v>266</v>
      </c>
      <c r="AI54" s="268">
        <v>0.03</v>
      </c>
      <c r="AJ54" s="268">
        <v>0.3</v>
      </c>
      <c r="AK54" s="270">
        <v>0</v>
      </c>
      <c r="AL54" s="268">
        <v>0</v>
      </c>
      <c r="AM54" s="254" t="s">
        <v>448</v>
      </c>
      <c r="AN54" s="274">
        <f t="shared" si="19"/>
        <v>0</v>
      </c>
      <c r="AO54" s="253">
        <f t="shared" si="20"/>
        <v>0</v>
      </c>
      <c r="AP54" s="279">
        <f t="shared" si="21"/>
        <v>0</v>
      </c>
      <c r="AQ54" s="279">
        <f t="shared" si="22"/>
        <v>0</v>
      </c>
      <c r="AR54" s="279">
        <f t="shared" si="23"/>
        <v>0</v>
      </c>
      <c r="AS54" s="279">
        <f t="shared" si="24"/>
        <v>0</v>
      </c>
      <c r="AT54" s="253">
        <f t="shared" si="25"/>
        <v>0</v>
      </c>
      <c r="AU54" s="253">
        <f t="shared" si="26"/>
        <v>0</v>
      </c>
      <c r="AV54" s="253">
        <f t="shared" si="27"/>
        <v>0</v>
      </c>
      <c r="AW54" s="253">
        <f t="shared" si="28"/>
        <v>0</v>
      </c>
      <c r="AX54" s="253">
        <f t="shared" si="29"/>
        <v>0</v>
      </c>
      <c r="AY54" s="253">
        <f t="shared" si="30"/>
        <v>0</v>
      </c>
      <c r="AZ54" s="644"/>
      <c r="BA54" s="644"/>
    </row>
    <row r="55" spans="1:53">
      <c r="A55" s="180">
        <v>7</v>
      </c>
      <c r="B55" s="180">
        <v>3</v>
      </c>
      <c r="C55" s="181">
        <v>0.19</v>
      </c>
      <c r="D55" s="182" t="str">
        <f t="shared" si="31"/>
        <v>MANGO</v>
      </c>
      <c r="E55" s="183" t="str">
        <f t="shared" si="16"/>
        <v>-</v>
      </c>
      <c r="F55" s="180"/>
      <c r="G55" s="240"/>
      <c r="H55" s="173"/>
      <c r="I55" s="693"/>
      <c r="J55" s="693"/>
      <c r="K55" s="693"/>
      <c r="L55" s="693"/>
      <c r="M55" s="31"/>
      <c r="N55" s="31"/>
      <c r="O55" s="31"/>
      <c r="P55" s="31"/>
      <c r="Q55" s="31"/>
      <c r="R55" s="31"/>
      <c r="S55" s="31"/>
      <c r="T55" s="31"/>
      <c r="U55" s="31"/>
      <c r="V55" s="31"/>
      <c r="W55" s="31"/>
      <c r="X55" s="31"/>
      <c r="Y55" s="240"/>
      <c r="Z55" s="252" t="s">
        <v>529</v>
      </c>
      <c r="AA55" s="252" t="s">
        <v>447</v>
      </c>
      <c r="AB55" s="253">
        <v>11</v>
      </c>
      <c r="AC55" s="253">
        <v>0.5</v>
      </c>
      <c r="AD55" s="255">
        <v>0.1</v>
      </c>
      <c r="AE55" s="254">
        <v>17</v>
      </c>
      <c r="AF55" s="255">
        <v>0.5</v>
      </c>
      <c r="AG55" s="255">
        <v>50</v>
      </c>
      <c r="AH55" s="253">
        <v>155</v>
      </c>
      <c r="AI55" s="268">
        <v>5.8000000000000003E-2</v>
      </c>
      <c r="AJ55" s="268">
        <v>0.58399999999999996</v>
      </c>
      <c r="AK55" s="268">
        <v>0.16</v>
      </c>
      <c r="AL55" s="268">
        <v>0.13400000000000001</v>
      </c>
      <c r="AM55" s="254"/>
      <c r="AN55" s="274">
        <f t="shared" si="19"/>
        <v>0</v>
      </c>
      <c r="AO55" s="253">
        <f t="shared" si="20"/>
        <v>0</v>
      </c>
      <c r="AP55" s="279">
        <f t="shared" si="21"/>
        <v>0</v>
      </c>
      <c r="AQ55" s="279">
        <f t="shared" si="22"/>
        <v>0</v>
      </c>
      <c r="AR55" s="279">
        <f t="shared" si="23"/>
        <v>0</v>
      </c>
      <c r="AS55" s="279">
        <f t="shared" si="24"/>
        <v>0</v>
      </c>
      <c r="AT55" s="253">
        <f t="shared" si="25"/>
        <v>0</v>
      </c>
      <c r="AU55" s="253">
        <f t="shared" si="26"/>
        <v>0</v>
      </c>
      <c r="AV55" s="253">
        <f t="shared" si="27"/>
        <v>0</v>
      </c>
      <c r="AW55" s="253">
        <f t="shared" si="28"/>
        <v>0</v>
      </c>
      <c r="AX55" s="253">
        <f t="shared" si="29"/>
        <v>0</v>
      </c>
      <c r="AY55" s="253">
        <f t="shared" si="30"/>
        <v>0</v>
      </c>
      <c r="AZ55" s="644"/>
      <c r="BA55" s="644"/>
    </row>
    <row r="56" spans="1:53">
      <c r="A56" s="180">
        <v>7</v>
      </c>
      <c r="B56" s="180">
        <v>12</v>
      </c>
      <c r="C56" s="181">
        <v>0.25</v>
      </c>
      <c r="D56" s="182" t="str">
        <f t="shared" si="31"/>
        <v>MEDLAR</v>
      </c>
      <c r="E56" s="183" t="str">
        <f t="shared" si="16"/>
        <v>-</v>
      </c>
      <c r="F56" s="180"/>
      <c r="G56" s="240"/>
      <c r="H56" s="173"/>
      <c r="I56" s="693"/>
      <c r="J56" s="693"/>
      <c r="K56" s="693"/>
      <c r="L56" s="693"/>
      <c r="M56" s="693"/>
      <c r="N56" s="693"/>
      <c r="O56" s="693"/>
      <c r="P56" s="693"/>
      <c r="Q56" s="693"/>
      <c r="R56" s="693"/>
      <c r="S56" s="693"/>
      <c r="T56" s="693"/>
      <c r="U56" s="693"/>
      <c r="V56" s="693"/>
      <c r="W56" s="693"/>
      <c r="X56" s="241"/>
      <c r="Y56" s="240"/>
      <c r="Z56" s="252" t="s">
        <v>530</v>
      </c>
      <c r="AA56" s="252" t="s">
        <v>447</v>
      </c>
      <c r="AB56" s="253">
        <v>10</v>
      </c>
      <c r="AC56" s="255">
        <v>1</v>
      </c>
      <c r="AD56" s="255">
        <v>0.1</v>
      </c>
      <c r="AE56" s="257">
        <v>11</v>
      </c>
      <c r="AF56" s="255">
        <v>0.5</v>
      </c>
      <c r="AG56" s="255">
        <v>50</v>
      </c>
      <c r="AH56" s="255">
        <v>50</v>
      </c>
      <c r="AI56" s="270">
        <v>0.03</v>
      </c>
      <c r="AJ56" s="270">
        <v>0.3</v>
      </c>
      <c r="AK56" s="270">
        <v>0.1</v>
      </c>
      <c r="AL56" s="270">
        <v>0.08</v>
      </c>
      <c r="AM56" s="254"/>
      <c r="AN56" s="274">
        <f t="shared" si="19"/>
        <v>0</v>
      </c>
      <c r="AO56" s="253">
        <f t="shared" si="20"/>
        <v>0</v>
      </c>
      <c r="AP56" s="279">
        <f t="shared" si="21"/>
        <v>0</v>
      </c>
      <c r="AQ56" s="279">
        <f t="shared" si="22"/>
        <v>0</v>
      </c>
      <c r="AR56" s="279">
        <f t="shared" si="23"/>
        <v>0</v>
      </c>
      <c r="AS56" s="279">
        <f t="shared" si="24"/>
        <v>0</v>
      </c>
      <c r="AT56" s="253">
        <f t="shared" si="25"/>
        <v>0</v>
      </c>
      <c r="AU56" s="253">
        <f t="shared" si="26"/>
        <v>0</v>
      </c>
      <c r="AV56" s="253">
        <f t="shared" si="27"/>
        <v>0</v>
      </c>
      <c r="AW56" s="253">
        <f t="shared" si="28"/>
        <v>0</v>
      </c>
      <c r="AX56" s="253">
        <f t="shared" si="29"/>
        <v>0</v>
      </c>
      <c r="AY56" s="253">
        <f t="shared" si="30"/>
        <v>0</v>
      </c>
      <c r="AZ56" s="644"/>
      <c r="BA56" s="644"/>
    </row>
    <row r="57" spans="1:53">
      <c r="A57" s="180">
        <v>7</v>
      </c>
      <c r="B57" s="180">
        <v>3</v>
      </c>
      <c r="C57" s="181">
        <v>0.06</v>
      </c>
      <c r="D57" s="182" t="str">
        <f t="shared" si="31"/>
        <v>MELON</v>
      </c>
      <c r="E57" s="183" t="str">
        <f t="shared" si="16"/>
        <v>-</v>
      </c>
      <c r="F57" s="180"/>
      <c r="G57" s="240"/>
      <c r="H57" s="173"/>
      <c r="I57" s="1297" t="s">
        <v>531</v>
      </c>
      <c r="J57" s="1297"/>
      <c r="K57" s="1297"/>
      <c r="L57" s="202" t="str">
        <f>E8&amp;" litres"</f>
        <v>4.5 litres</v>
      </c>
      <c r="M57" s="1298"/>
      <c r="N57" s="1298"/>
      <c r="O57" s="1298"/>
      <c r="P57" s="203"/>
      <c r="Q57" s="240"/>
      <c r="R57" s="693"/>
      <c r="S57" s="693"/>
      <c r="T57" s="693"/>
      <c r="U57" s="693"/>
      <c r="V57" s="693"/>
      <c r="W57" s="693"/>
      <c r="X57" s="693"/>
      <c r="Y57" s="240"/>
      <c r="Z57" s="252" t="s">
        <v>532</v>
      </c>
      <c r="AA57" s="252" t="s">
        <v>447</v>
      </c>
      <c r="AB57" s="253">
        <v>6</v>
      </c>
      <c r="AC57" s="253">
        <v>0.2</v>
      </c>
      <c r="AD57" s="255">
        <v>0.1</v>
      </c>
      <c r="AE57" s="254">
        <v>9</v>
      </c>
      <c r="AF57" s="255">
        <v>0.5</v>
      </c>
      <c r="AG57" s="253">
        <v>100</v>
      </c>
      <c r="AH57" s="253">
        <v>200</v>
      </c>
      <c r="AI57" s="268">
        <v>3.7999999999999999E-2</v>
      </c>
      <c r="AJ57" s="268">
        <v>0.41799999999999998</v>
      </c>
      <c r="AK57" s="268">
        <v>0.155</v>
      </c>
      <c r="AL57" s="268">
        <v>8.7999999999999995E-2</v>
      </c>
      <c r="AM57" s="254"/>
      <c r="AN57" s="274">
        <f t="shared" si="19"/>
        <v>0</v>
      </c>
      <c r="AO57" s="253">
        <f t="shared" si="20"/>
        <v>0</v>
      </c>
      <c r="AP57" s="279">
        <f t="shared" si="21"/>
        <v>0</v>
      </c>
      <c r="AQ57" s="279">
        <f t="shared" si="22"/>
        <v>0</v>
      </c>
      <c r="AR57" s="279">
        <f t="shared" si="23"/>
        <v>0</v>
      </c>
      <c r="AS57" s="279">
        <f t="shared" si="24"/>
        <v>0</v>
      </c>
      <c r="AT57" s="253">
        <f t="shared" si="25"/>
        <v>0</v>
      </c>
      <c r="AU57" s="253">
        <f t="shared" si="26"/>
        <v>0</v>
      </c>
      <c r="AV57" s="253">
        <f t="shared" si="27"/>
        <v>0</v>
      </c>
      <c r="AW57" s="253">
        <f t="shared" si="28"/>
        <v>0</v>
      </c>
      <c r="AX57" s="253">
        <f t="shared" si="29"/>
        <v>0</v>
      </c>
      <c r="AY57" s="253">
        <f t="shared" si="30"/>
        <v>0</v>
      </c>
      <c r="AZ57" s="644"/>
      <c r="BA57" s="644"/>
    </row>
    <row r="58" spans="1:53" ht="14.4">
      <c r="A58" s="180">
        <v>7</v>
      </c>
      <c r="B58" s="180">
        <v>3</v>
      </c>
      <c r="C58" s="181">
        <v>0.15</v>
      </c>
      <c r="D58" s="182" t="str">
        <f t="shared" si="31"/>
        <v>MULBERRY</v>
      </c>
      <c r="E58" s="183" t="str">
        <f t="shared" si="16"/>
        <v>-</v>
      </c>
      <c r="F58" s="180"/>
      <c r="G58" s="240"/>
      <c r="H58" s="173"/>
      <c r="I58" s="952" t="s">
        <v>533</v>
      </c>
      <c r="J58" s="1295"/>
      <c r="K58" s="1295"/>
      <c r="L58" s="659">
        <v>300</v>
      </c>
      <c r="M58" s="1299" t="str">
        <f>"ml (300 nom. per 4.5 litres of finished wine) i.e. "&amp;1*FIXED(L58*E8/4.5,0)&amp;"ml for "&amp;E8&amp;" liters"</f>
        <v>ml (300 nom. per 4.5 litres of finished wine) i.e. 300ml for 4.5 liters</v>
      </c>
      <c r="N58" s="1300"/>
      <c r="O58" s="1300"/>
      <c r="P58" s="1300"/>
      <c r="Q58" s="1300"/>
      <c r="R58" s="1300"/>
      <c r="S58" s="1301"/>
      <c r="T58" s="693"/>
      <c r="U58" s="687" t="s">
        <v>53</v>
      </c>
      <c r="V58" s="242" t="s">
        <v>58</v>
      </c>
      <c r="W58" s="694" t="s">
        <v>54</v>
      </c>
      <c r="X58" s="243"/>
      <c r="Y58" s="249"/>
      <c r="Z58" s="252" t="s">
        <v>534</v>
      </c>
      <c r="AA58" s="252" t="s">
        <v>447</v>
      </c>
      <c r="AB58" s="253">
        <v>8</v>
      </c>
      <c r="AC58" s="253">
        <v>0.45</v>
      </c>
      <c r="AD58" s="255">
        <v>0.1</v>
      </c>
      <c r="AE58" s="254">
        <v>10</v>
      </c>
      <c r="AF58" s="253">
        <v>0.7</v>
      </c>
      <c r="AG58" s="253">
        <v>210</v>
      </c>
      <c r="AH58" s="253">
        <v>194</v>
      </c>
      <c r="AI58" s="268">
        <v>0.03</v>
      </c>
      <c r="AJ58" s="268">
        <v>0.62</v>
      </c>
      <c r="AK58" s="270">
        <v>0</v>
      </c>
      <c r="AL58" s="270">
        <v>0.05</v>
      </c>
      <c r="AM58" s="254" t="s">
        <v>483</v>
      </c>
      <c r="AN58" s="274">
        <f t="shared" si="19"/>
        <v>0</v>
      </c>
      <c r="AO58" s="253">
        <f t="shared" si="20"/>
        <v>0</v>
      </c>
      <c r="AP58" s="279">
        <f t="shared" si="21"/>
        <v>0</v>
      </c>
      <c r="AQ58" s="279">
        <f t="shared" si="22"/>
        <v>0</v>
      </c>
      <c r="AR58" s="279">
        <f t="shared" si="23"/>
        <v>0</v>
      </c>
      <c r="AS58" s="279">
        <f t="shared" si="24"/>
        <v>0</v>
      </c>
      <c r="AT58" s="253">
        <f t="shared" si="25"/>
        <v>0</v>
      </c>
      <c r="AU58" s="253">
        <f t="shared" si="26"/>
        <v>0</v>
      </c>
      <c r="AV58" s="253">
        <f t="shared" si="27"/>
        <v>0</v>
      </c>
      <c r="AW58" s="253">
        <f t="shared" si="28"/>
        <v>0</v>
      </c>
      <c r="AX58" s="253">
        <f t="shared" si="29"/>
        <v>0</v>
      </c>
      <c r="AY58" s="253">
        <f t="shared" si="30"/>
        <v>0</v>
      </c>
      <c r="AZ58" s="644"/>
      <c r="BA58" s="644"/>
    </row>
    <row r="59" spans="1:53" ht="14.4">
      <c r="A59" s="180">
        <v>7</v>
      </c>
      <c r="B59" s="180">
        <v>3</v>
      </c>
      <c r="C59" s="181">
        <v>0.13</v>
      </c>
      <c r="D59" s="182" t="str">
        <f t="shared" si="31"/>
        <v>NECTARINE</v>
      </c>
      <c r="E59" s="183" t="str">
        <f t="shared" si="16"/>
        <v>-</v>
      </c>
      <c r="F59" s="180"/>
      <c r="G59" s="240"/>
      <c r="H59" s="173"/>
      <c r="I59" s="1302" t="s">
        <v>535</v>
      </c>
      <c r="J59" s="1303"/>
      <c r="K59" s="1303"/>
      <c r="L59" s="204">
        <f>AN144</f>
        <v>0</v>
      </c>
      <c r="M59" s="1304" t="s">
        <v>536</v>
      </c>
      <c r="N59" s="1305"/>
      <c r="O59" s="1305"/>
      <c r="P59" s="1305"/>
      <c r="Q59" s="1305"/>
      <c r="R59" s="1305"/>
      <c r="S59" s="1306"/>
      <c r="T59" s="244"/>
      <c r="U59" s="757">
        <v>1</v>
      </c>
      <c r="V59" s="245">
        <v>8</v>
      </c>
      <c r="W59" s="694">
        <f t="shared" ref="W59:W66" si="32">1000*(U59+V59/16)*0.4536</f>
        <v>680.4</v>
      </c>
      <c r="X59" s="243"/>
      <c r="Y59" s="249"/>
      <c r="Z59" s="252" t="s">
        <v>537</v>
      </c>
      <c r="AA59" s="252" t="s">
        <v>447</v>
      </c>
      <c r="AB59" s="253">
        <v>8</v>
      </c>
      <c r="AC59" s="253">
        <v>0.7</v>
      </c>
      <c r="AD59" s="255">
        <v>0.1</v>
      </c>
      <c r="AE59" s="254">
        <v>11</v>
      </c>
      <c r="AF59" s="255">
        <v>0.3</v>
      </c>
      <c r="AG59" s="253">
        <v>150</v>
      </c>
      <c r="AH59" s="253">
        <v>200</v>
      </c>
      <c r="AI59" s="268">
        <v>3.4000000000000002E-2</v>
      </c>
      <c r="AJ59" s="268">
        <v>1.125</v>
      </c>
      <c r="AK59" s="268">
        <v>0.185</v>
      </c>
      <c r="AL59" s="268">
        <v>2.5000000000000001E-2</v>
      </c>
      <c r="AM59" s="254" t="s">
        <v>417</v>
      </c>
      <c r="AN59" s="274">
        <f t="shared" si="19"/>
        <v>0</v>
      </c>
      <c r="AO59" s="253">
        <f t="shared" si="20"/>
        <v>0</v>
      </c>
      <c r="AP59" s="279">
        <f t="shared" si="21"/>
        <v>0</v>
      </c>
      <c r="AQ59" s="279">
        <f t="shared" si="22"/>
        <v>0</v>
      </c>
      <c r="AR59" s="279">
        <f t="shared" si="23"/>
        <v>0</v>
      </c>
      <c r="AS59" s="279">
        <f t="shared" si="24"/>
        <v>0</v>
      </c>
      <c r="AT59" s="253">
        <f t="shared" si="25"/>
        <v>0</v>
      </c>
      <c r="AU59" s="253">
        <f t="shared" si="26"/>
        <v>0</v>
      </c>
      <c r="AV59" s="253">
        <f t="shared" si="27"/>
        <v>0</v>
      </c>
      <c r="AW59" s="253">
        <f t="shared" si="28"/>
        <v>0</v>
      </c>
      <c r="AX59" s="253">
        <f t="shared" si="29"/>
        <v>0</v>
      </c>
      <c r="AY59" s="253">
        <f t="shared" si="30"/>
        <v>0</v>
      </c>
      <c r="AZ59" s="644"/>
      <c r="BA59" s="644"/>
    </row>
    <row r="60" spans="1:53" ht="14.4">
      <c r="A60" s="180">
        <v>7</v>
      </c>
      <c r="B60" s="180">
        <v>6</v>
      </c>
      <c r="C60" s="181">
        <v>0.13</v>
      </c>
      <c r="D60" s="182" t="str">
        <f t="shared" si="31"/>
        <v>ORANGE</v>
      </c>
      <c r="E60" s="183" t="str">
        <f t="shared" si="16"/>
        <v>FLESH</v>
      </c>
      <c r="F60" s="180"/>
      <c r="G60" s="240"/>
      <c r="H60" s="173"/>
      <c r="I60" s="1307" t="s">
        <v>538</v>
      </c>
      <c r="J60" s="1308"/>
      <c r="K60" s="1308"/>
      <c r="L60" s="205">
        <f>E8+0.001*(L58*E8/4.5+L59)</f>
        <v>4.8</v>
      </c>
      <c r="M60" s="1241" t="s">
        <v>539</v>
      </c>
      <c r="N60" s="1242"/>
      <c r="O60" s="1242"/>
      <c r="P60" s="1242"/>
      <c r="Q60" s="1242"/>
      <c r="R60" s="1242"/>
      <c r="S60" s="1243"/>
      <c r="T60" s="246"/>
      <c r="U60" s="757">
        <v>1</v>
      </c>
      <c r="V60" s="245"/>
      <c r="W60" s="694">
        <f t="shared" si="32"/>
        <v>453.6</v>
      </c>
      <c r="X60" s="243"/>
      <c r="Y60" s="249"/>
      <c r="Z60" s="252" t="s">
        <v>540</v>
      </c>
      <c r="AA60" s="252" t="s">
        <v>429</v>
      </c>
      <c r="AB60" s="253">
        <v>9.5</v>
      </c>
      <c r="AC60" s="253">
        <v>0.95</v>
      </c>
      <c r="AD60" s="255">
        <v>0.1</v>
      </c>
      <c r="AE60" s="254">
        <v>11.5</v>
      </c>
      <c r="AF60" s="253">
        <v>0.9</v>
      </c>
      <c r="AG60" s="255">
        <v>140</v>
      </c>
      <c r="AH60" s="253">
        <v>190</v>
      </c>
      <c r="AI60" s="268">
        <v>8.6999999999999994E-2</v>
      </c>
      <c r="AJ60" s="268">
        <v>0.04</v>
      </c>
      <c r="AK60" s="268">
        <v>0.25</v>
      </c>
      <c r="AL60" s="268">
        <v>0.06</v>
      </c>
      <c r="AM60" s="254" t="s">
        <v>448</v>
      </c>
      <c r="AN60" s="274">
        <f t="shared" si="19"/>
        <v>0</v>
      </c>
      <c r="AO60" s="253">
        <f t="shared" si="20"/>
        <v>0</v>
      </c>
      <c r="AP60" s="279">
        <f t="shared" si="21"/>
        <v>0</v>
      </c>
      <c r="AQ60" s="279">
        <f t="shared" si="22"/>
        <v>0</v>
      </c>
      <c r="AR60" s="279">
        <f t="shared" si="23"/>
        <v>0</v>
      </c>
      <c r="AS60" s="279">
        <f t="shared" si="24"/>
        <v>0</v>
      </c>
      <c r="AT60" s="253">
        <f t="shared" si="25"/>
        <v>0</v>
      </c>
      <c r="AU60" s="253">
        <f t="shared" si="26"/>
        <v>0</v>
      </c>
      <c r="AV60" s="253">
        <f t="shared" si="27"/>
        <v>0</v>
      </c>
      <c r="AW60" s="253">
        <f t="shared" si="28"/>
        <v>0</v>
      </c>
      <c r="AX60" s="253">
        <f t="shared" si="29"/>
        <v>0</v>
      </c>
      <c r="AY60" s="253">
        <f t="shared" si="30"/>
        <v>0</v>
      </c>
      <c r="AZ60" s="644"/>
      <c r="BA60" s="644"/>
    </row>
    <row r="61" spans="1:53" ht="15" customHeight="1">
      <c r="A61" s="180" t="s">
        <v>435</v>
      </c>
      <c r="B61" s="180">
        <v>3</v>
      </c>
      <c r="C61" s="181">
        <v>0</v>
      </c>
      <c r="D61" s="182" t="str">
        <f t="shared" si="31"/>
        <v xml:space="preserve">       "</v>
      </c>
      <c r="E61" s="183" t="str">
        <f t="shared" si="16"/>
        <v>JUICE</v>
      </c>
      <c r="F61" s="180"/>
      <c r="G61" s="240"/>
      <c r="H61" s="173"/>
      <c r="I61" s="1309" t="s">
        <v>541</v>
      </c>
      <c r="J61" s="1310"/>
      <c r="K61" s="1310"/>
      <c r="L61" s="206">
        <f>E8+(0.001*(L58*E8/4.5+L59))-0.001*L44</f>
        <v>4.8</v>
      </c>
      <c r="M61" s="1311" t="s">
        <v>542</v>
      </c>
      <c r="N61" s="1312"/>
      <c r="O61" s="1312"/>
      <c r="P61" s="1312"/>
      <c r="Q61" s="1312"/>
      <c r="R61" s="1312"/>
      <c r="S61" s="1313"/>
      <c r="T61" s="247"/>
      <c r="U61" s="757">
        <v>1</v>
      </c>
      <c r="V61" s="245">
        <v>8</v>
      </c>
      <c r="W61" s="694">
        <f t="shared" si="32"/>
        <v>680.4</v>
      </c>
      <c r="X61" s="240"/>
      <c r="Y61" s="249"/>
      <c r="Z61" s="252" t="s">
        <v>442</v>
      </c>
      <c r="AA61" s="252" t="s">
        <v>466</v>
      </c>
      <c r="AB61" s="253">
        <v>9.9</v>
      </c>
      <c r="AC61" s="253">
        <v>1.05</v>
      </c>
      <c r="AD61" s="255">
        <v>0.01</v>
      </c>
      <c r="AE61" s="254">
        <v>10.4</v>
      </c>
      <c r="AF61" s="253">
        <v>0.2</v>
      </c>
      <c r="AG61" s="253">
        <v>100</v>
      </c>
      <c r="AH61" s="253">
        <v>200</v>
      </c>
      <c r="AI61" s="268">
        <v>0.12</v>
      </c>
      <c r="AJ61" s="268">
        <v>0.9</v>
      </c>
      <c r="AK61" s="268">
        <v>0.49</v>
      </c>
      <c r="AL61" s="268">
        <v>0.17599999999999999</v>
      </c>
      <c r="AM61" s="254" t="s">
        <v>448</v>
      </c>
      <c r="AN61" s="274">
        <f t="shared" si="19"/>
        <v>0</v>
      </c>
      <c r="AO61" s="253">
        <f t="shared" si="20"/>
        <v>0</v>
      </c>
      <c r="AP61" s="279">
        <f t="shared" si="21"/>
        <v>0</v>
      </c>
      <c r="AQ61" s="279">
        <f t="shared" si="22"/>
        <v>0</v>
      </c>
      <c r="AR61" s="279">
        <f t="shared" si="23"/>
        <v>0</v>
      </c>
      <c r="AS61" s="279">
        <f t="shared" si="24"/>
        <v>0</v>
      </c>
      <c r="AT61" s="253">
        <f t="shared" si="25"/>
        <v>0</v>
      </c>
      <c r="AU61" s="253">
        <f t="shared" si="26"/>
        <v>0</v>
      </c>
      <c r="AV61" s="253">
        <f t="shared" si="27"/>
        <v>0</v>
      </c>
      <c r="AW61" s="253">
        <f t="shared" si="28"/>
        <v>0</v>
      </c>
      <c r="AX61" s="253">
        <f t="shared" si="29"/>
        <v>0</v>
      </c>
      <c r="AY61" s="253">
        <f t="shared" si="30"/>
        <v>0</v>
      </c>
      <c r="AZ61" s="644"/>
      <c r="BA61" s="644"/>
    </row>
    <row r="62" spans="1:53">
      <c r="A62" s="180">
        <v>7</v>
      </c>
      <c r="B62" s="180">
        <v>3</v>
      </c>
      <c r="C62" s="181">
        <v>0</v>
      </c>
      <c r="D62" s="182" t="str">
        <f t="shared" si="31"/>
        <v>OTHER</v>
      </c>
      <c r="E62" s="183" t="str">
        <f t="shared" si="16"/>
        <v>-</v>
      </c>
      <c r="F62" s="180"/>
      <c r="G62" s="240"/>
      <c r="H62" s="173"/>
      <c r="I62" s="1314" t="s">
        <v>129</v>
      </c>
      <c r="J62" s="943"/>
      <c r="K62" s="944"/>
      <c r="L62" s="206">
        <f>L61-0.001*(L58*E8/4.5+L59)</f>
        <v>4.5</v>
      </c>
      <c r="M62" s="1223" t="s">
        <v>543</v>
      </c>
      <c r="N62" s="1224"/>
      <c r="O62" s="1224"/>
      <c r="P62" s="1224"/>
      <c r="Q62" s="1224"/>
      <c r="R62" s="1224"/>
      <c r="S62" s="1225"/>
      <c r="T62" s="247"/>
      <c r="U62" s="757">
        <v>2</v>
      </c>
      <c r="V62" s="245"/>
      <c r="W62" s="694">
        <f t="shared" si="32"/>
        <v>907.2</v>
      </c>
      <c r="X62" s="705"/>
      <c r="Y62" s="249"/>
      <c r="Z62" s="252" t="s">
        <v>544</v>
      </c>
      <c r="AA62" s="252" t="s">
        <v>447</v>
      </c>
      <c r="AB62" s="253">
        <v>0</v>
      </c>
      <c r="AC62" s="253">
        <v>0</v>
      </c>
      <c r="AD62" s="253">
        <v>0</v>
      </c>
      <c r="AE62" s="253">
        <v>0</v>
      </c>
      <c r="AF62" s="253">
        <v>0</v>
      </c>
      <c r="AG62" s="253">
        <v>0</v>
      </c>
      <c r="AH62" s="253">
        <v>0</v>
      </c>
      <c r="AI62" s="268">
        <v>0</v>
      </c>
      <c r="AJ62" s="268">
        <v>0</v>
      </c>
      <c r="AK62" s="268">
        <v>0</v>
      </c>
      <c r="AL62" s="268">
        <v>0</v>
      </c>
      <c r="AM62" s="254"/>
      <c r="AN62" s="274">
        <f t="shared" si="19"/>
        <v>0</v>
      </c>
      <c r="AO62" s="253">
        <f t="shared" si="20"/>
        <v>0</v>
      </c>
      <c r="AP62" s="279">
        <f t="shared" si="21"/>
        <v>0</v>
      </c>
      <c r="AQ62" s="279">
        <f t="shared" si="22"/>
        <v>0</v>
      </c>
      <c r="AR62" s="279">
        <f t="shared" si="23"/>
        <v>0</v>
      </c>
      <c r="AS62" s="279">
        <f t="shared" si="24"/>
        <v>0</v>
      </c>
      <c r="AT62" s="253">
        <f t="shared" si="25"/>
        <v>0</v>
      </c>
      <c r="AU62" s="253">
        <f t="shared" si="26"/>
        <v>0</v>
      </c>
      <c r="AV62" s="253">
        <f t="shared" si="27"/>
        <v>0</v>
      </c>
      <c r="AW62" s="253">
        <f t="shared" si="28"/>
        <v>0</v>
      </c>
      <c r="AX62" s="253">
        <f t="shared" si="29"/>
        <v>0</v>
      </c>
      <c r="AY62" s="253">
        <f t="shared" si="30"/>
        <v>0</v>
      </c>
      <c r="AZ62" s="644"/>
      <c r="BA62" s="644"/>
    </row>
    <row r="63" spans="1:53">
      <c r="A63" s="180">
        <v>7</v>
      </c>
      <c r="B63" s="180">
        <v>3</v>
      </c>
      <c r="C63" s="185">
        <v>0</v>
      </c>
      <c r="D63" s="182" t="str">
        <f t="shared" si="31"/>
        <v>OTHER</v>
      </c>
      <c r="E63" s="183" t="str">
        <f t="shared" si="16"/>
        <v>-</v>
      </c>
      <c r="F63" s="180"/>
      <c r="G63" s="240"/>
      <c r="H63" s="173"/>
      <c r="I63" s="1315" t="s">
        <v>545</v>
      </c>
      <c r="J63" s="1071"/>
      <c r="K63" s="1316"/>
      <c r="L63" s="207">
        <f>1000+R27*375/(1000*L61)</f>
        <v>1072.34375</v>
      </c>
      <c r="M63" s="1322" t="str">
        <f>"(Initial must acidity "&amp;FIXED(S27/(10*L61))&amp;"%)"</f>
        <v>(Initial must acidity 0.43%)</v>
      </c>
      <c r="N63" s="1323"/>
      <c r="O63" s="1323"/>
      <c r="P63" s="1323"/>
      <c r="Q63" s="1323"/>
      <c r="R63" s="1323"/>
      <c r="S63" s="1324"/>
      <c r="T63" s="703"/>
      <c r="U63" s="757">
        <v>2</v>
      </c>
      <c r="V63" s="245">
        <v>8</v>
      </c>
      <c r="W63" s="248">
        <f t="shared" si="32"/>
        <v>1134</v>
      </c>
      <c r="X63" s="173"/>
      <c r="Y63" s="249"/>
      <c r="Z63" s="252" t="s">
        <v>544</v>
      </c>
      <c r="AA63" s="252" t="s">
        <v>447</v>
      </c>
      <c r="AB63" s="253">
        <v>0</v>
      </c>
      <c r="AC63" s="253">
        <v>0</v>
      </c>
      <c r="AD63" s="253">
        <v>0</v>
      </c>
      <c r="AE63" s="253">
        <v>0</v>
      </c>
      <c r="AF63" s="253">
        <v>0</v>
      </c>
      <c r="AG63" s="253">
        <v>0</v>
      </c>
      <c r="AH63" s="253">
        <v>0</v>
      </c>
      <c r="AI63" s="268">
        <v>0</v>
      </c>
      <c r="AJ63" s="268">
        <v>0</v>
      </c>
      <c r="AK63" s="268">
        <v>0</v>
      </c>
      <c r="AL63" s="268">
        <v>0</v>
      </c>
      <c r="AM63" s="254"/>
      <c r="AN63" s="274">
        <f t="shared" si="19"/>
        <v>0</v>
      </c>
      <c r="AO63" s="253">
        <f t="shared" si="20"/>
        <v>0</v>
      </c>
      <c r="AP63" s="279">
        <f t="shared" si="21"/>
        <v>0</v>
      </c>
      <c r="AQ63" s="279">
        <f t="shared" si="22"/>
        <v>0</v>
      </c>
      <c r="AR63" s="279">
        <f t="shared" si="23"/>
        <v>0</v>
      </c>
      <c r="AS63" s="279">
        <f t="shared" si="24"/>
        <v>0</v>
      </c>
      <c r="AT63" s="253">
        <f t="shared" si="25"/>
        <v>0</v>
      </c>
      <c r="AU63" s="253">
        <f t="shared" si="26"/>
        <v>0</v>
      </c>
      <c r="AV63" s="253">
        <f t="shared" si="27"/>
        <v>0</v>
      </c>
      <c r="AW63" s="253">
        <f t="shared" si="28"/>
        <v>0</v>
      </c>
      <c r="AX63" s="253">
        <f t="shared" si="29"/>
        <v>0</v>
      </c>
      <c r="AY63" s="253">
        <f t="shared" si="30"/>
        <v>0</v>
      </c>
      <c r="AZ63" s="644"/>
      <c r="BA63" s="644"/>
    </row>
    <row r="64" spans="1:53">
      <c r="A64" s="180">
        <v>7</v>
      </c>
      <c r="B64" s="180">
        <v>3</v>
      </c>
      <c r="C64" s="185">
        <v>0.14000000000000001</v>
      </c>
      <c r="D64" s="182" t="str">
        <f t="shared" si="31"/>
        <v>PAPAYA (Pawpaw)</v>
      </c>
      <c r="E64" s="183" t="str">
        <f t="shared" si="16"/>
        <v>-</v>
      </c>
      <c r="F64" s="180"/>
      <c r="G64" s="240"/>
      <c r="H64" s="173"/>
      <c r="I64" s="1223" t="s">
        <v>546</v>
      </c>
      <c r="J64" s="1224"/>
      <c r="K64" s="1225"/>
      <c r="L64" s="207">
        <f>L63-(1.079*0.375*R27/L61)</f>
        <v>994.28484374999994</v>
      </c>
      <c r="M64" s="1322" t="str">
        <f>"(Final must acidity "&amp;FIXED((S27/(10*L61)+0.15)*L62/E8)&amp;"%)"</f>
        <v>(Final must acidity 0.58%)</v>
      </c>
      <c r="N64" s="1323"/>
      <c r="O64" s="1323"/>
      <c r="P64" s="1323"/>
      <c r="Q64" s="1323"/>
      <c r="R64" s="1323"/>
      <c r="S64" s="1324"/>
      <c r="T64" s="703"/>
      <c r="U64" s="757">
        <v>3</v>
      </c>
      <c r="V64" s="245"/>
      <c r="W64" s="694">
        <f t="shared" si="32"/>
        <v>1360.8</v>
      </c>
      <c r="X64" s="705"/>
      <c r="Y64" s="249"/>
      <c r="Z64" s="252" t="s">
        <v>547</v>
      </c>
      <c r="AA64" s="252" t="s">
        <v>447</v>
      </c>
      <c r="AB64" s="253">
        <v>8</v>
      </c>
      <c r="AC64" s="253">
        <v>0.1</v>
      </c>
      <c r="AD64" s="255">
        <v>0.1</v>
      </c>
      <c r="AE64" s="254">
        <v>10</v>
      </c>
      <c r="AF64" s="255">
        <v>0.5</v>
      </c>
      <c r="AG64" s="255">
        <v>50</v>
      </c>
      <c r="AH64" s="253">
        <v>255</v>
      </c>
      <c r="AI64" s="268">
        <v>2.7E-2</v>
      </c>
      <c r="AJ64" s="268">
        <v>0.33800000000000002</v>
      </c>
      <c r="AK64" s="268">
        <v>0.218</v>
      </c>
      <c r="AL64" s="268">
        <v>1.9E-2</v>
      </c>
      <c r="AM64" s="254"/>
      <c r="AN64" s="274">
        <f t="shared" si="19"/>
        <v>0</v>
      </c>
      <c r="AO64" s="253">
        <f t="shared" si="20"/>
        <v>0</v>
      </c>
      <c r="AP64" s="279">
        <f t="shared" si="21"/>
        <v>0</v>
      </c>
      <c r="AQ64" s="279">
        <f t="shared" si="22"/>
        <v>0</v>
      </c>
      <c r="AR64" s="279">
        <f t="shared" si="23"/>
        <v>0</v>
      </c>
      <c r="AS64" s="279">
        <f t="shared" si="24"/>
        <v>0</v>
      </c>
      <c r="AT64" s="253">
        <f t="shared" si="25"/>
        <v>0</v>
      </c>
      <c r="AU64" s="253">
        <f t="shared" si="26"/>
        <v>0</v>
      </c>
      <c r="AV64" s="253">
        <f t="shared" si="27"/>
        <v>0</v>
      </c>
      <c r="AW64" s="253">
        <f t="shared" si="28"/>
        <v>0</v>
      </c>
      <c r="AX64" s="253">
        <f t="shared" si="29"/>
        <v>0</v>
      </c>
      <c r="AY64" s="253">
        <f t="shared" si="30"/>
        <v>0</v>
      </c>
      <c r="AZ64" s="644"/>
      <c r="BA64" s="644"/>
    </row>
    <row r="65" spans="1:53">
      <c r="A65" s="180">
        <v>7</v>
      </c>
      <c r="B65" s="180">
        <v>3</v>
      </c>
      <c r="C65" s="181">
        <v>0.28000000000000003</v>
      </c>
      <c r="D65" s="182" t="str">
        <f t="shared" si="31"/>
        <v>PASSION FRUIT</v>
      </c>
      <c r="E65" s="183" t="str">
        <f t="shared" si="16"/>
        <v>-</v>
      </c>
      <c r="F65" s="180"/>
      <c r="G65" s="240"/>
      <c r="H65" s="173"/>
      <c r="I65" s="1325" t="s">
        <v>548</v>
      </c>
      <c r="J65" s="1326"/>
      <c r="K65" s="1327"/>
      <c r="L65" s="290">
        <f>(L63-L64)/(7.75-(3*(L63-1000)/800))</f>
        <v>10.437481392494329</v>
      </c>
      <c r="M65" s="1328" t="str">
        <f>"(Must tannin "&amp;FIXED(T27/(10*L60))&amp;"%)"</f>
        <v>(Must tannin 0.01%)</v>
      </c>
      <c r="N65" s="1329"/>
      <c r="O65" s="1329"/>
      <c r="P65" s="1329"/>
      <c r="Q65" s="1329"/>
      <c r="R65" s="1329"/>
      <c r="S65" s="1330"/>
      <c r="T65" s="703"/>
      <c r="U65" s="757">
        <v>4.25</v>
      </c>
      <c r="V65" s="245"/>
      <c r="W65" s="694">
        <f t="shared" si="32"/>
        <v>1927.8</v>
      </c>
      <c r="X65" s="704"/>
      <c r="Y65" s="249"/>
      <c r="Z65" s="252" t="s">
        <v>549</v>
      </c>
      <c r="AA65" s="252" t="s">
        <v>447</v>
      </c>
      <c r="AB65" s="253">
        <v>6</v>
      </c>
      <c r="AC65" s="253">
        <v>3</v>
      </c>
      <c r="AD65" s="255">
        <v>0.1</v>
      </c>
      <c r="AE65" s="257">
        <v>10</v>
      </c>
      <c r="AF65" s="255">
        <v>0.5</v>
      </c>
      <c r="AG65" s="253">
        <v>440</v>
      </c>
      <c r="AH65" s="253">
        <v>350</v>
      </c>
      <c r="AI65" s="268">
        <v>0</v>
      </c>
      <c r="AJ65" s="268">
        <v>1.5</v>
      </c>
      <c r="AK65" s="268">
        <v>0</v>
      </c>
      <c r="AL65" s="268">
        <v>0.1</v>
      </c>
      <c r="AM65" s="254"/>
      <c r="AN65" s="274">
        <f t="shared" si="19"/>
        <v>0</v>
      </c>
      <c r="AO65" s="253">
        <f t="shared" si="20"/>
        <v>0</v>
      </c>
      <c r="AP65" s="279">
        <f t="shared" si="21"/>
        <v>0</v>
      </c>
      <c r="AQ65" s="279">
        <f t="shared" si="22"/>
        <v>0</v>
      </c>
      <c r="AR65" s="279">
        <f t="shared" si="23"/>
        <v>0</v>
      </c>
      <c r="AS65" s="279">
        <f t="shared" si="24"/>
        <v>0</v>
      </c>
      <c r="AT65" s="253">
        <f t="shared" si="25"/>
        <v>0</v>
      </c>
      <c r="AU65" s="253">
        <f t="shared" si="26"/>
        <v>0</v>
      </c>
      <c r="AV65" s="253">
        <f t="shared" si="27"/>
        <v>0</v>
      </c>
      <c r="AW65" s="253">
        <f t="shared" si="28"/>
        <v>0</v>
      </c>
      <c r="AX65" s="253">
        <f t="shared" si="29"/>
        <v>0</v>
      </c>
      <c r="AY65" s="253">
        <f t="shared" si="30"/>
        <v>0</v>
      </c>
      <c r="AZ65" s="644"/>
      <c r="BA65" s="644"/>
    </row>
    <row r="66" spans="1:53">
      <c r="A66" s="180">
        <v>7</v>
      </c>
      <c r="B66" s="180">
        <v>12</v>
      </c>
      <c r="C66" s="181">
        <v>0.12</v>
      </c>
      <c r="D66" s="182" t="str">
        <f t="shared" si="31"/>
        <v>PEACH</v>
      </c>
      <c r="E66" s="183" t="str">
        <f t="shared" si="16"/>
        <v>FLESH</v>
      </c>
      <c r="F66" s="180"/>
      <c r="G66" s="240"/>
      <c r="H66" s="173"/>
      <c r="I66" s="701"/>
      <c r="J66" s="701"/>
      <c r="K66" s="701"/>
      <c r="L66" s="173"/>
      <c r="M66" s="173"/>
      <c r="N66" s="173"/>
      <c r="O66" s="173"/>
      <c r="P66" s="173"/>
      <c r="Q66" s="173"/>
      <c r="R66" s="173"/>
      <c r="S66" s="703"/>
      <c r="T66" s="703"/>
      <c r="U66" s="757"/>
      <c r="V66" s="245">
        <v>0.111</v>
      </c>
      <c r="W66" s="694">
        <f t="shared" si="32"/>
        <v>3.1468500000000001</v>
      </c>
      <c r="X66" s="708"/>
      <c r="Y66" s="249"/>
      <c r="Z66" s="252" t="s">
        <v>550</v>
      </c>
      <c r="AA66" s="252" t="s">
        <v>429</v>
      </c>
      <c r="AB66" s="253">
        <v>8.5</v>
      </c>
      <c r="AC66" s="253">
        <v>0.65</v>
      </c>
      <c r="AD66" s="253">
        <v>0.1</v>
      </c>
      <c r="AE66" s="254">
        <v>14</v>
      </c>
      <c r="AF66" s="253">
        <v>0.4</v>
      </c>
      <c r="AG66" s="253">
        <v>100</v>
      </c>
      <c r="AH66" s="253">
        <v>190</v>
      </c>
      <c r="AI66" s="268">
        <v>2.4E-2</v>
      </c>
      <c r="AJ66" s="268">
        <v>0.80600000000000005</v>
      </c>
      <c r="AK66" s="268">
        <v>0.153</v>
      </c>
      <c r="AL66" s="268">
        <v>2.5000000000000001E-2</v>
      </c>
      <c r="AM66" s="254" t="s">
        <v>417</v>
      </c>
      <c r="AN66" s="274">
        <f t="shared" si="19"/>
        <v>0</v>
      </c>
      <c r="AO66" s="253">
        <f t="shared" si="20"/>
        <v>0</v>
      </c>
      <c r="AP66" s="279">
        <f t="shared" si="21"/>
        <v>0</v>
      </c>
      <c r="AQ66" s="279">
        <f t="shared" si="22"/>
        <v>0</v>
      </c>
      <c r="AR66" s="279">
        <f t="shared" si="23"/>
        <v>0</v>
      </c>
      <c r="AS66" s="279">
        <f t="shared" si="24"/>
        <v>0</v>
      </c>
      <c r="AT66" s="253">
        <f t="shared" si="25"/>
        <v>0</v>
      </c>
      <c r="AU66" s="253">
        <f t="shared" si="26"/>
        <v>0</v>
      </c>
      <c r="AV66" s="253">
        <f t="shared" si="27"/>
        <v>0</v>
      </c>
      <c r="AW66" s="253">
        <f t="shared" si="28"/>
        <v>0</v>
      </c>
      <c r="AX66" s="253">
        <f t="shared" si="29"/>
        <v>0</v>
      </c>
      <c r="AY66" s="253">
        <f t="shared" si="30"/>
        <v>0</v>
      </c>
      <c r="AZ66" s="644"/>
      <c r="BA66" s="644"/>
    </row>
    <row r="67" spans="1:53" ht="13.2">
      <c r="A67" s="180">
        <v>7</v>
      </c>
      <c r="B67" s="180">
        <v>6</v>
      </c>
      <c r="C67" s="181">
        <v>0.92</v>
      </c>
      <c r="D67" s="182" t="str">
        <f t="shared" si="31"/>
        <v xml:space="preserve">      "</v>
      </c>
      <c r="E67" s="183" t="str">
        <f t="shared" si="16"/>
        <v>DRIED</v>
      </c>
      <c r="F67" s="180"/>
      <c r="G67" s="240"/>
      <c r="H67" s="173"/>
      <c r="I67" s="693"/>
      <c r="J67" s="693"/>
      <c r="K67" s="693"/>
      <c r="L67" s="693"/>
      <c r="M67" s="693"/>
      <c r="N67" s="693"/>
      <c r="O67" s="693"/>
      <c r="P67" s="693"/>
      <c r="Q67" s="703"/>
      <c r="R67" s="703"/>
      <c r="S67" s="703"/>
      <c r="T67" s="703"/>
      <c r="U67" s="693"/>
      <c r="V67" s="693"/>
      <c r="W67" s="693"/>
      <c r="X67" s="340"/>
      <c r="Y67" s="249"/>
      <c r="Z67" s="252" t="s">
        <v>420</v>
      </c>
      <c r="AA67" s="252" t="s">
        <v>433</v>
      </c>
      <c r="AB67" s="253">
        <v>52</v>
      </c>
      <c r="AC67" s="253">
        <v>1</v>
      </c>
      <c r="AD67" s="255">
        <v>0.5</v>
      </c>
      <c r="AE67" s="254">
        <v>61</v>
      </c>
      <c r="AF67" s="255">
        <v>2.4</v>
      </c>
      <c r="AG67" s="255">
        <v>50</v>
      </c>
      <c r="AH67" s="253">
        <v>995</v>
      </c>
      <c r="AI67" s="268">
        <v>2E-3</v>
      </c>
      <c r="AJ67" s="268">
        <v>4.375</v>
      </c>
      <c r="AK67" s="268">
        <v>0.56399999999999995</v>
      </c>
      <c r="AL67" s="268">
        <v>6.7000000000000004E-2</v>
      </c>
      <c r="AM67" s="254" t="s">
        <v>417</v>
      </c>
      <c r="AN67" s="274">
        <f t="shared" si="19"/>
        <v>0</v>
      </c>
      <c r="AO67" s="253">
        <f t="shared" si="20"/>
        <v>0</v>
      </c>
      <c r="AP67" s="279">
        <f t="shared" si="21"/>
        <v>0</v>
      </c>
      <c r="AQ67" s="279">
        <f t="shared" si="22"/>
        <v>0</v>
      </c>
      <c r="AR67" s="279">
        <f t="shared" si="23"/>
        <v>0</v>
      </c>
      <c r="AS67" s="279">
        <f t="shared" si="24"/>
        <v>0</v>
      </c>
      <c r="AT67" s="253">
        <f t="shared" si="25"/>
        <v>0</v>
      </c>
      <c r="AU67" s="253">
        <f t="shared" si="26"/>
        <v>0</v>
      </c>
      <c r="AV67" s="253">
        <f t="shared" si="27"/>
        <v>0</v>
      </c>
      <c r="AW67" s="253">
        <f t="shared" si="28"/>
        <v>0</v>
      </c>
      <c r="AX67" s="253">
        <f t="shared" si="29"/>
        <v>0</v>
      </c>
      <c r="AY67" s="253">
        <f t="shared" si="30"/>
        <v>0</v>
      </c>
      <c r="AZ67" s="376"/>
      <c r="BA67" s="377"/>
    </row>
    <row r="68" spans="1:53">
      <c r="A68" s="180">
        <v>7</v>
      </c>
      <c r="B68" s="180">
        <v>18</v>
      </c>
      <c r="C68" s="181">
        <v>0.15</v>
      </c>
      <c r="D68" s="182" t="str">
        <f t="shared" si="31"/>
        <v>PEAR</v>
      </c>
      <c r="E68" s="183" t="str">
        <f t="shared" si="16"/>
        <v>-</v>
      </c>
      <c r="F68" s="180"/>
      <c r="G68" s="240"/>
      <c r="H68" s="282"/>
      <c r="I68" s="1183" t="s">
        <v>551</v>
      </c>
      <c r="J68" s="1183"/>
      <c r="K68" s="1183"/>
      <c r="L68" s="1183"/>
      <c r="M68" s="30"/>
      <c r="N68" s="30"/>
      <c r="O68" s="30"/>
      <c r="P68" s="30"/>
      <c r="Q68" s="30"/>
      <c r="R68" s="703"/>
      <c r="S68" s="703"/>
      <c r="T68" s="703"/>
      <c r="U68" s="694" t="s">
        <v>552</v>
      </c>
      <c r="V68" s="694" t="s">
        <v>553</v>
      </c>
      <c r="W68" s="694" t="s">
        <v>554</v>
      </c>
      <c r="X68" s="705"/>
      <c r="Y68" s="249"/>
      <c r="Z68" s="252" t="s">
        <v>555</v>
      </c>
      <c r="AA68" s="252" t="s">
        <v>447</v>
      </c>
      <c r="AB68" s="253">
        <v>10</v>
      </c>
      <c r="AC68" s="253">
        <v>0.3</v>
      </c>
      <c r="AD68" s="253">
        <v>0.1</v>
      </c>
      <c r="AE68" s="254">
        <v>15</v>
      </c>
      <c r="AF68" s="253">
        <v>0.9</v>
      </c>
      <c r="AG68" s="253">
        <v>40</v>
      </c>
      <c r="AH68" s="253">
        <v>119</v>
      </c>
      <c r="AI68" s="268">
        <v>1.2E-2</v>
      </c>
      <c r="AJ68" s="268">
        <v>0.157</v>
      </c>
      <c r="AK68" s="268">
        <v>4.8000000000000001E-2</v>
      </c>
      <c r="AL68" s="268">
        <v>2.8000000000000001E-2</v>
      </c>
      <c r="AM68" s="254" t="s">
        <v>417</v>
      </c>
      <c r="AN68" s="274">
        <f t="shared" si="19"/>
        <v>0</v>
      </c>
      <c r="AO68" s="253">
        <f t="shared" si="20"/>
        <v>0</v>
      </c>
      <c r="AP68" s="279">
        <f t="shared" si="21"/>
        <v>0</v>
      </c>
      <c r="AQ68" s="279">
        <f t="shared" si="22"/>
        <v>0</v>
      </c>
      <c r="AR68" s="279">
        <f t="shared" si="23"/>
        <v>0</v>
      </c>
      <c r="AS68" s="279">
        <f t="shared" si="24"/>
        <v>0</v>
      </c>
      <c r="AT68" s="253">
        <f t="shared" si="25"/>
        <v>0</v>
      </c>
      <c r="AU68" s="253">
        <f t="shared" si="26"/>
        <v>0</v>
      </c>
      <c r="AV68" s="253">
        <f t="shared" si="27"/>
        <v>0</v>
      </c>
      <c r="AW68" s="253">
        <f t="shared" si="28"/>
        <v>0</v>
      </c>
      <c r="AX68" s="253">
        <f t="shared" si="29"/>
        <v>0</v>
      </c>
      <c r="AY68" s="253">
        <f t="shared" si="30"/>
        <v>0</v>
      </c>
      <c r="AZ68" s="376"/>
      <c r="BA68" s="377"/>
    </row>
    <row r="69" spans="1:53" ht="13.2">
      <c r="A69" s="180">
        <v>7</v>
      </c>
      <c r="B69" s="180">
        <v>3</v>
      </c>
      <c r="C69" s="181">
        <v>0.25</v>
      </c>
      <c r="D69" s="182" t="str">
        <f t="shared" si="31"/>
        <v>PERSIMMON (Sharon fruit)</v>
      </c>
      <c r="E69" s="183" t="str">
        <f t="shared" si="16"/>
        <v>-</v>
      </c>
      <c r="F69" s="180"/>
      <c r="G69" s="240"/>
      <c r="H69" s="173"/>
      <c r="I69" s="960" t="s">
        <v>556</v>
      </c>
      <c r="J69" s="1037"/>
      <c r="K69" s="961"/>
      <c r="L69" s="660">
        <v>750</v>
      </c>
      <c r="M69" s="661">
        <v>125</v>
      </c>
      <c r="N69" s="1331" t="s">
        <v>557</v>
      </c>
      <c r="O69" s="1332"/>
      <c r="P69" s="1332"/>
      <c r="Q69" s="1332"/>
      <c r="R69" s="1332"/>
      <c r="S69" s="30"/>
      <c r="T69" s="703"/>
      <c r="U69" s="672">
        <v>1</v>
      </c>
      <c r="V69" s="341">
        <f>3.7854*W69/8</f>
        <v>0.56781000000000004</v>
      </c>
      <c r="W69" s="341">
        <f>U69*(6/5)</f>
        <v>1.2</v>
      </c>
      <c r="X69" s="693"/>
      <c r="Y69" s="249"/>
      <c r="Z69" s="252" t="s">
        <v>558</v>
      </c>
      <c r="AA69" s="252" t="s">
        <v>447</v>
      </c>
      <c r="AB69" s="253">
        <v>14</v>
      </c>
      <c r="AC69" s="253">
        <v>0.2</v>
      </c>
      <c r="AD69" s="255">
        <v>0.1</v>
      </c>
      <c r="AE69" s="254">
        <v>19</v>
      </c>
      <c r="AF69" s="255">
        <v>0.5</v>
      </c>
      <c r="AG69" s="255">
        <v>50</v>
      </c>
      <c r="AH69" s="253">
        <v>160</v>
      </c>
      <c r="AI69" s="268">
        <v>0.03</v>
      </c>
      <c r="AJ69" s="268">
        <v>0.1</v>
      </c>
      <c r="AK69" s="268">
        <v>0</v>
      </c>
      <c r="AL69" s="268">
        <v>0.1</v>
      </c>
      <c r="AM69" s="254"/>
      <c r="AN69" s="274">
        <f t="shared" si="19"/>
        <v>0</v>
      </c>
      <c r="AO69" s="253">
        <f t="shared" si="20"/>
        <v>0</v>
      </c>
      <c r="AP69" s="279">
        <f t="shared" si="21"/>
        <v>0</v>
      </c>
      <c r="AQ69" s="279">
        <f t="shared" si="22"/>
        <v>0</v>
      </c>
      <c r="AR69" s="279">
        <f t="shared" si="23"/>
        <v>0</v>
      </c>
      <c r="AS69" s="279">
        <f t="shared" si="24"/>
        <v>0</v>
      </c>
      <c r="AT69" s="253">
        <f t="shared" si="25"/>
        <v>0</v>
      </c>
      <c r="AU69" s="253">
        <f t="shared" si="26"/>
        <v>0</v>
      </c>
      <c r="AV69" s="253">
        <f t="shared" si="27"/>
        <v>0</v>
      </c>
      <c r="AW69" s="253">
        <f t="shared" si="28"/>
        <v>0</v>
      </c>
      <c r="AX69" s="253">
        <f t="shared" si="29"/>
        <v>0</v>
      </c>
      <c r="AY69" s="253">
        <f t="shared" si="30"/>
        <v>0</v>
      </c>
      <c r="AZ69" s="376"/>
      <c r="BA69" s="377"/>
    </row>
    <row r="70" spans="1:53" ht="13.2">
      <c r="A70" s="180">
        <v>7</v>
      </c>
      <c r="B70" s="180">
        <v>6</v>
      </c>
      <c r="C70" s="181">
        <v>0.18</v>
      </c>
      <c r="D70" s="182" t="str">
        <f t="shared" si="31"/>
        <v>PINEAPPLE</v>
      </c>
      <c r="E70" s="183" t="str">
        <f t="shared" si="16"/>
        <v>-</v>
      </c>
      <c r="F70" s="180"/>
      <c r="G70" s="240"/>
      <c r="H70" s="173"/>
      <c r="I70" s="1333" t="s">
        <v>559</v>
      </c>
      <c r="J70" s="1334"/>
      <c r="K70" s="1335"/>
      <c r="L70" s="291" t="str">
        <f>FIXED(AA84*L69,0)</f>
        <v>437</v>
      </c>
      <c r="M70" s="292" t="str">
        <f>FIXED(AA84*M69,0)</f>
        <v>73</v>
      </c>
      <c r="N70" s="293"/>
      <c r="O70" s="293"/>
      <c r="P70" s="293"/>
      <c r="Q70" s="296"/>
      <c r="R70" s="173"/>
      <c r="S70" s="173"/>
      <c r="T70" s="703"/>
      <c r="U70" s="672">
        <v>2</v>
      </c>
      <c r="V70" s="341">
        <f>3.7854*W70/8</f>
        <v>1.1356200000000001</v>
      </c>
      <c r="W70" s="341">
        <f>U70*(6/5)</f>
        <v>2.4</v>
      </c>
      <c r="X70" s="701"/>
      <c r="Y70" s="249"/>
      <c r="Z70" s="252" t="s">
        <v>560</v>
      </c>
      <c r="AA70" s="252" t="s">
        <v>447</v>
      </c>
      <c r="AB70" s="253">
        <v>12</v>
      </c>
      <c r="AC70" s="253">
        <v>1.1000000000000001</v>
      </c>
      <c r="AD70" s="255">
        <v>0.2</v>
      </c>
      <c r="AE70" s="254">
        <v>13</v>
      </c>
      <c r="AF70" s="253">
        <v>0.1</v>
      </c>
      <c r="AG70" s="253">
        <v>80</v>
      </c>
      <c r="AH70" s="253">
        <v>110</v>
      </c>
      <c r="AI70" s="268">
        <v>7.9000000000000001E-2</v>
      </c>
      <c r="AJ70" s="268">
        <v>0.5</v>
      </c>
      <c r="AK70" s="268">
        <v>0.21299999999999999</v>
      </c>
      <c r="AL70" s="268">
        <v>0.112</v>
      </c>
      <c r="AM70" s="254" t="s">
        <v>448</v>
      </c>
      <c r="AN70" s="274">
        <f t="shared" si="19"/>
        <v>0</v>
      </c>
      <c r="AO70" s="253">
        <f t="shared" si="20"/>
        <v>0</v>
      </c>
      <c r="AP70" s="279">
        <f t="shared" si="21"/>
        <v>0</v>
      </c>
      <c r="AQ70" s="279">
        <f t="shared" si="22"/>
        <v>0</v>
      </c>
      <c r="AR70" s="279">
        <f t="shared" si="23"/>
        <v>0</v>
      </c>
      <c r="AS70" s="279">
        <f t="shared" si="24"/>
        <v>0</v>
      </c>
      <c r="AT70" s="253">
        <f t="shared" si="25"/>
        <v>0</v>
      </c>
      <c r="AU70" s="253">
        <f t="shared" si="26"/>
        <v>0</v>
      </c>
      <c r="AV70" s="253">
        <f t="shared" si="27"/>
        <v>0</v>
      </c>
      <c r="AW70" s="253">
        <f t="shared" si="28"/>
        <v>0</v>
      </c>
      <c r="AX70" s="253">
        <f t="shared" si="29"/>
        <v>0</v>
      </c>
      <c r="AY70" s="253">
        <f t="shared" si="30"/>
        <v>0</v>
      </c>
      <c r="AZ70" s="376"/>
      <c r="BA70" s="377"/>
    </row>
    <row r="71" spans="1:53" ht="13.2">
      <c r="A71" s="180">
        <v>7</v>
      </c>
      <c r="B71" s="180">
        <v>24</v>
      </c>
      <c r="C71" s="181">
        <v>0.14000000000000001</v>
      </c>
      <c r="D71" s="182" t="str">
        <f t="shared" si="31"/>
        <v>PLUM</v>
      </c>
      <c r="E71" s="183" t="str">
        <f t="shared" si="16"/>
        <v>EATING</v>
      </c>
      <c r="F71" s="180"/>
      <c r="G71" s="240"/>
      <c r="H71" s="173"/>
      <c r="I71" s="1081" t="s">
        <v>561</v>
      </c>
      <c r="J71" s="1106"/>
      <c r="K71" s="1082"/>
      <c r="L71" s="294" t="str">
        <f>FIXED((L69*AC82*L43/(1000*E8)),0)</f>
        <v>0</v>
      </c>
      <c r="M71" s="295" t="str">
        <f>FIXED((M69*AC82*L43/(1000*E8)),0)</f>
        <v>0</v>
      </c>
      <c r="N71" s="296"/>
      <c r="O71" s="296"/>
      <c r="P71" s="296"/>
      <c r="Q71" s="296"/>
      <c r="R71" s="296"/>
      <c r="S71" s="682"/>
      <c r="T71" s="703"/>
      <c r="U71" s="672">
        <v>10.57</v>
      </c>
      <c r="V71" s="341">
        <f>3.7854*W71/8</f>
        <v>6.0017516999999998</v>
      </c>
      <c r="W71" s="341">
        <f>U71*(6/5)</f>
        <v>12.683999999999999</v>
      </c>
      <c r="X71" s="293"/>
      <c r="Y71" s="249"/>
      <c r="Z71" s="252" t="s">
        <v>562</v>
      </c>
      <c r="AA71" s="252" t="s">
        <v>416</v>
      </c>
      <c r="AB71" s="253">
        <v>10</v>
      </c>
      <c r="AC71" s="255">
        <v>1.5</v>
      </c>
      <c r="AD71" s="253">
        <v>0.15</v>
      </c>
      <c r="AE71" s="254">
        <v>11</v>
      </c>
      <c r="AF71" s="253">
        <v>0.9</v>
      </c>
      <c r="AG71" s="253">
        <v>90</v>
      </c>
      <c r="AH71" s="253">
        <v>155</v>
      </c>
      <c r="AI71" s="268">
        <v>2.8000000000000001E-2</v>
      </c>
      <c r="AJ71" s="268">
        <v>0.41699999999999998</v>
      </c>
      <c r="AK71" s="268">
        <v>0.13500000000000001</v>
      </c>
      <c r="AL71" s="268">
        <v>2.9000000000000001E-2</v>
      </c>
      <c r="AM71" s="254" t="s">
        <v>417</v>
      </c>
      <c r="AN71" s="274">
        <f t="shared" si="19"/>
        <v>0</v>
      </c>
      <c r="AO71" s="253">
        <f t="shared" si="20"/>
        <v>0</v>
      </c>
      <c r="AP71" s="279">
        <f t="shared" si="21"/>
        <v>0</v>
      </c>
      <c r="AQ71" s="279">
        <f t="shared" si="22"/>
        <v>0</v>
      </c>
      <c r="AR71" s="279">
        <f t="shared" si="23"/>
        <v>0</v>
      </c>
      <c r="AS71" s="279">
        <f t="shared" si="24"/>
        <v>0</v>
      </c>
      <c r="AT71" s="253">
        <f t="shared" si="25"/>
        <v>0</v>
      </c>
      <c r="AU71" s="253">
        <f t="shared" si="26"/>
        <v>0</v>
      </c>
      <c r="AV71" s="253">
        <f t="shared" si="27"/>
        <v>0</v>
      </c>
      <c r="AW71" s="253">
        <f t="shared" si="28"/>
        <v>0</v>
      </c>
      <c r="AX71" s="253">
        <f t="shared" si="29"/>
        <v>0</v>
      </c>
      <c r="AY71" s="253">
        <f t="shared" si="30"/>
        <v>0</v>
      </c>
      <c r="AZ71" s="376"/>
      <c r="BA71" s="377"/>
    </row>
    <row r="72" spans="1:53" ht="13.2" customHeight="1">
      <c r="A72" s="180">
        <v>7</v>
      </c>
      <c r="B72" s="180">
        <v>24</v>
      </c>
      <c r="C72" s="181">
        <v>0.14000000000000001</v>
      </c>
      <c r="D72" s="182" t="str">
        <f t="shared" si="31"/>
        <v xml:space="preserve">     "</v>
      </c>
      <c r="E72" s="183" t="str">
        <f t="shared" si="16"/>
        <v>COOKING</v>
      </c>
      <c r="F72" s="180"/>
      <c r="G72" s="240"/>
      <c r="H72" s="173"/>
      <c r="I72" s="1336" t="s">
        <v>563</v>
      </c>
      <c r="J72" s="1337"/>
      <c r="K72" s="1338"/>
      <c r="L72" s="297" t="str">
        <f>FIXED((AA85*L69*AC82),1)</f>
        <v>1.7</v>
      </c>
      <c r="M72" s="298" t="str">
        <f>FIXED((AA85*M69*AC82),1)</f>
        <v>0.3</v>
      </c>
      <c r="N72" s="700"/>
      <c r="O72" s="871"/>
      <c r="P72" s="871"/>
      <c r="Q72" s="871"/>
      <c r="R72" s="871"/>
      <c r="S72" s="173"/>
      <c r="T72" s="703"/>
      <c r="U72" s="700"/>
      <c r="V72" s="700"/>
      <c r="W72" s="700"/>
      <c r="X72" s="296"/>
      <c r="Y72" s="249"/>
      <c r="Z72" s="252" t="s">
        <v>564</v>
      </c>
      <c r="AA72" s="252" t="s">
        <v>421</v>
      </c>
      <c r="AB72" s="253">
        <v>7</v>
      </c>
      <c r="AC72" s="253">
        <v>1.6</v>
      </c>
      <c r="AD72" s="253">
        <v>0.15</v>
      </c>
      <c r="AE72" s="257">
        <v>11</v>
      </c>
      <c r="AF72" s="253">
        <v>0.9</v>
      </c>
      <c r="AG72" s="253">
        <v>90</v>
      </c>
      <c r="AH72" s="253">
        <v>155</v>
      </c>
      <c r="AI72" s="268">
        <v>2.8000000000000001E-2</v>
      </c>
      <c r="AJ72" s="268">
        <v>0.41699999999999998</v>
      </c>
      <c r="AK72" s="268">
        <v>0.13500000000000001</v>
      </c>
      <c r="AL72" s="268">
        <v>2.9000000000000001E-2</v>
      </c>
      <c r="AM72" s="254" t="s">
        <v>417</v>
      </c>
      <c r="AN72" s="274">
        <f t="shared" si="19"/>
        <v>0</v>
      </c>
      <c r="AO72" s="253">
        <f t="shared" si="20"/>
        <v>0</v>
      </c>
      <c r="AP72" s="279">
        <f t="shared" si="21"/>
        <v>0</v>
      </c>
      <c r="AQ72" s="279">
        <f t="shared" si="22"/>
        <v>0</v>
      </c>
      <c r="AR72" s="279">
        <f t="shared" si="23"/>
        <v>0</v>
      </c>
      <c r="AS72" s="279">
        <f t="shared" si="24"/>
        <v>0</v>
      </c>
      <c r="AT72" s="253">
        <f t="shared" si="25"/>
        <v>0</v>
      </c>
      <c r="AU72" s="253">
        <f t="shared" si="26"/>
        <v>0</v>
      </c>
      <c r="AV72" s="253">
        <f t="shared" si="27"/>
        <v>0</v>
      </c>
      <c r="AW72" s="253">
        <f t="shared" si="28"/>
        <v>0</v>
      </c>
      <c r="AX72" s="253">
        <f t="shared" si="29"/>
        <v>0</v>
      </c>
      <c r="AY72" s="253">
        <f t="shared" si="30"/>
        <v>0</v>
      </c>
      <c r="AZ72" s="376"/>
      <c r="BA72" s="377"/>
    </row>
    <row r="73" spans="1:53" ht="13.2" customHeight="1">
      <c r="A73" s="180">
        <v>7</v>
      </c>
      <c r="B73" s="180">
        <v>9</v>
      </c>
      <c r="C73" s="181">
        <v>0.69</v>
      </c>
      <c r="D73" s="182" t="str">
        <f t="shared" si="31"/>
        <v>PRUNES</v>
      </c>
      <c r="E73" s="183" t="str">
        <f t="shared" si="16"/>
        <v>-</v>
      </c>
      <c r="F73" s="180"/>
      <c r="G73" s="240"/>
      <c r="H73" s="173"/>
      <c r="I73" s="1339" t="s">
        <v>565</v>
      </c>
      <c r="J73" s="1340"/>
      <c r="K73" s="1341"/>
      <c r="L73" s="299">
        <f>L70+L71+L72</f>
        <v>438.7</v>
      </c>
      <c r="M73" s="299">
        <f>M70+M71+M72</f>
        <v>73.3</v>
      </c>
      <c r="N73" s="700"/>
      <c r="O73" s="871"/>
      <c r="P73" s="871"/>
      <c r="Q73" s="871"/>
      <c r="R73" s="871"/>
      <c r="S73" s="682"/>
      <c r="T73" s="703"/>
      <c r="U73" s="694" t="s">
        <v>554</v>
      </c>
      <c r="V73" s="694" t="s">
        <v>553</v>
      </c>
      <c r="W73" s="694" t="s">
        <v>552</v>
      </c>
      <c r="X73" s="700"/>
      <c r="Y73" s="249"/>
      <c r="Z73" s="252" t="s">
        <v>566</v>
      </c>
      <c r="AA73" s="252" t="s">
        <v>447</v>
      </c>
      <c r="AB73" s="253">
        <v>47</v>
      </c>
      <c r="AC73" s="253">
        <v>1.3</v>
      </c>
      <c r="AD73" s="255">
        <v>1</v>
      </c>
      <c r="AE73" s="257">
        <v>70</v>
      </c>
      <c r="AF73" s="255">
        <v>5.5</v>
      </c>
      <c r="AG73" s="255">
        <v>50</v>
      </c>
      <c r="AH73" s="253">
        <v>730</v>
      </c>
      <c r="AI73" s="268">
        <v>0.11799999999999999</v>
      </c>
      <c r="AJ73" s="268">
        <v>2.9950000000000001</v>
      </c>
      <c r="AK73" s="268">
        <v>0.41799999999999998</v>
      </c>
      <c r="AL73" s="268">
        <v>0.745</v>
      </c>
      <c r="AM73" s="254" t="s">
        <v>417</v>
      </c>
      <c r="AN73" s="274">
        <f t="shared" si="19"/>
        <v>0</v>
      </c>
      <c r="AO73" s="253">
        <f t="shared" si="20"/>
        <v>0</v>
      </c>
      <c r="AP73" s="279">
        <f t="shared" si="21"/>
        <v>0</v>
      </c>
      <c r="AQ73" s="279">
        <f t="shared" si="22"/>
        <v>0</v>
      </c>
      <c r="AR73" s="279">
        <f t="shared" si="23"/>
        <v>0</v>
      </c>
      <c r="AS73" s="279">
        <f t="shared" si="24"/>
        <v>0</v>
      </c>
      <c r="AT73" s="253">
        <f t="shared" si="25"/>
        <v>0</v>
      </c>
      <c r="AU73" s="253">
        <f t="shared" si="26"/>
        <v>0</v>
      </c>
      <c r="AV73" s="253">
        <f t="shared" si="27"/>
        <v>0</v>
      </c>
      <c r="AW73" s="253">
        <f t="shared" si="28"/>
        <v>0</v>
      </c>
      <c r="AX73" s="253">
        <f t="shared" si="29"/>
        <v>0</v>
      </c>
      <c r="AY73" s="253">
        <f t="shared" si="30"/>
        <v>0</v>
      </c>
      <c r="AZ73" s="376"/>
      <c r="BA73" s="377"/>
    </row>
    <row r="74" spans="1:53" ht="13.2" customHeight="1">
      <c r="A74" s="180">
        <v>7</v>
      </c>
      <c r="B74" s="180">
        <v>12</v>
      </c>
      <c r="C74" s="181">
        <v>0.12</v>
      </c>
      <c r="D74" s="182" t="str">
        <f t="shared" si="31"/>
        <v>QUINCE</v>
      </c>
      <c r="E74" s="183" t="str">
        <f t="shared" si="16"/>
        <v>-</v>
      </c>
      <c r="F74" s="180"/>
      <c r="G74" s="240"/>
      <c r="H74" s="173"/>
      <c r="I74" s="1223" t="s">
        <v>567</v>
      </c>
      <c r="J74" s="1224"/>
      <c r="K74" s="1225"/>
      <c r="L74" s="300" t="str">
        <f>FIXED((AA85*L69)+(L69*L43/(1000*E8)),1)&amp;"g"</f>
        <v>0.4g</v>
      </c>
      <c r="M74" s="301" t="str">
        <f>FIXED((AA85*M69)+(M69*L43/(1000*E8)),1)&amp;"g"</f>
        <v>0.1g</v>
      </c>
      <c r="N74" s="700"/>
      <c r="O74" s="871"/>
      <c r="P74" s="871"/>
      <c r="Q74" s="871"/>
      <c r="R74" s="871"/>
      <c r="S74" s="173"/>
      <c r="T74" s="703"/>
      <c r="U74" s="672">
        <v>1</v>
      </c>
      <c r="V74" s="341">
        <f>3.7854*U74/8</f>
        <v>0.47317500000000001</v>
      </c>
      <c r="W74" s="341">
        <f>U74*(5/6)</f>
        <v>0.83333333333333337</v>
      </c>
      <c r="X74" s="701"/>
      <c r="Y74" s="249"/>
      <c r="Z74" s="252" t="s">
        <v>568</v>
      </c>
      <c r="AA74" s="252" t="s">
        <v>447</v>
      </c>
      <c r="AB74" s="253">
        <v>8</v>
      </c>
      <c r="AC74" s="253">
        <v>0.95</v>
      </c>
      <c r="AD74" s="253">
        <v>0.15</v>
      </c>
      <c r="AE74" s="254">
        <v>15</v>
      </c>
      <c r="AF74" s="253">
        <v>1.1000000000000001</v>
      </c>
      <c r="AG74" s="253">
        <v>50</v>
      </c>
      <c r="AH74" s="253">
        <v>190</v>
      </c>
      <c r="AI74" s="268">
        <v>0.02</v>
      </c>
      <c r="AJ74" s="268">
        <v>0.2</v>
      </c>
      <c r="AK74" s="268">
        <v>8.1000000000000003E-2</v>
      </c>
      <c r="AL74" s="268">
        <v>0.04</v>
      </c>
      <c r="AM74" s="254" t="s">
        <v>417</v>
      </c>
      <c r="AN74" s="274">
        <f t="shared" si="19"/>
        <v>0</v>
      </c>
      <c r="AO74" s="253">
        <f t="shared" si="20"/>
        <v>0</v>
      </c>
      <c r="AP74" s="279">
        <f t="shared" si="21"/>
        <v>0</v>
      </c>
      <c r="AQ74" s="279">
        <f t="shared" si="22"/>
        <v>0</v>
      </c>
      <c r="AR74" s="279">
        <f t="shared" si="23"/>
        <v>0</v>
      </c>
      <c r="AS74" s="279">
        <f t="shared" si="24"/>
        <v>0</v>
      </c>
      <c r="AT74" s="253">
        <f t="shared" si="25"/>
        <v>0</v>
      </c>
      <c r="AU74" s="253">
        <f t="shared" si="26"/>
        <v>0</v>
      </c>
      <c r="AV74" s="253">
        <f t="shared" si="27"/>
        <v>0</v>
      </c>
      <c r="AW74" s="253">
        <f t="shared" si="28"/>
        <v>0</v>
      </c>
      <c r="AX74" s="253">
        <f t="shared" si="29"/>
        <v>0</v>
      </c>
      <c r="AY74" s="253">
        <f t="shared" si="30"/>
        <v>0</v>
      </c>
      <c r="AZ74" s="376"/>
      <c r="BA74" s="377"/>
    </row>
    <row r="75" spans="1:53" ht="13.2">
      <c r="A75" s="180">
        <v>7</v>
      </c>
      <c r="B75" s="180">
        <v>12</v>
      </c>
      <c r="C75" s="181">
        <v>0.23</v>
      </c>
      <c r="D75" s="182" t="str">
        <f t="shared" si="31"/>
        <v>RAISINS ̸ SULTANAS ̸ CURRANTS</v>
      </c>
      <c r="E75" s="183" t="str">
        <f t="shared" si="16"/>
        <v>-</v>
      </c>
      <c r="F75" s="180"/>
      <c r="G75" s="240"/>
      <c r="H75" s="173"/>
      <c r="I75" s="1342" t="s">
        <v>569</v>
      </c>
      <c r="J75" s="1343"/>
      <c r="K75" s="1344"/>
      <c r="L75" s="302" t="str">
        <f>FIXED(L69*L65*L62/E8/1000,1)</f>
        <v>7.8</v>
      </c>
      <c r="M75" s="303" t="str">
        <f>FIXED(M69*L65*L62/E8/1000,1)</f>
        <v>1.3</v>
      </c>
      <c r="N75" s="682"/>
      <c r="O75" s="682"/>
      <c r="P75" s="682"/>
      <c r="Q75" s="296"/>
      <c r="R75" s="296"/>
      <c r="S75" s="682"/>
      <c r="T75" s="703"/>
      <c r="U75" s="672">
        <v>2</v>
      </c>
      <c r="V75" s="341">
        <f>3.7854*U75/8</f>
        <v>0.94635000000000002</v>
      </c>
      <c r="W75" s="341">
        <f>U75*(5/6)</f>
        <v>1.6666666666666667</v>
      </c>
      <c r="X75" s="700"/>
      <c r="Y75" s="249"/>
      <c r="Z75" s="365" t="s">
        <v>570</v>
      </c>
      <c r="AA75" s="252" t="s">
        <v>447</v>
      </c>
      <c r="AB75" s="253">
        <v>67</v>
      </c>
      <c r="AC75" s="253">
        <v>2.2000000000000002</v>
      </c>
      <c r="AD75" s="255">
        <v>0.5</v>
      </c>
      <c r="AE75" s="254">
        <v>79</v>
      </c>
      <c r="AF75" s="255">
        <v>1.6</v>
      </c>
      <c r="AG75" s="255">
        <v>50</v>
      </c>
      <c r="AH75" s="253">
        <v>740</v>
      </c>
      <c r="AI75" s="268">
        <v>0.106</v>
      </c>
      <c r="AJ75" s="268">
        <v>0.76600000000000001</v>
      </c>
      <c r="AK75" s="268">
        <v>9.5000000000000001E-2</v>
      </c>
      <c r="AL75" s="268">
        <v>0.17399999999999999</v>
      </c>
      <c r="AM75" s="254" t="s">
        <v>483</v>
      </c>
      <c r="AN75" s="274">
        <f t="shared" si="19"/>
        <v>0</v>
      </c>
      <c r="AO75" s="253">
        <f t="shared" si="20"/>
        <v>0</v>
      </c>
      <c r="AP75" s="279">
        <f t="shared" si="21"/>
        <v>0</v>
      </c>
      <c r="AQ75" s="279">
        <f t="shared" si="22"/>
        <v>0</v>
      </c>
      <c r="AR75" s="279">
        <f t="shared" si="23"/>
        <v>0</v>
      </c>
      <c r="AS75" s="279">
        <f t="shared" si="24"/>
        <v>0</v>
      </c>
      <c r="AT75" s="253">
        <f t="shared" si="25"/>
        <v>0</v>
      </c>
      <c r="AU75" s="253">
        <f t="shared" si="26"/>
        <v>0</v>
      </c>
      <c r="AV75" s="253">
        <f t="shared" si="27"/>
        <v>0</v>
      </c>
      <c r="AW75" s="253">
        <f t="shared" si="28"/>
        <v>0</v>
      </c>
      <c r="AX75" s="253">
        <f t="shared" si="29"/>
        <v>0</v>
      </c>
      <c r="AY75" s="253">
        <f t="shared" si="30"/>
        <v>0</v>
      </c>
      <c r="AZ75" s="376"/>
      <c r="BA75" s="377"/>
    </row>
    <row r="76" spans="1:53" ht="12" customHeight="1">
      <c r="A76" s="180">
        <v>7</v>
      </c>
      <c r="B76" s="180">
        <v>12</v>
      </c>
      <c r="C76" s="181">
        <v>0.15</v>
      </c>
      <c r="D76" s="182" t="str">
        <f t="shared" si="31"/>
        <v>RASPBERRY</v>
      </c>
      <c r="E76" s="183" t="str">
        <f t="shared" si="16"/>
        <v>-</v>
      </c>
      <c r="F76" s="180"/>
      <c r="G76" s="240"/>
      <c r="H76" s="240"/>
      <c r="I76" s="240"/>
      <c r="J76" s="240"/>
      <c r="K76" s="240"/>
      <c r="L76" s="240"/>
      <c r="M76" s="240"/>
      <c r="N76" s="240"/>
      <c r="O76" s="240"/>
      <c r="P76" s="240"/>
      <c r="Q76" s="240"/>
      <c r="R76" s="682"/>
      <c r="S76" s="682"/>
      <c r="T76" s="703"/>
      <c r="U76" s="672">
        <v>28.53</v>
      </c>
      <c r="V76" s="341">
        <f>3.7854*U76/8</f>
        <v>13.499682750000002</v>
      </c>
      <c r="W76" s="341">
        <f>U76*(5/6)</f>
        <v>23.775000000000002</v>
      </c>
      <c r="X76" s="700"/>
      <c r="Y76" s="249"/>
      <c r="Z76" s="252" t="s">
        <v>571</v>
      </c>
      <c r="AA76" s="252" t="s">
        <v>447</v>
      </c>
      <c r="AB76" s="253">
        <v>6.5</v>
      </c>
      <c r="AC76" s="253">
        <v>1.5</v>
      </c>
      <c r="AD76" s="253">
        <v>0.25</v>
      </c>
      <c r="AE76" s="254">
        <v>12</v>
      </c>
      <c r="AF76" s="253">
        <v>0.5</v>
      </c>
      <c r="AG76" s="253">
        <v>140</v>
      </c>
      <c r="AH76" s="253">
        <v>151</v>
      </c>
      <c r="AI76" s="268">
        <v>0.03</v>
      </c>
      <c r="AJ76" s="268">
        <v>0.6</v>
      </c>
      <c r="AK76" s="270">
        <v>0</v>
      </c>
      <c r="AL76" s="268">
        <v>0.06</v>
      </c>
      <c r="AM76" s="254" t="s">
        <v>448</v>
      </c>
      <c r="AN76" s="274">
        <f t="shared" si="19"/>
        <v>0</v>
      </c>
      <c r="AO76" s="253">
        <f t="shared" si="20"/>
        <v>0</v>
      </c>
      <c r="AP76" s="279">
        <f t="shared" si="21"/>
        <v>0</v>
      </c>
      <c r="AQ76" s="279">
        <f t="shared" si="22"/>
        <v>0</v>
      </c>
      <c r="AR76" s="279">
        <f t="shared" si="23"/>
        <v>0</v>
      </c>
      <c r="AS76" s="279">
        <f t="shared" si="24"/>
        <v>0</v>
      </c>
      <c r="AT76" s="253">
        <f t="shared" si="25"/>
        <v>0</v>
      </c>
      <c r="AU76" s="253">
        <f t="shared" si="26"/>
        <v>0</v>
      </c>
      <c r="AV76" s="253">
        <f t="shared" si="27"/>
        <v>0</v>
      </c>
      <c r="AW76" s="253">
        <f t="shared" si="28"/>
        <v>0</v>
      </c>
      <c r="AX76" s="253">
        <f t="shared" si="29"/>
        <v>0</v>
      </c>
      <c r="AY76" s="253">
        <f t="shared" si="30"/>
        <v>0</v>
      </c>
      <c r="AZ76" s="376"/>
      <c r="BA76" s="377"/>
    </row>
    <row r="77" spans="1:53" ht="15" customHeight="1">
      <c r="A77" s="180">
        <v>7</v>
      </c>
      <c r="B77" s="180">
        <v>4</v>
      </c>
      <c r="C77" s="181">
        <v>0.17</v>
      </c>
      <c r="D77" s="182" t="str">
        <f t="shared" si="31"/>
        <v>REDCURRANT</v>
      </c>
      <c r="E77" s="183" t="str">
        <f t="shared" si="16"/>
        <v>-</v>
      </c>
      <c r="F77" s="180"/>
      <c r="G77" s="240"/>
      <c r="H77" s="173"/>
      <c r="I77" s="682"/>
      <c r="J77" s="682"/>
      <c r="K77" s="682"/>
      <c r="L77" s="682"/>
      <c r="M77" s="682"/>
      <c r="N77" s="682"/>
      <c r="O77" s="682"/>
      <c r="P77" s="682"/>
      <c r="Q77" s="682"/>
      <c r="R77" s="682"/>
      <c r="S77" s="682"/>
      <c r="T77" s="703"/>
      <c r="U77" s="709"/>
      <c r="V77" s="709"/>
      <c r="W77" s="709"/>
      <c r="X77" s="700"/>
      <c r="Y77" s="249"/>
      <c r="Z77" s="252" t="s">
        <v>572</v>
      </c>
      <c r="AA77" s="252" t="s">
        <v>447</v>
      </c>
      <c r="AB77" s="253">
        <v>7.37</v>
      </c>
      <c r="AC77" s="253">
        <v>2.2999999999999998</v>
      </c>
      <c r="AD77" s="253">
        <v>0.1</v>
      </c>
      <c r="AE77" s="254">
        <v>13.8</v>
      </c>
      <c r="AF77" s="253">
        <v>0.6</v>
      </c>
      <c r="AG77" s="253">
        <v>180</v>
      </c>
      <c r="AH77" s="253">
        <v>270</v>
      </c>
      <c r="AI77" s="268">
        <v>0.04</v>
      </c>
      <c r="AJ77" s="268">
        <v>0.1</v>
      </c>
      <c r="AK77" s="268">
        <v>6.4000000000000001E-2</v>
      </c>
      <c r="AL77" s="268">
        <v>7.0000000000000007E-2</v>
      </c>
      <c r="AM77" s="254" t="s">
        <v>448</v>
      </c>
      <c r="AN77" s="274">
        <f t="shared" si="19"/>
        <v>0</v>
      </c>
      <c r="AO77" s="253">
        <f t="shared" si="20"/>
        <v>0</v>
      </c>
      <c r="AP77" s="279">
        <f t="shared" si="21"/>
        <v>0</v>
      </c>
      <c r="AQ77" s="279">
        <f t="shared" si="22"/>
        <v>0</v>
      </c>
      <c r="AR77" s="279">
        <f t="shared" si="23"/>
        <v>0</v>
      </c>
      <c r="AS77" s="279">
        <f t="shared" si="24"/>
        <v>0</v>
      </c>
      <c r="AT77" s="253">
        <f t="shared" si="25"/>
        <v>0</v>
      </c>
      <c r="AU77" s="253">
        <f t="shared" si="26"/>
        <v>0</v>
      </c>
      <c r="AV77" s="253">
        <f t="shared" si="27"/>
        <v>0</v>
      </c>
      <c r="AW77" s="253">
        <f t="shared" si="28"/>
        <v>0</v>
      </c>
      <c r="AX77" s="253">
        <f t="shared" si="29"/>
        <v>0</v>
      </c>
      <c r="AY77" s="253">
        <f t="shared" si="30"/>
        <v>0</v>
      </c>
      <c r="AZ77" s="376"/>
      <c r="BA77" s="377"/>
    </row>
    <row r="78" spans="1:53" ht="15" customHeight="1">
      <c r="A78" s="180">
        <v>7</v>
      </c>
      <c r="B78" s="180">
        <v>9</v>
      </c>
      <c r="C78" s="181">
        <v>0.2</v>
      </c>
      <c r="D78" s="182" t="str">
        <f t="shared" si="31"/>
        <v>RHUBARB ▼</v>
      </c>
      <c r="E78" s="183" t="str">
        <f t="shared" si="16"/>
        <v>FLESH</v>
      </c>
      <c r="F78" s="180"/>
      <c r="G78" s="240"/>
      <c r="H78" s="173"/>
      <c r="I78" s="1345" t="s">
        <v>573</v>
      </c>
      <c r="J78" s="1345"/>
      <c r="K78" s="1345"/>
      <c r="L78" s="1345"/>
      <c r="M78" s="304"/>
      <c r="N78" s="304"/>
      <c r="O78" s="304"/>
      <c r="P78" s="304"/>
      <c r="Q78" s="304"/>
      <c r="R78" s="304"/>
      <c r="S78" s="342"/>
      <c r="T78" s="709"/>
      <c r="U78" s="709"/>
      <c r="V78" s="709"/>
      <c r="W78" s="643"/>
      <c r="X78" s="700"/>
      <c r="Y78" s="249"/>
      <c r="Z78" s="252" t="s">
        <v>574</v>
      </c>
      <c r="AA78" s="252" t="s">
        <v>429</v>
      </c>
      <c r="AB78" s="253">
        <v>1.1000000000000001</v>
      </c>
      <c r="AC78" s="253">
        <v>1.5</v>
      </c>
      <c r="AD78" s="253">
        <v>0.1</v>
      </c>
      <c r="AE78" s="254">
        <v>4.5</v>
      </c>
      <c r="AF78" s="253">
        <v>0.4</v>
      </c>
      <c r="AG78" s="253">
        <v>100</v>
      </c>
      <c r="AH78" s="253">
        <v>280</v>
      </c>
      <c r="AI78" s="268">
        <v>0.02</v>
      </c>
      <c r="AJ78" s="268">
        <v>0.3</v>
      </c>
      <c r="AK78" s="268">
        <v>8.5000000000000006E-2</v>
      </c>
      <c r="AL78" s="268">
        <v>2.4E-2</v>
      </c>
      <c r="AM78" s="254" t="s">
        <v>417</v>
      </c>
      <c r="AN78" s="274">
        <f t="shared" si="19"/>
        <v>0</v>
      </c>
      <c r="AO78" s="253">
        <f t="shared" si="20"/>
        <v>0</v>
      </c>
      <c r="AP78" s="279">
        <f t="shared" si="21"/>
        <v>0</v>
      </c>
      <c r="AQ78" s="279">
        <f t="shared" si="22"/>
        <v>0</v>
      </c>
      <c r="AR78" s="279">
        <f t="shared" si="23"/>
        <v>0</v>
      </c>
      <c r="AS78" s="279">
        <f t="shared" si="24"/>
        <v>0</v>
      </c>
      <c r="AT78" s="253">
        <f t="shared" si="25"/>
        <v>0</v>
      </c>
      <c r="AU78" s="253">
        <f t="shared" si="26"/>
        <v>0</v>
      </c>
      <c r="AV78" s="253">
        <f t="shared" si="27"/>
        <v>0</v>
      </c>
      <c r="AW78" s="253">
        <f t="shared" si="28"/>
        <v>0</v>
      </c>
      <c r="AX78" s="253">
        <f t="shared" si="29"/>
        <v>0</v>
      </c>
      <c r="AY78" s="253">
        <f t="shared" si="30"/>
        <v>0</v>
      </c>
      <c r="AZ78" s="376"/>
      <c r="BA78" s="377"/>
    </row>
    <row r="79" spans="1:53" ht="15" customHeight="1">
      <c r="A79" s="180" t="s">
        <v>435</v>
      </c>
      <c r="B79" s="180">
        <v>6</v>
      </c>
      <c r="C79" s="181">
        <v>0</v>
      </c>
      <c r="D79" s="182" t="str">
        <f t="shared" si="31"/>
        <v xml:space="preserve">         "</v>
      </c>
      <c r="E79" s="183" t="str">
        <f t="shared" si="16"/>
        <v>JUICE</v>
      </c>
      <c r="F79" s="180"/>
      <c r="G79" s="240"/>
      <c r="H79" s="173"/>
      <c r="I79" s="1292" t="str">
        <f>"Do not add a crushed Campden tablet after racking of the lees. To be used for UNSWEETENED ciders, meads &amp; sparkling wines ONLY. Cell L43 MUST be ""0"" (presently set to "&amp;FIXED(L43,0)&amp;"g)."</f>
        <v>Do not add a crushed Campden tablet after racking of the lees. To be used for UNSWEETENED ciders, meads &amp; sparkling wines ONLY. Cell L43 MUST be "0" (presently set to 0g).</v>
      </c>
      <c r="J79" s="1292"/>
      <c r="K79" s="1292"/>
      <c r="L79" s="1292"/>
      <c r="M79" s="1320"/>
      <c r="N79" s="1320"/>
      <c r="O79" s="1320"/>
      <c r="P79" s="1320"/>
      <c r="Q79" s="1320"/>
      <c r="R79" s="1320"/>
      <c r="S79" s="1320"/>
      <c r="T79" s="1320"/>
      <c r="U79" s="1320"/>
      <c r="V79" s="1320"/>
      <c r="W79" s="700"/>
      <c r="X79" s="700"/>
      <c r="Y79" s="249"/>
      <c r="Z79" s="252" t="s">
        <v>575</v>
      </c>
      <c r="AA79" s="252" t="s">
        <v>466</v>
      </c>
      <c r="AB79" s="255">
        <v>1</v>
      </c>
      <c r="AC79" s="255">
        <v>1.4</v>
      </c>
      <c r="AD79" s="255">
        <v>0.1</v>
      </c>
      <c r="AE79" s="257">
        <v>1.1000000000000001</v>
      </c>
      <c r="AF79" s="255">
        <v>0.2</v>
      </c>
      <c r="AG79" s="255">
        <v>100</v>
      </c>
      <c r="AH79" s="255">
        <v>150</v>
      </c>
      <c r="AI79" s="270">
        <v>0.02</v>
      </c>
      <c r="AJ79" s="270">
        <v>0.3</v>
      </c>
      <c r="AK79" s="270">
        <v>0.08</v>
      </c>
      <c r="AL79" s="270">
        <v>0.02</v>
      </c>
      <c r="AM79" s="254" t="s">
        <v>417</v>
      </c>
      <c r="AN79" s="274">
        <f t="shared" si="19"/>
        <v>0</v>
      </c>
      <c r="AO79" s="253">
        <f t="shared" si="20"/>
        <v>0</v>
      </c>
      <c r="AP79" s="279">
        <f t="shared" si="21"/>
        <v>0</v>
      </c>
      <c r="AQ79" s="279">
        <f t="shared" si="22"/>
        <v>0</v>
      </c>
      <c r="AR79" s="279">
        <f t="shared" si="23"/>
        <v>0</v>
      </c>
      <c r="AS79" s="279">
        <f t="shared" si="24"/>
        <v>0</v>
      </c>
      <c r="AT79" s="253">
        <f t="shared" si="25"/>
        <v>0</v>
      </c>
      <c r="AU79" s="253">
        <f t="shared" si="26"/>
        <v>0</v>
      </c>
      <c r="AV79" s="253">
        <f t="shared" si="27"/>
        <v>0</v>
      </c>
      <c r="AW79" s="253">
        <f t="shared" si="28"/>
        <v>0</v>
      </c>
      <c r="AX79" s="253">
        <f t="shared" si="29"/>
        <v>0</v>
      </c>
      <c r="AY79" s="253">
        <f t="shared" si="30"/>
        <v>0</v>
      </c>
      <c r="AZ79" s="376"/>
      <c r="BA79" s="377"/>
    </row>
    <row r="80" spans="1:53" ht="15" customHeight="1">
      <c r="A80" s="1398"/>
      <c r="B80" s="1398"/>
      <c r="C80" s="1413"/>
      <c r="D80" s="283" t="s">
        <v>576</v>
      </c>
      <c r="E80" s="284">
        <v>750</v>
      </c>
      <c r="F80" s="285" t="s">
        <v>577</v>
      </c>
      <c r="G80" s="240"/>
      <c r="H80" s="173"/>
      <c r="I80" s="952" t="s">
        <v>578</v>
      </c>
      <c r="J80" s="1295"/>
      <c r="K80" s="1295"/>
      <c r="L80" s="769"/>
      <c r="M80" s="1076" t="str">
        <f>"g ̸ litre, un-disolved, equivalent to "&amp;FIXED(L80/S100)&amp;" level 5ml tsp for a 1000ml bottle or "&amp;FIXED(L80*E8,2)&amp;"g for "&amp;E8&amp;" litres."</f>
        <v>g ̸ litre, un-disolved, equivalent to 0.00 level 5ml tsp for a 1000ml bottle or 0.00g for 4.5 litres.</v>
      </c>
      <c r="N80" s="1321"/>
      <c r="O80" s="1321"/>
      <c r="P80" s="1321"/>
      <c r="Q80" s="1321"/>
      <c r="R80" s="1321"/>
      <c r="S80" s="1321"/>
      <c r="T80" s="1321"/>
      <c r="U80" s="1077"/>
      <c r="V80" s="343"/>
      <c r="W80" s="700"/>
      <c r="X80" s="700"/>
      <c r="Y80" s="249"/>
      <c r="Z80" s="741"/>
      <c r="AA80" s="741"/>
      <c r="AB80" s="741"/>
      <c r="AC80" s="741"/>
      <c r="AD80" s="741"/>
      <c r="AE80" s="741"/>
      <c r="AF80" s="741"/>
      <c r="AG80" s="741"/>
      <c r="AH80" s="741"/>
      <c r="AI80" s="741"/>
      <c r="AJ80" s="741"/>
      <c r="AK80" s="741"/>
      <c r="AL80" s="741"/>
      <c r="AM80" s="742"/>
      <c r="AN80" s="274"/>
      <c r="AO80" s="674"/>
      <c r="AP80" s="674"/>
      <c r="AQ80" s="674"/>
      <c r="AR80" s="674"/>
      <c r="AS80" s="674"/>
      <c r="AT80" s="674"/>
      <c r="AU80" s="674"/>
      <c r="AV80" s="674"/>
      <c r="AW80" s="674"/>
      <c r="AX80" s="674"/>
      <c r="AY80" s="674"/>
      <c r="AZ80" s="675"/>
      <c r="BA80" s="377"/>
    </row>
    <row r="81" spans="1:53" ht="15" customHeight="1">
      <c r="A81" s="1398"/>
      <c r="B81" s="1398"/>
      <c r="C81" s="1413"/>
      <c r="D81" s="768" t="str">
        <f>0+F78&amp;"g rhubarb flesh gives "&amp;1*FIXED(E80*F78/1000,0)&amp;"ml juice."</f>
        <v>0g rhubarb flesh gives 0ml juice.</v>
      </c>
      <c r="E81" s="1428" t="s">
        <v>579</v>
      </c>
      <c r="F81" s="1429"/>
      <c r="G81" s="240"/>
      <c r="H81" s="173"/>
      <c r="I81" s="1315" t="s">
        <v>580</v>
      </c>
      <c r="J81" s="1071"/>
      <c r="K81" s="1316"/>
      <c r="L81" s="305">
        <f>L90</f>
        <v>750</v>
      </c>
      <c r="M81" s="1081" t="str">
        <f>"ml, use "&amp;FIXED(L80*(L81/1000),2)&amp;"g, this is equivalent to "&amp;FIXED(((L81/1000)*L80/S100),2)&amp;" level 5ml tsp per bottle."</f>
        <v>ml, use 0.00g, this is equivalent to 0.00 level 5ml tsp per bottle.</v>
      </c>
      <c r="N81" s="1106"/>
      <c r="O81" s="1106"/>
      <c r="P81" s="1106"/>
      <c r="Q81" s="1106"/>
      <c r="R81" s="1106"/>
      <c r="S81" s="1106"/>
      <c r="T81" s="1106"/>
      <c r="U81" s="1082"/>
      <c r="V81" s="343"/>
      <c r="W81" s="700"/>
      <c r="X81" s="700"/>
      <c r="Y81" s="249"/>
      <c r="Z81" s="743"/>
      <c r="AA81" s="744" t="s">
        <v>581</v>
      </c>
      <c r="AB81" s="744" t="s">
        <v>582</v>
      </c>
      <c r="AC81" s="744" t="s">
        <v>583</v>
      </c>
      <c r="AD81" s="745"/>
      <c r="AE81" s="745"/>
      <c r="AF81" s="743"/>
      <c r="AG81" s="743"/>
      <c r="AH81" s="743"/>
      <c r="AI81" s="743"/>
      <c r="AJ81" s="743"/>
      <c r="AK81" s="743"/>
      <c r="AL81" s="743"/>
      <c r="AM81" s="746"/>
      <c r="AN81" s="676"/>
      <c r="AO81" s="676"/>
      <c r="AP81" s="676"/>
      <c r="AQ81" s="676"/>
      <c r="AR81" s="676"/>
      <c r="AS81" s="676"/>
      <c r="AT81" s="676"/>
      <c r="AU81" s="676"/>
      <c r="AV81" s="676"/>
      <c r="AW81" s="676"/>
      <c r="AX81" s="676"/>
      <c r="AY81" s="676"/>
      <c r="AZ81" s="675"/>
      <c r="BA81" s="663"/>
    </row>
    <row r="82" spans="1:53" ht="15" customHeight="1">
      <c r="A82" s="1398"/>
      <c r="B82" s="1398"/>
      <c r="C82" s="1413"/>
      <c r="D82" s="1431" t="str">
        <f>"OR  "&amp;(0+F79)&amp;"ml juice requires "&amp;1*FIXED((F79*1000/E80),0)&amp;"g rhubarb flesh."</f>
        <v>OR  0ml juice requires 0g rhubarb flesh.</v>
      </c>
      <c r="E82" s="1107"/>
      <c r="F82" s="1432"/>
      <c r="G82" s="240"/>
      <c r="H82" s="173"/>
      <c r="I82" s="1433" t="s">
        <v>584</v>
      </c>
      <c r="J82" s="1434"/>
      <c r="K82" s="1435"/>
      <c r="L82" s="306">
        <v>20</v>
      </c>
      <c r="M82" s="1081" t="s">
        <v>585</v>
      </c>
      <c r="N82" s="1106"/>
      <c r="O82" s="1106"/>
      <c r="P82" s="1106"/>
      <c r="Q82" s="1106"/>
      <c r="R82" s="1106"/>
      <c r="S82" s="1106"/>
      <c r="T82" s="1106"/>
      <c r="U82" s="1082"/>
      <c r="V82" s="343"/>
      <c r="W82" s="700"/>
      <c r="X82" s="700"/>
      <c r="Y82" s="249"/>
      <c r="Z82" s="743"/>
      <c r="AA82" s="747">
        <v>789.4</v>
      </c>
      <c r="AB82" s="748">
        <v>7.07</v>
      </c>
      <c r="AC82" s="748">
        <v>3.85</v>
      </c>
      <c r="AD82" s="749"/>
      <c r="AE82" s="749"/>
      <c r="AF82" s="741"/>
      <c r="AG82" s="741"/>
      <c r="AH82" s="741"/>
      <c r="AI82" s="741"/>
      <c r="AJ82" s="741"/>
      <c r="AK82" s="741"/>
      <c r="AL82" s="741"/>
      <c r="AM82" s="746"/>
      <c r="AN82" s="274"/>
      <c r="AO82" s="675"/>
      <c r="AP82" s="671"/>
      <c r="AQ82" s="671"/>
      <c r="AR82" s="671"/>
      <c r="AS82" s="671"/>
      <c r="AT82" s="675"/>
      <c r="AU82" s="675"/>
      <c r="AV82" s="675"/>
      <c r="AW82" s="675"/>
      <c r="AX82" s="675"/>
      <c r="AY82" s="675"/>
      <c r="AZ82" s="675"/>
      <c r="BA82" s="663"/>
    </row>
    <row r="83" spans="1:53" ht="15" customHeight="1">
      <c r="A83" s="1398"/>
      <c r="B83" s="1398"/>
      <c r="C83" s="1413"/>
      <c r="D83" s="1317" t="s">
        <v>586</v>
      </c>
      <c r="E83" s="1318"/>
      <c r="F83" s="1319"/>
      <c r="G83" s="240"/>
      <c r="H83" s="173"/>
      <c r="I83" s="1315" t="s">
        <v>587</v>
      </c>
      <c r="J83" s="1071"/>
      <c r="K83" s="1316"/>
      <c r="L83" s="307">
        <f>L80*Q163+VLOOKUP(L82,P166:Q209,2)</f>
        <v>0.877</v>
      </c>
      <c r="M83" s="1315" t="s">
        <v>588</v>
      </c>
      <c r="N83" s="1071"/>
      <c r="O83" s="1071"/>
      <c r="P83" s="1071"/>
      <c r="Q83" s="1071"/>
      <c r="R83" s="1071"/>
      <c r="S83" s="1071"/>
      <c r="T83" s="1071"/>
      <c r="U83" s="1316"/>
      <c r="V83" s="343"/>
      <c r="W83" s="700"/>
      <c r="X83" s="700"/>
      <c r="Y83" s="249"/>
      <c r="Z83" s="743"/>
      <c r="AA83" s="750"/>
      <c r="AB83" s="750"/>
      <c r="AC83" s="751">
        <f>AA82*AB82/1000</f>
        <v>5.5810579999999996</v>
      </c>
      <c r="AD83" s="751">
        <f>0.01*AC83*(L85-L86)/(7.75-(3*(L85-1000)/800))</f>
        <v>0.58252189025431611</v>
      </c>
      <c r="AE83" s="752" t="s">
        <v>589</v>
      </c>
      <c r="AF83" s="743"/>
      <c r="AG83" s="743"/>
      <c r="AH83" s="743"/>
      <c r="AI83" s="743"/>
      <c r="AJ83" s="743"/>
      <c r="AK83" s="743"/>
      <c r="AL83" s="743"/>
      <c r="AM83" s="746"/>
      <c r="AN83" s="274"/>
      <c r="AO83" s="675"/>
      <c r="AP83" s="671"/>
      <c r="AQ83" s="671"/>
      <c r="AR83" s="671"/>
      <c r="AS83" s="671"/>
      <c r="AT83" s="675"/>
      <c r="AU83" s="675"/>
      <c r="AV83" s="675"/>
      <c r="AW83" s="675"/>
      <c r="AX83" s="675"/>
      <c r="AY83" s="675"/>
      <c r="AZ83" s="675"/>
      <c r="BA83" s="663"/>
    </row>
    <row r="84" spans="1:53" ht="15" customHeight="1">
      <c r="A84" s="1398"/>
      <c r="B84" s="1398"/>
      <c r="C84" s="1413"/>
      <c r="D84" s="1318"/>
      <c r="E84" s="1318"/>
      <c r="F84" s="1319"/>
      <c r="G84" s="240"/>
      <c r="H84" s="173"/>
      <c r="I84" s="1315" t="s">
        <v>590</v>
      </c>
      <c r="J84" s="1071"/>
      <c r="K84" s="1071"/>
      <c r="L84" s="308">
        <f>(SUM(-16.6999,PRODUCT(-0.0101059,(((L82+40)*(9/5))-40)),PRODUCT(0.00116512,POWER((((L82+40)*(9/5))-40),2)),PRODUCT(0.173354,(((L82+40)*(9/5))-40),L83),PRODUCT(4.24267,L83),PRODUCT(-0.0684226,POWER(L83,2))))</f>
        <v>2.0067486080845991</v>
      </c>
      <c r="M84" s="1315" t="str">
        <f>"PSI  OR  "&amp;FIXED(L84*0.068046)&amp;" Atm. OR "&amp;FIXED(L84*0.068948)&amp;" Bar."</f>
        <v>PSI  OR  0.14 Atm. OR 0.14 Bar.</v>
      </c>
      <c r="N84" s="1071"/>
      <c r="O84" s="1071"/>
      <c r="P84" s="1071"/>
      <c r="Q84" s="1071"/>
      <c r="R84" s="1071"/>
      <c r="S84" s="1071"/>
      <c r="T84" s="1071"/>
      <c r="U84" s="1316"/>
      <c r="V84" s="343"/>
      <c r="W84" s="700"/>
      <c r="X84" s="700"/>
      <c r="Y84" s="249"/>
      <c r="Z84" s="743"/>
      <c r="AA84" s="753">
        <f>0.01*AC83*(1000+(L63-1000)*(L61/L60)-L64)/(7.75-(3*(L63-1000)/800))</f>
        <v>0.58252189025431611</v>
      </c>
      <c r="AB84" s="754" t="s">
        <v>589</v>
      </c>
      <c r="AC84" s="754">
        <f>AA84*L69</f>
        <v>436.89141769073706</v>
      </c>
      <c r="AD84" s="753">
        <f>U27/(L60*1000)</f>
        <v>5.7500000000000324E-4</v>
      </c>
      <c r="AE84" s="752" t="s">
        <v>589</v>
      </c>
      <c r="AF84" s="743"/>
      <c r="AG84" s="743"/>
      <c r="AH84" s="743"/>
      <c r="AI84" s="743"/>
      <c r="AJ84" s="743"/>
      <c r="AK84" s="743"/>
      <c r="AL84" s="743"/>
      <c r="AM84" s="746"/>
      <c r="AN84" s="274"/>
      <c r="AO84" s="675"/>
      <c r="AP84" s="671"/>
      <c r="AQ84" s="671"/>
      <c r="AR84" s="671"/>
      <c r="AS84" s="671"/>
      <c r="AT84" s="675"/>
      <c r="AU84" s="675"/>
      <c r="AV84" s="675"/>
      <c r="AW84" s="675"/>
      <c r="AX84" s="675"/>
      <c r="AY84" s="675"/>
      <c r="AZ84" s="675"/>
      <c r="BA84" s="663"/>
    </row>
    <row r="85" spans="1:53" ht="15" customHeight="1">
      <c r="A85" s="1398"/>
      <c r="B85" s="1398"/>
      <c r="C85" s="1413"/>
      <c r="D85" s="1318"/>
      <c r="E85" s="1318"/>
      <c r="F85" s="1319"/>
      <c r="G85" s="240"/>
      <c r="H85" s="173"/>
      <c r="I85" s="1315" t="s">
        <v>591</v>
      </c>
      <c r="J85" s="1071"/>
      <c r="K85" s="1316"/>
      <c r="L85" s="707">
        <f>1000+(L63-1000)*(L61/L60)+0.375*L80</f>
        <v>1072.34375</v>
      </c>
      <c r="M85" s="939"/>
      <c r="N85" s="940"/>
      <c r="O85" s="940"/>
      <c r="P85" s="940"/>
      <c r="Q85" s="940"/>
      <c r="R85" s="940"/>
      <c r="S85" s="940"/>
      <c r="T85" s="940"/>
      <c r="U85" s="1347"/>
      <c r="V85" s="343"/>
      <c r="W85" s="700"/>
      <c r="X85" s="700"/>
      <c r="Y85" s="249"/>
      <c r="Z85" s="743"/>
      <c r="AA85" s="753">
        <f>U27/(L60*1000)</f>
        <v>5.7500000000000324E-4</v>
      </c>
      <c r="AB85" s="754" t="s">
        <v>589</v>
      </c>
      <c r="AC85" s="754">
        <f>AA85*L69</f>
        <v>0.43125000000000241</v>
      </c>
      <c r="AD85" s="749"/>
      <c r="AE85" s="749"/>
      <c r="AF85" s="743"/>
      <c r="AG85" s="743"/>
      <c r="AH85" s="743"/>
      <c r="AI85" s="743"/>
      <c r="AJ85" s="743"/>
      <c r="AK85" s="743"/>
      <c r="AL85" s="743"/>
      <c r="AM85" s="746"/>
      <c r="AN85" s="675"/>
      <c r="AO85" s="675"/>
      <c r="AP85" s="675"/>
      <c r="AQ85" s="675"/>
      <c r="AR85" s="675"/>
      <c r="AS85" s="675"/>
      <c r="AT85" s="675"/>
      <c r="AU85" s="675"/>
      <c r="AV85" s="675"/>
      <c r="AW85" s="675"/>
      <c r="AX85" s="675"/>
      <c r="AY85" s="675"/>
      <c r="AZ85" s="675"/>
      <c r="BA85" s="253"/>
    </row>
    <row r="86" spans="1:53" ht="15" customHeight="1">
      <c r="A86" s="180">
        <v>7</v>
      </c>
      <c r="B86" s="180">
        <v>12</v>
      </c>
      <c r="C86" s="181">
        <v>0.17</v>
      </c>
      <c r="D86" s="182" t="str">
        <f t="shared" ref="D86:E92" si="33">Z86</f>
        <v>SLOE</v>
      </c>
      <c r="E86" s="183" t="str">
        <f t="shared" si="33"/>
        <v>-</v>
      </c>
      <c r="F86" s="180"/>
      <c r="G86" s="240"/>
      <c r="H86" s="173"/>
      <c r="I86" s="1315" t="s">
        <v>592</v>
      </c>
      <c r="J86" s="1071"/>
      <c r="K86" s="1316"/>
      <c r="L86" s="707">
        <f>L64-(1.079*0.375*L80/E8)</f>
        <v>994.28484374999994</v>
      </c>
      <c r="M86" s="1315"/>
      <c r="N86" s="1071"/>
      <c r="O86" s="1071"/>
      <c r="P86" s="1071"/>
      <c r="Q86" s="1071"/>
      <c r="R86" s="1071"/>
      <c r="S86" s="1071"/>
      <c r="T86" s="1071"/>
      <c r="U86" s="1316"/>
      <c r="V86" s="343"/>
      <c r="W86" s="700"/>
      <c r="X86" s="700"/>
      <c r="Y86" s="249"/>
      <c r="Z86" s="252" t="s">
        <v>593</v>
      </c>
      <c r="AA86" s="252" t="s">
        <v>447</v>
      </c>
      <c r="AB86" s="253">
        <v>8</v>
      </c>
      <c r="AC86" s="255">
        <v>2</v>
      </c>
      <c r="AD86" s="255">
        <v>0.3</v>
      </c>
      <c r="AE86" s="257">
        <v>9</v>
      </c>
      <c r="AF86" s="255">
        <v>0.5</v>
      </c>
      <c r="AG86" s="255">
        <v>100</v>
      </c>
      <c r="AH86" s="255">
        <v>150</v>
      </c>
      <c r="AI86" s="370">
        <v>0.02</v>
      </c>
      <c r="AJ86" s="370">
        <v>0.3</v>
      </c>
      <c r="AK86" s="370">
        <v>0.08</v>
      </c>
      <c r="AL86" s="370">
        <v>0.02</v>
      </c>
      <c r="AM86" s="254"/>
      <c r="AN86" s="274">
        <f t="shared" ref="AN86:AN92" si="34">C86*F86</f>
        <v>0</v>
      </c>
      <c r="AO86" s="253">
        <f t="shared" ref="AO86:AO92" si="35">F86*AB86/100</f>
        <v>0</v>
      </c>
      <c r="AP86" s="279">
        <f t="shared" ref="AP86:AP92" si="36">F86*AC86/100</f>
        <v>0</v>
      </c>
      <c r="AQ86" s="279">
        <f t="shared" ref="AQ86:AQ92" si="37">F86*AD86/100</f>
        <v>0</v>
      </c>
      <c r="AR86" s="279">
        <f t="shared" ref="AR86:AR92" si="38">F86*(AE86-AB86)/100</f>
        <v>0</v>
      </c>
      <c r="AS86" s="279">
        <f t="shared" ref="AS86:AS92" si="39">F86*AF86/1200</f>
        <v>0</v>
      </c>
      <c r="AT86" s="253">
        <f t="shared" ref="AT86:AY92" si="40">$F86*AG86/100</f>
        <v>0</v>
      </c>
      <c r="AU86" s="253">
        <f t="shared" si="40"/>
        <v>0</v>
      </c>
      <c r="AV86" s="253">
        <f t="shared" si="40"/>
        <v>0</v>
      </c>
      <c r="AW86" s="253">
        <f t="shared" si="40"/>
        <v>0</v>
      </c>
      <c r="AX86" s="253">
        <f t="shared" si="40"/>
        <v>0</v>
      </c>
      <c r="AY86" s="253">
        <f t="shared" si="40"/>
        <v>0</v>
      </c>
      <c r="AZ86" s="376"/>
      <c r="BA86" s="663"/>
    </row>
    <row r="87" spans="1:53" ht="15" customHeight="1">
      <c r="A87" s="180">
        <v>7</v>
      </c>
      <c r="B87" s="180">
        <v>6</v>
      </c>
      <c r="C87" s="181">
        <v>0.1</v>
      </c>
      <c r="D87" s="182" t="str">
        <f t="shared" si="33"/>
        <v>STRAWBERRY</v>
      </c>
      <c r="E87" s="183" t="str">
        <f t="shared" si="33"/>
        <v>-</v>
      </c>
      <c r="F87" s="180"/>
      <c r="G87" s="240"/>
      <c r="H87" s="173"/>
      <c r="I87" s="956" t="s">
        <v>594</v>
      </c>
      <c r="J87" s="1296"/>
      <c r="K87" s="1296"/>
      <c r="L87" s="309">
        <f>(L85-L86)/(7.75-(3*(L85-1000)/800))</f>
        <v>10.437481392494329</v>
      </c>
      <c r="M87" s="956" t="s">
        <v>100</v>
      </c>
      <c r="N87" s="1296"/>
      <c r="O87" s="1296"/>
      <c r="P87" s="1296"/>
      <c r="Q87" s="1296"/>
      <c r="R87" s="1296"/>
      <c r="S87" s="1296"/>
      <c r="T87" s="1296"/>
      <c r="U87" s="957"/>
      <c r="V87" s="343"/>
      <c r="W87" s="700"/>
      <c r="X87" s="700"/>
      <c r="Y87" s="249"/>
      <c r="Z87" s="252" t="s">
        <v>595</v>
      </c>
      <c r="AA87" s="252" t="s">
        <v>447</v>
      </c>
      <c r="AB87" s="253">
        <v>5.5</v>
      </c>
      <c r="AC87" s="253">
        <v>1</v>
      </c>
      <c r="AD87" s="253">
        <v>0.4</v>
      </c>
      <c r="AE87" s="254">
        <v>8</v>
      </c>
      <c r="AF87" s="253">
        <v>0.5</v>
      </c>
      <c r="AG87" s="253">
        <v>100</v>
      </c>
      <c r="AH87" s="253">
        <v>290</v>
      </c>
      <c r="AI87" s="371">
        <v>0.03</v>
      </c>
      <c r="AJ87" s="371">
        <v>0.6</v>
      </c>
      <c r="AK87" s="371">
        <v>0</v>
      </c>
      <c r="AL87" s="371">
        <v>0</v>
      </c>
      <c r="AM87" s="372"/>
      <c r="AN87" s="274">
        <f t="shared" si="34"/>
        <v>0</v>
      </c>
      <c r="AO87" s="253">
        <f t="shared" si="35"/>
        <v>0</v>
      </c>
      <c r="AP87" s="279">
        <f t="shared" si="36"/>
        <v>0</v>
      </c>
      <c r="AQ87" s="279">
        <f t="shared" si="37"/>
        <v>0</v>
      </c>
      <c r="AR87" s="279">
        <f t="shared" si="38"/>
        <v>0</v>
      </c>
      <c r="AS87" s="279">
        <f t="shared" si="39"/>
        <v>0</v>
      </c>
      <c r="AT87" s="253">
        <f t="shared" si="40"/>
        <v>0</v>
      </c>
      <c r="AU87" s="253">
        <f t="shared" si="40"/>
        <v>0</v>
      </c>
      <c r="AV87" s="253">
        <f t="shared" si="40"/>
        <v>0</v>
      </c>
      <c r="AW87" s="253">
        <f t="shared" si="40"/>
        <v>0</v>
      </c>
      <c r="AX87" s="253">
        <f t="shared" si="40"/>
        <v>0</v>
      </c>
      <c r="AY87" s="253">
        <f t="shared" si="40"/>
        <v>0</v>
      </c>
      <c r="AZ87" s="376"/>
      <c r="BA87" s="664"/>
    </row>
    <row r="88" spans="1:53" ht="15" customHeight="1">
      <c r="A88" s="180">
        <v>7</v>
      </c>
      <c r="B88" s="180">
        <v>6</v>
      </c>
      <c r="C88" s="181">
        <v>0.12</v>
      </c>
      <c r="D88" s="182" t="str">
        <f t="shared" si="33"/>
        <v>TANGERINE</v>
      </c>
      <c r="E88" s="183" t="str">
        <f t="shared" si="33"/>
        <v>FLESH</v>
      </c>
      <c r="F88" s="180"/>
      <c r="G88" s="240"/>
      <c r="H88" s="173"/>
      <c r="I88" s="693"/>
      <c r="J88" s="693"/>
      <c r="K88" s="693"/>
      <c r="L88" s="693"/>
      <c r="M88" s="693"/>
      <c r="N88" s="693"/>
      <c r="O88" s="693"/>
      <c r="P88" s="310"/>
      <c r="Q88" s="310"/>
      <c r="R88" s="310"/>
      <c r="S88" s="310"/>
      <c r="T88" s="310"/>
      <c r="U88" s="343"/>
      <c r="V88" s="343"/>
      <c r="W88" s="344"/>
      <c r="X88" s="700"/>
      <c r="Y88" s="249"/>
      <c r="Z88" s="252" t="s">
        <v>596</v>
      </c>
      <c r="AA88" s="252" t="s">
        <v>429</v>
      </c>
      <c r="AB88" s="253">
        <v>9.6999999999999993</v>
      </c>
      <c r="AC88" s="255">
        <v>0.95</v>
      </c>
      <c r="AD88" s="255">
        <v>0.01</v>
      </c>
      <c r="AE88" s="254">
        <v>10.9</v>
      </c>
      <c r="AF88" s="255">
        <v>0.9</v>
      </c>
      <c r="AG88" s="253">
        <v>140</v>
      </c>
      <c r="AH88" s="253">
        <v>170</v>
      </c>
      <c r="AI88" s="371">
        <v>0.06</v>
      </c>
      <c r="AJ88" s="371">
        <v>0.03</v>
      </c>
      <c r="AK88" s="371">
        <v>0.22</v>
      </c>
      <c r="AL88" s="371">
        <v>0</v>
      </c>
      <c r="AM88" s="372"/>
      <c r="AN88" s="274">
        <f t="shared" si="34"/>
        <v>0</v>
      </c>
      <c r="AO88" s="253">
        <f t="shared" si="35"/>
        <v>0</v>
      </c>
      <c r="AP88" s="279">
        <f t="shared" si="36"/>
        <v>0</v>
      </c>
      <c r="AQ88" s="279">
        <f t="shared" si="37"/>
        <v>0</v>
      </c>
      <c r="AR88" s="279">
        <f t="shared" si="38"/>
        <v>0</v>
      </c>
      <c r="AS88" s="279">
        <f t="shared" si="39"/>
        <v>0</v>
      </c>
      <c r="AT88" s="253">
        <f t="shared" si="40"/>
        <v>0</v>
      </c>
      <c r="AU88" s="253">
        <f t="shared" si="40"/>
        <v>0</v>
      </c>
      <c r="AV88" s="253">
        <f t="shared" si="40"/>
        <v>0</v>
      </c>
      <c r="AW88" s="253">
        <f t="shared" si="40"/>
        <v>0</v>
      </c>
      <c r="AX88" s="253">
        <f t="shared" si="40"/>
        <v>0</v>
      </c>
      <c r="AY88" s="253">
        <f t="shared" si="40"/>
        <v>0</v>
      </c>
      <c r="AZ88" s="376"/>
      <c r="BA88" s="665"/>
    </row>
    <row r="89" spans="1:53" ht="15" customHeight="1">
      <c r="A89" s="180" t="s">
        <v>435</v>
      </c>
      <c r="B89" s="180">
        <v>3</v>
      </c>
      <c r="C89" s="181">
        <v>0</v>
      </c>
      <c r="D89" s="182" t="str">
        <f t="shared" si="33"/>
        <v xml:space="preserve">           "</v>
      </c>
      <c r="E89" s="183" t="str">
        <f t="shared" si="33"/>
        <v>JUICE</v>
      </c>
      <c r="F89" s="180"/>
      <c r="G89" s="240"/>
      <c r="H89" s="173"/>
      <c r="I89" s="1348" t="s">
        <v>597</v>
      </c>
      <c r="J89" s="1348"/>
      <c r="K89" s="1348"/>
      <c r="L89" s="1348"/>
      <c r="M89" s="30"/>
      <c r="N89" s="30"/>
      <c r="O89" s="30"/>
      <c r="P89" s="310"/>
      <c r="Q89" s="310"/>
      <c r="R89" s="310"/>
      <c r="S89" s="310"/>
      <c r="T89" s="310"/>
      <c r="U89" s="310"/>
      <c r="V89" s="310"/>
      <c r="W89" s="345"/>
      <c r="X89" s="700"/>
      <c r="Y89" s="249"/>
      <c r="Z89" s="252" t="s">
        <v>598</v>
      </c>
      <c r="AA89" s="252" t="s">
        <v>466</v>
      </c>
      <c r="AB89" s="253">
        <v>12</v>
      </c>
      <c r="AC89" s="253">
        <v>1.3</v>
      </c>
      <c r="AD89" s="255">
        <v>0.01</v>
      </c>
      <c r="AE89" s="254">
        <v>13</v>
      </c>
      <c r="AF89" s="255">
        <v>0.2</v>
      </c>
      <c r="AG89" s="253">
        <v>140</v>
      </c>
      <c r="AH89" s="253">
        <v>170</v>
      </c>
      <c r="AI89" s="371">
        <v>0.06</v>
      </c>
      <c r="AJ89" s="371">
        <v>0.1</v>
      </c>
      <c r="AK89" s="371">
        <v>0.125</v>
      </c>
      <c r="AL89" s="371">
        <v>4.2000000000000003E-2</v>
      </c>
      <c r="AM89" s="372"/>
      <c r="AN89" s="274">
        <f t="shared" si="34"/>
        <v>0</v>
      </c>
      <c r="AO89" s="253">
        <f t="shared" si="35"/>
        <v>0</v>
      </c>
      <c r="AP89" s="279">
        <f t="shared" si="36"/>
        <v>0</v>
      </c>
      <c r="AQ89" s="279">
        <f t="shared" si="37"/>
        <v>0</v>
      </c>
      <c r="AR89" s="279">
        <f t="shared" si="38"/>
        <v>0</v>
      </c>
      <c r="AS89" s="279">
        <f t="shared" si="39"/>
        <v>0</v>
      </c>
      <c r="AT89" s="253">
        <f t="shared" si="40"/>
        <v>0</v>
      </c>
      <c r="AU89" s="253">
        <f t="shared" si="40"/>
        <v>0</v>
      </c>
      <c r="AV89" s="253">
        <f t="shared" si="40"/>
        <v>0</v>
      </c>
      <c r="AW89" s="253">
        <f t="shared" si="40"/>
        <v>0</v>
      </c>
      <c r="AX89" s="253">
        <f t="shared" si="40"/>
        <v>0</v>
      </c>
      <c r="AY89" s="253">
        <f t="shared" si="40"/>
        <v>0</v>
      </c>
      <c r="AZ89" s="376"/>
      <c r="BA89" s="665"/>
    </row>
    <row r="90" spans="1:53" ht="15" customHeight="1">
      <c r="A90" s="180">
        <v>7</v>
      </c>
      <c r="B90" s="180">
        <v>3</v>
      </c>
      <c r="C90" s="181">
        <v>0.04</v>
      </c>
      <c r="D90" s="182" t="str">
        <f t="shared" si="33"/>
        <v>WATERMELON</v>
      </c>
      <c r="E90" s="183" t="str">
        <f t="shared" si="33"/>
        <v>-</v>
      </c>
      <c r="F90" s="180"/>
      <c r="G90" s="240"/>
      <c r="H90" s="173"/>
      <c r="I90" s="960" t="s">
        <v>556</v>
      </c>
      <c r="J90" s="1037"/>
      <c r="K90" s="961"/>
      <c r="L90" s="311">
        <f>L69</f>
        <v>750</v>
      </c>
      <c r="M90" s="312" t="s">
        <v>73</v>
      </c>
      <c r="N90" s="313">
        <f>M69</f>
        <v>125</v>
      </c>
      <c r="O90" s="312" t="s">
        <v>73</v>
      </c>
      <c r="P90" s="310"/>
      <c r="Q90" s="310"/>
      <c r="R90" s="310"/>
      <c r="S90" s="310"/>
      <c r="T90" s="310"/>
      <c r="U90" s="343"/>
      <c r="V90" s="346"/>
      <c r="W90" s="347"/>
      <c r="X90" s="348"/>
      <c r="Y90" s="249"/>
      <c r="Z90" s="252" t="s">
        <v>599</v>
      </c>
      <c r="AA90" s="252" t="s">
        <v>447</v>
      </c>
      <c r="AB90" s="253">
        <v>6.2</v>
      </c>
      <c r="AC90" s="253">
        <v>0.2</v>
      </c>
      <c r="AD90" s="255">
        <v>0.1</v>
      </c>
      <c r="AE90" s="254">
        <v>7.6</v>
      </c>
      <c r="AF90" s="255">
        <v>0.5</v>
      </c>
      <c r="AG90" s="255">
        <v>140</v>
      </c>
      <c r="AH90" s="253">
        <v>110</v>
      </c>
      <c r="AI90" s="371">
        <v>3.3000000000000002E-2</v>
      </c>
      <c r="AJ90" s="371">
        <v>0.17799999999999999</v>
      </c>
      <c r="AK90" s="371">
        <v>0.221</v>
      </c>
      <c r="AL90" s="371">
        <v>4.4999999999999998E-2</v>
      </c>
      <c r="AM90" s="372"/>
      <c r="AN90" s="274">
        <f t="shared" si="34"/>
        <v>0</v>
      </c>
      <c r="AO90" s="253">
        <f t="shared" si="35"/>
        <v>0</v>
      </c>
      <c r="AP90" s="279">
        <f t="shared" si="36"/>
        <v>0</v>
      </c>
      <c r="AQ90" s="279">
        <f t="shared" si="37"/>
        <v>0</v>
      </c>
      <c r="AR90" s="279">
        <f t="shared" si="38"/>
        <v>0</v>
      </c>
      <c r="AS90" s="279">
        <f t="shared" si="39"/>
        <v>0</v>
      </c>
      <c r="AT90" s="253">
        <f t="shared" si="40"/>
        <v>0</v>
      </c>
      <c r="AU90" s="253">
        <f t="shared" si="40"/>
        <v>0</v>
      </c>
      <c r="AV90" s="253">
        <f t="shared" si="40"/>
        <v>0</v>
      </c>
      <c r="AW90" s="253">
        <f t="shared" si="40"/>
        <v>0</v>
      </c>
      <c r="AX90" s="253">
        <f t="shared" si="40"/>
        <v>0</v>
      </c>
      <c r="AY90" s="253">
        <f t="shared" si="40"/>
        <v>0</v>
      </c>
      <c r="AZ90" s="633"/>
      <c r="BA90" s="665"/>
    </row>
    <row r="91" spans="1:53" ht="15" customHeight="1">
      <c r="A91" s="180">
        <v>7</v>
      </c>
      <c r="B91" s="180">
        <v>12</v>
      </c>
      <c r="C91" s="181">
        <v>0.17</v>
      </c>
      <c r="D91" s="182" t="str">
        <f t="shared" si="33"/>
        <v>WHITECURRANT</v>
      </c>
      <c r="E91" s="183" t="str">
        <f t="shared" si="33"/>
        <v>-</v>
      </c>
      <c r="F91" s="180"/>
      <c r="G91" s="240"/>
      <c r="H91" s="240"/>
      <c r="I91" s="1333" t="s">
        <v>559</v>
      </c>
      <c r="J91" s="1334"/>
      <c r="K91" s="1335"/>
      <c r="L91" s="713" t="str">
        <f>FIXED(AD83*L90,0)</f>
        <v>437</v>
      </c>
      <c r="M91" s="314"/>
      <c r="N91" s="315" t="str">
        <f>FIXED(AD83*N90,1)</f>
        <v>72.8</v>
      </c>
      <c r="O91" s="314"/>
      <c r="P91" s="310"/>
      <c r="Q91" s="310"/>
      <c r="R91" s="310"/>
      <c r="S91" s="310"/>
      <c r="T91" s="310"/>
      <c r="U91" s="310"/>
      <c r="V91" s="349"/>
      <c r="W91" s="696"/>
      <c r="X91" s="348"/>
      <c r="Y91" s="249"/>
      <c r="Z91" s="252" t="s">
        <v>600</v>
      </c>
      <c r="AA91" s="252" t="s">
        <v>447</v>
      </c>
      <c r="AB91" s="253">
        <v>7.37</v>
      </c>
      <c r="AC91" s="255">
        <v>2.2000000000000002</v>
      </c>
      <c r="AD91" s="255">
        <v>0.1</v>
      </c>
      <c r="AE91" s="254">
        <v>13.8</v>
      </c>
      <c r="AF91" s="253">
        <v>0.6</v>
      </c>
      <c r="AG91" s="253">
        <v>200</v>
      </c>
      <c r="AH91" s="253">
        <v>270</v>
      </c>
      <c r="AI91" s="371">
        <v>0.04</v>
      </c>
      <c r="AJ91" s="371">
        <v>0.1</v>
      </c>
      <c r="AK91" s="371">
        <v>6.4000000000000001E-2</v>
      </c>
      <c r="AL91" s="371">
        <v>7.0000000000000007E-2</v>
      </c>
      <c r="AM91" s="372"/>
      <c r="AN91" s="274">
        <f t="shared" si="34"/>
        <v>0</v>
      </c>
      <c r="AO91" s="253">
        <f t="shared" si="35"/>
        <v>0</v>
      </c>
      <c r="AP91" s="279">
        <f t="shared" si="36"/>
        <v>0</v>
      </c>
      <c r="AQ91" s="279">
        <f t="shared" si="37"/>
        <v>0</v>
      </c>
      <c r="AR91" s="279">
        <f t="shared" si="38"/>
        <v>0</v>
      </c>
      <c r="AS91" s="279">
        <f t="shared" si="39"/>
        <v>0</v>
      </c>
      <c r="AT91" s="253">
        <f t="shared" si="40"/>
        <v>0</v>
      </c>
      <c r="AU91" s="253">
        <f t="shared" si="40"/>
        <v>0</v>
      </c>
      <c r="AV91" s="253">
        <f t="shared" si="40"/>
        <v>0</v>
      </c>
      <c r="AW91" s="253">
        <f t="shared" si="40"/>
        <v>0</v>
      </c>
      <c r="AX91" s="253">
        <f t="shared" si="40"/>
        <v>0</v>
      </c>
      <c r="AY91" s="253">
        <f t="shared" si="40"/>
        <v>0</v>
      </c>
      <c r="AZ91" s="253"/>
      <c r="BA91" s="665"/>
    </row>
    <row r="92" spans="1:53" ht="15" customHeight="1">
      <c r="A92" s="20">
        <v>7</v>
      </c>
      <c r="B92" s="180">
        <v>3</v>
      </c>
      <c r="C92" s="181">
        <v>0</v>
      </c>
      <c r="D92" s="182" t="str">
        <f t="shared" si="33"/>
        <v>OTHER</v>
      </c>
      <c r="E92" s="183" t="str">
        <f t="shared" si="33"/>
        <v>-</v>
      </c>
      <c r="F92" s="180"/>
      <c r="G92" s="240"/>
      <c r="H92" s="173"/>
      <c r="I92" s="1081" t="s">
        <v>561</v>
      </c>
      <c r="J92" s="1106"/>
      <c r="K92" s="1082"/>
      <c r="L92" s="316" t="str">
        <f>FIXED(AC82*L43*L90/(1000*E8),0)</f>
        <v>0</v>
      </c>
      <c r="M92" s="684"/>
      <c r="N92" s="317" t="str">
        <f>FIXED(AC82*L43*N90/(1000*E8),1)</f>
        <v>0.0</v>
      </c>
      <c r="O92" s="684"/>
      <c r="P92" s="310"/>
      <c r="Q92" s="310"/>
      <c r="R92" s="310"/>
      <c r="S92" s="310"/>
      <c r="T92" s="310"/>
      <c r="U92" s="343"/>
      <c r="V92" s="349"/>
      <c r="W92" s="696"/>
      <c r="X92" s="348"/>
      <c r="Y92" s="249"/>
      <c r="Z92" s="252" t="s">
        <v>544</v>
      </c>
      <c r="AA92" s="252" t="s">
        <v>447</v>
      </c>
      <c r="AB92" s="253">
        <v>0</v>
      </c>
      <c r="AC92" s="253">
        <v>0</v>
      </c>
      <c r="AD92" s="253">
        <v>0</v>
      </c>
      <c r="AE92" s="253">
        <v>0</v>
      </c>
      <c r="AF92" s="253">
        <v>0</v>
      </c>
      <c r="AG92" s="253">
        <v>0</v>
      </c>
      <c r="AH92" s="253">
        <v>0</v>
      </c>
      <c r="AI92" s="371">
        <v>0</v>
      </c>
      <c r="AJ92" s="371">
        <v>0</v>
      </c>
      <c r="AK92" s="371">
        <v>0</v>
      </c>
      <c r="AL92" s="371">
        <v>0</v>
      </c>
      <c r="AM92" s="372"/>
      <c r="AN92" s="274">
        <f t="shared" si="34"/>
        <v>0</v>
      </c>
      <c r="AO92" s="253">
        <f t="shared" si="35"/>
        <v>0</v>
      </c>
      <c r="AP92" s="279">
        <f t="shared" si="36"/>
        <v>0</v>
      </c>
      <c r="AQ92" s="279">
        <f t="shared" si="37"/>
        <v>0</v>
      </c>
      <c r="AR92" s="279">
        <f t="shared" si="38"/>
        <v>0</v>
      </c>
      <c r="AS92" s="279">
        <f t="shared" si="39"/>
        <v>0</v>
      </c>
      <c r="AT92" s="253">
        <f t="shared" si="40"/>
        <v>0</v>
      </c>
      <c r="AU92" s="253">
        <f t="shared" si="40"/>
        <v>0</v>
      </c>
      <c r="AV92" s="253">
        <f t="shared" si="40"/>
        <v>0</v>
      </c>
      <c r="AW92" s="253">
        <f t="shared" si="40"/>
        <v>0</v>
      </c>
      <c r="AX92" s="253">
        <f t="shared" si="40"/>
        <v>0</v>
      </c>
      <c r="AY92" s="253">
        <f t="shared" si="40"/>
        <v>0</v>
      </c>
      <c r="AZ92" s="253"/>
      <c r="BA92" s="665"/>
    </row>
    <row r="93" spans="1:53" ht="15" customHeight="1">
      <c r="A93" s="1399" t="s">
        <v>404</v>
      </c>
      <c r="B93" s="1409" t="s">
        <v>405</v>
      </c>
      <c r="C93" s="1208" t="s">
        <v>406</v>
      </c>
      <c r="D93" s="1350" t="s">
        <v>601</v>
      </c>
      <c r="E93" s="1351"/>
      <c r="F93" s="172" t="s">
        <v>52</v>
      </c>
      <c r="G93" s="16" t="s">
        <v>384</v>
      </c>
      <c r="H93" s="286"/>
      <c r="I93" s="1352" t="str">
        <f>"Ensure cell L43 is clear! (Presently set to "&amp;FIXED(L43,0)&amp;")"</f>
        <v>Ensure cell L43 is clear! (Presently set to 0)</v>
      </c>
      <c r="J93" s="1320"/>
      <c r="K93" s="1353"/>
      <c r="L93" s="1354" t="s">
        <v>602</v>
      </c>
      <c r="M93" s="1355"/>
      <c r="N93" s="1355"/>
      <c r="O93" s="1356"/>
      <c r="P93" s="310"/>
      <c r="Q93" s="310"/>
      <c r="R93" s="310"/>
      <c r="S93" s="310"/>
      <c r="T93" s="310"/>
      <c r="U93" s="310"/>
      <c r="V93" s="349"/>
      <c r="W93" s="696"/>
      <c r="X93" s="348"/>
      <c r="Y93" s="249"/>
      <c r="Z93" s="644"/>
      <c r="AA93" s="644"/>
      <c r="AB93" s="644"/>
      <c r="AC93" s="644"/>
      <c r="AD93" s="644"/>
      <c r="AE93" s="644"/>
      <c r="AF93" s="644"/>
      <c r="AG93" s="644"/>
      <c r="AH93" s="644"/>
      <c r="AI93" s="644"/>
      <c r="AJ93" s="644"/>
      <c r="AK93" s="644"/>
      <c r="AL93" s="644"/>
      <c r="AM93" s="254"/>
      <c r="AN93" s="253"/>
      <c r="AO93" s="253"/>
      <c r="AP93" s="253"/>
      <c r="AQ93" s="253"/>
      <c r="AR93" s="253"/>
      <c r="AS93" s="253"/>
      <c r="AT93" s="253"/>
      <c r="AU93" s="253"/>
      <c r="AV93" s="253"/>
      <c r="AW93" s="253"/>
      <c r="AX93" s="253"/>
      <c r="AY93" s="253"/>
      <c r="AZ93" s="253"/>
      <c r="BA93" s="665"/>
    </row>
    <row r="94" spans="1:53" ht="15" customHeight="1">
      <c r="A94" s="1400"/>
      <c r="B94" s="1410"/>
      <c r="C94" s="1209"/>
      <c r="D94" s="1357" t="s">
        <v>603</v>
      </c>
      <c r="E94" s="1358"/>
      <c r="F94" s="174" t="s">
        <v>51</v>
      </c>
      <c r="G94" s="174" t="s">
        <v>366</v>
      </c>
      <c r="H94" s="287"/>
      <c r="I94" s="1336" t="s">
        <v>563</v>
      </c>
      <c r="J94" s="1337"/>
      <c r="K94" s="1338"/>
      <c r="L94" s="318" t="str">
        <f>FIXED((AD84*L90*AC82),1)</f>
        <v>1.7</v>
      </c>
      <c r="M94" s="319"/>
      <c r="N94" s="320" t="str">
        <f>FIXED((AD84*N90*AC82))</f>
        <v>0.28</v>
      </c>
      <c r="O94" s="319"/>
      <c r="P94" s="310"/>
      <c r="Q94" s="310"/>
      <c r="R94" s="310"/>
      <c r="S94" s="310"/>
      <c r="T94" s="310"/>
      <c r="U94" s="343"/>
      <c r="V94" s="349"/>
      <c r="W94" s="696"/>
      <c r="X94" s="348"/>
      <c r="Y94" s="249"/>
      <c r="Z94" s="1346" t="s">
        <v>604</v>
      </c>
      <c r="AA94" s="1346"/>
      <c r="AB94" s="1346"/>
      <c r="AC94" s="1346"/>
      <c r="AD94" s="1346"/>
      <c r="AE94" s="1346"/>
      <c r="AF94" s="1346"/>
      <c r="AG94" s="1346"/>
      <c r="AH94" s="1346"/>
      <c r="AI94" s="1346"/>
      <c r="AJ94" s="1346"/>
      <c r="AK94" s="1346"/>
      <c r="AL94" s="1346"/>
      <c r="AM94" s="374"/>
      <c r="AN94" s="666"/>
      <c r="AO94" s="666"/>
      <c r="AP94" s="666"/>
      <c r="AQ94" s="666"/>
      <c r="AR94" s="666"/>
      <c r="AS94" s="666"/>
      <c r="AT94" s="666"/>
      <c r="AU94" s="666"/>
      <c r="AV94" s="666"/>
      <c r="AW94" s="666"/>
      <c r="AX94" s="666"/>
      <c r="AY94" s="666"/>
      <c r="AZ94" s="666"/>
      <c r="BA94" s="665"/>
    </row>
    <row r="95" spans="1:53" ht="15" customHeight="1">
      <c r="A95" s="176">
        <v>7</v>
      </c>
      <c r="B95" s="180">
        <v>3</v>
      </c>
      <c r="C95" s="185">
        <v>0.09</v>
      </c>
      <c r="D95" s="182" t="str">
        <f t="shared" ref="D95:D114" si="41">Z95</f>
        <v>APRICOTS</v>
      </c>
      <c r="E95" s="183" t="str">
        <f t="shared" ref="E95:E114" si="42">AA95</f>
        <v>-</v>
      </c>
      <c r="F95" s="180"/>
      <c r="G95" s="176">
        <v>13.7</v>
      </c>
      <c r="H95" s="1416" t="s">
        <v>605</v>
      </c>
      <c r="I95" s="1339" t="s">
        <v>565</v>
      </c>
      <c r="J95" s="1340"/>
      <c r="K95" s="1341"/>
      <c r="L95" s="321" t="str">
        <f>FIXED(((AD83*L90)+($AD84*L90*AC82)),0)</f>
        <v>439</v>
      </c>
      <c r="M95" s="322"/>
      <c r="N95" s="323" t="str">
        <f>FIXED(((AD83*N90)+(AD84*N90*AC82)),1)</f>
        <v>73.1</v>
      </c>
      <c r="O95" s="322"/>
      <c r="P95" s="310"/>
      <c r="Q95" s="310"/>
      <c r="R95" s="310"/>
      <c r="S95" s="310"/>
      <c r="T95" s="310"/>
      <c r="U95" s="310"/>
      <c r="V95" s="349"/>
      <c r="W95" s="696"/>
      <c r="X95" s="348"/>
      <c r="Y95" s="249"/>
      <c r="Z95" s="252" t="s">
        <v>606</v>
      </c>
      <c r="AA95" s="252" t="s">
        <v>447</v>
      </c>
      <c r="AB95" s="252" t="s">
        <v>447</v>
      </c>
      <c r="AC95" s="253">
        <v>0.5</v>
      </c>
      <c r="AD95" s="255">
        <v>0.05</v>
      </c>
      <c r="AE95" s="254">
        <f t="shared" ref="AE95:AE105" si="43">G95*1.1</f>
        <v>15.07</v>
      </c>
      <c r="AF95" s="255">
        <v>0.2</v>
      </c>
      <c r="AG95" s="255">
        <v>100</v>
      </c>
      <c r="AH95" s="253">
        <v>138</v>
      </c>
      <c r="AI95" s="268">
        <v>0.02</v>
      </c>
      <c r="AJ95" s="268">
        <v>0.3</v>
      </c>
      <c r="AK95" s="268">
        <v>9.6000000000000002E-2</v>
      </c>
      <c r="AL95" s="268">
        <v>0.05</v>
      </c>
      <c r="AM95" s="375" t="s">
        <v>417</v>
      </c>
      <c r="AN95" s="274">
        <f t="shared" ref="AN95:AN114" si="44">C95*F95</f>
        <v>0</v>
      </c>
      <c r="AO95" s="667">
        <f t="shared" ref="AO95:AO114" si="45">F95*G95/100</f>
        <v>0</v>
      </c>
      <c r="AP95" s="279">
        <f t="shared" ref="AP95:AP114" si="46">F95*AC95/100</f>
        <v>0</v>
      </c>
      <c r="AQ95" s="279">
        <f t="shared" ref="AQ95:AQ114" si="47">F95*AD95/100</f>
        <v>0</v>
      </c>
      <c r="AR95" s="279">
        <f t="shared" ref="AR95:AR114" si="48">F95*(AE95-G95)/100</f>
        <v>0</v>
      </c>
      <c r="AS95" s="279">
        <f t="shared" ref="AS95:AS114" si="49">F95*AF95/1200</f>
        <v>0</v>
      </c>
      <c r="AT95" s="253">
        <f t="shared" ref="AT95:AT114" si="50">$F95*AG95/100</f>
        <v>0</v>
      </c>
      <c r="AU95" s="253">
        <f t="shared" ref="AU95:AU114" si="51">$F95*AH95/100</f>
        <v>0</v>
      </c>
      <c r="AV95" s="253">
        <f t="shared" ref="AV95:AV114" si="52">$F95*AI95/100</f>
        <v>0</v>
      </c>
      <c r="AW95" s="253">
        <f t="shared" ref="AW95:AW114" si="53">$F95*AJ95/100</f>
        <v>0</v>
      </c>
      <c r="AX95" s="253">
        <f t="shared" ref="AX95:AX114" si="54">$F95*AK95/100</f>
        <v>0</v>
      </c>
      <c r="AY95" s="253">
        <f t="shared" ref="AY95:AY114" si="55">$F95*AL95/100</f>
        <v>0</v>
      </c>
      <c r="AZ95" s="253"/>
      <c r="BA95" s="665"/>
    </row>
    <row r="96" spans="1:53" ht="15" customHeight="1">
      <c r="A96" s="180">
        <v>7</v>
      </c>
      <c r="B96" s="180">
        <v>3</v>
      </c>
      <c r="C96" s="181">
        <v>0.08</v>
      </c>
      <c r="D96" s="182" t="str">
        <f t="shared" si="41"/>
        <v>CHERRY</v>
      </c>
      <c r="E96" s="183" t="str">
        <f t="shared" si="42"/>
        <v>-</v>
      </c>
      <c r="F96" s="180"/>
      <c r="G96" s="180">
        <v>12</v>
      </c>
      <c r="H96" s="1416"/>
      <c r="I96" s="1223" t="s">
        <v>567</v>
      </c>
      <c r="J96" s="1224"/>
      <c r="K96" s="1225"/>
      <c r="L96" s="324" t="str">
        <f>FIXED((AD84*L90)+(L90*L43/(1000*E8)),1)</f>
        <v>0.4</v>
      </c>
      <c r="M96" s="325"/>
      <c r="N96" s="326" t="str">
        <f>FIXED((AD84*N90)+(N90*L43/(1000*E8)))</f>
        <v>0.07</v>
      </c>
      <c r="O96" s="325"/>
      <c r="P96" s="310"/>
      <c r="Q96" s="349"/>
      <c r="R96" s="349"/>
      <c r="S96" s="349"/>
      <c r="T96" s="349"/>
      <c r="U96" s="349"/>
      <c r="V96" s="349"/>
      <c r="W96" s="696"/>
      <c r="X96" s="348"/>
      <c r="Y96" s="249"/>
      <c r="Z96" s="252" t="s">
        <v>607</v>
      </c>
      <c r="AA96" s="252" t="s">
        <v>447</v>
      </c>
      <c r="AB96" s="252" t="s">
        <v>447</v>
      </c>
      <c r="AC96" s="255">
        <v>0.25</v>
      </c>
      <c r="AD96" s="255">
        <v>0.05</v>
      </c>
      <c r="AE96" s="254">
        <f t="shared" si="43"/>
        <v>13.200000000000001</v>
      </c>
      <c r="AF96" s="255">
        <v>0.2</v>
      </c>
      <c r="AG96" s="255">
        <v>100</v>
      </c>
      <c r="AH96" s="253">
        <v>95</v>
      </c>
      <c r="AI96" s="268">
        <v>0.02</v>
      </c>
      <c r="AJ96" s="268">
        <v>0.17</v>
      </c>
      <c r="AK96" s="268"/>
      <c r="AL96" s="268">
        <v>0.04</v>
      </c>
      <c r="AM96" s="375" t="s">
        <v>417</v>
      </c>
      <c r="AN96" s="274">
        <f t="shared" si="44"/>
        <v>0</v>
      </c>
      <c r="AO96" s="667">
        <f t="shared" si="45"/>
        <v>0</v>
      </c>
      <c r="AP96" s="279">
        <f t="shared" si="46"/>
        <v>0</v>
      </c>
      <c r="AQ96" s="279">
        <f t="shared" si="47"/>
        <v>0</v>
      </c>
      <c r="AR96" s="279">
        <f t="shared" si="48"/>
        <v>0</v>
      </c>
      <c r="AS96" s="279">
        <f t="shared" si="49"/>
        <v>0</v>
      </c>
      <c r="AT96" s="253">
        <f t="shared" si="50"/>
        <v>0</v>
      </c>
      <c r="AU96" s="253">
        <f t="shared" si="51"/>
        <v>0</v>
      </c>
      <c r="AV96" s="253">
        <f t="shared" si="52"/>
        <v>0</v>
      </c>
      <c r="AW96" s="253">
        <f t="shared" si="53"/>
        <v>0</v>
      </c>
      <c r="AX96" s="253">
        <f t="shared" si="54"/>
        <v>0</v>
      </c>
      <c r="AY96" s="253">
        <f t="shared" si="55"/>
        <v>0</v>
      </c>
      <c r="AZ96" s="253"/>
      <c r="BA96" s="665"/>
    </row>
    <row r="97" spans="1:53" ht="15" customHeight="1">
      <c r="A97" s="180">
        <v>7</v>
      </c>
      <c r="B97" s="180">
        <v>3</v>
      </c>
      <c r="C97" s="181">
        <v>0.1</v>
      </c>
      <c r="D97" s="182" t="str">
        <f t="shared" si="41"/>
        <v>FRUIT SALAD</v>
      </c>
      <c r="E97" s="183" t="str">
        <f t="shared" si="42"/>
        <v>-</v>
      </c>
      <c r="F97" s="180"/>
      <c r="G97" s="180">
        <v>13</v>
      </c>
      <c r="H97" s="1416"/>
      <c r="I97" s="1342" t="s">
        <v>569</v>
      </c>
      <c r="J97" s="1343"/>
      <c r="K97" s="1344"/>
      <c r="L97" s="309" t="str">
        <f>FIXED(L90*(L85-L86)/(7.75-(3*(L85-1000)/800))/1000,1)</f>
        <v>7.8</v>
      </c>
      <c r="M97" s="327"/>
      <c r="N97" s="328" t="str">
        <f>FIXED(N90*(L85-L86)/(7.75-(3*(L85-1000)/800))/1000)</f>
        <v>1.30</v>
      </c>
      <c r="O97" s="327"/>
      <c r="P97" s="310"/>
      <c r="Q97" s="349"/>
      <c r="R97" s="349"/>
      <c r="S97" s="349"/>
      <c r="T97" s="349"/>
      <c r="U97" s="349"/>
      <c r="V97" s="349"/>
      <c r="W97" s="696"/>
      <c r="X97" s="348"/>
      <c r="Y97" s="173"/>
      <c r="Z97" s="252" t="s">
        <v>608</v>
      </c>
      <c r="AA97" s="252" t="s">
        <v>447</v>
      </c>
      <c r="AB97" s="252" t="s">
        <v>447</v>
      </c>
      <c r="AC97" s="255">
        <v>0.4</v>
      </c>
      <c r="AD97" s="255">
        <v>0.05</v>
      </c>
      <c r="AE97" s="254">
        <f t="shared" si="43"/>
        <v>14.3</v>
      </c>
      <c r="AF97" s="255">
        <v>0.2</v>
      </c>
      <c r="AG97" s="255">
        <v>100</v>
      </c>
      <c r="AH97" s="253">
        <v>80</v>
      </c>
      <c r="AI97" s="268">
        <v>1.4E-2</v>
      </c>
      <c r="AJ97" s="268">
        <v>0.02</v>
      </c>
      <c r="AK97" s="268">
        <v>5.2999999999999999E-2</v>
      </c>
      <c r="AL97" s="268">
        <v>3.2000000000000001E-2</v>
      </c>
      <c r="AM97" s="375"/>
      <c r="AN97" s="274">
        <f t="shared" si="44"/>
        <v>0</v>
      </c>
      <c r="AO97" s="667">
        <f t="shared" si="45"/>
        <v>0</v>
      </c>
      <c r="AP97" s="279">
        <f t="shared" si="46"/>
        <v>0</v>
      </c>
      <c r="AQ97" s="279">
        <f t="shared" si="47"/>
        <v>0</v>
      </c>
      <c r="AR97" s="279">
        <f t="shared" si="48"/>
        <v>0</v>
      </c>
      <c r="AS97" s="279">
        <f t="shared" si="49"/>
        <v>0</v>
      </c>
      <c r="AT97" s="253">
        <f t="shared" si="50"/>
        <v>0</v>
      </c>
      <c r="AU97" s="253">
        <f t="shared" si="51"/>
        <v>0</v>
      </c>
      <c r="AV97" s="253">
        <f t="shared" si="52"/>
        <v>0</v>
      </c>
      <c r="AW97" s="253">
        <f t="shared" si="53"/>
        <v>0</v>
      </c>
      <c r="AX97" s="253">
        <f t="shared" si="54"/>
        <v>0</v>
      </c>
      <c r="AY97" s="253">
        <f t="shared" si="55"/>
        <v>0</v>
      </c>
      <c r="AZ97" s="253"/>
      <c r="BA97" s="665"/>
    </row>
    <row r="98" spans="1:53" ht="15" customHeight="1">
      <c r="A98" s="180">
        <v>7</v>
      </c>
      <c r="B98" s="180">
        <v>3</v>
      </c>
      <c r="C98" s="181">
        <v>0.1</v>
      </c>
      <c r="D98" s="182" t="str">
        <f t="shared" si="41"/>
        <v>GOOSEBERRY</v>
      </c>
      <c r="E98" s="183" t="str">
        <f t="shared" si="42"/>
        <v>-</v>
      </c>
      <c r="F98" s="180"/>
      <c r="G98" s="180">
        <v>22</v>
      </c>
      <c r="H98" s="1416"/>
      <c r="I98" s="173"/>
      <c r="J98" s="173"/>
      <c r="K98" s="173"/>
      <c r="L98" s="173"/>
      <c r="M98" s="173"/>
      <c r="N98" s="173"/>
      <c r="O98" s="173"/>
      <c r="P98" s="173"/>
      <c r="Q98" s="350"/>
      <c r="R98" s="350"/>
      <c r="S98" s="350"/>
      <c r="T98" s="350"/>
      <c r="U98" s="350"/>
      <c r="V98" s="350"/>
      <c r="W98" s="350"/>
      <c r="X98" s="348"/>
      <c r="Y98" s="173"/>
      <c r="Z98" s="252" t="s">
        <v>470</v>
      </c>
      <c r="AA98" s="252" t="s">
        <v>447</v>
      </c>
      <c r="AB98" s="252" t="s">
        <v>447</v>
      </c>
      <c r="AC98" s="255">
        <v>0.7</v>
      </c>
      <c r="AD98" s="255">
        <v>0.05</v>
      </c>
      <c r="AE98" s="254">
        <f t="shared" si="43"/>
        <v>24.200000000000003</v>
      </c>
      <c r="AF98" s="255">
        <v>0.2</v>
      </c>
      <c r="AG98" s="255">
        <v>100</v>
      </c>
      <c r="AH98" s="253">
        <v>77</v>
      </c>
      <c r="AI98" s="268">
        <v>0.02</v>
      </c>
      <c r="AJ98" s="268">
        <v>0.153</v>
      </c>
      <c r="AK98" s="268">
        <v>0.13800000000000001</v>
      </c>
      <c r="AL98" s="268">
        <v>1.2E-2</v>
      </c>
      <c r="AM98" s="375" t="s">
        <v>453</v>
      </c>
      <c r="AN98" s="274">
        <f t="shared" si="44"/>
        <v>0</v>
      </c>
      <c r="AO98" s="667">
        <f t="shared" si="45"/>
        <v>0</v>
      </c>
      <c r="AP98" s="279">
        <f t="shared" si="46"/>
        <v>0</v>
      </c>
      <c r="AQ98" s="279">
        <f t="shared" si="47"/>
        <v>0</v>
      </c>
      <c r="AR98" s="279">
        <f t="shared" si="48"/>
        <v>0</v>
      </c>
      <c r="AS98" s="279">
        <f t="shared" si="49"/>
        <v>0</v>
      </c>
      <c r="AT98" s="253">
        <f t="shared" si="50"/>
        <v>0</v>
      </c>
      <c r="AU98" s="253">
        <f t="shared" si="51"/>
        <v>0</v>
      </c>
      <c r="AV98" s="253">
        <f t="shared" si="52"/>
        <v>0</v>
      </c>
      <c r="AW98" s="253">
        <f t="shared" si="53"/>
        <v>0</v>
      </c>
      <c r="AX98" s="253">
        <f t="shared" si="54"/>
        <v>0</v>
      </c>
      <c r="AY98" s="253">
        <f t="shared" si="55"/>
        <v>0</v>
      </c>
      <c r="AZ98" s="253"/>
      <c r="BA98" s="665"/>
    </row>
    <row r="99" spans="1:53" ht="15" customHeight="1">
      <c r="A99" s="180">
        <v>7</v>
      </c>
      <c r="B99" s="180">
        <v>3</v>
      </c>
      <c r="C99" s="181">
        <v>0.1</v>
      </c>
      <c r="D99" s="182" t="str">
        <f t="shared" si="41"/>
        <v>GRAPEFRUIT</v>
      </c>
      <c r="E99" s="183" t="str">
        <f t="shared" si="42"/>
        <v>-</v>
      </c>
      <c r="F99" s="180"/>
      <c r="G99" s="180">
        <v>8.8000000000000007</v>
      </c>
      <c r="H99" s="1416"/>
      <c r="I99" s="173"/>
      <c r="J99" s="173"/>
      <c r="K99" s="173"/>
      <c r="L99" s="173"/>
      <c r="M99" s="173"/>
      <c r="N99" s="173"/>
      <c r="O99" s="173"/>
      <c r="P99" s="173"/>
      <c r="Q99" s="173"/>
      <c r="R99" s="173"/>
      <c r="S99" s="173"/>
      <c r="T99" s="173"/>
      <c r="U99" s="173"/>
      <c r="V99" s="173"/>
      <c r="W99" s="173"/>
      <c r="X99" s="173"/>
      <c r="Y99" s="173"/>
      <c r="Z99" s="252" t="s">
        <v>507</v>
      </c>
      <c r="AA99" s="252" t="s">
        <v>447</v>
      </c>
      <c r="AB99" s="252" t="s">
        <v>447</v>
      </c>
      <c r="AC99" s="255">
        <v>0.7</v>
      </c>
      <c r="AD99" s="255">
        <v>0.05</v>
      </c>
      <c r="AE99" s="254">
        <f t="shared" si="43"/>
        <v>9.6800000000000015</v>
      </c>
      <c r="AF99" s="255">
        <v>0.2</v>
      </c>
      <c r="AG99" s="255">
        <v>100</v>
      </c>
      <c r="AH99" s="253">
        <v>129</v>
      </c>
      <c r="AI99" s="268">
        <v>3.7999999999999999E-2</v>
      </c>
      <c r="AJ99" s="268">
        <v>0.24299999999999999</v>
      </c>
      <c r="AK99" s="268">
        <v>0.12</v>
      </c>
      <c r="AL99" s="268">
        <v>0.02</v>
      </c>
      <c r="AM99" s="375" t="s">
        <v>448</v>
      </c>
      <c r="AN99" s="274">
        <f t="shared" si="44"/>
        <v>0</v>
      </c>
      <c r="AO99" s="667">
        <f t="shared" si="45"/>
        <v>0</v>
      </c>
      <c r="AP99" s="279">
        <f t="shared" si="46"/>
        <v>0</v>
      </c>
      <c r="AQ99" s="279">
        <f t="shared" si="47"/>
        <v>0</v>
      </c>
      <c r="AR99" s="279">
        <f t="shared" si="48"/>
        <v>0</v>
      </c>
      <c r="AS99" s="279">
        <f t="shared" si="49"/>
        <v>0</v>
      </c>
      <c r="AT99" s="253">
        <f t="shared" si="50"/>
        <v>0</v>
      </c>
      <c r="AU99" s="253">
        <f t="shared" si="51"/>
        <v>0</v>
      </c>
      <c r="AV99" s="253">
        <f t="shared" si="52"/>
        <v>0</v>
      </c>
      <c r="AW99" s="253">
        <f t="shared" si="53"/>
        <v>0</v>
      </c>
      <c r="AX99" s="253">
        <f t="shared" si="54"/>
        <v>0</v>
      </c>
      <c r="AY99" s="253">
        <f t="shared" si="55"/>
        <v>0</v>
      </c>
      <c r="AZ99" s="253"/>
      <c r="BA99" s="665"/>
    </row>
    <row r="100" spans="1:53" ht="15" customHeight="1">
      <c r="A100" s="180">
        <v>7</v>
      </c>
      <c r="B100" s="180">
        <v>3</v>
      </c>
      <c r="C100" s="181">
        <v>0.08</v>
      </c>
      <c r="D100" s="182" t="str">
        <f t="shared" si="41"/>
        <v>BLACK CHERRIES</v>
      </c>
      <c r="E100" s="183" t="str">
        <f t="shared" si="42"/>
        <v>-</v>
      </c>
      <c r="F100" s="180"/>
      <c r="G100" s="180">
        <v>10.4</v>
      </c>
      <c r="H100" s="1416"/>
      <c r="I100" s="173"/>
      <c r="J100" s="1427" t="s">
        <v>609</v>
      </c>
      <c r="K100" s="1427"/>
      <c r="L100" s="1349" t="s">
        <v>610</v>
      </c>
      <c r="M100" s="1349"/>
      <c r="N100" s="1349"/>
      <c r="O100" s="1349"/>
      <c r="P100" s="1349"/>
      <c r="Q100" s="1364" t="s">
        <v>611</v>
      </c>
      <c r="R100" s="1364"/>
      <c r="S100" s="9">
        <v>3.15</v>
      </c>
      <c r="T100" s="693" t="s">
        <v>51</v>
      </c>
      <c r="U100" s="173"/>
      <c r="V100" s="1012" t="s">
        <v>612</v>
      </c>
      <c r="W100" s="1014"/>
      <c r="X100" s="693"/>
      <c r="Y100" s="249"/>
      <c r="Z100" s="252" t="s">
        <v>613</v>
      </c>
      <c r="AA100" s="252" t="s">
        <v>447</v>
      </c>
      <c r="AB100" s="252" t="s">
        <v>447</v>
      </c>
      <c r="AC100" s="255">
        <v>0.2</v>
      </c>
      <c r="AD100" s="255">
        <v>0.05</v>
      </c>
      <c r="AE100" s="254">
        <f t="shared" si="43"/>
        <v>11.440000000000001</v>
      </c>
      <c r="AF100" s="255">
        <v>0.2</v>
      </c>
      <c r="AG100" s="255">
        <v>100</v>
      </c>
      <c r="AH100" s="253">
        <v>148</v>
      </c>
      <c r="AI100" s="268">
        <v>2.1000000000000001E-2</v>
      </c>
      <c r="AJ100" s="268">
        <v>0.40300000000000002</v>
      </c>
      <c r="AK100" s="268">
        <v>0.127</v>
      </c>
      <c r="AL100" s="268">
        <v>0.03</v>
      </c>
      <c r="AM100" s="375" t="s">
        <v>448</v>
      </c>
      <c r="AN100" s="274">
        <f t="shared" si="44"/>
        <v>0</v>
      </c>
      <c r="AO100" s="667">
        <f t="shared" si="45"/>
        <v>0</v>
      </c>
      <c r="AP100" s="279">
        <f t="shared" si="46"/>
        <v>0</v>
      </c>
      <c r="AQ100" s="279">
        <f t="shared" si="47"/>
        <v>0</v>
      </c>
      <c r="AR100" s="279">
        <f t="shared" si="48"/>
        <v>0</v>
      </c>
      <c r="AS100" s="279">
        <f t="shared" si="49"/>
        <v>0</v>
      </c>
      <c r="AT100" s="253">
        <f t="shared" si="50"/>
        <v>0</v>
      </c>
      <c r="AU100" s="253">
        <f t="shared" si="51"/>
        <v>0</v>
      </c>
      <c r="AV100" s="253">
        <f t="shared" si="52"/>
        <v>0</v>
      </c>
      <c r="AW100" s="253">
        <f t="shared" si="53"/>
        <v>0</v>
      </c>
      <c r="AX100" s="253">
        <f t="shared" si="54"/>
        <v>0</v>
      </c>
      <c r="AY100" s="253">
        <f t="shared" si="55"/>
        <v>0</v>
      </c>
      <c r="AZ100" s="253"/>
      <c r="BA100" s="665"/>
    </row>
    <row r="101" spans="1:53" ht="15" customHeight="1">
      <c r="A101" s="180">
        <v>7</v>
      </c>
      <c r="B101" s="180">
        <v>3</v>
      </c>
      <c r="C101" s="181">
        <v>0.1</v>
      </c>
      <c r="D101" s="182" t="str">
        <f t="shared" si="41"/>
        <v>LITCHI (LYCHEE)</v>
      </c>
      <c r="E101" s="183" t="str">
        <f t="shared" si="42"/>
        <v>-</v>
      </c>
      <c r="F101" s="180"/>
      <c r="G101" s="180">
        <v>19</v>
      </c>
      <c r="H101" s="1416"/>
      <c r="I101" s="173"/>
      <c r="J101" s="240"/>
      <c r="K101" s="240"/>
      <c r="L101" s="1349" t="s">
        <v>614</v>
      </c>
      <c r="M101" s="1349"/>
      <c r="N101" s="1349"/>
      <c r="O101" s="1349"/>
      <c r="P101" s="1349"/>
      <c r="Q101" s="1012" t="s">
        <v>154</v>
      </c>
      <c r="R101" s="1013"/>
      <c r="S101" s="1014"/>
      <c r="T101" s="693"/>
      <c r="U101" s="173"/>
      <c r="V101" s="351" t="s">
        <v>156</v>
      </c>
      <c r="W101" s="352" t="s">
        <v>54</v>
      </c>
      <c r="X101" s="693"/>
      <c r="Y101" s="249"/>
      <c r="Z101" s="252" t="s">
        <v>525</v>
      </c>
      <c r="AA101" s="252" t="s">
        <v>447</v>
      </c>
      <c r="AB101" s="252" t="s">
        <v>447</v>
      </c>
      <c r="AC101" s="255">
        <v>0.15</v>
      </c>
      <c r="AD101" s="255">
        <v>0.05</v>
      </c>
      <c r="AE101" s="257">
        <f t="shared" si="43"/>
        <v>20.900000000000002</v>
      </c>
      <c r="AF101" s="255">
        <v>0.2</v>
      </c>
      <c r="AG101" s="255">
        <v>100</v>
      </c>
      <c r="AH101" s="255">
        <v>30</v>
      </c>
      <c r="AI101" s="270">
        <v>0.01</v>
      </c>
      <c r="AJ101" s="270">
        <v>0.15</v>
      </c>
      <c r="AK101" s="270">
        <v>0.1</v>
      </c>
      <c r="AL101" s="270">
        <v>0.01</v>
      </c>
      <c r="AM101" s="375"/>
      <c r="AN101" s="274">
        <f t="shared" si="44"/>
        <v>0</v>
      </c>
      <c r="AO101" s="667">
        <f t="shared" si="45"/>
        <v>0</v>
      </c>
      <c r="AP101" s="279">
        <f t="shared" si="46"/>
        <v>0</v>
      </c>
      <c r="AQ101" s="279">
        <f t="shared" si="47"/>
        <v>0</v>
      </c>
      <c r="AR101" s="279">
        <f t="shared" si="48"/>
        <v>0</v>
      </c>
      <c r="AS101" s="279">
        <f t="shared" si="49"/>
        <v>0</v>
      </c>
      <c r="AT101" s="253">
        <f t="shared" si="50"/>
        <v>0</v>
      </c>
      <c r="AU101" s="253">
        <f t="shared" si="51"/>
        <v>0</v>
      </c>
      <c r="AV101" s="253">
        <f t="shared" si="52"/>
        <v>0</v>
      </c>
      <c r="AW101" s="253">
        <f t="shared" si="53"/>
        <v>0</v>
      </c>
      <c r="AX101" s="253">
        <f t="shared" si="54"/>
        <v>0</v>
      </c>
      <c r="AY101" s="253">
        <f t="shared" si="55"/>
        <v>0</v>
      </c>
      <c r="AZ101" s="253"/>
      <c r="BA101" s="665"/>
    </row>
    <row r="102" spans="1:53" ht="15" customHeight="1">
      <c r="A102" s="180">
        <v>7</v>
      </c>
      <c r="B102" s="180">
        <v>3</v>
      </c>
      <c r="C102" s="181">
        <v>0.19</v>
      </c>
      <c r="D102" s="182" t="str">
        <f t="shared" si="41"/>
        <v>MANGO</v>
      </c>
      <c r="E102" s="183" t="str">
        <f t="shared" si="42"/>
        <v>-</v>
      </c>
      <c r="F102" s="180"/>
      <c r="G102" s="180">
        <v>20</v>
      </c>
      <c r="H102" s="1416"/>
      <c r="I102" s="173"/>
      <c r="J102" s="240"/>
      <c r="K102" s="240"/>
      <c r="L102" s="1349" t="s">
        <v>615</v>
      </c>
      <c r="M102" s="1349"/>
      <c r="N102" s="1349"/>
      <c r="O102" s="1349"/>
      <c r="P102" s="1349"/>
      <c r="Q102" s="353" t="s">
        <v>54</v>
      </c>
      <c r="R102" s="775" t="s">
        <v>155</v>
      </c>
      <c r="S102" s="18" t="s">
        <v>156</v>
      </c>
      <c r="T102" s="693"/>
      <c r="U102" s="197"/>
      <c r="V102" s="354">
        <v>0.25</v>
      </c>
      <c r="W102" s="355">
        <f t="shared" ref="W102:W128" si="56">V102*S$100</f>
        <v>0.78749999999999998</v>
      </c>
      <c r="X102" s="693"/>
      <c r="Y102" s="249"/>
      <c r="Z102" s="252" t="s">
        <v>529</v>
      </c>
      <c r="AA102" s="252" t="s">
        <v>447</v>
      </c>
      <c r="AB102" s="252" t="s">
        <v>447</v>
      </c>
      <c r="AC102" s="255">
        <v>0.25</v>
      </c>
      <c r="AD102" s="255">
        <v>0.05</v>
      </c>
      <c r="AE102" s="257">
        <f t="shared" si="43"/>
        <v>22</v>
      </c>
      <c r="AF102" s="255">
        <v>0.2</v>
      </c>
      <c r="AG102" s="255">
        <v>100</v>
      </c>
      <c r="AH102" s="253">
        <v>48</v>
      </c>
      <c r="AI102" s="268">
        <v>5.3999999999999999E-2</v>
      </c>
      <c r="AJ102" s="268">
        <v>0.28599999999999998</v>
      </c>
      <c r="AK102" s="268">
        <v>3.2000000000000001E-2</v>
      </c>
      <c r="AL102" s="268">
        <v>1.7999999999999999E-2</v>
      </c>
      <c r="AM102" s="375"/>
      <c r="AN102" s="274">
        <f t="shared" si="44"/>
        <v>0</v>
      </c>
      <c r="AO102" s="667">
        <f t="shared" si="45"/>
        <v>0</v>
      </c>
      <c r="AP102" s="279">
        <f t="shared" si="46"/>
        <v>0</v>
      </c>
      <c r="AQ102" s="279">
        <f t="shared" si="47"/>
        <v>0</v>
      </c>
      <c r="AR102" s="279">
        <f t="shared" si="48"/>
        <v>0</v>
      </c>
      <c r="AS102" s="279">
        <f t="shared" si="49"/>
        <v>0</v>
      </c>
      <c r="AT102" s="253">
        <f t="shared" si="50"/>
        <v>0</v>
      </c>
      <c r="AU102" s="253">
        <f t="shared" si="51"/>
        <v>0</v>
      </c>
      <c r="AV102" s="253">
        <f t="shared" si="52"/>
        <v>0</v>
      </c>
      <c r="AW102" s="253">
        <f t="shared" si="53"/>
        <v>0</v>
      </c>
      <c r="AX102" s="253">
        <f t="shared" si="54"/>
        <v>0</v>
      </c>
      <c r="AY102" s="253">
        <f t="shared" si="55"/>
        <v>0</v>
      </c>
      <c r="AZ102" s="253"/>
      <c r="BA102" s="665"/>
    </row>
    <row r="103" spans="1:53" ht="15" customHeight="1">
      <c r="A103" s="180">
        <v>7</v>
      </c>
      <c r="B103" s="180">
        <v>3</v>
      </c>
      <c r="C103" s="181">
        <v>7.0000000000000007E-2</v>
      </c>
      <c r="D103" s="182" t="str">
        <f t="shared" si="41"/>
        <v>ORANGE</v>
      </c>
      <c r="E103" s="183" t="str">
        <f t="shared" si="42"/>
        <v>-</v>
      </c>
      <c r="F103" s="180"/>
      <c r="G103" s="180">
        <v>19</v>
      </c>
      <c r="H103" s="1416"/>
      <c r="I103" s="173"/>
      <c r="J103" s="240"/>
      <c r="K103" s="240"/>
      <c r="L103" s="240"/>
      <c r="M103" s="240"/>
      <c r="N103" s="240"/>
      <c r="O103" s="240"/>
      <c r="P103" s="240"/>
      <c r="Q103" s="341">
        <f>R103*S100</f>
        <v>4.7249999999999996</v>
      </c>
      <c r="R103" s="672">
        <v>1.5</v>
      </c>
      <c r="S103" s="356">
        <f>R103/S100</f>
        <v>0.47619047619047622</v>
      </c>
      <c r="T103" s="693"/>
      <c r="U103" s="709"/>
      <c r="V103" s="354">
        <f t="shared" ref="V103:V127" si="57">V102+0.25</f>
        <v>0.5</v>
      </c>
      <c r="W103" s="355">
        <f t="shared" si="56"/>
        <v>1.575</v>
      </c>
      <c r="X103" s="693"/>
      <c r="Y103" s="249"/>
      <c r="Z103" s="252" t="s">
        <v>540</v>
      </c>
      <c r="AA103" s="252" t="s">
        <v>447</v>
      </c>
      <c r="AB103" s="252" t="s">
        <v>447</v>
      </c>
      <c r="AC103" s="255">
        <v>0.5</v>
      </c>
      <c r="AD103" s="255">
        <v>0.05</v>
      </c>
      <c r="AE103" s="257">
        <f t="shared" si="43"/>
        <v>20.900000000000002</v>
      </c>
      <c r="AF103" s="255">
        <v>0.2</v>
      </c>
      <c r="AG103" s="255">
        <v>100</v>
      </c>
      <c r="AH103" s="255">
        <v>170</v>
      </c>
      <c r="AI103" s="270">
        <v>5.2999999999999999E-2</v>
      </c>
      <c r="AJ103" s="270">
        <v>0.44600000000000001</v>
      </c>
      <c r="AK103" s="270">
        <v>0.125</v>
      </c>
      <c r="AL103" s="270">
        <v>4.2000000000000003E-2</v>
      </c>
      <c r="AM103" s="375" t="s">
        <v>448</v>
      </c>
      <c r="AN103" s="274">
        <f t="shared" si="44"/>
        <v>0</v>
      </c>
      <c r="AO103" s="667">
        <f t="shared" si="45"/>
        <v>0</v>
      </c>
      <c r="AP103" s="279">
        <f t="shared" si="46"/>
        <v>0</v>
      </c>
      <c r="AQ103" s="279">
        <f t="shared" si="47"/>
        <v>0</v>
      </c>
      <c r="AR103" s="279">
        <f t="shared" si="48"/>
        <v>0</v>
      </c>
      <c r="AS103" s="279">
        <f t="shared" si="49"/>
        <v>0</v>
      </c>
      <c r="AT103" s="253">
        <f t="shared" si="50"/>
        <v>0</v>
      </c>
      <c r="AU103" s="253">
        <f t="shared" si="51"/>
        <v>0</v>
      </c>
      <c r="AV103" s="253">
        <f t="shared" si="52"/>
        <v>0</v>
      </c>
      <c r="AW103" s="253">
        <f t="shared" si="53"/>
        <v>0</v>
      </c>
      <c r="AX103" s="253">
        <f t="shared" si="54"/>
        <v>0</v>
      </c>
      <c r="AY103" s="253">
        <f t="shared" si="55"/>
        <v>0</v>
      </c>
      <c r="AZ103" s="253"/>
      <c r="BA103" s="665"/>
    </row>
    <row r="104" spans="1:53">
      <c r="A104" s="180">
        <v>7</v>
      </c>
      <c r="B104" s="180">
        <v>3</v>
      </c>
      <c r="C104" s="181">
        <v>7.0000000000000007E-2</v>
      </c>
      <c r="D104" s="182" t="str">
        <f t="shared" si="41"/>
        <v>PAPAYA (Pawpaw)</v>
      </c>
      <c r="E104" s="183" t="str">
        <f t="shared" si="42"/>
        <v>-</v>
      </c>
      <c r="F104" s="180"/>
      <c r="G104" s="180">
        <v>15</v>
      </c>
      <c r="H104" s="1416"/>
      <c r="I104" s="240"/>
      <c r="J104" s="985" t="s">
        <v>616</v>
      </c>
      <c r="K104" s="985"/>
      <c r="L104" s="240"/>
      <c r="M104" s="240"/>
      <c r="N104" s="240"/>
      <c r="O104" s="643"/>
      <c r="P104" s="329" t="s">
        <v>129</v>
      </c>
      <c r="Q104" s="693"/>
      <c r="R104" s="693"/>
      <c r="S104" s="693"/>
      <c r="T104" s="693"/>
      <c r="U104" s="693"/>
      <c r="V104" s="354">
        <f t="shared" si="57"/>
        <v>0.75</v>
      </c>
      <c r="W104" s="355">
        <f t="shared" si="56"/>
        <v>2.3624999999999998</v>
      </c>
      <c r="X104" s="693"/>
      <c r="Y104" s="249"/>
      <c r="Z104" s="252" t="s">
        <v>547</v>
      </c>
      <c r="AA104" s="252" t="s">
        <v>447</v>
      </c>
      <c r="AB104" s="252" t="s">
        <v>447</v>
      </c>
      <c r="AC104" s="255">
        <v>0.1</v>
      </c>
      <c r="AD104" s="255">
        <v>0.05</v>
      </c>
      <c r="AE104" s="257">
        <f t="shared" si="43"/>
        <v>16.5</v>
      </c>
      <c r="AF104" s="255">
        <v>0.2</v>
      </c>
      <c r="AG104" s="255">
        <v>100</v>
      </c>
      <c r="AH104" s="253">
        <v>31</v>
      </c>
      <c r="AI104" s="268">
        <v>0.01</v>
      </c>
      <c r="AJ104" s="268">
        <v>0.15</v>
      </c>
      <c r="AK104" s="268"/>
      <c r="AL104" s="268">
        <v>0.01</v>
      </c>
      <c r="AM104" s="375"/>
      <c r="AN104" s="274">
        <f t="shared" si="44"/>
        <v>0</v>
      </c>
      <c r="AO104" s="667">
        <f t="shared" si="45"/>
        <v>0</v>
      </c>
      <c r="AP104" s="279">
        <f t="shared" si="46"/>
        <v>0</v>
      </c>
      <c r="AQ104" s="279">
        <f t="shared" si="47"/>
        <v>0</v>
      </c>
      <c r="AR104" s="279">
        <f t="shared" si="48"/>
        <v>0</v>
      </c>
      <c r="AS104" s="279">
        <f t="shared" si="49"/>
        <v>0</v>
      </c>
      <c r="AT104" s="253">
        <f t="shared" si="50"/>
        <v>0</v>
      </c>
      <c r="AU104" s="253">
        <f t="shared" si="51"/>
        <v>0</v>
      </c>
      <c r="AV104" s="253">
        <f t="shared" si="52"/>
        <v>0</v>
      </c>
      <c r="AW104" s="253">
        <f t="shared" si="53"/>
        <v>0</v>
      </c>
      <c r="AX104" s="253">
        <f t="shared" si="54"/>
        <v>0</v>
      </c>
      <c r="AY104" s="253">
        <f t="shared" si="55"/>
        <v>0</v>
      </c>
      <c r="AZ104" s="258"/>
      <c r="BA104" s="665"/>
    </row>
    <row r="105" spans="1:53" ht="13.95" customHeight="1">
      <c r="A105" s="180">
        <v>7</v>
      </c>
      <c r="B105" s="180">
        <v>3</v>
      </c>
      <c r="C105" s="181">
        <v>7.0000000000000007E-2</v>
      </c>
      <c r="D105" s="182" t="str">
        <f t="shared" si="41"/>
        <v>PEACHES</v>
      </c>
      <c r="E105" s="183" t="str">
        <f t="shared" si="42"/>
        <v>-</v>
      </c>
      <c r="F105" s="180"/>
      <c r="G105" s="180">
        <v>14</v>
      </c>
      <c r="H105" s="1416"/>
      <c r="I105" s="173"/>
      <c r="J105" s="709"/>
      <c r="K105" s="709"/>
      <c r="L105" s="330" t="s">
        <v>617</v>
      </c>
      <c r="M105" s="331" t="s">
        <v>618</v>
      </c>
      <c r="N105" s="332" t="s">
        <v>619</v>
      </c>
      <c r="O105" s="1460" t="s">
        <v>620</v>
      </c>
      <c r="P105" s="1461"/>
      <c r="Q105" s="330" t="s">
        <v>617</v>
      </c>
      <c r="R105" s="330" t="s">
        <v>618</v>
      </c>
      <c r="S105" s="357" t="s">
        <v>619</v>
      </c>
      <c r="T105" s="17" t="s">
        <v>621</v>
      </c>
      <c r="U105" s="693"/>
      <c r="V105" s="354">
        <f t="shared" si="57"/>
        <v>1</v>
      </c>
      <c r="W105" s="355">
        <f t="shared" si="56"/>
        <v>3.15</v>
      </c>
      <c r="X105" s="693"/>
      <c r="Y105" s="249"/>
      <c r="Z105" s="252" t="s">
        <v>622</v>
      </c>
      <c r="AA105" s="252" t="s">
        <v>447</v>
      </c>
      <c r="AB105" s="252" t="s">
        <v>447</v>
      </c>
      <c r="AC105" s="253">
        <v>0.3</v>
      </c>
      <c r="AD105" s="255">
        <v>0.05</v>
      </c>
      <c r="AE105" s="257">
        <f t="shared" si="43"/>
        <v>15.400000000000002</v>
      </c>
      <c r="AF105" s="255">
        <v>0.2</v>
      </c>
      <c r="AG105" s="255">
        <v>100</v>
      </c>
      <c r="AH105" s="253">
        <v>140</v>
      </c>
      <c r="AI105" s="268">
        <v>8.9999999999999993E-3</v>
      </c>
      <c r="AJ105" s="268">
        <v>0.59299999999999997</v>
      </c>
      <c r="AK105" s="268">
        <v>0.05</v>
      </c>
      <c r="AL105" s="268">
        <v>1.9E-2</v>
      </c>
      <c r="AM105" s="375" t="s">
        <v>417</v>
      </c>
      <c r="AN105" s="274">
        <f t="shared" si="44"/>
        <v>0</v>
      </c>
      <c r="AO105" s="667">
        <f t="shared" si="45"/>
        <v>0</v>
      </c>
      <c r="AP105" s="279">
        <f t="shared" si="46"/>
        <v>0</v>
      </c>
      <c r="AQ105" s="279">
        <f t="shared" si="47"/>
        <v>0</v>
      </c>
      <c r="AR105" s="279">
        <f t="shared" si="48"/>
        <v>0</v>
      </c>
      <c r="AS105" s="279">
        <f t="shared" si="49"/>
        <v>0</v>
      </c>
      <c r="AT105" s="253">
        <f t="shared" si="50"/>
        <v>0</v>
      </c>
      <c r="AU105" s="253">
        <f t="shared" si="51"/>
        <v>0</v>
      </c>
      <c r="AV105" s="253">
        <f t="shared" si="52"/>
        <v>0</v>
      </c>
      <c r="AW105" s="253">
        <f t="shared" si="53"/>
        <v>0</v>
      </c>
      <c r="AX105" s="253">
        <f t="shared" si="54"/>
        <v>0</v>
      </c>
      <c r="AY105" s="253">
        <f t="shared" si="55"/>
        <v>0</v>
      </c>
      <c r="AZ105" s="258"/>
      <c r="BA105" s="665"/>
    </row>
    <row r="106" spans="1:53" ht="13.95" customHeight="1">
      <c r="A106" s="180">
        <v>7</v>
      </c>
      <c r="B106" s="180">
        <v>3</v>
      </c>
      <c r="C106" s="181">
        <v>7.0000000000000007E-2</v>
      </c>
      <c r="D106" s="182" t="str">
        <f t="shared" si="41"/>
        <v>PEARS</v>
      </c>
      <c r="E106" s="183" t="str">
        <f t="shared" si="42"/>
        <v>-</v>
      </c>
      <c r="F106" s="180"/>
      <c r="G106" s="180">
        <v>12.1</v>
      </c>
      <c r="H106" s="1416"/>
      <c r="I106" s="173"/>
      <c r="J106" s="240"/>
      <c r="K106" s="240"/>
      <c r="L106" s="686" t="s">
        <v>51</v>
      </c>
      <c r="M106" s="295" t="s">
        <v>73</v>
      </c>
      <c r="N106" s="18" t="s">
        <v>73</v>
      </c>
      <c r="O106" s="1460"/>
      <c r="P106" s="1461"/>
      <c r="Q106" s="686" t="s">
        <v>51</v>
      </c>
      <c r="R106" s="686" t="s">
        <v>73</v>
      </c>
      <c r="S106" s="18" t="s">
        <v>73</v>
      </c>
      <c r="T106" s="19"/>
      <c r="U106" s="693"/>
      <c r="V106" s="354">
        <f t="shared" si="57"/>
        <v>1.25</v>
      </c>
      <c r="W106" s="355">
        <f t="shared" si="56"/>
        <v>3.9375</v>
      </c>
      <c r="X106" s="693"/>
      <c r="Y106" s="249"/>
      <c r="Z106" s="252" t="s">
        <v>623</v>
      </c>
      <c r="AA106" s="252" t="s">
        <v>447</v>
      </c>
      <c r="AB106" s="252" t="s">
        <v>447</v>
      </c>
      <c r="AC106" s="253">
        <v>0.2</v>
      </c>
      <c r="AD106" s="255">
        <v>0.05</v>
      </c>
      <c r="AE106" s="254">
        <f>G106*1.3</f>
        <v>15.73</v>
      </c>
      <c r="AF106" s="255">
        <v>0.2</v>
      </c>
      <c r="AG106" s="255">
        <v>100</v>
      </c>
      <c r="AH106" s="253">
        <v>66</v>
      </c>
      <c r="AI106" s="268">
        <v>0.01</v>
      </c>
      <c r="AJ106" s="268">
        <v>0.154</v>
      </c>
      <c r="AK106" s="268">
        <v>2.1999999999999999E-2</v>
      </c>
      <c r="AL106" s="268">
        <v>1.4E-2</v>
      </c>
      <c r="AM106" s="375" t="s">
        <v>417</v>
      </c>
      <c r="AN106" s="274">
        <f t="shared" si="44"/>
        <v>0</v>
      </c>
      <c r="AO106" s="667">
        <f t="shared" si="45"/>
        <v>0</v>
      </c>
      <c r="AP106" s="279">
        <f t="shared" si="46"/>
        <v>0</v>
      </c>
      <c r="AQ106" s="279">
        <f t="shared" si="47"/>
        <v>0</v>
      </c>
      <c r="AR106" s="279">
        <f t="shared" si="48"/>
        <v>0</v>
      </c>
      <c r="AS106" s="279">
        <f t="shared" si="49"/>
        <v>0</v>
      </c>
      <c r="AT106" s="253">
        <f t="shared" si="50"/>
        <v>0</v>
      </c>
      <c r="AU106" s="253">
        <f t="shared" si="51"/>
        <v>0</v>
      </c>
      <c r="AV106" s="253">
        <f t="shared" si="52"/>
        <v>0</v>
      </c>
      <c r="AW106" s="253">
        <f t="shared" si="53"/>
        <v>0</v>
      </c>
      <c r="AX106" s="253">
        <f t="shared" si="54"/>
        <v>0</v>
      </c>
      <c r="AY106" s="253">
        <f t="shared" si="55"/>
        <v>0</v>
      </c>
      <c r="AZ106" s="258"/>
      <c r="BA106" s="665"/>
    </row>
    <row r="107" spans="1:53">
      <c r="A107" s="180">
        <v>7</v>
      </c>
      <c r="B107" s="180">
        <v>3</v>
      </c>
      <c r="C107" s="181">
        <v>0.08</v>
      </c>
      <c r="D107" s="182" t="str">
        <f t="shared" si="41"/>
        <v>PINEAPPLE</v>
      </c>
      <c r="E107" s="183" t="str">
        <f t="shared" si="42"/>
        <v>-</v>
      </c>
      <c r="F107" s="180"/>
      <c r="G107" s="180">
        <v>12</v>
      </c>
      <c r="H107" s="1416"/>
      <c r="I107" s="173"/>
      <c r="J107" s="240"/>
      <c r="K107" s="240"/>
      <c r="L107" s="783">
        <v>590</v>
      </c>
      <c r="M107" s="333">
        <f>0.671*L107</f>
        <v>395.89000000000004</v>
      </c>
      <c r="N107" s="334">
        <f>M107+(0.58*L107)</f>
        <v>738.09</v>
      </c>
      <c r="O107" s="335"/>
      <c r="P107" s="336"/>
      <c r="Q107" s="784">
        <v>590</v>
      </c>
      <c r="R107" s="784">
        <v>396</v>
      </c>
      <c r="S107" s="334">
        <f>R107+(0.58*Q107)</f>
        <v>738.2</v>
      </c>
      <c r="T107" s="358">
        <f>1000+375*Q107/S107</f>
        <v>1299.7155242481713</v>
      </c>
      <c r="U107" s="693"/>
      <c r="V107" s="354">
        <f t="shared" si="57"/>
        <v>1.5</v>
      </c>
      <c r="W107" s="355">
        <f t="shared" si="56"/>
        <v>4.7249999999999996</v>
      </c>
      <c r="X107" s="693"/>
      <c r="Y107" s="249"/>
      <c r="Z107" s="252" t="s">
        <v>560</v>
      </c>
      <c r="AA107" s="252" t="s">
        <v>447</v>
      </c>
      <c r="AB107" s="252" t="s">
        <v>447</v>
      </c>
      <c r="AC107" s="253">
        <v>0.17</v>
      </c>
      <c r="AD107" s="255">
        <v>0.05</v>
      </c>
      <c r="AE107" s="254">
        <f>G107*1.1</f>
        <v>13.200000000000001</v>
      </c>
      <c r="AF107" s="255">
        <v>0.2</v>
      </c>
      <c r="AG107" s="255">
        <v>100</v>
      </c>
      <c r="AH107" s="253">
        <v>105</v>
      </c>
      <c r="AI107" s="268">
        <v>9.0999999999999998E-2</v>
      </c>
      <c r="AJ107" s="268">
        <v>0.29199999999999998</v>
      </c>
      <c r="AK107" s="268">
        <v>0.1</v>
      </c>
      <c r="AL107" s="268">
        <v>7.3999999999999996E-2</v>
      </c>
      <c r="AM107" s="375" t="s">
        <v>448</v>
      </c>
      <c r="AN107" s="274">
        <f t="shared" si="44"/>
        <v>0</v>
      </c>
      <c r="AO107" s="667">
        <f t="shared" si="45"/>
        <v>0</v>
      </c>
      <c r="AP107" s="279">
        <f t="shared" si="46"/>
        <v>0</v>
      </c>
      <c r="AQ107" s="279">
        <f t="shared" si="47"/>
        <v>0</v>
      </c>
      <c r="AR107" s="279">
        <f t="shared" si="48"/>
        <v>0</v>
      </c>
      <c r="AS107" s="279">
        <f t="shared" si="49"/>
        <v>0</v>
      </c>
      <c r="AT107" s="253">
        <f t="shared" si="50"/>
        <v>0</v>
      </c>
      <c r="AU107" s="253">
        <f t="shared" si="51"/>
        <v>0</v>
      </c>
      <c r="AV107" s="253">
        <f t="shared" si="52"/>
        <v>0</v>
      </c>
      <c r="AW107" s="253">
        <f t="shared" si="53"/>
        <v>0</v>
      </c>
      <c r="AX107" s="253">
        <f t="shared" si="54"/>
        <v>0</v>
      </c>
      <c r="AY107" s="253">
        <f t="shared" si="55"/>
        <v>0</v>
      </c>
      <c r="AZ107" s="253"/>
      <c r="BA107" s="665"/>
    </row>
    <row r="108" spans="1:53">
      <c r="A108" s="180">
        <v>7</v>
      </c>
      <c r="B108" s="180">
        <v>3</v>
      </c>
      <c r="C108" s="181">
        <v>0.08</v>
      </c>
      <c r="D108" s="182" t="str">
        <f t="shared" si="41"/>
        <v>PLUM</v>
      </c>
      <c r="E108" s="183" t="str">
        <f t="shared" si="42"/>
        <v>-</v>
      </c>
      <c r="F108" s="180"/>
      <c r="G108" s="180">
        <v>15</v>
      </c>
      <c r="H108" s="1416"/>
      <c r="I108" s="173"/>
      <c r="J108" s="240"/>
      <c r="K108" s="240"/>
      <c r="L108" s="240"/>
      <c r="M108" s="240"/>
      <c r="N108" s="240"/>
      <c r="O108" s="240"/>
      <c r="P108" s="240"/>
      <c r="Q108" s="240"/>
      <c r="R108" s="240"/>
      <c r="S108" s="240"/>
      <c r="T108" s="240"/>
      <c r="U108" s="240"/>
      <c r="V108" s="354">
        <f t="shared" si="57"/>
        <v>1.75</v>
      </c>
      <c r="W108" s="355">
        <f t="shared" si="56"/>
        <v>5.5125000000000002</v>
      </c>
      <c r="X108" s="693"/>
      <c r="Y108" s="249"/>
      <c r="Z108" s="252" t="s">
        <v>562</v>
      </c>
      <c r="AA108" s="252" t="s">
        <v>447</v>
      </c>
      <c r="AB108" s="252" t="s">
        <v>447</v>
      </c>
      <c r="AC108" s="255">
        <v>0.7</v>
      </c>
      <c r="AD108" s="255">
        <v>0.05</v>
      </c>
      <c r="AE108" s="254">
        <f>G108*1.1</f>
        <v>16.5</v>
      </c>
      <c r="AF108" s="255">
        <v>0.2</v>
      </c>
      <c r="AG108" s="255">
        <v>100</v>
      </c>
      <c r="AH108" s="253">
        <v>90</v>
      </c>
      <c r="AI108" s="268">
        <v>1.6E-2</v>
      </c>
      <c r="AJ108" s="268">
        <v>0.29699999999999999</v>
      </c>
      <c r="AK108" s="268">
        <v>7.1999999999999995E-2</v>
      </c>
      <c r="AL108" s="268">
        <v>2.7E-2</v>
      </c>
      <c r="AM108" s="375" t="s">
        <v>417</v>
      </c>
      <c r="AN108" s="274">
        <f t="shared" si="44"/>
        <v>0</v>
      </c>
      <c r="AO108" s="667">
        <f t="shared" si="45"/>
        <v>0</v>
      </c>
      <c r="AP108" s="279">
        <f t="shared" si="46"/>
        <v>0</v>
      </c>
      <c r="AQ108" s="279">
        <f t="shared" si="47"/>
        <v>0</v>
      </c>
      <c r="AR108" s="279">
        <f t="shared" si="48"/>
        <v>0</v>
      </c>
      <c r="AS108" s="279">
        <f t="shared" si="49"/>
        <v>0</v>
      </c>
      <c r="AT108" s="253">
        <f t="shared" si="50"/>
        <v>0</v>
      </c>
      <c r="AU108" s="253">
        <f t="shared" si="51"/>
        <v>0</v>
      </c>
      <c r="AV108" s="253">
        <f t="shared" si="52"/>
        <v>0</v>
      </c>
      <c r="AW108" s="253">
        <f t="shared" si="53"/>
        <v>0</v>
      </c>
      <c r="AX108" s="253">
        <f t="shared" si="54"/>
        <v>0</v>
      </c>
      <c r="AY108" s="253">
        <f t="shared" si="55"/>
        <v>0</v>
      </c>
      <c r="AZ108" s="253"/>
      <c r="BA108" s="665"/>
    </row>
    <row r="109" spans="1:53">
      <c r="A109" s="180">
        <v>7</v>
      </c>
      <c r="B109" s="180">
        <v>3</v>
      </c>
      <c r="C109" s="181">
        <v>0.3</v>
      </c>
      <c r="D109" s="182" t="str">
        <f t="shared" si="41"/>
        <v>PRUNES</v>
      </c>
      <c r="E109" s="183" t="str">
        <f t="shared" si="42"/>
        <v>-</v>
      </c>
      <c r="F109" s="180"/>
      <c r="G109" s="180">
        <v>21</v>
      </c>
      <c r="H109" s="1416"/>
      <c r="I109" s="173"/>
      <c r="J109" s="240"/>
      <c r="K109" s="240"/>
      <c r="L109" s="240"/>
      <c r="M109" s="240"/>
      <c r="N109" s="687" t="s">
        <v>624</v>
      </c>
      <c r="O109" s="918" t="s">
        <v>625</v>
      </c>
      <c r="P109" s="921"/>
      <c r="Q109" s="694" t="s">
        <v>626</v>
      </c>
      <c r="R109" s="240"/>
      <c r="S109" s="240"/>
      <c r="T109" s="240"/>
      <c r="U109" s="240"/>
      <c r="V109" s="354">
        <f t="shared" si="57"/>
        <v>2</v>
      </c>
      <c r="W109" s="355">
        <f t="shared" si="56"/>
        <v>6.3</v>
      </c>
      <c r="X109" s="693"/>
      <c r="Y109" s="249"/>
      <c r="Z109" s="252" t="s">
        <v>566</v>
      </c>
      <c r="AA109" s="252" t="s">
        <v>447</v>
      </c>
      <c r="AB109" s="252" t="s">
        <v>447</v>
      </c>
      <c r="AC109" s="255">
        <v>0.6</v>
      </c>
      <c r="AD109" s="255">
        <v>0.05</v>
      </c>
      <c r="AE109" s="257">
        <f>G109*1.1</f>
        <v>23.1</v>
      </c>
      <c r="AF109" s="255">
        <v>0.2</v>
      </c>
      <c r="AG109" s="255">
        <v>100</v>
      </c>
      <c r="AH109" s="253">
        <v>270</v>
      </c>
      <c r="AI109" s="268">
        <v>3.4000000000000002E-2</v>
      </c>
      <c r="AJ109" s="268">
        <v>0.86599999999999999</v>
      </c>
      <c r="AK109" s="268">
        <v>0.1</v>
      </c>
      <c r="AL109" s="268">
        <v>0.20300000000000001</v>
      </c>
      <c r="AM109" s="375" t="s">
        <v>417</v>
      </c>
      <c r="AN109" s="274">
        <f t="shared" si="44"/>
        <v>0</v>
      </c>
      <c r="AO109" s="667">
        <f t="shared" si="45"/>
        <v>0</v>
      </c>
      <c r="AP109" s="279">
        <f t="shared" si="46"/>
        <v>0</v>
      </c>
      <c r="AQ109" s="279">
        <f t="shared" si="47"/>
        <v>0</v>
      </c>
      <c r="AR109" s="279">
        <f t="shared" si="48"/>
        <v>0</v>
      </c>
      <c r="AS109" s="279">
        <f t="shared" si="49"/>
        <v>0</v>
      </c>
      <c r="AT109" s="253">
        <f t="shared" si="50"/>
        <v>0</v>
      </c>
      <c r="AU109" s="253">
        <f t="shared" si="51"/>
        <v>0</v>
      </c>
      <c r="AV109" s="253">
        <f t="shared" si="52"/>
        <v>0</v>
      </c>
      <c r="AW109" s="253">
        <f t="shared" si="53"/>
        <v>0</v>
      </c>
      <c r="AX109" s="253">
        <f t="shared" si="54"/>
        <v>0</v>
      </c>
      <c r="AY109" s="253">
        <f t="shared" si="55"/>
        <v>0</v>
      </c>
      <c r="AZ109" s="253"/>
      <c r="BA109" s="665"/>
    </row>
    <row r="110" spans="1:53">
      <c r="A110" s="180">
        <v>7</v>
      </c>
      <c r="B110" s="180">
        <v>3</v>
      </c>
      <c r="C110" s="181">
        <v>0.08</v>
      </c>
      <c r="D110" s="182" t="str">
        <f t="shared" si="41"/>
        <v>RASPBERRY</v>
      </c>
      <c r="E110" s="183" t="str">
        <f t="shared" si="42"/>
        <v>-</v>
      </c>
      <c r="F110" s="180"/>
      <c r="G110" s="180">
        <v>14</v>
      </c>
      <c r="H110" s="1416"/>
      <c r="I110" s="173"/>
      <c r="J110" s="240"/>
      <c r="K110" s="240"/>
      <c r="L110" s="240"/>
      <c r="M110" s="240"/>
      <c r="N110" s="695">
        <f>O110*0.2489/0.262</f>
        <v>0.95</v>
      </c>
      <c r="O110" s="1438">
        <v>1</v>
      </c>
      <c r="P110" s="1439"/>
      <c r="Q110" s="691">
        <f>O110*0.262/0.2489</f>
        <v>1.0526315789473684</v>
      </c>
      <c r="R110" s="240"/>
      <c r="S110" s="3"/>
      <c r="T110" s="3"/>
      <c r="U110" s="3"/>
      <c r="V110" s="359">
        <f t="shared" si="57"/>
        <v>2.25</v>
      </c>
      <c r="W110" s="360">
        <f t="shared" si="56"/>
        <v>7.0874999999999995</v>
      </c>
      <c r="X110" s="693"/>
      <c r="Y110" s="249"/>
      <c r="Z110" s="252" t="s">
        <v>571</v>
      </c>
      <c r="AA110" s="252" t="s">
        <v>447</v>
      </c>
      <c r="AB110" s="252" t="s">
        <v>447</v>
      </c>
      <c r="AC110" s="255">
        <v>0.6</v>
      </c>
      <c r="AD110" s="255">
        <v>0.05</v>
      </c>
      <c r="AE110" s="254">
        <f>G110*1.1</f>
        <v>15.400000000000002</v>
      </c>
      <c r="AF110" s="255">
        <v>0.2</v>
      </c>
      <c r="AG110" s="255">
        <v>100</v>
      </c>
      <c r="AH110" s="253">
        <v>94</v>
      </c>
      <c r="AI110" s="268">
        <v>0.02</v>
      </c>
      <c r="AJ110" s="268">
        <v>0.44</v>
      </c>
      <c r="AK110" s="268">
        <v>0</v>
      </c>
      <c r="AL110" s="268">
        <v>0.04</v>
      </c>
      <c r="AM110" s="375" t="s">
        <v>448</v>
      </c>
      <c r="AN110" s="274">
        <f t="shared" si="44"/>
        <v>0</v>
      </c>
      <c r="AO110" s="667">
        <f t="shared" si="45"/>
        <v>0</v>
      </c>
      <c r="AP110" s="279">
        <f t="shared" si="46"/>
        <v>0</v>
      </c>
      <c r="AQ110" s="279">
        <f t="shared" si="47"/>
        <v>0</v>
      </c>
      <c r="AR110" s="279">
        <f t="shared" si="48"/>
        <v>0</v>
      </c>
      <c r="AS110" s="279">
        <f t="shared" si="49"/>
        <v>0</v>
      </c>
      <c r="AT110" s="253">
        <f t="shared" si="50"/>
        <v>0</v>
      </c>
      <c r="AU110" s="253">
        <f t="shared" si="51"/>
        <v>0</v>
      </c>
      <c r="AV110" s="253">
        <f t="shared" si="52"/>
        <v>0</v>
      </c>
      <c r="AW110" s="253">
        <f t="shared" si="53"/>
        <v>0</v>
      </c>
      <c r="AX110" s="253">
        <f t="shared" si="54"/>
        <v>0</v>
      </c>
      <c r="AY110" s="253">
        <f t="shared" si="55"/>
        <v>0</v>
      </c>
      <c r="AZ110" s="253"/>
      <c r="BA110" s="665"/>
    </row>
    <row r="111" spans="1:53">
      <c r="A111" s="180">
        <v>7</v>
      </c>
      <c r="B111" s="180">
        <v>3</v>
      </c>
      <c r="C111" s="181">
        <v>0.1</v>
      </c>
      <c r="D111" s="182" t="str">
        <f t="shared" si="41"/>
        <v>RHUBARB</v>
      </c>
      <c r="E111" s="183" t="str">
        <f t="shared" si="42"/>
        <v>-</v>
      </c>
      <c r="F111" s="180"/>
      <c r="G111" s="180">
        <v>7</v>
      </c>
      <c r="H111" s="1416"/>
      <c r="I111" s="173"/>
      <c r="J111" s="240"/>
      <c r="K111" s="240"/>
      <c r="L111" s="240"/>
      <c r="M111" s="240"/>
      <c r="N111" s="240"/>
      <c r="O111" s="240"/>
      <c r="P111" s="240"/>
      <c r="Q111" s="240"/>
      <c r="R111" s="240"/>
      <c r="S111" s="681"/>
      <c r="T111" s="681"/>
      <c r="U111" s="681"/>
      <c r="V111" s="354">
        <f t="shared" si="57"/>
        <v>2.5</v>
      </c>
      <c r="W111" s="355">
        <f t="shared" si="56"/>
        <v>7.875</v>
      </c>
      <c r="X111" s="693"/>
      <c r="Y111" s="249"/>
      <c r="Z111" s="252" t="s">
        <v>627</v>
      </c>
      <c r="AA111" s="252" t="s">
        <v>447</v>
      </c>
      <c r="AB111" s="252" t="s">
        <v>447</v>
      </c>
      <c r="AC111" s="255">
        <v>0.7</v>
      </c>
      <c r="AD111" s="255">
        <v>0.05</v>
      </c>
      <c r="AE111" s="257">
        <f>G111*1.3</f>
        <v>9.1</v>
      </c>
      <c r="AF111" s="255">
        <v>0.2</v>
      </c>
      <c r="AG111" s="255">
        <v>100</v>
      </c>
      <c r="AH111" s="255">
        <v>30</v>
      </c>
      <c r="AI111" s="270">
        <v>0.01</v>
      </c>
      <c r="AJ111" s="270">
        <v>0.15</v>
      </c>
      <c r="AK111" s="270">
        <v>0.1</v>
      </c>
      <c r="AL111" s="270">
        <v>0.01</v>
      </c>
      <c r="AM111" s="375" t="s">
        <v>417</v>
      </c>
      <c r="AN111" s="274">
        <f t="shared" si="44"/>
        <v>0</v>
      </c>
      <c r="AO111" s="667">
        <f t="shared" si="45"/>
        <v>0</v>
      </c>
      <c r="AP111" s="279">
        <f t="shared" si="46"/>
        <v>0</v>
      </c>
      <c r="AQ111" s="279">
        <f t="shared" si="47"/>
        <v>0</v>
      </c>
      <c r="AR111" s="279">
        <f t="shared" si="48"/>
        <v>0</v>
      </c>
      <c r="AS111" s="279">
        <f t="shared" si="49"/>
        <v>0</v>
      </c>
      <c r="AT111" s="253">
        <f t="shared" si="50"/>
        <v>0</v>
      </c>
      <c r="AU111" s="253">
        <f t="shared" si="51"/>
        <v>0</v>
      </c>
      <c r="AV111" s="253">
        <f t="shared" si="52"/>
        <v>0</v>
      </c>
      <c r="AW111" s="253">
        <f t="shared" si="53"/>
        <v>0</v>
      </c>
      <c r="AX111" s="253">
        <f t="shared" si="54"/>
        <v>0</v>
      </c>
      <c r="AY111" s="253">
        <f t="shared" si="55"/>
        <v>0</v>
      </c>
      <c r="AZ111" s="258"/>
      <c r="BA111" s="665"/>
    </row>
    <row r="112" spans="1:53">
      <c r="A112" s="180">
        <v>7</v>
      </c>
      <c r="B112" s="180">
        <v>3</v>
      </c>
      <c r="C112" s="181">
        <v>0.06</v>
      </c>
      <c r="D112" s="182" t="str">
        <f t="shared" si="41"/>
        <v>STRAWBERRIES</v>
      </c>
      <c r="E112" s="183" t="str">
        <f t="shared" si="42"/>
        <v>-</v>
      </c>
      <c r="F112" s="180"/>
      <c r="G112" s="180">
        <v>14</v>
      </c>
      <c r="H112" s="1416"/>
      <c r="I112" s="173"/>
      <c r="J112" s="240"/>
      <c r="K112" s="240"/>
      <c r="L112" s="681"/>
      <c r="M112" s="681"/>
      <c r="N112" s="240"/>
      <c r="O112" s="240"/>
      <c r="P112" s="681"/>
      <c r="Q112" s="681"/>
      <c r="R112" s="681"/>
      <c r="S112" s="681"/>
      <c r="T112" s="681"/>
      <c r="U112" s="681"/>
      <c r="V112" s="354">
        <f t="shared" si="57"/>
        <v>2.75</v>
      </c>
      <c r="W112" s="355">
        <f t="shared" si="56"/>
        <v>8.6624999999999996</v>
      </c>
      <c r="X112" s="693"/>
      <c r="Y112" s="249"/>
      <c r="Z112" s="252" t="s">
        <v>628</v>
      </c>
      <c r="AA112" s="252" t="s">
        <v>447</v>
      </c>
      <c r="AB112" s="252" t="s">
        <v>447</v>
      </c>
      <c r="AC112" s="255">
        <v>0.6</v>
      </c>
      <c r="AD112" s="255">
        <v>0.05</v>
      </c>
      <c r="AE112" s="254">
        <f>G112*1.1</f>
        <v>15.400000000000002</v>
      </c>
      <c r="AF112" s="255">
        <v>0.2</v>
      </c>
      <c r="AG112" s="255">
        <v>100</v>
      </c>
      <c r="AH112" s="253">
        <v>86</v>
      </c>
      <c r="AI112" s="268">
        <v>0.02</v>
      </c>
      <c r="AJ112" s="268">
        <v>0.06</v>
      </c>
      <c r="AK112" s="268">
        <v>0.17899999999999999</v>
      </c>
      <c r="AL112" s="268">
        <v>0.05</v>
      </c>
      <c r="AM112" s="375" t="s">
        <v>448</v>
      </c>
      <c r="AN112" s="274">
        <f t="shared" si="44"/>
        <v>0</v>
      </c>
      <c r="AO112" s="667">
        <f t="shared" si="45"/>
        <v>0</v>
      </c>
      <c r="AP112" s="279">
        <f t="shared" si="46"/>
        <v>0</v>
      </c>
      <c r="AQ112" s="279">
        <f t="shared" si="47"/>
        <v>0</v>
      </c>
      <c r="AR112" s="279">
        <f t="shared" si="48"/>
        <v>0</v>
      </c>
      <c r="AS112" s="279">
        <f t="shared" si="49"/>
        <v>0</v>
      </c>
      <c r="AT112" s="253">
        <f t="shared" si="50"/>
        <v>0</v>
      </c>
      <c r="AU112" s="253">
        <f t="shared" si="51"/>
        <v>0</v>
      </c>
      <c r="AV112" s="253">
        <f t="shared" si="52"/>
        <v>0</v>
      </c>
      <c r="AW112" s="253">
        <f t="shared" si="53"/>
        <v>0</v>
      </c>
      <c r="AX112" s="253">
        <f t="shared" si="54"/>
        <v>0</v>
      </c>
      <c r="AY112" s="253">
        <f t="shared" si="55"/>
        <v>0</v>
      </c>
      <c r="AZ112" s="258"/>
      <c r="BA112" s="665"/>
    </row>
    <row r="113" spans="1:53">
      <c r="A113" s="180">
        <v>7</v>
      </c>
      <c r="B113" s="180">
        <v>3</v>
      </c>
      <c r="C113" s="181">
        <v>7.0000000000000007E-2</v>
      </c>
      <c r="D113" s="182" t="str">
        <f t="shared" si="41"/>
        <v>TANGERINE</v>
      </c>
      <c r="E113" s="183" t="str">
        <f t="shared" si="42"/>
        <v>-</v>
      </c>
      <c r="F113" s="180"/>
      <c r="G113" s="180">
        <v>8</v>
      </c>
      <c r="H113" s="1416"/>
      <c r="I113" s="173"/>
      <c r="J113" s="1359" t="s">
        <v>629</v>
      </c>
      <c r="K113" s="1359"/>
      <c r="L113" s="1359"/>
      <c r="M113" s="699"/>
      <c r="N113" s="240"/>
      <c r="O113" s="1348" t="s">
        <v>630</v>
      </c>
      <c r="P113" s="1348"/>
      <c r="Q113" s="1348"/>
      <c r="R113" s="26"/>
      <c r="S113" s="26"/>
      <c r="T113" s="693"/>
      <c r="U113" s="681"/>
      <c r="V113" s="354">
        <f t="shared" si="57"/>
        <v>3</v>
      </c>
      <c r="W113" s="355">
        <f t="shared" si="56"/>
        <v>9.4499999999999993</v>
      </c>
      <c r="X113" s="693"/>
      <c r="Y113" s="249"/>
      <c r="Z113" s="252" t="s">
        <v>596</v>
      </c>
      <c r="AA113" s="252" t="s">
        <v>447</v>
      </c>
      <c r="AB113" s="252" t="s">
        <v>447</v>
      </c>
      <c r="AC113" s="255">
        <v>0.5</v>
      </c>
      <c r="AD113" s="255">
        <v>0.05</v>
      </c>
      <c r="AE113" s="257">
        <f>G113*1.1</f>
        <v>8.8000000000000007</v>
      </c>
      <c r="AF113" s="255">
        <v>0.2</v>
      </c>
      <c r="AG113" s="255">
        <v>100</v>
      </c>
      <c r="AH113" s="253">
        <v>170</v>
      </c>
      <c r="AI113" s="268">
        <v>5.2999999999999999E-2</v>
      </c>
      <c r="AJ113" s="268">
        <v>0.44600000000000001</v>
      </c>
      <c r="AK113" s="268">
        <v>0.125</v>
      </c>
      <c r="AL113" s="268">
        <v>4.2000000000000003E-2</v>
      </c>
      <c r="AM113" s="375" t="s">
        <v>448</v>
      </c>
      <c r="AN113" s="274">
        <f t="shared" si="44"/>
        <v>0</v>
      </c>
      <c r="AO113" s="667">
        <f t="shared" si="45"/>
        <v>0</v>
      </c>
      <c r="AP113" s="279">
        <f t="shared" si="46"/>
        <v>0</v>
      </c>
      <c r="AQ113" s="279">
        <f t="shared" si="47"/>
        <v>0</v>
      </c>
      <c r="AR113" s="279">
        <f t="shared" si="48"/>
        <v>0</v>
      </c>
      <c r="AS113" s="279">
        <f t="shared" si="49"/>
        <v>0</v>
      </c>
      <c r="AT113" s="253">
        <f t="shared" si="50"/>
        <v>0</v>
      </c>
      <c r="AU113" s="253">
        <f t="shared" si="51"/>
        <v>0</v>
      </c>
      <c r="AV113" s="253">
        <f t="shared" si="52"/>
        <v>0</v>
      </c>
      <c r="AW113" s="253">
        <f t="shared" si="53"/>
        <v>0</v>
      </c>
      <c r="AX113" s="253">
        <f t="shared" si="54"/>
        <v>0</v>
      </c>
      <c r="AY113" s="253">
        <f t="shared" si="55"/>
        <v>0</v>
      </c>
      <c r="AZ113" s="258"/>
      <c r="BA113" s="665"/>
    </row>
    <row r="114" spans="1:53">
      <c r="A114" s="180">
        <v>7</v>
      </c>
      <c r="B114" s="180">
        <v>3</v>
      </c>
      <c r="C114" s="181">
        <v>0</v>
      </c>
      <c r="D114" s="182" t="str">
        <f t="shared" si="41"/>
        <v>OTHER</v>
      </c>
      <c r="E114" s="183" t="str">
        <f t="shared" si="42"/>
        <v>-</v>
      </c>
      <c r="F114" s="180"/>
      <c r="G114" s="180">
        <v>8</v>
      </c>
      <c r="H114" s="1416"/>
      <c r="I114" s="173"/>
      <c r="J114" s="1417" t="s">
        <v>631</v>
      </c>
      <c r="K114" s="1419" t="s">
        <v>632</v>
      </c>
      <c r="L114" s="1362" t="s">
        <v>633</v>
      </c>
      <c r="M114" s="699"/>
      <c r="N114" s="240"/>
      <c r="O114" s="940" t="s">
        <v>634</v>
      </c>
      <c r="P114" s="940"/>
      <c r="Q114" s="940"/>
      <c r="R114" s="940"/>
      <c r="S114" s="940"/>
      <c r="T114" s="940"/>
      <c r="U114" s="681"/>
      <c r="V114" s="354">
        <f t="shared" si="57"/>
        <v>3.25</v>
      </c>
      <c r="W114" s="355">
        <f t="shared" si="56"/>
        <v>10.237499999999999</v>
      </c>
      <c r="X114" s="693"/>
      <c r="Y114" s="249"/>
      <c r="Z114" s="252" t="s">
        <v>544</v>
      </c>
      <c r="AA114" s="252" t="s">
        <v>447</v>
      </c>
      <c r="AB114" s="252" t="s">
        <v>447</v>
      </c>
      <c r="AC114" s="253">
        <v>0</v>
      </c>
      <c r="AD114" s="253">
        <v>0</v>
      </c>
      <c r="AE114" s="257">
        <f>G114*1.1</f>
        <v>8.8000000000000007</v>
      </c>
      <c r="AF114" s="253">
        <v>0</v>
      </c>
      <c r="AG114" s="253">
        <v>0</v>
      </c>
      <c r="AH114" s="253">
        <v>0</v>
      </c>
      <c r="AI114" s="268">
        <v>0</v>
      </c>
      <c r="AJ114" s="268">
        <v>0</v>
      </c>
      <c r="AK114" s="268">
        <v>0</v>
      </c>
      <c r="AL114" s="268">
        <v>0</v>
      </c>
      <c r="AM114" s="372"/>
      <c r="AN114" s="274">
        <f t="shared" si="44"/>
        <v>0</v>
      </c>
      <c r="AO114" s="667">
        <f t="shared" si="45"/>
        <v>0</v>
      </c>
      <c r="AP114" s="279">
        <f t="shared" si="46"/>
        <v>0</v>
      </c>
      <c r="AQ114" s="279">
        <f t="shared" si="47"/>
        <v>0</v>
      </c>
      <c r="AR114" s="279">
        <f t="shared" si="48"/>
        <v>0</v>
      </c>
      <c r="AS114" s="279">
        <f t="shared" si="49"/>
        <v>0</v>
      </c>
      <c r="AT114" s="253">
        <f t="shared" si="50"/>
        <v>0</v>
      </c>
      <c r="AU114" s="253">
        <f t="shared" si="51"/>
        <v>0</v>
      </c>
      <c r="AV114" s="253">
        <f t="shared" si="52"/>
        <v>0</v>
      </c>
      <c r="AW114" s="253">
        <f t="shared" si="53"/>
        <v>0</v>
      </c>
      <c r="AX114" s="253">
        <f t="shared" si="54"/>
        <v>0</v>
      </c>
      <c r="AY114" s="253">
        <f t="shared" si="55"/>
        <v>0</v>
      </c>
      <c r="AZ114" s="258"/>
      <c r="BA114" s="665"/>
    </row>
    <row r="115" spans="1:53" ht="13.95" customHeight="1">
      <c r="A115" s="1401" t="s">
        <v>427</v>
      </c>
      <c r="B115" s="1409" t="s">
        <v>405</v>
      </c>
      <c r="C115" s="1414" t="s">
        <v>635</v>
      </c>
      <c r="D115" s="1360" t="s">
        <v>636</v>
      </c>
      <c r="E115" s="1361"/>
      <c r="F115" s="685" t="s">
        <v>147</v>
      </c>
      <c r="G115" s="880" t="s">
        <v>384</v>
      </c>
      <c r="H115" s="286"/>
      <c r="I115" s="337"/>
      <c r="J115" s="1418"/>
      <c r="K115" s="1420"/>
      <c r="L115" s="1363"/>
      <c r="M115" s="699"/>
      <c r="N115" s="240"/>
      <c r="O115" s="1217" t="s">
        <v>637</v>
      </c>
      <c r="P115" s="1218"/>
      <c r="Q115" s="793">
        <v>40</v>
      </c>
      <c r="R115" s="1462" t="s">
        <v>638</v>
      </c>
      <c r="S115" s="1463"/>
      <c r="T115" s="693"/>
      <c r="U115" s="681"/>
      <c r="V115" s="354">
        <f t="shared" si="57"/>
        <v>3.5</v>
      </c>
      <c r="W115" s="355">
        <f t="shared" si="56"/>
        <v>11.025</v>
      </c>
      <c r="X115" s="693"/>
      <c r="Y115" s="249"/>
      <c r="Z115" s="644"/>
      <c r="AA115" s="644"/>
      <c r="AB115" s="644"/>
      <c r="AC115" s="644"/>
      <c r="AD115" s="644"/>
      <c r="AE115" s="644"/>
      <c r="AF115" s="644"/>
      <c r="AG115" s="644"/>
      <c r="AH115" s="644"/>
      <c r="AI115" s="644"/>
      <c r="AJ115" s="644"/>
      <c r="AK115" s="644"/>
      <c r="AL115" s="644"/>
      <c r="AM115" s="636"/>
      <c r="AN115" s="644"/>
      <c r="AO115" s="644"/>
      <c r="AP115" s="644"/>
      <c r="AQ115" s="644"/>
      <c r="AR115" s="644"/>
      <c r="AS115" s="644"/>
      <c r="AT115" s="644"/>
      <c r="AU115" s="644"/>
      <c r="AV115" s="644"/>
      <c r="AW115" s="644"/>
      <c r="AX115" s="644"/>
      <c r="AY115" s="644"/>
      <c r="AZ115" s="258"/>
      <c r="BA115" s="665"/>
    </row>
    <row r="116" spans="1:53">
      <c r="A116" s="1402"/>
      <c r="B116" s="1410"/>
      <c r="C116" s="1415"/>
      <c r="D116" s="1357" t="s">
        <v>639</v>
      </c>
      <c r="E116" s="1358"/>
      <c r="F116" s="288" t="s">
        <v>73</v>
      </c>
      <c r="G116" s="881" t="s">
        <v>640</v>
      </c>
      <c r="H116" s="286"/>
      <c r="I116" s="173"/>
      <c r="J116" s="785" t="s">
        <v>641</v>
      </c>
      <c r="K116" s="786">
        <v>67</v>
      </c>
      <c r="L116" s="787">
        <v>6.7</v>
      </c>
      <c r="M116" s="699"/>
      <c r="N116" s="240"/>
      <c r="O116" s="1221" t="s">
        <v>642</v>
      </c>
      <c r="P116" s="1222"/>
      <c r="Q116" s="794">
        <v>11.4</v>
      </c>
      <c r="R116" s="1464"/>
      <c r="S116" s="1465"/>
      <c r="T116" s="693"/>
      <c r="U116" s="681"/>
      <c r="V116" s="354">
        <f t="shared" si="57"/>
        <v>3.75</v>
      </c>
      <c r="W116" s="355">
        <f t="shared" si="56"/>
        <v>11.8125</v>
      </c>
      <c r="X116" s="693"/>
      <c r="Y116" s="249"/>
      <c r="Z116" s="1365" t="s">
        <v>636</v>
      </c>
      <c r="AA116" s="1365"/>
      <c r="AB116" s="1365"/>
      <c r="AC116" s="1365"/>
      <c r="AD116" s="1365"/>
      <c r="AE116" s="1365"/>
      <c r="AF116" s="1365"/>
      <c r="AG116" s="1365"/>
      <c r="AH116" s="1365"/>
      <c r="AI116" s="1365"/>
      <c r="AJ116" s="1365"/>
      <c r="AK116" s="1365"/>
      <c r="AL116" s="1365"/>
      <c r="AM116" s="374"/>
      <c r="AN116" s="666"/>
      <c r="AO116" s="666"/>
      <c r="AP116" s="666"/>
      <c r="AQ116" s="666"/>
      <c r="AR116" s="666"/>
      <c r="AS116" s="666"/>
      <c r="AT116" s="666"/>
      <c r="AU116" s="666"/>
      <c r="AV116" s="666"/>
      <c r="AW116" s="666"/>
      <c r="AX116" s="666"/>
      <c r="AY116" s="666"/>
      <c r="AZ116" s="666"/>
      <c r="BA116" s="665"/>
    </row>
    <row r="117" spans="1:53" ht="13.95" customHeight="1">
      <c r="A117" s="1403"/>
      <c r="B117" s="176">
        <v>3</v>
      </c>
      <c r="C117" s="289">
        <v>0</v>
      </c>
      <c r="D117" s="182" t="str">
        <f t="shared" ref="D117:D131" si="58">Z117</f>
        <v>APPLE</v>
      </c>
      <c r="E117" s="183" t="str">
        <f t="shared" ref="E117:E131" si="59">AA117</f>
        <v>-</v>
      </c>
      <c r="F117" s="180">
        <v>3000</v>
      </c>
      <c r="G117" s="180">
        <v>9.1999999999999993</v>
      </c>
      <c r="H117" s="1416" t="s">
        <v>643</v>
      </c>
      <c r="I117" s="1430"/>
      <c r="J117" s="785" t="s">
        <v>644</v>
      </c>
      <c r="K117" s="786">
        <v>44</v>
      </c>
      <c r="L117" s="787">
        <v>3.8</v>
      </c>
      <c r="M117" s="699"/>
      <c r="N117" s="240"/>
      <c r="O117" s="1221" t="s">
        <v>645</v>
      </c>
      <c r="P117" s="1222"/>
      <c r="Q117" s="794">
        <v>25</v>
      </c>
      <c r="R117" s="1466"/>
      <c r="S117" s="1467"/>
      <c r="T117" s="693"/>
      <c r="U117" s="681"/>
      <c r="V117" s="354">
        <f t="shared" si="57"/>
        <v>4</v>
      </c>
      <c r="W117" s="355">
        <f t="shared" si="56"/>
        <v>12.6</v>
      </c>
      <c r="X117" s="693"/>
      <c r="Y117" s="249"/>
      <c r="Z117" s="252" t="s">
        <v>415</v>
      </c>
      <c r="AA117" s="252" t="s">
        <v>447</v>
      </c>
      <c r="AB117" s="252" t="s">
        <v>447</v>
      </c>
      <c r="AC117" s="253">
        <v>0.69</v>
      </c>
      <c r="AD117" s="255">
        <v>0.01</v>
      </c>
      <c r="AE117" s="366">
        <f t="shared" ref="AE117:AE125" si="60">G117*1.01</f>
        <v>9.2919999999999998</v>
      </c>
      <c r="AF117" s="253">
        <v>0.2</v>
      </c>
      <c r="AG117" s="373">
        <v>33</v>
      </c>
      <c r="AH117" s="253">
        <v>115</v>
      </c>
      <c r="AI117" s="268">
        <v>0.02</v>
      </c>
      <c r="AJ117" s="268">
        <v>0.1</v>
      </c>
      <c r="AK117" s="268">
        <v>4.9000000000000002E-2</v>
      </c>
      <c r="AL117" s="268">
        <v>0.03</v>
      </c>
      <c r="AM117" s="374"/>
      <c r="AN117" s="274">
        <f t="shared" ref="AN117:AN131" si="61">C$132*C117*F117</f>
        <v>0</v>
      </c>
      <c r="AO117" s="668">
        <f t="shared" ref="AO117:AO131" si="62">($F117*G117/100)</f>
        <v>275.99999999999994</v>
      </c>
      <c r="AP117" s="279">
        <f t="shared" ref="AP117:AP131" si="63">($F117*AC117/100)</f>
        <v>20.7</v>
      </c>
      <c r="AQ117" s="268">
        <f t="shared" ref="AQ117:AQ131" si="64">($F117*AD117/100)</f>
        <v>0.3</v>
      </c>
      <c r="AR117" s="669">
        <f t="shared" ref="AR117:AR131" si="65">F117*(AE117-G117)/100</f>
        <v>2.7600000000000158</v>
      </c>
      <c r="AS117" s="669">
        <f t="shared" ref="AS117:AS131" si="66">F117*AF117/1200</f>
        <v>0.5</v>
      </c>
      <c r="AT117" s="253">
        <f t="shared" ref="AT117:AT131" si="67">$F117*AG117/100</f>
        <v>990</v>
      </c>
      <c r="AU117" s="253">
        <f t="shared" ref="AU117:AU131" si="68">$F117*AH117/100</f>
        <v>3450</v>
      </c>
      <c r="AV117" s="253">
        <f t="shared" ref="AV117:AV131" si="69">$F117*AI117/100</f>
        <v>0.6</v>
      </c>
      <c r="AW117" s="253">
        <f t="shared" ref="AW117:AW131" si="70">$F117*AJ117/100</f>
        <v>3</v>
      </c>
      <c r="AX117" s="253">
        <f t="shared" ref="AX117:AX131" si="71">$F117*AK117/100</f>
        <v>1.47</v>
      </c>
      <c r="AY117" s="253">
        <f t="shared" ref="AY117:AY131" si="72">$F117*AL117/100</f>
        <v>0.9</v>
      </c>
      <c r="AZ117" s="258"/>
      <c r="BA117" s="665"/>
    </row>
    <row r="118" spans="1:53">
      <c r="A118" s="1404"/>
      <c r="B118" s="180">
        <v>3</v>
      </c>
      <c r="C118" s="289">
        <v>0</v>
      </c>
      <c r="D118" s="182" t="str">
        <f t="shared" si="58"/>
        <v>CRANBERRY</v>
      </c>
      <c r="E118" s="183" t="str">
        <f t="shared" si="59"/>
        <v>-</v>
      </c>
      <c r="F118" s="180"/>
      <c r="G118" s="180">
        <v>11.5</v>
      </c>
      <c r="H118" s="1416"/>
      <c r="I118" s="1430"/>
      <c r="J118" s="785" t="s">
        <v>646</v>
      </c>
      <c r="K118" s="786">
        <v>55</v>
      </c>
      <c r="L118" s="787">
        <v>5</v>
      </c>
      <c r="M118" s="699"/>
      <c r="N118" s="240"/>
      <c r="O118" s="1226" t="s">
        <v>647</v>
      </c>
      <c r="P118" s="1227"/>
      <c r="Q118" s="794">
        <v>4.5</v>
      </c>
      <c r="R118" s="1035" t="str">
        <f>"litres or "&amp;FIXED(200*Q118/SUM(Q118:Q120),1)&amp;"% wine"</f>
        <v>litres or 52.4% wine</v>
      </c>
      <c r="S118" s="1036"/>
      <c r="T118" s="693"/>
      <c r="U118" s="681"/>
      <c r="V118" s="354">
        <f t="shared" si="57"/>
        <v>4.25</v>
      </c>
      <c r="W118" s="355">
        <f t="shared" si="56"/>
        <v>13.387499999999999</v>
      </c>
      <c r="X118" s="693"/>
      <c r="Y118" s="249"/>
      <c r="Z118" s="252" t="s">
        <v>461</v>
      </c>
      <c r="AA118" s="252" t="s">
        <v>447</v>
      </c>
      <c r="AB118" s="252" t="s">
        <v>447</v>
      </c>
      <c r="AC118" s="255">
        <v>0.8</v>
      </c>
      <c r="AD118" s="255">
        <v>0.2</v>
      </c>
      <c r="AE118" s="366">
        <f t="shared" si="60"/>
        <v>11.615</v>
      </c>
      <c r="AF118" s="255">
        <v>0.2</v>
      </c>
      <c r="AG118" s="253">
        <v>0.1</v>
      </c>
      <c r="AH118" s="253">
        <v>75</v>
      </c>
      <c r="AI118" s="268">
        <v>8.9999999999999993E-3</v>
      </c>
      <c r="AJ118" s="268">
        <v>9.0999999999999998E-2</v>
      </c>
      <c r="AK118" s="268">
        <v>0</v>
      </c>
      <c r="AL118" s="268">
        <v>5.1999999999999998E-2</v>
      </c>
      <c r="AM118" s="375"/>
      <c r="AN118" s="274">
        <f t="shared" si="61"/>
        <v>0</v>
      </c>
      <c r="AO118" s="668">
        <f t="shared" si="62"/>
        <v>0</v>
      </c>
      <c r="AP118" s="279">
        <f t="shared" si="63"/>
        <v>0</v>
      </c>
      <c r="AQ118" s="268">
        <f t="shared" si="64"/>
        <v>0</v>
      </c>
      <c r="AR118" s="669">
        <f t="shared" si="65"/>
        <v>0</v>
      </c>
      <c r="AS118" s="669">
        <f t="shared" si="66"/>
        <v>0</v>
      </c>
      <c r="AT118" s="253">
        <f t="shared" si="67"/>
        <v>0</v>
      </c>
      <c r="AU118" s="253">
        <f t="shared" si="68"/>
        <v>0</v>
      </c>
      <c r="AV118" s="253">
        <f t="shared" si="69"/>
        <v>0</v>
      </c>
      <c r="AW118" s="253">
        <f t="shared" si="70"/>
        <v>0</v>
      </c>
      <c r="AX118" s="253">
        <f t="shared" si="71"/>
        <v>0</v>
      </c>
      <c r="AY118" s="253">
        <f t="shared" si="72"/>
        <v>0</v>
      </c>
      <c r="AZ118" s="258"/>
      <c r="BA118" s="665"/>
    </row>
    <row r="119" spans="1:53">
      <c r="A119" s="1404"/>
      <c r="B119" s="180">
        <v>3</v>
      </c>
      <c r="C119" s="289">
        <v>0</v>
      </c>
      <c r="D119" s="182" t="str">
        <f t="shared" si="58"/>
        <v>GRAPE</v>
      </c>
      <c r="E119" s="183" t="str">
        <f t="shared" si="59"/>
        <v>WHITE</v>
      </c>
      <c r="F119" s="180"/>
      <c r="G119" s="180">
        <v>16.100000000000001</v>
      </c>
      <c r="H119" s="1416"/>
      <c r="I119" s="1430"/>
      <c r="J119" s="785" t="s">
        <v>648</v>
      </c>
      <c r="K119" s="786">
        <v>74</v>
      </c>
      <c r="L119" s="787">
        <v>4.0999999999999996</v>
      </c>
      <c r="M119" s="699"/>
      <c r="N119" s="240"/>
      <c r="O119" s="1035" t="s">
        <v>649</v>
      </c>
      <c r="P119" s="1036"/>
      <c r="Q119" s="361">
        <f>((Q117-Q116)/(Q115-Q117))*Q118</f>
        <v>4.08</v>
      </c>
      <c r="R119" s="1035" t="str">
        <f>"litres or "&amp;FIXED(200*Q119/SUM(Q118:Q120),1)&amp;"% spirit"</f>
        <v>litres or 47.6% spirit</v>
      </c>
      <c r="S119" s="1036"/>
      <c r="T119" s="693"/>
      <c r="U119" s="681"/>
      <c r="V119" s="354">
        <f t="shared" si="57"/>
        <v>4.5</v>
      </c>
      <c r="W119" s="355">
        <f t="shared" si="56"/>
        <v>14.174999999999999</v>
      </c>
      <c r="X119" s="693"/>
      <c r="Y119" s="249"/>
      <c r="Z119" s="252" t="s">
        <v>481</v>
      </c>
      <c r="AA119" s="252" t="s">
        <v>485</v>
      </c>
      <c r="AB119" s="252" t="s">
        <v>447</v>
      </c>
      <c r="AC119" s="253">
        <v>0.72</v>
      </c>
      <c r="AD119" s="253">
        <v>0.02</v>
      </c>
      <c r="AE119" s="366">
        <f t="shared" si="60"/>
        <v>16.261000000000003</v>
      </c>
      <c r="AF119" s="255">
        <v>0.2</v>
      </c>
      <c r="AG119" s="255">
        <v>380</v>
      </c>
      <c r="AH119" s="253">
        <v>130</v>
      </c>
      <c r="AI119" s="268">
        <v>0.03</v>
      </c>
      <c r="AJ119" s="268">
        <v>0.26</v>
      </c>
      <c r="AK119" s="268">
        <v>4.8000000000000001E-2</v>
      </c>
      <c r="AL119" s="268">
        <v>7.0000000000000007E-2</v>
      </c>
      <c r="AM119" s="375" t="s">
        <v>483</v>
      </c>
      <c r="AN119" s="274">
        <f t="shared" si="61"/>
        <v>0</v>
      </c>
      <c r="AO119" s="668">
        <f t="shared" si="62"/>
        <v>0</v>
      </c>
      <c r="AP119" s="279">
        <f t="shared" si="63"/>
        <v>0</v>
      </c>
      <c r="AQ119" s="268">
        <f t="shared" si="64"/>
        <v>0</v>
      </c>
      <c r="AR119" s="669">
        <f t="shared" si="65"/>
        <v>0</v>
      </c>
      <c r="AS119" s="669">
        <f t="shared" si="66"/>
        <v>0</v>
      </c>
      <c r="AT119" s="253">
        <f t="shared" si="67"/>
        <v>0</v>
      </c>
      <c r="AU119" s="253">
        <f t="shared" si="68"/>
        <v>0</v>
      </c>
      <c r="AV119" s="253">
        <f t="shared" si="69"/>
        <v>0</v>
      </c>
      <c r="AW119" s="253">
        <f t="shared" si="70"/>
        <v>0</v>
      </c>
      <c r="AX119" s="253">
        <f t="shared" si="71"/>
        <v>0</v>
      </c>
      <c r="AY119" s="253">
        <f t="shared" si="72"/>
        <v>0</v>
      </c>
      <c r="AZ119" s="258"/>
      <c r="BA119" s="665"/>
    </row>
    <row r="120" spans="1:53">
      <c r="A120" s="1404"/>
      <c r="B120" s="180">
        <v>3</v>
      </c>
      <c r="C120" s="289">
        <v>0</v>
      </c>
      <c r="D120" s="182" t="str">
        <f t="shared" si="58"/>
        <v xml:space="preserve">      "</v>
      </c>
      <c r="E120" s="183" t="str">
        <f t="shared" si="59"/>
        <v>RED</v>
      </c>
      <c r="F120" s="180"/>
      <c r="G120" s="180">
        <v>15.3</v>
      </c>
      <c r="H120" s="1416"/>
      <c r="I120" s="1430"/>
      <c r="J120" s="785" t="s">
        <v>650</v>
      </c>
      <c r="K120" s="786">
        <v>52</v>
      </c>
      <c r="L120" s="787">
        <v>9.4</v>
      </c>
      <c r="M120" s="699"/>
      <c r="N120" s="240"/>
      <c r="O120" s="1035" t="s">
        <v>651</v>
      </c>
      <c r="P120" s="1036"/>
      <c r="Q120" s="362">
        <f>Q118+Q119</f>
        <v>8.58</v>
      </c>
      <c r="R120" s="1366" t="str">
        <f>"litres or "&amp;FIXED(200*Q120/SUM(Q118:Q120),0)&amp;"% total"</f>
        <v>litres or 100% total</v>
      </c>
      <c r="S120" s="1367"/>
      <c r="T120" s="693"/>
      <c r="U120" s="681"/>
      <c r="V120" s="354">
        <f t="shared" si="57"/>
        <v>4.75</v>
      </c>
      <c r="W120" s="355">
        <f t="shared" si="56"/>
        <v>14.9625</v>
      </c>
      <c r="X120" s="693"/>
      <c r="Y120" s="249"/>
      <c r="Z120" s="252" t="s">
        <v>420</v>
      </c>
      <c r="AA120" s="252" t="s">
        <v>488</v>
      </c>
      <c r="AB120" s="252" t="s">
        <v>447</v>
      </c>
      <c r="AC120" s="253">
        <v>0.72</v>
      </c>
      <c r="AD120" s="255">
        <v>0.2</v>
      </c>
      <c r="AE120" s="366">
        <f t="shared" si="60"/>
        <v>15.453000000000001</v>
      </c>
      <c r="AF120" s="255">
        <v>0.2</v>
      </c>
      <c r="AG120" s="255">
        <v>380</v>
      </c>
      <c r="AH120" s="253">
        <v>130</v>
      </c>
      <c r="AI120" s="268">
        <v>0.03</v>
      </c>
      <c r="AJ120" s="268">
        <v>0.26</v>
      </c>
      <c r="AK120" s="268">
        <v>4.8000000000000001E-2</v>
      </c>
      <c r="AL120" s="268">
        <v>7.0000000000000007E-2</v>
      </c>
      <c r="AM120" s="375" t="s">
        <v>483</v>
      </c>
      <c r="AN120" s="274">
        <f t="shared" si="61"/>
        <v>0</v>
      </c>
      <c r="AO120" s="668">
        <f t="shared" si="62"/>
        <v>0</v>
      </c>
      <c r="AP120" s="279">
        <f t="shared" si="63"/>
        <v>0</v>
      </c>
      <c r="AQ120" s="268">
        <f t="shared" si="64"/>
        <v>0</v>
      </c>
      <c r="AR120" s="669">
        <f t="shared" si="65"/>
        <v>0</v>
      </c>
      <c r="AS120" s="669">
        <f t="shared" si="66"/>
        <v>0</v>
      </c>
      <c r="AT120" s="253">
        <f t="shared" si="67"/>
        <v>0</v>
      </c>
      <c r="AU120" s="253">
        <f t="shared" si="68"/>
        <v>0</v>
      </c>
      <c r="AV120" s="253">
        <f t="shared" si="69"/>
        <v>0</v>
      </c>
      <c r="AW120" s="253">
        <f t="shared" si="70"/>
        <v>0</v>
      </c>
      <c r="AX120" s="253">
        <f t="shared" si="71"/>
        <v>0</v>
      </c>
      <c r="AY120" s="253">
        <f t="shared" si="72"/>
        <v>0</v>
      </c>
      <c r="AZ120" s="258"/>
      <c r="BA120" s="665"/>
    </row>
    <row r="121" spans="1:53">
      <c r="A121" s="1404"/>
      <c r="B121" s="180">
        <v>3</v>
      </c>
      <c r="C121" s="289">
        <v>0</v>
      </c>
      <c r="D121" s="182" t="str">
        <f t="shared" si="58"/>
        <v>GRAPEFRUIT</v>
      </c>
      <c r="E121" s="183" t="str">
        <f t="shared" si="59"/>
        <v>-</v>
      </c>
      <c r="F121" s="180"/>
      <c r="G121" s="180">
        <v>9</v>
      </c>
      <c r="H121" s="1416"/>
      <c r="I121" s="1430"/>
      <c r="J121" s="785" t="s">
        <v>652</v>
      </c>
      <c r="K121" s="786">
        <v>35</v>
      </c>
      <c r="L121" s="787">
        <v>3</v>
      </c>
      <c r="M121" s="699"/>
      <c r="N121" s="240"/>
      <c r="O121" s="240"/>
      <c r="P121" s="240"/>
      <c r="Q121" s="240"/>
      <c r="R121" s="240"/>
      <c r="S121" s="240"/>
      <c r="T121" s="30"/>
      <c r="U121" s="681"/>
      <c r="V121" s="359">
        <f t="shared" si="57"/>
        <v>5</v>
      </c>
      <c r="W121" s="360">
        <f t="shared" si="56"/>
        <v>15.75</v>
      </c>
      <c r="X121" s="693"/>
      <c r="Y121" s="249"/>
      <c r="Z121" s="252" t="s">
        <v>507</v>
      </c>
      <c r="AA121" s="252" t="s">
        <v>447</v>
      </c>
      <c r="AB121" s="252" t="s">
        <v>447</v>
      </c>
      <c r="AC121" s="253">
        <v>1.5</v>
      </c>
      <c r="AD121" s="255">
        <v>0.01</v>
      </c>
      <c r="AE121" s="366">
        <f t="shared" si="60"/>
        <v>9.09</v>
      </c>
      <c r="AF121" s="255">
        <v>0.2</v>
      </c>
      <c r="AG121" s="255">
        <v>0</v>
      </c>
      <c r="AH121" s="253">
        <v>150</v>
      </c>
      <c r="AI121" s="268">
        <v>4.2000000000000003E-2</v>
      </c>
      <c r="AJ121" s="268">
        <v>0.23100000000000001</v>
      </c>
      <c r="AK121" s="268">
        <v>0.13</v>
      </c>
      <c r="AL121" s="268">
        <v>0.02</v>
      </c>
      <c r="AM121" s="375" t="s">
        <v>448</v>
      </c>
      <c r="AN121" s="274">
        <f t="shared" si="61"/>
        <v>0</v>
      </c>
      <c r="AO121" s="668">
        <f t="shared" si="62"/>
        <v>0</v>
      </c>
      <c r="AP121" s="279">
        <f t="shared" si="63"/>
        <v>0</v>
      </c>
      <c r="AQ121" s="268">
        <f t="shared" si="64"/>
        <v>0</v>
      </c>
      <c r="AR121" s="669">
        <f t="shared" si="65"/>
        <v>0</v>
      </c>
      <c r="AS121" s="669">
        <f t="shared" si="66"/>
        <v>0</v>
      </c>
      <c r="AT121" s="253">
        <f t="shared" si="67"/>
        <v>0</v>
      </c>
      <c r="AU121" s="253">
        <f t="shared" si="68"/>
        <v>0</v>
      </c>
      <c r="AV121" s="253">
        <f t="shared" si="69"/>
        <v>0</v>
      </c>
      <c r="AW121" s="253">
        <f t="shared" si="70"/>
        <v>0</v>
      </c>
      <c r="AX121" s="253">
        <f t="shared" si="71"/>
        <v>0</v>
      </c>
      <c r="AY121" s="253">
        <f t="shared" si="72"/>
        <v>0</v>
      </c>
      <c r="AZ121" s="258"/>
      <c r="BA121" s="665"/>
    </row>
    <row r="122" spans="1:53">
      <c r="A122" s="1404"/>
      <c r="B122" s="180">
        <v>3</v>
      </c>
      <c r="C122" s="289">
        <v>0</v>
      </c>
      <c r="D122" s="182" t="str">
        <f t="shared" si="58"/>
        <v>"FIVE ALIVE"</v>
      </c>
      <c r="E122" s="183" t="str">
        <f t="shared" si="59"/>
        <v>-</v>
      </c>
      <c r="F122" s="180"/>
      <c r="G122" s="180">
        <v>10</v>
      </c>
      <c r="H122" s="1416"/>
      <c r="I122" s="1430"/>
      <c r="J122" s="785" t="s">
        <v>653</v>
      </c>
      <c r="K122" s="786">
        <v>44</v>
      </c>
      <c r="L122" s="787">
        <v>4.4000000000000004</v>
      </c>
      <c r="M122" s="699"/>
      <c r="N122" s="240"/>
      <c r="O122" s="240"/>
      <c r="P122" s="240"/>
      <c r="Q122" s="240"/>
      <c r="R122" s="240"/>
      <c r="S122" s="240"/>
      <c r="T122" s="240"/>
      <c r="U122" s="681"/>
      <c r="V122" s="354">
        <f t="shared" si="57"/>
        <v>5.25</v>
      </c>
      <c r="W122" s="355">
        <f t="shared" si="56"/>
        <v>16.537499999999998</v>
      </c>
      <c r="X122" s="693"/>
      <c r="Y122" s="249"/>
      <c r="Z122" s="252" t="s">
        <v>654</v>
      </c>
      <c r="AA122" s="252" t="s">
        <v>447</v>
      </c>
      <c r="AB122" s="252" t="s">
        <v>447</v>
      </c>
      <c r="AC122" s="253">
        <v>0.48</v>
      </c>
      <c r="AD122" s="255">
        <v>0.01</v>
      </c>
      <c r="AE122" s="367">
        <f t="shared" si="60"/>
        <v>10.1</v>
      </c>
      <c r="AF122" s="255">
        <v>0.2</v>
      </c>
      <c r="AG122" s="255">
        <v>50</v>
      </c>
      <c r="AH122" s="255">
        <v>150</v>
      </c>
      <c r="AI122" s="268">
        <v>0.04</v>
      </c>
      <c r="AJ122" s="268">
        <v>0.4</v>
      </c>
      <c r="AK122" s="268">
        <v>0.13</v>
      </c>
      <c r="AL122" s="268">
        <v>0.02</v>
      </c>
      <c r="AM122" s="375"/>
      <c r="AN122" s="274">
        <f t="shared" si="61"/>
        <v>0</v>
      </c>
      <c r="AO122" s="668">
        <f t="shared" si="62"/>
        <v>0</v>
      </c>
      <c r="AP122" s="279">
        <f t="shared" si="63"/>
        <v>0</v>
      </c>
      <c r="AQ122" s="268">
        <f t="shared" si="64"/>
        <v>0</v>
      </c>
      <c r="AR122" s="669">
        <f t="shared" si="65"/>
        <v>0</v>
      </c>
      <c r="AS122" s="669">
        <f t="shared" si="66"/>
        <v>0</v>
      </c>
      <c r="AT122" s="253">
        <f t="shared" si="67"/>
        <v>0</v>
      </c>
      <c r="AU122" s="253">
        <f t="shared" si="68"/>
        <v>0</v>
      </c>
      <c r="AV122" s="253">
        <f t="shared" si="69"/>
        <v>0</v>
      </c>
      <c r="AW122" s="253">
        <f t="shared" si="70"/>
        <v>0</v>
      </c>
      <c r="AX122" s="253">
        <f t="shared" si="71"/>
        <v>0</v>
      </c>
      <c r="AY122" s="253">
        <f t="shared" si="72"/>
        <v>0</v>
      </c>
      <c r="AZ122" s="258"/>
      <c r="BA122" s="665"/>
    </row>
    <row r="123" spans="1:53">
      <c r="A123" s="1404"/>
      <c r="B123" s="180">
        <v>3</v>
      </c>
      <c r="C123" s="289">
        <v>0</v>
      </c>
      <c r="D123" s="182" t="str">
        <f t="shared" si="58"/>
        <v>ORANGE</v>
      </c>
      <c r="E123" s="183" t="str">
        <f t="shared" si="59"/>
        <v>-</v>
      </c>
      <c r="F123" s="180"/>
      <c r="G123" s="180">
        <v>8.4</v>
      </c>
      <c r="H123" s="1416"/>
      <c r="I123" s="1430"/>
      <c r="J123" s="785" t="s">
        <v>655</v>
      </c>
      <c r="K123" s="786">
        <v>80</v>
      </c>
      <c r="L123" s="787">
        <v>16</v>
      </c>
      <c r="M123" s="699"/>
      <c r="N123" s="240"/>
      <c r="O123" s="240"/>
      <c r="P123" s="240"/>
      <c r="Q123" s="240"/>
      <c r="R123" s="240"/>
      <c r="S123" s="240"/>
      <c r="T123" s="240"/>
      <c r="U123" s="681"/>
      <c r="V123" s="354">
        <f t="shared" si="57"/>
        <v>5.5</v>
      </c>
      <c r="W123" s="355">
        <f t="shared" si="56"/>
        <v>17.324999999999999</v>
      </c>
      <c r="X123" s="693"/>
      <c r="Y123" s="249"/>
      <c r="Z123" s="252" t="s">
        <v>540</v>
      </c>
      <c r="AA123" s="252" t="s">
        <v>447</v>
      </c>
      <c r="AB123" s="252" t="s">
        <v>447</v>
      </c>
      <c r="AC123" s="253">
        <v>0.98</v>
      </c>
      <c r="AD123" s="255">
        <v>0.01</v>
      </c>
      <c r="AE123" s="366">
        <f t="shared" si="60"/>
        <v>8.484</v>
      </c>
      <c r="AF123" s="255">
        <v>0.2</v>
      </c>
      <c r="AG123" s="255">
        <v>290</v>
      </c>
      <c r="AH123" s="253">
        <v>180</v>
      </c>
      <c r="AI123" s="268">
        <v>0.04</v>
      </c>
      <c r="AJ123" s="268">
        <v>0.2</v>
      </c>
      <c r="AK123" s="268">
        <v>0.18</v>
      </c>
      <c r="AL123" s="268">
        <v>0.03</v>
      </c>
      <c r="AM123" s="375" t="s">
        <v>448</v>
      </c>
      <c r="AN123" s="274">
        <f t="shared" si="61"/>
        <v>0</v>
      </c>
      <c r="AO123" s="668">
        <f t="shared" si="62"/>
        <v>0</v>
      </c>
      <c r="AP123" s="279">
        <f t="shared" si="63"/>
        <v>0</v>
      </c>
      <c r="AQ123" s="268">
        <f t="shared" si="64"/>
        <v>0</v>
      </c>
      <c r="AR123" s="669">
        <f t="shared" si="65"/>
        <v>0</v>
      </c>
      <c r="AS123" s="669">
        <f t="shared" si="66"/>
        <v>0</v>
      </c>
      <c r="AT123" s="253">
        <f t="shared" si="67"/>
        <v>0</v>
      </c>
      <c r="AU123" s="253">
        <f t="shared" si="68"/>
        <v>0</v>
      </c>
      <c r="AV123" s="253">
        <f t="shared" si="69"/>
        <v>0</v>
      </c>
      <c r="AW123" s="253">
        <f t="shared" si="70"/>
        <v>0</v>
      </c>
      <c r="AX123" s="253">
        <f t="shared" si="71"/>
        <v>0</v>
      </c>
      <c r="AY123" s="253">
        <f t="shared" si="72"/>
        <v>0</v>
      </c>
      <c r="AZ123" s="258"/>
      <c r="BA123" s="665"/>
    </row>
    <row r="124" spans="1:53">
      <c r="A124" s="1404"/>
      <c r="B124" s="180">
        <v>3</v>
      </c>
      <c r="C124" s="289">
        <v>0</v>
      </c>
      <c r="D124" s="182" t="str">
        <f t="shared" si="58"/>
        <v>RIBENA</v>
      </c>
      <c r="E124" s="183" t="str">
        <f t="shared" si="59"/>
        <v>-</v>
      </c>
      <c r="F124" s="180"/>
      <c r="G124" s="180">
        <v>11.5</v>
      </c>
      <c r="H124" s="1416"/>
      <c r="I124" s="1430"/>
      <c r="J124" s="788" t="s">
        <v>656</v>
      </c>
      <c r="K124" s="789"/>
      <c r="L124" s="787"/>
      <c r="M124" s="699"/>
      <c r="N124" s="240"/>
      <c r="O124" s="1348" t="s">
        <v>657</v>
      </c>
      <c r="P124" s="1348"/>
      <c r="Q124" s="1348"/>
      <c r="R124" s="1348"/>
      <c r="S124" s="702"/>
      <c r="T124" s="693"/>
      <c r="U124" s="681"/>
      <c r="V124" s="354">
        <f t="shared" si="57"/>
        <v>5.75</v>
      </c>
      <c r="W124" s="355">
        <f t="shared" si="56"/>
        <v>18.112500000000001</v>
      </c>
      <c r="X124" s="693"/>
      <c r="Y124" s="249"/>
      <c r="Z124" s="252" t="s">
        <v>658</v>
      </c>
      <c r="AA124" s="252" t="s">
        <v>447</v>
      </c>
      <c r="AB124" s="252" t="s">
        <v>447</v>
      </c>
      <c r="AC124" s="255">
        <v>0.7</v>
      </c>
      <c r="AD124" s="255">
        <v>0.1</v>
      </c>
      <c r="AE124" s="367">
        <f t="shared" si="60"/>
        <v>11.615</v>
      </c>
      <c r="AF124" s="255">
        <v>0.2</v>
      </c>
      <c r="AG124" s="255">
        <v>50</v>
      </c>
      <c r="AH124" s="253">
        <v>135</v>
      </c>
      <c r="AI124" s="270">
        <v>0.04</v>
      </c>
      <c r="AJ124" s="270">
        <v>0.2</v>
      </c>
      <c r="AK124" s="270">
        <v>0.13</v>
      </c>
      <c r="AL124" s="270">
        <v>0.02</v>
      </c>
      <c r="AM124" s="375" t="s">
        <v>448</v>
      </c>
      <c r="AN124" s="274">
        <f t="shared" si="61"/>
        <v>0</v>
      </c>
      <c r="AO124" s="668">
        <f t="shared" si="62"/>
        <v>0</v>
      </c>
      <c r="AP124" s="279">
        <f t="shared" si="63"/>
        <v>0</v>
      </c>
      <c r="AQ124" s="268">
        <f t="shared" si="64"/>
        <v>0</v>
      </c>
      <c r="AR124" s="669">
        <f t="shared" si="65"/>
        <v>0</v>
      </c>
      <c r="AS124" s="669">
        <f t="shared" si="66"/>
        <v>0</v>
      </c>
      <c r="AT124" s="253">
        <f t="shared" si="67"/>
        <v>0</v>
      </c>
      <c r="AU124" s="253">
        <f t="shared" si="68"/>
        <v>0</v>
      </c>
      <c r="AV124" s="253">
        <f t="shared" si="69"/>
        <v>0</v>
      </c>
      <c r="AW124" s="253">
        <f t="shared" si="70"/>
        <v>0</v>
      </c>
      <c r="AX124" s="253">
        <f t="shared" si="71"/>
        <v>0</v>
      </c>
      <c r="AY124" s="253">
        <f t="shared" si="72"/>
        <v>0</v>
      </c>
      <c r="AZ124" s="258"/>
      <c r="BA124" s="665"/>
    </row>
    <row r="125" spans="1:53">
      <c r="A125" s="1404"/>
      <c r="B125" s="180">
        <v>3</v>
      </c>
      <c r="C125" s="289">
        <v>0</v>
      </c>
      <c r="D125" s="182" t="str">
        <f t="shared" si="58"/>
        <v>RIBENA</v>
      </c>
      <c r="E125" s="183" t="str">
        <f t="shared" si="59"/>
        <v>CONC.</v>
      </c>
      <c r="F125" s="180"/>
      <c r="G125" s="180">
        <f>5*11.5</f>
        <v>57.5</v>
      </c>
      <c r="H125" s="1416"/>
      <c r="I125" s="1430"/>
      <c r="J125" s="788" t="s">
        <v>259</v>
      </c>
      <c r="K125" s="789"/>
      <c r="L125" s="787"/>
      <c r="M125" s="699"/>
      <c r="N125" s="240"/>
      <c r="O125" s="1217" t="s">
        <v>659</v>
      </c>
      <c r="P125" s="1218"/>
      <c r="Q125" s="795">
        <v>1090</v>
      </c>
      <c r="R125" s="1468" t="s">
        <v>660</v>
      </c>
      <c r="S125" s="1469"/>
      <c r="T125" s="1469"/>
      <c r="U125" s="681"/>
      <c r="V125" s="354">
        <f t="shared" si="57"/>
        <v>6</v>
      </c>
      <c r="W125" s="355">
        <f t="shared" si="56"/>
        <v>18.899999999999999</v>
      </c>
      <c r="X125" s="693"/>
      <c r="Y125" s="249"/>
      <c r="Z125" s="252" t="s">
        <v>658</v>
      </c>
      <c r="AA125" s="252" t="s">
        <v>661</v>
      </c>
      <c r="AB125" s="252" t="s">
        <v>447</v>
      </c>
      <c r="AC125" s="255">
        <v>3.5</v>
      </c>
      <c r="AD125" s="255">
        <v>0.5</v>
      </c>
      <c r="AE125" s="367">
        <f t="shared" si="60"/>
        <v>58.075000000000003</v>
      </c>
      <c r="AF125" s="255">
        <v>1</v>
      </c>
      <c r="AG125" s="255">
        <v>200</v>
      </c>
      <c r="AH125" s="255">
        <v>520</v>
      </c>
      <c r="AI125" s="270">
        <f>5*AI124</f>
        <v>0.2</v>
      </c>
      <c r="AJ125" s="270">
        <f>5*AJ124</f>
        <v>1</v>
      </c>
      <c r="AK125" s="270">
        <f>5*AK124</f>
        <v>0.65</v>
      </c>
      <c r="AL125" s="270">
        <f>5*AL124</f>
        <v>0.1</v>
      </c>
      <c r="AM125" s="375" t="s">
        <v>448</v>
      </c>
      <c r="AN125" s="274">
        <f t="shared" si="61"/>
        <v>0</v>
      </c>
      <c r="AO125" s="668">
        <f t="shared" si="62"/>
        <v>0</v>
      </c>
      <c r="AP125" s="279">
        <f t="shared" si="63"/>
        <v>0</v>
      </c>
      <c r="AQ125" s="268">
        <f t="shared" si="64"/>
        <v>0</v>
      </c>
      <c r="AR125" s="669">
        <f t="shared" si="65"/>
        <v>0</v>
      </c>
      <c r="AS125" s="669">
        <f t="shared" si="66"/>
        <v>0</v>
      </c>
      <c r="AT125" s="253">
        <f t="shared" si="67"/>
        <v>0</v>
      </c>
      <c r="AU125" s="253">
        <f t="shared" si="68"/>
        <v>0</v>
      </c>
      <c r="AV125" s="253">
        <f t="shared" si="69"/>
        <v>0</v>
      </c>
      <c r="AW125" s="253">
        <f t="shared" si="70"/>
        <v>0</v>
      </c>
      <c r="AX125" s="253">
        <f t="shared" si="71"/>
        <v>0</v>
      </c>
      <c r="AY125" s="253">
        <f t="shared" si="72"/>
        <v>0</v>
      </c>
      <c r="AZ125" s="258"/>
      <c r="BA125" s="665"/>
    </row>
    <row r="126" spans="1:53">
      <c r="A126" s="1404"/>
      <c r="B126" s="180">
        <v>3</v>
      </c>
      <c r="C126" s="289">
        <v>0</v>
      </c>
      <c r="D126" s="182" t="str">
        <f t="shared" si="58"/>
        <v>LOWICZ SYRUP (Rasp. / Cherry )</v>
      </c>
      <c r="E126" s="183" t="str">
        <f t="shared" si="59"/>
        <v>CONC.</v>
      </c>
      <c r="F126" s="180"/>
      <c r="G126" s="180">
        <v>78</v>
      </c>
      <c r="H126" s="1416"/>
      <c r="I126" s="1430"/>
      <c r="J126" s="788" t="s">
        <v>262</v>
      </c>
      <c r="K126" s="789"/>
      <c r="L126" s="787"/>
      <c r="M126" s="699"/>
      <c r="N126" s="240"/>
      <c r="O126" s="1226" t="s">
        <v>662</v>
      </c>
      <c r="P126" s="1227"/>
      <c r="Q126" s="796">
        <v>1000</v>
      </c>
      <c r="R126" s="1468"/>
      <c r="S126" s="1469"/>
      <c r="T126" s="1469"/>
      <c r="U126" s="681"/>
      <c r="V126" s="354">
        <f t="shared" si="57"/>
        <v>6.25</v>
      </c>
      <c r="W126" s="355">
        <f t="shared" si="56"/>
        <v>19.6875</v>
      </c>
      <c r="X126" s="693"/>
      <c r="Y126" s="249"/>
      <c r="Z126" s="368" t="s">
        <v>663</v>
      </c>
      <c r="AA126" s="252" t="s">
        <v>661</v>
      </c>
      <c r="AB126" s="252" t="s">
        <v>447</v>
      </c>
      <c r="AC126" s="369">
        <f t="shared" ref="AC126:AL126" si="73">6.78*AC124</f>
        <v>4.7459999999999996</v>
      </c>
      <c r="AD126" s="369">
        <f t="shared" si="73"/>
        <v>0.67800000000000005</v>
      </c>
      <c r="AE126" s="369">
        <f t="shared" si="73"/>
        <v>78.749700000000004</v>
      </c>
      <c r="AF126" s="369">
        <f t="shared" si="73"/>
        <v>1.3560000000000001</v>
      </c>
      <c r="AG126" s="255">
        <f t="shared" si="73"/>
        <v>339</v>
      </c>
      <c r="AH126" s="255">
        <f t="shared" si="73"/>
        <v>915.30000000000007</v>
      </c>
      <c r="AI126" s="255">
        <f t="shared" si="73"/>
        <v>0.2712</v>
      </c>
      <c r="AJ126" s="255">
        <f t="shared" si="73"/>
        <v>1.3560000000000001</v>
      </c>
      <c r="AK126" s="255">
        <f t="shared" si="73"/>
        <v>0.88140000000000007</v>
      </c>
      <c r="AL126" s="255">
        <f t="shared" si="73"/>
        <v>0.1356</v>
      </c>
      <c r="AM126" s="375"/>
      <c r="AN126" s="274">
        <f t="shared" si="61"/>
        <v>0</v>
      </c>
      <c r="AO126" s="668">
        <f t="shared" si="62"/>
        <v>0</v>
      </c>
      <c r="AP126" s="279">
        <f t="shared" si="63"/>
        <v>0</v>
      </c>
      <c r="AQ126" s="268">
        <f t="shared" si="64"/>
        <v>0</v>
      </c>
      <c r="AR126" s="669">
        <f t="shared" si="65"/>
        <v>0</v>
      </c>
      <c r="AS126" s="669">
        <f t="shared" si="66"/>
        <v>0</v>
      </c>
      <c r="AT126" s="253">
        <f t="shared" si="67"/>
        <v>0</v>
      </c>
      <c r="AU126" s="253">
        <f t="shared" si="68"/>
        <v>0</v>
      </c>
      <c r="AV126" s="253">
        <f t="shared" si="69"/>
        <v>0</v>
      </c>
      <c r="AW126" s="253">
        <f t="shared" si="70"/>
        <v>0</v>
      </c>
      <c r="AX126" s="253">
        <f t="shared" si="71"/>
        <v>0</v>
      </c>
      <c r="AY126" s="253">
        <f t="shared" si="72"/>
        <v>0</v>
      </c>
      <c r="AZ126" s="253"/>
      <c r="BA126" s="665"/>
    </row>
    <row r="127" spans="1:53">
      <c r="A127" s="1404"/>
      <c r="B127" s="180">
        <v>3</v>
      </c>
      <c r="C127" s="289">
        <v>0.01</v>
      </c>
      <c r="D127" s="182" t="str">
        <f t="shared" si="58"/>
        <v>PINEAPPLE</v>
      </c>
      <c r="E127" s="183" t="str">
        <f t="shared" si="59"/>
        <v>-</v>
      </c>
      <c r="F127" s="180"/>
      <c r="G127" s="180">
        <v>9.5</v>
      </c>
      <c r="H127" s="1416"/>
      <c r="I127" s="1430"/>
      <c r="J127" s="790" t="s">
        <v>664</v>
      </c>
      <c r="K127" s="791"/>
      <c r="L127" s="792"/>
      <c r="M127" s="699"/>
      <c r="N127" s="240"/>
      <c r="O127" s="1035" t="s">
        <v>665</v>
      </c>
      <c r="P127" s="1036"/>
      <c r="Q127" s="363">
        <f>(Q125-Q126)/(7.75-(3*(Q125-1000)/800))</f>
        <v>12.141652613827993</v>
      </c>
      <c r="R127" s="1468"/>
      <c r="S127" s="1469"/>
      <c r="T127" s="1469"/>
      <c r="U127" s="681"/>
      <c r="V127" s="354">
        <f t="shared" si="57"/>
        <v>6.5</v>
      </c>
      <c r="W127" s="355">
        <f t="shared" si="56"/>
        <v>20.474999999999998</v>
      </c>
      <c r="X127" s="693"/>
      <c r="Y127" s="249"/>
      <c r="Z127" s="252" t="s">
        <v>560</v>
      </c>
      <c r="AA127" s="252" t="s">
        <v>447</v>
      </c>
      <c r="AB127" s="252" t="s">
        <v>447</v>
      </c>
      <c r="AC127" s="253">
        <v>0.8</v>
      </c>
      <c r="AD127" s="255">
        <v>0.01</v>
      </c>
      <c r="AE127" s="367">
        <f>G127*1.01</f>
        <v>9.5950000000000006</v>
      </c>
      <c r="AF127" s="255">
        <v>0.2</v>
      </c>
      <c r="AG127" s="255">
        <v>50</v>
      </c>
      <c r="AH127" s="255">
        <v>130</v>
      </c>
      <c r="AI127" s="268">
        <v>0.06</v>
      </c>
      <c r="AJ127" s="268">
        <v>0.2</v>
      </c>
      <c r="AK127" s="268">
        <v>5.6000000000000001E-2</v>
      </c>
      <c r="AL127" s="268">
        <v>0.1</v>
      </c>
      <c r="AM127" s="375" t="s">
        <v>448</v>
      </c>
      <c r="AN127" s="274">
        <f t="shared" si="61"/>
        <v>0</v>
      </c>
      <c r="AO127" s="668">
        <f t="shared" si="62"/>
        <v>0</v>
      </c>
      <c r="AP127" s="279">
        <f t="shared" si="63"/>
        <v>0</v>
      </c>
      <c r="AQ127" s="268">
        <f t="shared" si="64"/>
        <v>0</v>
      </c>
      <c r="AR127" s="669">
        <f t="shared" si="65"/>
        <v>0</v>
      </c>
      <c r="AS127" s="669">
        <f t="shared" si="66"/>
        <v>0</v>
      </c>
      <c r="AT127" s="253">
        <f t="shared" si="67"/>
        <v>0</v>
      </c>
      <c r="AU127" s="253">
        <f t="shared" si="68"/>
        <v>0</v>
      </c>
      <c r="AV127" s="253">
        <f t="shared" si="69"/>
        <v>0</v>
      </c>
      <c r="AW127" s="253">
        <f t="shared" si="70"/>
        <v>0</v>
      </c>
      <c r="AX127" s="253">
        <f t="shared" si="71"/>
        <v>0</v>
      </c>
      <c r="AY127" s="253">
        <f t="shared" si="72"/>
        <v>0</v>
      </c>
      <c r="AZ127" s="253"/>
      <c r="BA127" s="665"/>
    </row>
    <row r="128" spans="1:53">
      <c r="A128" s="1404"/>
      <c r="B128" s="180">
        <v>3</v>
      </c>
      <c r="C128" s="289">
        <v>0</v>
      </c>
      <c r="D128" s="182" t="str">
        <f t="shared" si="58"/>
        <v>PRUNE</v>
      </c>
      <c r="E128" s="183" t="str">
        <f t="shared" si="59"/>
        <v>-</v>
      </c>
      <c r="F128" s="180"/>
      <c r="G128" s="180">
        <v>13</v>
      </c>
      <c r="H128" s="1416"/>
      <c r="I128" s="1430"/>
      <c r="J128" s="197"/>
      <c r="K128" s="197"/>
      <c r="L128" s="339"/>
      <c r="M128" s="339"/>
      <c r="N128" s="339"/>
      <c r="O128" s="339"/>
      <c r="P128" s="339"/>
      <c r="Q128" s="339"/>
      <c r="R128" s="339"/>
      <c r="S128" s="339"/>
      <c r="T128" s="339"/>
      <c r="U128" s="240"/>
      <c r="V128" s="797">
        <v>20</v>
      </c>
      <c r="W128" s="364">
        <f t="shared" si="56"/>
        <v>63</v>
      </c>
      <c r="X128" s="693"/>
      <c r="Y128" s="249"/>
      <c r="Z128" s="252" t="s">
        <v>666</v>
      </c>
      <c r="AA128" s="252" t="s">
        <v>447</v>
      </c>
      <c r="AB128" s="252" t="s">
        <v>447</v>
      </c>
      <c r="AC128" s="255">
        <v>0.5</v>
      </c>
      <c r="AD128" s="255">
        <v>0.01</v>
      </c>
      <c r="AE128" s="367">
        <f>G128*1.3</f>
        <v>16.900000000000002</v>
      </c>
      <c r="AF128" s="255">
        <v>1.2</v>
      </c>
      <c r="AG128" s="255">
        <v>50</v>
      </c>
      <c r="AH128" s="253">
        <v>276</v>
      </c>
      <c r="AI128" s="268">
        <v>1.6E-2</v>
      </c>
      <c r="AJ128" s="268">
        <v>0.78500000000000003</v>
      </c>
      <c r="AK128" s="268">
        <v>0.107</v>
      </c>
      <c r="AL128" s="268">
        <v>0.218</v>
      </c>
      <c r="AM128" s="375" t="s">
        <v>417</v>
      </c>
      <c r="AN128" s="274">
        <f t="shared" si="61"/>
        <v>0</v>
      </c>
      <c r="AO128" s="668">
        <f t="shared" si="62"/>
        <v>0</v>
      </c>
      <c r="AP128" s="279">
        <f t="shared" si="63"/>
        <v>0</v>
      </c>
      <c r="AQ128" s="268">
        <f t="shared" si="64"/>
        <v>0</v>
      </c>
      <c r="AR128" s="669">
        <f t="shared" si="65"/>
        <v>0</v>
      </c>
      <c r="AS128" s="669">
        <f t="shared" si="66"/>
        <v>0</v>
      </c>
      <c r="AT128" s="253">
        <f t="shared" si="67"/>
        <v>0</v>
      </c>
      <c r="AU128" s="253">
        <f t="shared" si="68"/>
        <v>0</v>
      </c>
      <c r="AV128" s="253">
        <f t="shared" si="69"/>
        <v>0</v>
      </c>
      <c r="AW128" s="253">
        <f t="shared" si="70"/>
        <v>0</v>
      </c>
      <c r="AX128" s="253">
        <f t="shared" si="71"/>
        <v>0</v>
      </c>
      <c r="AY128" s="253">
        <f t="shared" si="72"/>
        <v>0</v>
      </c>
      <c r="AZ128" s="253"/>
      <c r="BA128" s="665"/>
    </row>
    <row r="129" spans="1:53">
      <c r="A129" s="1404"/>
      <c r="B129" s="180">
        <v>3</v>
      </c>
      <c r="C129" s="289">
        <v>0</v>
      </c>
      <c r="D129" s="182" t="str">
        <f t="shared" si="58"/>
        <v>OTHER 3</v>
      </c>
      <c r="E129" s="183" t="str">
        <f t="shared" si="59"/>
        <v>-</v>
      </c>
      <c r="F129" s="180"/>
      <c r="G129" s="180"/>
      <c r="H129" s="1416"/>
      <c r="I129" s="1430"/>
      <c r="J129" s="197"/>
      <c r="K129" s="339"/>
      <c r="L129" s="339"/>
      <c r="M129" s="339"/>
      <c r="N129" s="339"/>
      <c r="O129" s="339"/>
      <c r="P129" s="339"/>
      <c r="Q129" s="339"/>
      <c r="R129" s="339"/>
      <c r="S129" s="339"/>
      <c r="T129" s="339"/>
      <c r="U129" s="240"/>
      <c r="V129" s="426" t="s">
        <v>156</v>
      </c>
      <c r="W129" s="426" t="s">
        <v>51</v>
      </c>
      <c r="X129" s="693"/>
      <c r="Y129" s="249"/>
      <c r="Z129" s="252" t="s">
        <v>667</v>
      </c>
      <c r="AA129" s="252" t="s">
        <v>447</v>
      </c>
      <c r="AB129" s="252"/>
      <c r="AC129" s="253">
        <v>0</v>
      </c>
      <c r="AD129" s="253">
        <v>0</v>
      </c>
      <c r="AE129" s="366">
        <f>G129*1.3</f>
        <v>0</v>
      </c>
      <c r="AF129" s="253">
        <v>0</v>
      </c>
      <c r="AG129" s="253">
        <v>0</v>
      </c>
      <c r="AH129" s="253">
        <v>0</v>
      </c>
      <c r="AI129" s="268">
        <v>0</v>
      </c>
      <c r="AJ129" s="268">
        <v>0</v>
      </c>
      <c r="AK129" s="268">
        <v>0</v>
      </c>
      <c r="AL129" s="268">
        <v>0</v>
      </c>
      <c r="AM129" s="375"/>
      <c r="AN129" s="274">
        <f t="shared" si="61"/>
        <v>0</v>
      </c>
      <c r="AO129" s="668">
        <f t="shared" si="62"/>
        <v>0</v>
      </c>
      <c r="AP129" s="279">
        <f t="shared" si="63"/>
        <v>0</v>
      </c>
      <c r="AQ129" s="268">
        <f t="shared" si="64"/>
        <v>0</v>
      </c>
      <c r="AR129" s="669">
        <f t="shared" si="65"/>
        <v>0</v>
      </c>
      <c r="AS129" s="669">
        <f t="shared" si="66"/>
        <v>0</v>
      </c>
      <c r="AT129" s="253">
        <f t="shared" si="67"/>
        <v>0</v>
      </c>
      <c r="AU129" s="253">
        <f t="shared" si="68"/>
        <v>0</v>
      </c>
      <c r="AV129" s="253">
        <f t="shared" si="69"/>
        <v>0</v>
      </c>
      <c r="AW129" s="253">
        <f t="shared" si="70"/>
        <v>0</v>
      </c>
      <c r="AX129" s="253">
        <f t="shared" si="71"/>
        <v>0</v>
      </c>
      <c r="AY129" s="253">
        <f t="shared" si="72"/>
        <v>0</v>
      </c>
      <c r="AZ129" s="253"/>
      <c r="BA129" s="665"/>
    </row>
    <row r="130" spans="1:53">
      <c r="A130" s="1404"/>
      <c r="B130" s="180">
        <v>3</v>
      </c>
      <c r="C130" s="289">
        <v>0</v>
      </c>
      <c r="D130" s="182" t="str">
        <f t="shared" si="58"/>
        <v>OTHER 2</v>
      </c>
      <c r="E130" s="183" t="str">
        <f t="shared" si="59"/>
        <v>-</v>
      </c>
      <c r="F130" s="180"/>
      <c r="G130" s="180"/>
      <c r="H130" s="1416"/>
      <c r="I130" s="1430"/>
      <c r="J130" s="197"/>
      <c r="K130" s="339"/>
      <c r="L130" s="339"/>
      <c r="M130" s="339"/>
      <c r="N130" s="339"/>
      <c r="O130" s="339"/>
      <c r="P130" s="339"/>
      <c r="Q130" s="339"/>
      <c r="R130" s="339"/>
      <c r="S130" s="339"/>
      <c r="T130" s="339"/>
      <c r="U130" s="240"/>
      <c r="V130" s="240"/>
      <c r="W130" s="240"/>
      <c r="X130" s="339"/>
      <c r="Y130" s="249"/>
      <c r="Z130" s="252" t="s">
        <v>668</v>
      </c>
      <c r="AA130" s="252" t="s">
        <v>447</v>
      </c>
      <c r="AB130" s="252" t="s">
        <v>447</v>
      </c>
      <c r="AC130" s="253">
        <v>0</v>
      </c>
      <c r="AD130" s="253">
        <v>0</v>
      </c>
      <c r="AE130" s="366">
        <f>G130*1.3</f>
        <v>0</v>
      </c>
      <c r="AF130" s="253">
        <v>0</v>
      </c>
      <c r="AG130" s="253">
        <v>0</v>
      </c>
      <c r="AH130" s="253">
        <v>0</v>
      </c>
      <c r="AI130" s="268">
        <v>0</v>
      </c>
      <c r="AJ130" s="268">
        <v>0</v>
      </c>
      <c r="AK130" s="268">
        <v>0</v>
      </c>
      <c r="AL130" s="268">
        <v>0</v>
      </c>
      <c r="AM130" s="372"/>
      <c r="AN130" s="274">
        <f t="shared" si="61"/>
        <v>0</v>
      </c>
      <c r="AO130" s="668">
        <f t="shared" si="62"/>
        <v>0</v>
      </c>
      <c r="AP130" s="279">
        <f t="shared" si="63"/>
        <v>0</v>
      </c>
      <c r="AQ130" s="268">
        <f t="shared" si="64"/>
        <v>0</v>
      </c>
      <c r="AR130" s="669">
        <f t="shared" si="65"/>
        <v>0</v>
      </c>
      <c r="AS130" s="669">
        <f t="shared" si="66"/>
        <v>0</v>
      </c>
      <c r="AT130" s="253">
        <f t="shared" si="67"/>
        <v>0</v>
      </c>
      <c r="AU130" s="253">
        <f t="shared" si="68"/>
        <v>0</v>
      </c>
      <c r="AV130" s="253">
        <f t="shared" si="69"/>
        <v>0</v>
      </c>
      <c r="AW130" s="253">
        <f t="shared" si="70"/>
        <v>0</v>
      </c>
      <c r="AX130" s="253">
        <f t="shared" si="71"/>
        <v>0</v>
      </c>
      <c r="AY130" s="253">
        <f t="shared" si="72"/>
        <v>0</v>
      </c>
      <c r="AZ130" s="253"/>
      <c r="BA130" s="665"/>
    </row>
    <row r="131" spans="1:53" ht="13.95" customHeight="1">
      <c r="A131" s="1405"/>
      <c r="B131" s="20">
        <v>3</v>
      </c>
      <c r="C131" s="289">
        <v>0</v>
      </c>
      <c r="D131" s="378" t="str">
        <f t="shared" si="58"/>
        <v>OTHER 1</v>
      </c>
      <c r="E131" s="653" t="str">
        <f t="shared" si="59"/>
        <v>-</v>
      </c>
      <c r="F131" s="20"/>
      <c r="G131" s="20"/>
      <c r="H131" s="1416"/>
      <c r="I131" s="1430"/>
      <c r="J131" s="1373" t="s">
        <v>669</v>
      </c>
      <c r="K131" s="1373"/>
      <c r="L131" s="396"/>
      <c r="M131" s="396"/>
      <c r="N131" s="396"/>
      <c r="O131" s="396"/>
      <c r="P131" s="396"/>
      <c r="Q131" s="643"/>
      <c r="R131" s="709"/>
      <c r="S131" s="709"/>
      <c r="T131" s="709"/>
      <c r="U131" s="709"/>
      <c r="V131" s="709"/>
      <c r="W131" s="709"/>
      <c r="X131" s="709"/>
      <c r="Y131" s="249"/>
      <c r="Z131" s="252" t="s">
        <v>670</v>
      </c>
      <c r="AA131" s="252" t="s">
        <v>447</v>
      </c>
      <c r="AB131" s="252">
        <v>10</v>
      </c>
      <c r="AC131" s="253">
        <v>0</v>
      </c>
      <c r="AD131" s="253">
        <v>0</v>
      </c>
      <c r="AE131" s="366">
        <f>G131*1.3</f>
        <v>0</v>
      </c>
      <c r="AF131" s="253">
        <v>0</v>
      </c>
      <c r="AG131" s="253">
        <v>0</v>
      </c>
      <c r="AH131" s="253">
        <v>0</v>
      </c>
      <c r="AI131" s="268">
        <v>0</v>
      </c>
      <c r="AJ131" s="268">
        <v>0</v>
      </c>
      <c r="AK131" s="268">
        <v>0</v>
      </c>
      <c r="AL131" s="268">
        <v>0</v>
      </c>
      <c r="AM131" s="372"/>
      <c r="AN131" s="274">
        <f t="shared" si="61"/>
        <v>0</v>
      </c>
      <c r="AO131" s="668">
        <f t="shared" si="62"/>
        <v>0</v>
      </c>
      <c r="AP131" s="279">
        <f t="shared" si="63"/>
        <v>0</v>
      </c>
      <c r="AQ131" s="268">
        <f t="shared" si="64"/>
        <v>0</v>
      </c>
      <c r="AR131" s="669">
        <f t="shared" si="65"/>
        <v>0</v>
      </c>
      <c r="AS131" s="669">
        <f t="shared" si="66"/>
        <v>0</v>
      </c>
      <c r="AT131" s="253">
        <f t="shared" si="67"/>
        <v>0</v>
      </c>
      <c r="AU131" s="253">
        <f t="shared" si="68"/>
        <v>0</v>
      </c>
      <c r="AV131" s="253">
        <f t="shared" si="69"/>
        <v>0</v>
      </c>
      <c r="AW131" s="253">
        <f t="shared" si="70"/>
        <v>0</v>
      </c>
      <c r="AX131" s="253">
        <f t="shared" si="71"/>
        <v>0</v>
      </c>
      <c r="AY131" s="253">
        <f t="shared" si="72"/>
        <v>0</v>
      </c>
      <c r="AZ131" s="253"/>
      <c r="BA131" s="665"/>
    </row>
    <row r="132" spans="1:53" s="149" customFormat="1" ht="13.95" customHeight="1">
      <c r="A132" s="1411" t="s">
        <v>671</v>
      </c>
      <c r="B132" s="1412"/>
      <c r="C132" s="379"/>
      <c r="D132" s="1423" t="s">
        <v>672</v>
      </c>
      <c r="E132" s="1424"/>
      <c r="F132" s="1424"/>
      <c r="G132" s="1425"/>
      <c r="H132" s="380"/>
      <c r="I132" s="397"/>
      <c r="J132" s="1470" t="s">
        <v>673</v>
      </c>
      <c r="K132" s="1471"/>
      <c r="L132" s="398" t="s">
        <v>674</v>
      </c>
      <c r="M132" s="1374" t="str">
        <f>"New Vol. (to make "&amp;M134&amp;" litres)"</f>
        <v>New Vol. (to make 13.5 litres)</v>
      </c>
      <c r="N132" s="1375"/>
      <c r="O132" s="1376"/>
      <c r="P132" s="1470" t="s">
        <v>675</v>
      </c>
      <c r="Q132" s="1471"/>
      <c r="R132" s="427" t="s">
        <v>676</v>
      </c>
      <c r="S132" s="1377" t="str">
        <f>"New Wt. (to make "&amp;M134&amp;" litres)"</f>
        <v>New Wt. (to make 13.5 litres)</v>
      </c>
      <c r="T132" s="1378"/>
      <c r="U132" s="1379"/>
      <c r="V132" s="709"/>
      <c r="W132" s="709"/>
      <c r="X132" s="709"/>
      <c r="Y132" s="249"/>
      <c r="Z132" s="252"/>
      <c r="AA132" s="252"/>
      <c r="AB132" s="252"/>
      <c r="AC132" s="253"/>
      <c r="AD132" s="253"/>
      <c r="AE132" s="254"/>
      <c r="AF132" s="253"/>
      <c r="AG132" s="253"/>
      <c r="AH132" s="253"/>
      <c r="AI132" s="268"/>
      <c r="AJ132" s="268"/>
      <c r="AK132" s="268"/>
      <c r="AL132" s="268"/>
      <c r="AM132" s="372"/>
      <c r="AN132" s="274"/>
      <c r="AO132" s="279"/>
      <c r="AP132" s="279"/>
      <c r="AQ132" s="268"/>
      <c r="AR132" s="669"/>
      <c r="AS132" s="669"/>
      <c r="AT132" s="253"/>
      <c r="AU132" s="253"/>
      <c r="AV132" s="253"/>
      <c r="AW132" s="253"/>
      <c r="AX132" s="253"/>
      <c r="AY132" s="253"/>
      <c r="AZ132" s="253"/>
      <c r="BA132" s="665"/>
    </row>
    <row r="133" spans="1:53" ht="13.95" customHeight="1">
      <c r="A133" s="1406"/>
      <c r="B133" s="1409" t="s">
        <v>405</v>
      </c>
      <c r="C133" s="1208" t="s">
        <v>677</v>
      </c>
      <c r="D133" s="1426" t="s">
        <v>678</v>
      </c>
      <c r="E133" s="1426"/>
      <c r="F133" s="381" t="s">
        <v>52</v>
      </c>
      <c r="G133" s="680"/>
      <c r="H133" s="382"/>
      <c r="I133" s="693"/>
      <c r="J133" s="1472"/>
      <c r="K133" s="1473"/>
      <c r="L133" s="399" t="s">
        <v>679</v>
      </c>
      <c r="M133" s="400" t="s">
        <v>553</v>
      </c>
      <c r="N133" s="401" t="s">
        <v>680</v>
      </c>
      <c r="O133" s="402" t="s">
        <v>681</v>
      </c>
      <c r="P133" s="1472"/>
      <c r="Q133" s="1473"/>
      <c r="R133" s="428" t="s">
        <v>51</v>
      </c>
      <c r="S133" s="429" t="s">
        <v>51</v>
      </c>
      <c r="T133" s="430" t="s">
        <v>58</v>
      </c>
      <c r="U133" s="430" t="s">
        <v>682</v>
      </c>
      <c r="V133" s="30"/>
      <c r="W133" s="30"/>
      <c r="X133" s="431"/>
      <c r="Y133" s="249"/>
      <c r="Z133" s="252"/>
      <c r="AA133" s="252"/>
      <c r="AB133" s="258"/>
      <c r="AC133" s="253"/>
      <c r="AD133" s="253"/>
      <c r="AE133" s="253"/>
      <c r="AF133" s="253"/>
      <c r="AG133" s="253"/>
      <c r="AH133" s="253"/>
      <c r="AI133" s="253"/>
      <c r="AJ133" s="253"/>
      <c r="AK133" s="253"/>
      <c r="AL133" s="253"/>
      <c r="AM133" s="254"/>
      <c r="AN133" s="274"/>
      <c r="AO133" s="274"/>
      <c r="AP133" s="274"/>
      <c r="AQ133" s="274"/>
      <c r="AR133" s="274"/>
      <c r="AS133" s="274"/>
      <c r="AT133" s="253"/>
      <c r="AU133" s="253"/>
      <c r="AV133" s="253"/>
      <c r="AW133" s="253"/>
      <c r="AX133" s="253"/>
      <c r="AY133" s="253"/>
      <c r="AZ133" s="253"/>
      <c r="BA133" s="665"/>
    </row>
    <row r="134" spans="1:53" ht="13.95" customHeight="1">
      <c r="A134" s="1407"/>
      <c r="B134" s="1410"/>
      <c r="C134" s="1209"/>
      <c r="D134" s="1421"/>
      <c r="E134" s="1422"/>
      <c r="F134" s="18" t="s">
        <v>51</v>
      </c>
      <c r="G134" s="203"/>
      <c r="H134" s="383"/>
      <c r="I134" s="175"/>
      <c r="J134" s="1035" t="s">
        <v>683</v>
      </c>
      <c r="K134" s="1036"/>
      <c r="L134" s="403">
        <v>4.5</v>
      </c>
      <c r="M134" s="635">
        <v>13.5</v>
      </c>
      <c r="N134" s="404">
        <f t="shared" ref="N134:N139" si="74">O134*(5/6)</f>
        <v>23.775558725630052</v>
      </c>
      <c r="O134" s="405">
        <f t="shared" ref="O134:O139" si="75">8*M134/3.7854</f>
        <v>28.530670470756061</v>
      </c>
      <c r="P134" s="1436" t="s">
        <v>684</v>
      </c>
      <c r="Q134" s="1437"/>
      <c r="R134" s="432">
        <v>1000</v>
      </c>
      <c r="S134" s="433">
        <f t="shared" ref="S134:S142" si="76">R134*M$134/L$134</f>
        <v>3000</v>
      </c>
      <c r="T134" s="434">
        <f t="shared" ref="T134:T142" si="77">S134/28.3495</f>
        <v>105.82197216882132</v>
      </c>
      <c r="U134" s="435" t="str">
        <f t="shared" ref="U134:U142" si="78">INT(T134/16)&amp;" lb  "&amp;FIXED(T134-16*INT(T134/16))&amp;" oz"</f>
        <v>6 lb  9.82 oz</v>
      </c>
      <c r="V134" s="30"/>
      <c r="W134" s="30"/>
      <c r="X134" s="431"/>
      <c r="Y134" s="249"/>
      <c r="Z134" s="1346" t="s">
        <v>685</v>
      </c>
      <c r="AA134" s="1346"/>
      <c r="AB134" s="1346"/>
      <c r="AC134" s="1346"/>
      <c r="AD134" s="1346"/>
      <c r="AE134" s="1346"/>
      <c r="AF134" s="1346"/>
      <c r="AG134" s="1346"/>
      <c r="AH134" s="1346"/>
      <c r="AI134" s="1346"/>
      <c r="AJ134" s="1346"/>
      <c r="AK134" s="1346"/>
      <c r="AL134" s="1346"/>
      <c r="AM134" s="253"/>
      <c r="AN134" s="253" t="s">
        <v>686</v>
      </c>
      <c r="AO134" s="253"/>
      <c r="AP134" s="253"/>
      <c r="AQ134" s="253"/>
      <c r="AR134" s="253"/>
      <c r="AS134" s="253"/>
      <c r="AT134" s="253"/>
      <c r="AU134" s="253"/>
      <c r="AV134" s="253"/>
      <c r="AW134" s="253"/>
      <c r="AX134" s="253"/>
      <c r="AY134" s="253"/>
      <c r="AZ134" s="253"/>
      <c r="BA134" s="665"/>
    </row>
    <row r="135" spans="1:53">
      <c r="A135" s="1406"/>
      <c r="B135" s="176">
        <v>12</v>
      </c>
      <c r="C135" s="177">
        <v>0.14000000000000001</v>
      </c>
      <c r="D135" s="178" t="str">
        <f t="shared" ref="D135:E140" si="79">Z135</f>
        <v>BEETROOT</v>
      </c>
      <c r="E135" s="384" t="str">
        <f t="shared" si="79"/>
        <v>-</v>
      </c>
      <c r="F135" s="176"/>
      <c r="G135" s="203"/>
      <c r="H135" s="383"/>
      <c r="I135" s="175"/>
      <c r="J135" s="1368" t="s">
        <v>687</v>
      </c>
      <c r="K135" s="1369"/>
      <c r="L135" s="406">
        <v>2</v>
      </c>
      <c r="M135" s="407">
        <f>L135*M$134/L$134</f>
        <v>6</v>
      </c>
      <c r="N135" s="408">
        <f t="shared" si="74"/>
        <v>10.566914989168913</v>
      </c>
      <c r="O135" s="409">
        <f t="shared" si="75"/>
        <v>12.680297987002694</v>
      </c>
      <c r="P135" s="1368" t="s">
        <v>688</v>
      </c>
      <c r="Q135" s="1369"/>
      <c r="R135" s="436">
        <v>500</v>
      </c>
      <c r="S135" s="433">
        <f t="shared" si="76"/>
        <v>1500</v>
      </c>
      <c r="T135" s="437">
        <f t="shared" si="77"/>
        <v>52.910986084410659</v>
      </c>
      <c r="U135" s="438" t="str">
        <f t="shared" si="78"/>
        <v>3 lb  4.91 oz</v>
      </c>
      <c r="V135" s="30"/>
      <c r="W135" s="30"/>
      <c r="X135" s="431"/>
      <c r="Y135" s="249"/>
      <c r="Z135" s="252" t="s">
        <v>689</v>
      </c>
      <c r="AA135" s="252" t="s">
        <v>447</v>
      </c>
      <c r="AB135" s="253">
        <v>6.8</v>
      </c>
      <c r="AC135" s="253">
        <v>0.2</v>
      </c>
      <c r="AD135" s="255">
        <v>0.01</v>
      </c>
      <c r="AE135" s="253">
        <v>9.6</v>
      </c>
      <c r="AF135" s="253">
        <v>0.4</v>
      </c>
      <c r="AG135" s="255">
        <v>1300</v>
      </c>
      <c r="AH135" s="253">
        <v>300</v>
      </c>
      <c r="AI135" s="268">
        <v>3.1E-2</v>
      </c>
      <c r="AJ135" s="268">
        <v>0.33400000000000002</v>
      </c>
      <c r="AK135" s="268">
        <v>0.155</v>
      </c>
      <c r="AL135" s="268">
        <v>6.7000000000000004E-2</v>
      </c>
      <c r="AM135" s="253"/>
      <c r="AN135" s="670">
        <f t="shared" ref="AN135:AN142" si="80">1-C135</f>
        <v>0.86</v>
      </c>
      <c r="AO135" s="279">
        <f t="shared" ref="AO135:AO142" si="81">AN135*F135*AB135/100</f>
        <v>0</v>
      </c>
      <c r="AP135" s="279">
        <f t="shared" ref="AP135:AP142" si="82">AN135*F135*AC135/100</f>
        <v>0</v>
      </c>
      <c r="AQ135" s="279">
        <f t="shared" ref="AQ135:AQ142" si="83">AN135*F135*AD135/100</f>
        <v>0</v>
      </c>
      <c r="AR135" s="279">
        <f t="shared" ref="AR135:AR142" si="84">AN135*F135*(AE135-AB135)/100</f>
        <v>0</v>
      </c>
      <c r="AS135" s="279">
        <f t="shared" ref="AS135:AS142" si="85">AN135*F135*AF135/1200</f>
        <v>0</v>
      </c>
      <c r="AT135" s="253">
        <f t="shared" ref="AT135:AT142" si="86">AN135*$F135*AG135/100</f>
        <v>0</v>
      </c>
      <c r="AU135" s="253">
        <f t="shared" ref="AU135:AU142" si="87">AN135*$F135*AH135/100</f>
        <v>0</v>
      </c>
      <c r="AV135" s="253">
        <f t="shared" ref="AV135:AV142" si="88">AN135*$F135*AI135/100</f>
        <v>0</v>
      </c>
      <c r="AW135" s="253">
        <f t="shared" ref="AW135:AW142" si="89">AN135*$F135*AJ135/100</f>
        <v>0</v>
      </c>
      <c r="AX135" s="253">
        <f t="shared" ref="AX135:AX142" si="90">AN135*$F135*AK135/100</f>
        <v>0</v>
      </c>
      <c r="AY135" s="253">
        <f t="shared" ref="AY135:AY142" si="91">AN135*$F135*AL135/100</f>
        <v>0</v>
      </c>
      <c r="AZ135" s="253"/>
      <c r="BA135" s="665"/>
    </row>
    <row r="136" spans="1:53">
      <c r="A136" s="1408"/>
      <c r="B136" s="180">
        <v>12</v>
      </c>
      <c r="C136" s="181">
        <v>0.1</v>
      </c>
      <c r="D136" s="182" t="str">
        <f t="shared" si="79"/>
        <v>CARROT</v>
      </c>
      <c r="E136" s="385" t="str">
        <f t="shared" si="79"/>
        <v>-</v>
      </c>
      <c r="F136" s="180"/>
      <c r="G136" s="203"/>
      <c r="H136" s="383"/>
      <c r="I136" s="410"/>
      <c r="J136" s="1368" t="s">
        <v>690</v>
      </c>
      <c r="K136" s="1369"/>
      <c r="L136" s="411">
        <v>1</v>
      </c>
      <c r="M136" s="407">
        <f>L136*M$134/L$134</f>
        <v>3</v>
      </c>
      <c r="N136" s="408">
        <f t="shared" si="74"/>
        <v>5.2834574945844563</v>
      </c>
      <c r="O136" s="409">
        <f t="shared" si="75"/>
        <v>6.3401489935013471</v>
      </c>
      <c r="P136" s="1368" t="s">
        <v>691</v>
      </c>
      <c r="Q136" s="1369"/>
      <c r="R136" s="439">
        <v>250</v>
      </c>
      <c r="S136" s="433">
        <f t="shared" si="76"/>
        <v>750</v>
      </c>
      <c r="T136" s="437">
        <f t="shared" si="77"/>
        <v>26.45549304220533</v>
      </c>
      <c r="U136" s="438" t="str">
        <f t="shared" si="78"/>
        <v>1 lb  10.46 oz</v>
      </c>
      <c r="V136" s="30"/>
      <c r="W136" s="30"/>
      <c r="X136" s="431"/>
      <c r="Y136" s="249"/>
      <c r="Z136" s="252" t="s">
        <v>692</v>
      </c>
      <c r="AA136" s="252" t="s">
        <v>447</v>
      </c>
      <c r="AB136" s="253">
        <v>4.5</v>
      </c>
      <c r="AC136" s="253">
        <v>0.06</v>
      </c>
      <c r="AD136" s="255">
        <v>0.01</v>
      </c>
      <c r="AE136" s="253">
        <v>9.6</v>
      </c>
      <c r="AF136" s="253">
        <v>1.8</v>
      </c>
      <c r="AG136" s="255">
        <v>1300</v>
      </c>
      <c r="AH136" s="253">
        <v>400</v>
      </c>
      <c r="AI136" s="268">
        <v>7.0000000000000007E-2</v>
      </c>
      <c r="AJ136" s="268">
        <v>0.98</v>
      </c>
      <c r="AK136" s="268">
        <v>0.27300000000000002</v>
      </c>
      <c r="AL136" s="268">
        <v>0.14000000000000001</v>
      </c>
      <c r="AM136" s="253"/>
      <c r="AN136" s="670">
        <f t="shared" si="80"/>
        <v>0.9</v>
      </c>
      <c r="AO136" s="279">
        <f t="shared" si="81"/>
        <v>0</v>
      </c>
      <c r="AP136" s="279">
        <f t="shared" si="82"/>
        <v>0</v>
      </c>
      <c r="AQ136" s="279">
        <f t="shared" si="83"/>
        <v>0</v>
      </c>
      <c r="AR136" s="279">
        <f t="shared" si="84"/>
        <v>0</v>
      </c>
      <c r="AS136" s="279">
        <f t="shared" si="85"/>
        <v>0</v>
      </c>
      <c r="AT136" s="253">
        <f t="shared" si="86"/>
        <v>0</v>
      </c>
      <c r="AU136" s="253">
        <f t="shared" si="87"/>
        <v>0</v>
      </c>
      <c r="AV136" s="253">
        <f t="shared" si="88"/>
        <v>0</v>
      </c>
      <c r="AW136" s="253">
        <f t="shared" si="89"/>
        <v>0</v>
      </c>
      <c r="AX136" s="253">
        <f t="shared" si="90"/>
        <v>0</v>
      </c>
      <c r="AY136" s="253">
        <f t="shared" si="91"/>
        <v>0</v>
      </c>
      <c r="AZ136" s="253"/>
      <c r="BA136" s="665"/>
    </row>
    <row r="137" spans="1:53">
      <c r="A137" s="1408"/>
      <c r="B137" s="180">
        <v>12</v>
      </c>
      <c r="C137" s="181">
        <v>0.08</v>
      </c>
      <c r="D137" s="182" t="str">
        <f t="shared" si="79"/>
        <v>CELERY</v>
      </c>
      <c r="E137" s="385" t="str">
        <f t="shared" si="79"/>
        <v>-</v>
      </c>
      <c r="F137" s="180"/>
      <c r="G137" s="203"/>
      <c r="H137" s="383"/>
      <c r="I137" s="383"/>
      <c r="J137" s="1368" t="s">
        <v>693</v>
      </c>
      <c r="K137" s="1369"/>
      <c r="L137" s="411">
        <v>0.5</v>
      </c>
      <c r="M137" s="407">
        <f>L137*M$134/L$134</f>
        <v>1.5</v>
      </c>
      <c r="N137" s="408">
        <f t="shared" si="74"/>
        <v>2.6417287472922282</v>
      </c>
      <c r="O137" s="409">
        <f t="shared" si="75"/>
        <v>3.1700744967506735</v>
      </c>
      <c r="P137" s="1368" t="s">
        <v>384</v>
      </c>
      <c r="Q137" s="1369"/>
      <c r="R137" s="439">
        <v>550</v>
      </c>
      <c r="S137" s="433">
        <f t="shared" si="76"/>
        <v>1650</v>
      </c>
      <c r="T137" s="437">
        <f t="shared" si="77"/>
        <v>58.202084692851727</v>
      </c>
      <c r="U137" s="438" t="str">
        <f t="shared" si="78"/>
        <v>3 lb  10.20 oz</v>
      </c>
      <c r="V137" s="30"/>
      <c r="W137" s="30"/>
      <c r="X137" s="431"/>
      <c r="Y137" s="249"/>
      <c r="Z137" s="252" t="s">
        <v>694</v>
      </c>
      <c r="AA137" s="252" t="s">
        <v>447</v>
      </c>
      <c r="AB137" s="253">
        <v>1.8</v>
      </c>
      <c r="AC137" s="255">
        <v>0.1</v>
      </c>
      <c r="AD137" s="255">
        <v>0.01</v>
      </c>
      <c r="AE137" s="254">
        <v>3</v>
      </c>
      <c r="AF137" s="255">
        <v>1</v>
      </c>
      <c r="AG137" s="255">
        <v>1000</v>
      </c>
      <c r="AH137" s="253">
        <v>260</v>
      </c>
      <c r="AI137" s="268">
        <v>0.02</v>
      </c>
      <c r="AJ137" s="268">
        <v>0.32</v>
      </c>
      <c r="AK137" s="268">
        <v>0.246</v>
      </c>
      <c r="AL137" s="268">
        <v>7.0000000000000007E-2</v>
      </c>
      <c r="AM137" s="253"/>
      <c r="AN137" s="670">
        <f t="shared" si="80"/>
        <v>0.92</v>
      </c>
      <c r="AO137" s="279">
        <f t="shared" si="81"/>
        <v>0</v>
      </c>
      <c r="AP137" s="279">
        <f t="shared" si="82"/>
        <v>0</v>
      </c>
      <c r="AQ137" s="279">
        <f t="shared" si="83"/>
        <v>0</v>
      </c>
      <c r="AR137" s="279">
        <f t="shared" si="84"/>
        <v>0</v>
      </c>
      <c r="AS137" s="279">
        <f t="shared" si="85"/>
        <v>0</v>
      </c>
      <c r="AT137" s="253">
        <f t="shared" si="86"/>
        <v>0</v>
      </c>
      <c r="AU137" s="253">
        <f t="shared" si="87"/>
        <v>0</v>
      </c>
      <c r="AV137" s="253">
        <f t="shared" si="88"/>
        <v>0</v>
      </c>
      <c r="AW137" s="253">
        <f t="shared" si="89"/>
        <v>0</v>
      </c>
      <c r="AX137" s="253">
        <f t="shared" si="90"/>
        <v>0</v>
      </c>
      <c r="AY137" s="253">
        <f t="shared" si="91"/>
        <v>0</v>
      </c>
      <c r="AZ137" s="253"/>
      <c r="BA137" s="665"/>
    </row>
    <row r="138" spans="1:53">
      <c r="A138" s="1408"/>
      <c r="B138" s="180">
        <v>9</v>
      </c>
      <c r="C138" s="181">
        <v>0.05</v>
      </c>
      <c r="D138" s="182" t="str">
        <f t="shared" si="79"/>
        <v>MARROW</v>
      </c>
      <c r="E138" s="385" t="str">
        <f t="shared" si="79"/>
        <v>-</v>
      </c>
      <c r="F138" s="180"/>
      <c r="G138" s="203"/>
      <c r="H138" s="383"/>
      <c r="I138" s="383"/>
      <c r="J138" s="1368" t="s">
        <v>262</v>
      </c>
      <c r="K138" s="1369"/>
      <c r="L138" s="411">
        <v>0</v>
      </c>
      <c r="M138" s="407">
        <f>L138*M$134/L$134</f>
        <v>0</v>
      </c>
      <c r="N138" s="408">
        <f t="shared" si="74"/>
        <v>0</v>
      </c>
      <c r="O138" s="409">
        <f t="shared" si="75"/>
        <v>0</v>
      </c>
      <c r="P138" s="1368" t="s">
        <v>385</v>
      </c>
      <c r="Q138" s="1369"/>
      <c r="R138" s="439">
        <v>0</v>
      </c>
      <c r="S138" s="440">
        <f t="shared" si="76"/>
        <v>0</v>
      </c>
      <c r="T138" s="437">
        <f t="shared" si="77"/>
        <v>0</v>
      </c>
      <c r="U138" s="438" t="str">
        <f t="shared" si="78"/>
        <v>0 lb  0.00 oz</v>
      </c>
      <c r="V138" s="30"/>
      <c r="W138" s="30"/>
      <c r="X138" s="431"/>
      <c r="Y138" s="249"/>
      <c r="Z138" s="252" t="s">
        <v>695</v>
      </c>
      <c r="AA138" s="252" t="s">
        <v>447</v>
      </c>
      <c r="AB138" s="255">
        <v>1.5</v>
      </c>
      <c r="AC138" s="255">
        <v>0.1</v>
      </c>
      <c r="AD138" s="255">
        <v>0.01</v>
      </c>
      <c r="AE138" s="254">
        <v>3.5</v>
      </c>
      <c r="AF138" s="255">
        <v>1</v>
      </c>
      <c r="AG138" s="255">
        <v>1000</v>
      </c>
      <c r="AH138" s="253">
        <v>212</v>
      </c>
      <c r="AI138" s="268">
        <v>4.8000000000000001E-2</v>
      </c>
      <c r="AJ138" s="268">
        <v>0.48699999999999999</v>
      </c>
      <c r="AK138" s="268">
        <v>0.155</v>
      </c>
      <c r="AL138" s="268">
        <v>0.218</v>
      </c>
      <c r="AM138" s="253"/>
      <c r="AN138" s="670">
        <f t="shared" si="80"/>
        <v>0.95</v>
      </c>
      <c r="AO138" s="279">
        <f t="shared" si="81"/>
        <v>0</v>
      </c>
      <c r="AP138" s="279">
        <f t="shared" si="82"/>
        <v>0</v>
      </c>
      <c r="AQ138" s="279">
        <f t="shared" si="83"/>
        <v>0</v>
      </c>
      <c r="AR138" s="279">
        <f t="shared" si="84"/>
        <v>0</v>
      </c>
      <c r="AS138" s="279">
        <f t="shared" si="85"/>
        <v>0</v>
      </c>
      <c r="AT138" s="253">
        <f t="shared" si="86"/>
        <v>0</v>
      </c>
      <c r="AU138" s="253">
        <f t="shared" si="87"/>
        <v>0</v>
      </c>
      <c r="AV138" s="253">
        <f t="shared" si="88"/>
        <v>0</v>
      </c>
      <c r="AW138" s="253">
        <f t="shared" si="89"/>
        <v>0</v>
      </c>
      <c r="AX138" s="253">
        <f t="shared" si="90"/>
        <v>0</v>
      </c>
      <c r="AY138" s="253">
        <f t="shared" si="91"/>
        <v>0</v>
      </c>
      <c r="AZ138" s="253"/>
      <c r="BA138" s="665"/>
    </row>
    <row r="139" spans="1:53">
      <c r="A139" s="1408"/>
      <c r="B139" s="180">
        <v>12</v>
      </c>
      <c r="C139" s="181">
        <v>0.18</v>
      </c>
      <c r="D139" s="182" t="str">
        <f t="shared" si="79"/>
        <v>PARSNIP</v>
      </c>
      <c r="E139" s="385" t="str">
        <f t="shared" si="79"/>
        <v>-</v>
      </c>
      <c r="F139" s="180"/>
      <c r="G139" s="203"/>
      <c r="H139" s="383"/>
      <c r="I139" s="383"/>
      <c r="J139" s="1389" t="s">
        <v>664</v>
      </c>
      <c r="K139" s="1390"/>
      <c r="L139" s="411">
        <v>0</v>
      </c>
      <c r="M139" s="407">
        <f>L139*M$134/L$134</f>
        <v>0</v>
      </c>
      <c r="N139" s="408">
        <f t="shared" si="74"/>
        <v>0</v>
      </c>
      <c r="O139" s="409">
        <f t="shared" si="75"/>
        <v>0</v>
      </c>
      <c r="P139" s="1368" t="s">
        <v>386</v>
      </c>
      <c r="Q139" s="1369"/>
      <c r="R139" s="436">
        <v>0</v>
      </c>
      <c r="S139" s="440">
        <f t="shared" si="76"/>
        <v>0</v>
      </c>
      <c r="T139" s="437">
        <f t="shared" si="77"/>
        <v>0</v>
      </c>
      <c r="U139" s="438" t="str">
        <f t="shared" si="78"/>
        <v>0 lb  0.00 oz</v>
      </c>
      <c r="V139" s="30"/>
      <c r="W139" s="30"/>
      <c r="X139" s="431"/>
      <c r="Y139" s="249"/>
      <c r="Z139" s="252" t="s">
        <v>696</v>
      </c>
      <c r="AA139" s="252" t="s">
        <v>447</v>
      </c>
      <c r="AB139" s="253">
        <v>12.5</v>
      </c>
      <c r="AC139" s="253">
        <v>0.12</v>
      </c>
      <c r="AD139" s="255">
        <v>0.01</v>
      </c>
      <c r="AE139" s="254">
        <v>18</v>
      </c>
      <c r="AF139" s="253">
        <v>3.2</v>
      </c>
      <c r="AG139" s="255">
        <v>1500</v>
      </c>
      <c r="AH139" s="253">
        <v>400</v>
      </c>
      <c r="AI139" s="268">
        <v>0.09</v>
      </c>
      <c r="AJ139" s="268">
        <v>0.7</v>
      </c>
      <c r="AK139" s="268">
        <v>0.6</v>
      </c>
      <c r="AL139" s="268">
        <v>0.09</v>
      </c>
      <c r="AM139" s="466"/>
      <c r="AN139" s="670">
        <f t="shared" si="80"/>
        <v>0.82000000000000006</v>
      </c>
      <c r="AO139" s="279">
        <f t="shared" si="81"/>
        <v>0</v>
      </c>
      <c r="AP139" s="279">
        <f t="shared" si="82"/>
        <v>0</v>
      </c>
      <c r="AQ139" s="279">
        <f t="shared" si="83"/>
        <v>0</v>
      </c>
      <c r="AR139" s="279">
        <f t="shared" si="84"/>
        <v>0</v>
      </c>
      <c r="AS139" s="279">
        <f t="shared" si="85"/>
        <v>0</v>
      </c>
      <c r="AT139" s="253">
        <f t="shared" si="86"/>
        <v>0</v>
      </c>
      <c r="AU139" s="253">
        <f t="shared" si="87"/>
        <v>0</v>
      </c>
      <c r="AV139" s="253">
        <f t="shared" si="88"/>
        <v>0</v>
      </c>
      <c r="AW139" s="253">
        <f t="shared" si="89"/>
        <v>0</v>
      </c>
      <c r="AX139" s="253">
        <f t="shared" si="90"/>
        <v>0</v>
      </c>
      <c r="AY139" s="253">
        <f t="shared" si="91"/>
        <v>0</v>
      </c>
      <c r="AZ139" s="253"/>
      <c r="BA139" s="665"/>
    </row>
    <row r="140" spans="1:53">
      <c r="A140" s="1408"/>
      <c r="B140" s="180">
        <v>18</v>
      </c>
      <c r="C140" s="181">
        <v>0.2</v>
      </c>
      <c r="D140" s="182" t="str">
        <f t="shared" si="79"/>
        <v>POTATO</v>
      </c>
      <c r="E140" s="385" t="str">
        <f t="shared" si="79"/>
        <v>-</v>
      </c>
      <c r="F140" s="180"/>
      <c r="G140" s="203"/>
      <c r="H140" s="383"/>
      <c r="I140" s="383"/>
      <c r="J140" s="1217" t="s">
        <v>697</v>
      </c>
      <c r="K140" s="1218"/>
      <c r="L140" s="412">
        <v>590</v>
      </c>
      <c r="M140" s="413" t="str">
        <f>1*FIXED((L140*M$134/L$134),0)&amp;"g"</f>
        <v>1770g</v>
      </c>
      <c r="N140" s="714">
        <f>L141+(0.58*L140)</f>
        <v>738.2</v>
      </c>
      <c r="O140" s="715" t="str">
        <f>FIXED(8*(M136/L136)*N140/(1000*3.7854))</f>
        <v>4.68</v>
      </c>
      <c r="P140" s="1060" t="s">
        <v>698</v>
      </c>
      <c r="Q140" s="1061"/>
      <c r="R140" s="436">
        <v>0</v>
      </c>
      <c r="S140" s="440">
        <f t="shared" si="76"/>
        <v>0</v>
      </c>
      <c r="T140" s="437">
        <f t="shared" si="77"/>
        <v>0</v>
      </c>
      <c r="U140" s="438" t="str">
        <f t="shared" si="78"/>
        <v>0 lb  0.00 oz</v>
      </c>
      <c r="V140" s="30"/>
      <c r="W140" s="30"/>
      <c r="X140" s="431"/>
      <c r="Y140" s="249"/>
      <c r="Z140" s="252" t="s">
        <v>699</v>
      </c>
      <c r="AA140" s="252" t="s">
        <v>447</v>
      </c>
      <c r="AB140" s="253">
        <v>0.8</v>
      </c>
      <c r="AC140" s="253">
        <v>0.1</v>
      </c>
      <c r="AD140" s="255">
        <v>0.01</v>
      </c>
      <c r="AE140" s="254">
        <v>17.5</v>
      </c>
      <c r="AF140" s="253">
        <v>2</v>
      </c>
      <c r="AG140" s="255">
        <v>300</v>
      </c>
      <c r="AH140" s="253">
        <v>500</v>
      </c>
      <c r="AI140" s="268">
        <v>0.08</v>
      </c>
      <c r="AJ140" s="268">
        <v>1.05</v>
      </c>
      <c r="AK140" s="268">
        <v>0.29599999999999999</v>
      </c>
      <c r="AL140" s="268">
        <v>0.29499999999999998</v>
      </c>
      <c r="AM140" s="466"/>
      <c r="AN140" s="670">
        <f t="shared" si="80"/>
        <v>0.8</v>
      </c>
      <c r="AO140" s="279">
        <f t="shared" si="81"/>
        <v>0</v>
      </c>
      <c r="AP140" s="279">
        <f t="shared" si="82"/>
        <v>0</v>
      </c>
      <c r="AQ140" s="279">
        <f t="shared" si="83"/>
        <v>0</v>
      </c>
      <c r="AR140" s="279">
        <f t="shared" si="84"/>
        <v>0</v>
      </c>
      <c r="AS140" s="279">
        <f t="shared" si="85"/>
        <v>0</v>
      </c>
      <c r="AT140" s="253">
        <f t="shared" si="86"/>
        <v>0</v>
      </c>
      <c r="AU140" s="253">
        <f t="shared" si="87"/>
        <v>0</v>
      </c>
      <c r="AV140" s="253">
        <f t="shared" si="88"/>
        <v>0</v>
      </c>
      <c r="AW140" s="253">
        <f t="shared" si="89"/>
        <v>0</v>
      </c>
      <c r="AX140" s="253">
        <f t="shared" si="90"/>
        <v>0</v>
      </c>
      <c r="AY140" s="253">
        <f t="shared" si="91"/>
        <v>0</v>
      </c>
      <c r="AZ140" s="253"/>
      <c r="BA140" s="665"/>
    </row>
    <row r="141" spans="1:53">
      <c r="A141" s="1408"/>
      <c r="B141" s="180">
        <v>12</v>
      </c>
      <c r="C141" s="181">
        <v>0</v>
      </c>
      <c r="D141" s="182" t="str">
        <f>Z141</f>
        <v>OTHER 2</v>
      </c>
      <c r="E141" s="385" t="str">
        <f>AA140</f>
        <v>-</v>
      </c>
      <c r="F141" s="180"/>
      <c r="G141" s="203"/>
      <c r="H141" s="203"/>
      <c r="I141" s="203"/>
      <c r="J141" s="1315" t="s">
        <v>700</v>
      </c>
      <c r="K141" s="1316"/>
      <c r="L141" s="411">
        <v>396</v>
      </c>
      <c r="M141" s="414" t="str">
        <f>1*FIXED((L141*M$134/L$134),0)&amp;"ml"</f>
        <v>1188ml</v>
      </c>
      <c r="N141" s="716">
        <f>N140*M$134/L$134</f>
        <v>2214.6000000000004</v>
      </c>
      <c r="O141" s="717">
        <f>(M136*O136)+1.4</f>
        <v>20.420446980504039</v>
      </c>
      <c r="P141" s="1060" t="s">
        <v>701</v>
      </c>
      <c r="Q141" s="1061"/>
      <c r="R141" s="436">
        <v>5</v>
      </c>
      <c r="S141" s="440">
        <f t="shared" si="76"/>
        <v>15</v>
      </c>
      <c r="T141" s="437">
        <f t="shared" si="77"/>
        <v>0.52910986084410661</v>
      </c>
      <c r="U141" s="438" t="str">
        <f t="shared" si="78"/>
        <v>0 lb  0.53 oz</v>
      </c>
      <c r="V141" s="30"/>
      <c r="W141" s="30"/>
      <c r="X141" s="431"/>
      <c r="Y141" s="249"/>
      <c r="Z141" s="252" t="s">
        <v>668</v>
      </c>
      <c r="AA141" s="252" t="s">
        <v>447</v>
      </c>
      <c r="AB141" s="253">
        <v>0</v>
      </c>
      <c r="AC141" s="253">
        <v>0</v>
      </c>
      <c r="AD141" s="253">
        <v>0</v>
      </c>
      <c r="AE141" s="253">
        <v>0</v>
      </c>
      <c r="AF141" s="253">
        <v>0</v>
      </c>
      <c r="AG141" s="253">
        <v>0</v>
      </c>
      <c r="AH141" s="253">
        <v>0</v>
      </c>
      <c r="AI141" s="268">
        <v>0</v>
      </c>
      <c r="AJ141" s="268">
        <v>0</v>
      </c>
      <c r="AK141" s="268">
        <v>0</v>
      </c>
      <c r="AL141" s="268">
        <v>0</v>
      </c>
      <c r="AM141" s="466"/>
      <c r="AN141" s="670">
        <f t="shared" si="80"/>
        <v>1</v>
      </c>
      <c r="AO141" s="279">
        <f t="shared" si="81"/>
        <v>0</v>
      </c>
      <c r="AP141" s="279">
        <f t="shared" si="82"/>
        <v>0</v>
      </c>
      <c r="AQ141" s="279">
        <f t="shared" si="83"/>
        <v>0</v>
      </c>
      <c r="AR141" s="279">
        <f t="shared" si="84"/>
        <v>0</v>
      </c>
      <c r="AS141" s="279">
        <f t="shared" si="85"/>
        <v>0</v>
      </c>
      <c r="AT141" s="253">
        <f t="shared" si="86"/>
        <v>0</v>
      </c>
      <c r="AU141" s="253">
        <f t="shared" si="87"/>
        <v>0</v>
      </c>
      <c r="AV141" s="253">
        <f t="shared" si="88"/>
        <v>0</v>
      </c>
      <c r="AW141" s="253">
        <f t="shared" si="89"/>
        <v>0</v>
      </c>
      <c r="AX141" s="253">
        <f t="shared" si="90"/>
        <v>0</v>
      </c>
      <c r="AY141" s="253">
        <f t="shared" si="91"/>
        <v>0</v>
      </c>
      <c r="AZ141" s="253"/>
      <c r="BA141" s="665"/>
    </row>
    <row r="142" spans="1:53">
      <c r="A142" s="1407"/>
      <c r="B142" s="20">
        <v>12</v>
      </c>
      <c r="C142" s="634">
        <v>0</v>
      </c>
      <c r="D142" s="378" t="str">
        <f>Z142</f>
        <v>OTHER 1</v>
      </c>
      <c r="E142" s="386" t="str">
        <f>AA141</f>
        <v>-</v>
      </c>
      <c r="F142" s="20"/>
      <c r="G142" s="203"/>
      <c r="H142" s="709"/>
      <c r="I142" s="709"/>
      <c r="J142" s="1370" t="str">
        <f>"Sugar syrup (SG = "&amp;1*FIXED((1000+375*L140/N140),0)&amp;") vol.    =     "&amp;1*FIXED(N140,0)&amp;"ml        "</f>
        <v xml:space="preserve">Sugar syrup (SG = 1300) vol.    =     738ml        </v>
      </c>
      <c r="K142" s="1371"/>
      <c r="L142" s="1372"/>
      <c r="M142" s="1393" t="str">
        <f>"         "&amp;1*FIXED((N141),0)&amp;"ml     =   "&amp;FIXED(O140*(5/6))&amp;" UK pt  =  "&amp;O140&amp;" US pt.    "</f>
        <v xml:space="preserve">         2215ml     =   3.90 UK pt  =  4.68 US pt.    </v>
      </c>
      <c r="N142" s="1394"/>
      <c r="O142" s="1395"/>
      <c r="P142" s="1096" t="s">
        <v>702</v>
      </c>
      <c r="Q142" s="1097"/>
      <c r="R142" s="441">
        <v>5</v>
      </c>
      <c r="S142" s="442">
        <f t="shared" si="76"/>
        <v>15</v>
      </c>
      <c r="T142" s="443">
        <f t="shared" si="77"/>
        <v>0.52910986084410661</v>
      </c>
      <c r="U142" s="444" t="str">
        <f t="shared" si="78"/>
        <v>0 lb  0.53 oz</v>
      </c>
      <c r="V142" s="30"/>
      <c r="W142" s="30"/>
      <c r="X142" s="431"/>
      <c r="Y142" s="249"/>
      <c r="Z142" s="252" t="s">
        <v>670</v>
      </c>
      <c r="AA142" s="252" t="s">
        <v>447</v>
      </c>
      <c r="AB142" s="253">
        <v>0</v>
      </c>
      <c r="AC142" s="253">
        <v>0</v>
      </c>
      <c r="AD142" s="253">
        <v>0</v>
      </c>
      <c r="AE142" s="253">
        <v>0</v>
      </c>
      <c r="AF142" s="253">
        <v>0</v>
      </c>
      <c r="AG142" s="253">
        <v>0</v>
      </c>
      <c r="AH142" s="253">
        <v>0</v>
      </c>
      <c r="AI142" s="268">
        <v>0</v>
      </c>
      <c r="AJ142" s="268">
        <v>0</v>
      </c>
      <c r="AK142" s="268">
        <v>0</v>
      </c>
      <c r="AL142" s="268">
        <v>0</v>
      </c>
      <c r="AM142" s="466"/>
      <c r="AN142" s="670">
        <f t="shared" si="80"/>
        <v>1</v>
      </c>
      <c r="AO142" s="279">
        <f t="shared" si="81"/>
        <v>0</v>
      </c>
      <c r="AP142" s="279">
        <f t="shared" si="82"/>
        <v>0</v>
      </c>
      <c r="AQ142" s="279">
        <f t="shared" si="83"/>
        <v>0</v>
      </c>
      <c r="AR142" s="279">
        <f t="shared" si="84"/>
        <v>0</v>
      </c>
      <c r="AS142" s="279">
        <f t="shared" si="85"/>
        <v>0</v>
      </c>
      <c r="AT142" s="253">
        <f t="shared" si="86"/>
        <v>0</v>
      </c>
      <c r="AU142" s="253">
        <f t="shared" si="87"/>
        <v>0</v>
      </c>
      <c r="AV142" s="253">
        <f t="shared" si="88"/>
        <v>0</v>
      </c>
      <c r="AW142" s="253">
        <f t="shared" si="89"/>
        <v>0</v>
      </c>
      <c r="AX142" s="253">
        <f t="shared" si="90"/>
        <v>0</v>
      </c>
      <c r="AY142" s="253">
        <f t="shared" si="91"/>
        <v>0</v>
      </c>
      <c r="AZ142" s="253"/>
      <c r="BA142" s="665"/>
    </row>
    <row r="143" spans="1:53" ht="15" customHeight="1">
      <c r="A143" s="709"/>
      <c r="B143" s="1391" t="str">
        <f>"Vegetables, if used - exc. rhubarb - see the `FRUIT` section, MUST be washed, chopped, diced etc. &amp; boiled separately with an equivalent weight of water &amp; then strained ̸ sparged out onto the "&amp;L13&amp;"g sugar (see cell L13). Extra sparge water may be added to make the volume up to the stated "&amp;(ROUND(W13,-1))&amp;"ml as required."</f>
        <v>Vegetables, if used - exc. rhubarb - see the `FRUIT` section, MUST be washed, chopped, diced etc. &amp; boiled separately with an equivalent weight of water &amp; then strained ̸ sparged out onto the 650g sugar (see cell L13). Extra sparge water may be added to make the volume up to the stated 810ml as required.</v>
      </c>
      <c r="C143" s="1391"/>
      <c r="D143" s="1391"/>
      <c r="E143" s="1391"/>
      <c r="F143" s="1391"/>
      <c r="G143" s="203"/>
      <c r="H143" s="383"/>
      <c r="I143" s="383"/>
      <c r="J143" s="383"/>
      <c r="K143" s="383"/>
      <c r="L143" s="383"/>
      <c r="M143" s="383"/>
      <c r="N143" s="383"/>
      <c r="O143" s="383"/>
      <c r="P143" s="383"/>
      <c r="Q143" s="383"/>
      <c r="R143" s="383"/>
      <c r="S143" s="383"/>
      <c r="T143" s="383"/>
      <c r="U143" s="383"/>
      <c r="V143" s="696"/>
      <c r="W143" s="50"/>
      <c r="X143" s="431"/>
      <c r="Y143" s="249"/>
      <c r="Z143" s="274"/>
      <c r="AA143" s="274"/>
      <c r="AB143" s="274"/>
      <c r="AC143" s="274"/>
      <c r="AD143" s="274"/>
      <c r="AE143" s="274"/>
      <c r="AF143" s="274"/>
      <c r="AG143" s="274"/>
      <c r="AH143" s="274"/>
      <c r="AI143" s="274"/>
      <c r="AJ143" s="274"/>
      <c r="AK143" s="274"/>
      <c r="AL143" s="274"/>
      <c r="AM143" s="274"/>
      <c r="AN143" s="274"/>
      <c r="AO143" s="274"/>
      <c r="AP143" s="274"/>
      <c r="AQ143" s="274"/>
      <c r="AR143" s="274"/>
      <c r="AS143" s="274"/>
      <c r="AT143" s="274"/>
      <c r="AU143" s="274"/>
      <c r="AV143" s="274"/>
      <c r="AW143" s="274"/>
      <c r="AX143" s="274"/>
      <c r="AY143" s="274"/>
      <c r="AZ143" s="274"/>
      <c r="BA143" s="665"/>
    </row>
    <row r="144" spans="1:53">
      <c r="A144" s="709"/>
      <c r="B144" s="1392"/>
      <c r="C144" s="1392"/>
      <c r="D144" s="1392"/>
      <c r="E144" s="1392"/>
      <c r="F144" s="1392"/>
      <c r="G144" s="203"/>
      <c r="H144" s="151"/>
      <c r="I144" s="383"/>
      <c r="J144" s="151"/>
      <c r="K144" s="151"/>
      <c r="L144" s="151"/>
      <c r="M144" s="151"/>
      <c r="N144" s="151"/>
      <c r="O144" s="151"/>
      <c r="P144" s="151"/>
      <c r="Q144" s="151"/>
      <c r="R144" s="151"/>
      <c r="S144" s="151"/>
      <c r="T144" s="151"/>
      <c r="U144" s="151"/>
      <c r="V144" s="696"/>
      <c r="W144" s="50"/>
      <c r="X144" s="431"/>
      <c r="Y144" s="249"/>
      <c r="Z144" s="274"/>
      <c r="AA144" s="274"/>
      <c r="AB144" s="274"/>
      <c r="AC144" s="274"/>
      <c r="AD144" s="274"/>
      <c r="AE144" s="274"/>
      <c r="AF144" s="274"/>
      <c r="AG144" s="274"/>
      <c r="AH144" s="274"/>
      <c r="AI144" s="274"/>
      <c r="AJ144" s="274"/>
      <c r="AK144" s="274"/>
      <c r="AL144" s="274"/>
      <c r="AM144" s="274"/>
      <c r="AN144" s="671">
        <f>SUM(AN13:AN131)</f>
        <v>0</v>
      </c>
      <c r="AO144" s="671">
        <f t="shared" ref="AO144:AY144" si="92">SUM(AO13:AO142)</f>
        <v>275.99999999999994</v>
      </c>
      <c r="AP144" s="671">
        <f t="shared" si="92"/>
        <v>20.7</v>
      </c>
      <c r="AQ144" s="671">
        <f t="shared" si="92"/>
        <v>0.3</v>
      </c>
      <c r="AR144" s="671">
        <f t="shared" si="92"/>
        <v>2.7600000000000158</v>
      </c>
      <c r="AS144" s="671">
        <f t="shared" si="92"/>
        <v>0.5</v>
      </c>
      <c r="AT144" s="671">
        <f t="shared" si="92"/>
        <v>990</v>
      </c>
      <c r="AU144" s="671">
        <f t="shared" si="92"/>
        <v>3450</v>
      </c>
      <c r="AV144" s="671">
        <f t="shared" si="92"/>
        <v>0.6</v>
      </c>
      <c r="AW144" s="671">
        <f t="shared" si="92"/>
        <v>3</v>
      </c>
      <c r="AX144" s="671">
        <f t="shared" si="92"/>
        <v>1.47</v>
      </c>
      <c r="AY144" s="671">
        <f t="shared" si="92"/>
        <v>0.9</v>
      </c>
      <c r="AZ144" s="274"/>
      <c r="BA144" s="665"/>
    </row>
    <row r="145" spans="1:53">
      <c r="A145" s="709"/>
      <c r="B145" s="1392"/>
      <c r="C145" s="1392"/>
      <c r="D145" s="1392"/>
      <c r="E145" s="1392"/>
      <c r="F145" s="1392"/>
      <c r="G145" s="203"/>
      <c r="H145" s="709"/>
      <c r="I145" s="709"/>
      <c r="J145" s="1348" t="s">
        <v>703</v>
      </c>
      <c r="K145" s="1348"/>
      <c r="L145" s="709"/>
      <c r="M145" s="709"/>
      <c r="N145" s="709"/>
      <c r="O145" s="709"/>
      <c r="P145" s="709"/>
      <c r="Q145" s="709"/>
      <c r="R145" s="709"/>
      <c r="S145" s="709"/>
      <c r="T145" s="709"/>
      <c r="U145" s="709"/>
      <c r="V145" s="709"/>
      <c r="W145" s="709"/>
      <c r="X145" s="709"/>
      <c r="Y145" s="249"/>
      <c r="Z145" s="274"/>
      <c r="AA145" s="274"/>
      <c r="AB145" s="274"/>
      <c r="AC145" s="274"/>
      <c r="AD145" s="274"/>
      <c r="AE145" s="274"/>
      <c r="AF145" s="274"/>
      <c r="AG145" s="274"/>
      <c r="AH145" s="274"/>
      <c r="AI145" s="274"/>
      <c r="AJ145" s="274"/>
      <c r="AK145" s="274"/>
      <c r="AL145" s="274"/>
      <c r="AM145" s="274"/>
      <c r="AN145" s="274"/>
      <c r="AO145" s="274"/>
      <c r="AP145" s="274"/>
      <c r="AQ145" s="274"/>
      <c r="AR145" s="274"/>
      <c r="AS145" s="274"/>
      <c r="AT145" s="274"/>
      <c r="AU145" s="274"/>
      <c r="AV145" s="274"/>
      <c r="AW145" s="274"/>
      <c r="AX145" s="274"/>
      <c r="AY145" s="274"/>
      <c r="AZ145" s="274"/>
      <c r="BA145" s="665"/>
    </row>
    <row r="146" spans="1:53" ht="15" customHeight="1">
      <c r="A146" s="709"/>
      <c r="B146" s="1392"/>
      <c r="C146" s="1392"/>
      <c r="D146" s="1392"/>
      <c r="E146" s="1392"/>
      <c r="F146" s="1392"/>
      <c r="G146" s="30"/>
      <c r="H146" s="30"/>
      <c r="I146" s="30"/>
      <c r="J146" s="1385" t="s">
        <v>704</v>
      </c>
      <c r="K146" s="1385"/>
      <c r="L146" s="1385"/>
      <c r="M146" s="1385"/>
      <c r="N146" s="1385"/>
      <c r="O146" s="1385"/>
      <c r="P146" s="1385"/>
      <c r="Q146" s="1385"/>
      <c r="R146" s="339"/>
      <c r="S146" s="709"/>
      <c r="T146" s="420"/>
      <c r="U146" s="249"/>
      <c r="V146" s="709"/>
      <c r="W146" s="709"/>
      <c r="X146" s="709"/>
      <c r="Y146" s="249"/>
      <c r="Z146" s="269"/>
      <c r="AA146" s="269"/>
      <c r="AB146" s="269"/>
      <c r="AC146" s="269"/>
      <c r="AD146" s="269"/>
      <c r="AE146" s="269"/>
      <c r="AF146" s="269"/>
      <c r="AG146" s="269"/>
      <c r="AH146" s="269"/>
      <c r="AI146" s="269"/>
      <c r="AJ146" s="269"/>
      <c r="AK146" s="269"/>
      <c r="AL146" s="269"/>
      <c r="AM146" s="269"/>
      <c r="AN146" s="269"/>
      <c r="AO146" s="269"/>
      <c r="AP146" s="269"/>
      <c r="AQ146" s="269"/>
      <c r="AR146" s="269"/>
      <c r="AS146" s="269"/>
      <c r="AT146" s="269"/>
      <c r="AU146" s="269"/>
      <c r="AV146" s="269"/>
      <c r="AW146" s="269"/>
      <c r="AX146" s="269"/>
      <c r="AY146" s="269"/>
      <c r="AZ146" s="269"/>
      <c r="BA146" s="652"/>
    </row>
    <row r="147" spans="1:53">
      <c r="A147" s="709"/>
      <c r="B147" s="30"/>
      <c r="C147" s="30"/>
      <c r="D147" s="30"/>
      <c r="E147" s="30"/>
      <c r="F147" s="30"/>
      <c r="G147" s="30"/>
      <c r="H147" s="30"/>
      <c r="I147" s="30"/>
      <c r="J147" s="415"/>
      <c r="K147" s="416"/>
      <c r="L147" s="416"/>
      <c r="M147" s="416"/>
      <c r="N147" s="416"/>
      <c r="O147" s="30"/>
      <c r="P147" s="30"/>
      <c r="Q147" s="30"/>
      <c r="R147" s="445"/>
      <c r="S147" s="710"/>
      <c r="T147" s="710"/>
      <c r="U147" s="710"/>
      <c r="V147" s="1386" t="s">
        <v>705</v>
      </c>
      <c r="W147" s="1386"/>
      <c r="X147" s="1386"/>
      <c r="Y147" s="249"/>
      <c r="Z147" s="269"/>
      <c r="AA147" s="269"/>
      <c r="AB147" s="269"/>
      <c r="AC147" s="269"/>
      <c r="AD147" s="269"/>
      <c r="AE147" s="269"/>
      <c r="AF147" s="269"/>
      <c r="AG147" s="269"/>
      <c r="AH147" s="269"/>
      <c r="AI147" s="269"/>
      <c r="AJ147" s="269"/>
      <c r="AK147" s="269"/>
      <c r="AL147" s="269"/>
      <c r="AM147" s="269"/>
      <c r="AN147" s="269"/>
      <c r="AO147" s="269"/>
      <c r="AP147" s="269"/>
      <c r="AQ147" s="269"/>
      <c r="AR147" s="269"/>
      <c r="AS147" s="269"/>
      <c r="AT147" s="269"/>
      <c r="AU147" s="269"/>
      <c r="AV147" s="269"/>
      <c r="AW147" s="269"/>
      <c r="AX147" s="269"/>
      <c r="AY147" s="269"/>
      <c r="AZ147" s="269"/>
      <c r="BA147" s="652"/>
    </row>
    <row r="148" spans="1:53" ht="13.95" customHeight="1">
      <c r="A148" s="709"/>
      <c r="B148" s="30"/>
      <c r="C148" s="249"/>
      <c r="D148" s="387" t="s">
        <v>706</v>
      </c>
      <c r="E148" s="30"/>
      <c r="F148" s="30"/>
      <c r="G148" s="30"/>
      <c r="H148" s="30"/>
      <c r="I148" s="30"/>
      <c r="J148" s="1440" t="s">
        <v>964</v>
      </c>
      <c r="K148" s="1440"/>
      <c r="L148" s="1440"/>
      <c r="M148" s="1440"/>
      <c r="N148" s="1440"/>
      <c r="O148" s="1440"/>
      <c r="P148" s="1440"/>
      <c r="Q148" s="1440"/>
      <c r="R148" s="823"/>
      <c r="S148" s="710"/>
      <c r="T148" s="710"/>
      <c r="U148" s="710"/>
      <c r="V148" s="1098" t="s">
        <v>968</v>
      </c>
      <c r="W148" s="1098"/>
      <c r="X148" s="1098"/>
      <c r="Y148" s="249"/>
      <c r="Z148" s="269"/>
      <c r="AA148" s="269"/>
      <c r="AB148" s="269"/>
      <c r="AC148" s="269"/>
      <c r="AD148" s="269"/>
      <c r="AE148" s="269"/>
      <c r="AF148" s="269"/>
      <c r="AG148" s="269"/>
      <c r="AH148" s="269"/>
      <c r="AI148" s="269"/>
      <c r="AJ148" s="269"/>
      <c r="AK148" s="269"/>
      <c r="AL148" s="269"/>
      <c r="AM148" s="269"/>
      <c r="AN148" s="269"/>
      <c r="AO148" s="269"/>
      <c r="AP148" s="269"/>
      <c r="AQ148" s="269"/>
      <c r="AR148" s="269"/>
      <c r="AS148" s="269"/>
      <c r="AT148" s="269"/>
      <c r="AU148" s="269"/>
      <c r="AV148" s="269"/>
      <c r="AW148" s="269"/>
      <c r="AX148" s="269"/>
      <c r="AY148" s="269"/>
      <c r="AZ148" s="269"/>
      <c r="BA148" s="652"/>
    </row>
    <row r="149" spans="1:53">
      <c r="A149" s="643"/>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269"/>
      <c r="AA149" s="269"/>
      <c r="AB149" s="269"/>
      <c r="AC149" s="269"/>
      <c r="AD149" s="269"/>
      <c r="AE149" s="269"/>
      <c r="AF149" s="269"/>
      <c r="AG149" s="269"/>
      <c r="AH149" s="269"/>
      <c r="AI149" s="269"/>
      <c r="AJ149" s="269"/>
      <c r="AK149" s="269"/>
      <c r="AL149" s="269"/>
      <c r="AM149" s="269"/>
      <c r="AN149" s="269"/>
      <c r="AO149" s="269"/>
      <c r="AP149" s="269"/>
      <c r="AQ149" s="269"/>
      <c r="AR149" s="269"/>
      <c r="AS149" s="269"/>
      <c r="AT149" s="269"/>
      <c r="AU149" s="269"/>
      <c r="AV149" s="269"/>
      <c r="AW149" s="269"/>
      <c r="AX149" s="269"/>
      <c r="AY149" s="269"/>
      <c r="AZ149" s="269"/>
      <c r="BA149" s="652"/>
    </row>
    <row r="150" spans="1:53">
      <c r="A150" s="1387" t="s">
        <v>707</v>
      </c>
      <c r="B150" s="1387"/>
      <c r="C150" s="1387"/>
      <c r="D150" s="1387"/>
      <c r="E150" s="388"/>
      <c r="F150" s="30"/>
      <c r="G150" s="30"/>
      <c r="H150" s="30"/>
      <c r="I150" s="30"/>
      <c r="J150" s="1388" t="s">
        <v>708</v>
      </c>
      <c r="K150" s="1388"/>
      <c r="L150" s="1388"/>
      <c r="M150" s="693"/>
      <c r="N150" s="240"/>
      <c r="O150" s="240"/>
      <c r="P150" s="240"/>
      <c r="Q150" s="240"/>
      <c r="R150" s="240"/>
      <c r="S150" s="240"/>
      <c r="T150" s="240"/>
      <c r="U150" s="240"/>
      <c r="V150" s="240"/>
      <c r="W150" s="240"/>
      <c r="X150" s="240"/>
      <c r="Y150" s="249"/>
      <c r="Z150" s="269"/>
      <c r="AA150" s="269"/>
      <c r="AB150" s="269"/>
      <c r="AC150" s="269"/>
      <c r="AD150" s="269"/>
      <c r="AE150" s="269"/>
      <c r="AF150" s="269"/>
      <c r="AG150" s="269"/>
      <c r="AH150" s="269"/>
      <c r="AI150" s="269"/>
      <c r="AJ150" s="269"/>
      <c r="AK150" s="269"/>
      <c r="AL150" s="269"/>
      <c r="AM150" s="269"/>
      <c r="AN150" s="269"/>
      <c r="AO150" s="269"/>
      <c r="AP150" s="269"/>
      <c r="AQ150" s="269"/>
      <c r="AR150" s="269"/>
      <c r="AS150" s="269"/>
      <c r="AT150" s="269"/>
      <c r="AU150" s="269"/>
      <c r="AV150" s="269"/>
      <c r="AW150" s="269"/>
      <c r="AX150" s="269"/>
      <c r="AY150" s="269"/>
      <c r="AZ150" s="269"/>
      <c r="BA150" s="652"/>
    </row>
    <row r="151" spans="1:53" ht="15.6">
      <c r="A151" s="709"/>
      <c r="B151" s="30"/>
      <c r="C151" s="30"/>
      <c r="D151" s="725" t="s">
        <v>709</v>
      </c>
      <c r="E151" s="962" t="s">
        <v>710</v>
      </c>
      <c r="F151" s="963"/>
      <c r="G151" s="30"/>
      <c r="H151" s="30"/>
      <c r="I151" s="30"/>
      <c r="J151" s="694" t="s">
        <v>40</v>
      </c>
      <c r="K151" s="694" t="s">
        <v>711</v>
      </c>
      <c r="L151" s="417" t="s">
        <v>712</v>
      </c>
      <c r="M151" s="383"/>
      <c r="N151" s="694" t="s">
        <v>51</v>
      </c>
      <c r="O151" s="694" t="s">
        <v>52</v>
      </c>
      <c r="P151" s="694" t="s">
        <v>58</v>
      </c>
      <c r="Q151" s="694" t="s">
        <v>61</v>
      </c>
      <c r="R151" s="445"/>
      <c r="S151" s="446" t="s">
        <v>713</v>
      </c>
      <c r="T151" s="242" t="s">
        <v>58</v>
      </c>
      <c r="U151" s="688" t="s">
        <v>58</v>
      </c>
      <c r="V151" s="240"/>
      <c r="W151" s="240"/>
      <c r="X151" s="240"/>
      <c r="Y151" s="249"/>
      <c r="Z151" s="269"/>
      <c r="AA151" s="269"/>
      <c r="AB151" s="269"/>
      <c r="AC151" s="269"/>
      <c r="AD151" s="269"/>
      <c r="AE151" s="269"/>
      <c r="AF151" s="269"/>
      <c r="AG151" s="269"/>
      <c r="AH151" s="269"/>
      <c r="AI151" s="269"/>
      <c r="AJ151" s="269"/>
      <c r="AK151" s="269"/>
      <c r="AL151" s="269"/>
      <c r="AM151" s="269"/>
      <c r="AN151" s="269"/>
      <c r="AO151" s="269"/>
      <c r="AP151" s="269"/>
      <c r="AQ151" s="269"/>
      <c r="AR151" s="269"/>
      <c r="AS151" s="269"/>
      <c r="AT151" s="269"/>
      <c r="AU151" s="269"/>
      <c r="AV151" s="269"/>
      <c r="AW151" s="269"/>
      <c r="AX151" s="269"/>
      <c r="AY151" s="269"/>
      <c r="AZ151" s="269"/>
      <c r="BA151" s="652"/>
    </row>
    <row r="152" spans="1:53">
      <c r="A152" s="709"/>
      <c r="B152" s="30"/>
      <c r="C152" s="30"/>
      <c r="D152" s="389" t="s">
        <v>714</v>
      </c>
      <c r="E152" s="1380">
        <v>20</v>
      </c>
      <c r="F152" s="1381"/>
      <c r="G152" s="30"/>
      <c r="H152" s="151"/>
      <c r="I152" s="30"/>
      <c r="J152" s="418">
        <v>1</v>
      </c>
      <c r="K152" s="341">
        <f>L152*(5/6)</f>
        <v>1.7611524981948188</v>
      </c>
      <c r="L152" s="419">
        <f>8*J152/3.7854</f>
        <v>2.1133829978337824</v>
      </c>
      <c r="M152" s="709"/>
      <c r="N152" s="341">
        <f>O152*28.3495</f>
        <v>24110.966254999999</v>
      </c>
      <c r="O152" s="672">
        <v>850.49</v>
      </c>
      <c r="P152" s="341">
        <f>O152/28.3495</f>
        <v>30.000176369953618</v>
      </c>
      <c r="Q152" s="447" t="str">
        <f>INT(P152/16)&amp;" lb  "&amp;FIXED(P152-16*INT(P152/16))&amp;" oz"</f>
        <v>1 lb  14.00 oz</v>
      </c>
      <c r="R152" s="696"/>
      <c r="S152" s="448">
        <v>3</v>
      </c>
      <c r="T152" s="245">
        <v>15</v>
      </c>
      <c r="U152" s="449">
        <f>S152*16+T152</f>
        <v>63</v>
      </c>
      <c r="V152" s="240"/>
      <c r="W152" s="240"/>
      <c r="X152" s="240"/>
      <c r="Y152" s="249"/>
      <c r="Z152" s="269"/>
      <c r="AA152" s="269"/>
      <c r="AB152" s="269"/>
      <c r="AC152" s="269"/>
      <c r="AD152" s="269"/>
      <c r="AE152" s="269"/>
      <c r="AF152" s="269"/>
      <c r="AG152" s="269"/>
      <c r="AH152" s="269"/>
      <c r="AI152" s="269"/>
      <c r="AJ152" s="269"/>
      <c r="AK152" s="269"/>
      <c r="AL152" s="269"/>
      <c r="AM152" s="269"/>
      <c r="AN152" s="269"/>
      <c r="AO152" s="269"/>
      <c r="AP152" s="269"/>
      <c r="AQ152" s="269"/>
      <c r="AR152" s="269"/>
      <c r="AS152" s="269"/>
      <c r="AT152" s="269"/>
      <c r="AU152" s="269"/>
      <c r="AV152" s="269"/>
      <c r="AW152" s="269"/>
      <c r="AX152" s="269"/>
      <c r="AY152" s="269"/>
      <c r="AZ152" s="269"/>
      <c r="BA152" s="652"/>
    </row>
    <row r="153" spans="1:53">
      <c r="A153" s="709"/>
      <c r="B153" s="30"/>
      <c r="C153" s="30"/>
      <c r="D153" s="692" t="s">
        <v>118</v>
      </c>
      <c r="E153" s="390">
        <v>20</v>
      </c>
      <c r="F153" s="391">
        <v>22</v>
      </c>
      <c r="G153" s="30"/>
      <c r="H153" s="151"/>
      <c r="I153" s="30"/>
      <c r="J153" s="341">
        <f>3.7854*L153/8</f>
        <v>0.56781000000000004</v>
      </c>
      <c r="K153" s="418">
        <v>1</v>
      </c>
      <c r="L153" s="419">
        <f>K153*(6/5)</f>
        <v>1.2</v>
      </c>
      <c r="M153" s="709"/>
      <c r="N153" s="709"/>
      <c r="O153" s="709"/>
      <c r="P153" s="420"/>
      <c r="Q153" s="643"/>
      <c r="R153" s="709"/>
      <c r="S153" s="709"/>
      <c r="T153" s="709"/>
      <c r="U153" s="709"/>
      <c r="V153" s="240"/>
      <c r="W153" s="240"/>
      <c r="X153" s="240"/>
      <c r="Y153" s="249"/>
      <c r="Z153" s="269"/>
      <c r="AA153" s="269"/>
      <c r="AB153" s="269"/>
      <c r="AC153" s="269"/>
      <c r="AD153" s="269"/>
      <c r="AE153" s="269"/>
      <c r="AF153" s="269"/>
      <c r="AG153" s="269"/>
      <c r="AH153" s="269"/>
      <c r="AI153" s="269"/>
      <c r="AJ153" s="269"/>
      <c r="AK153" s="269"/>
      <c r="AL153" s="269"/>
      <c r="AM153" s="269"/>
      <c r="AN153" s="269"/>
      <c r="AO153" s="269"/>
      <c r="AP153" s="269"/>
      <c r="AQ153" s="269"/>
      <c r="AR153" s="269"/>
      <c r="AS153" s="269"/>
      <c r="AT153" s="269"/>
      <c r="AU153" s="269"/>
      <c r="AV153" s="269"/>
      <c r="AW153" s="269"/>
      <c r="AX153" s="269"/>
      <c r="AY153" s="269"/>
      <c r="AZ153" s="269"/>
      <c r="BA153" s="652"/>
    </row>
    <row r="154" spans="1:53">
      <c r="A154" s="709"/>
      <c r="B154" s="30"/>
      <c r="C154" s="30"/>
      <c r="D154" s="706" t="s">
        <v>133</v>
      </c>
      <c r="E154" s="392">
        <f>E5</f>
        <v>1072.34375</v>
      </c>
      <c r="F154" s="393">
        <f>E7</f>
        <v>994.28484374999994</v>
      </c>
      <c r="G154" s="30"/>
      <c r="H154" s="151"/>
      <c r="I154" s="30"/>
      <c r="J154" s="341">
        <f>3.7854*L154/8</f>
        <v>0.47317500000000001</v>
      </c>
      <c r="K154" s="718">
        <f>L154*(5/6)</f>
        <v>0.83333333333333337</v>
      </c>
      <c r="L154" s="421">
        <v>1</v>
      </c>
      <c r="M154" s="709"/>
      <c r="N154" s="709"/>
      <c r="O154" s="383"/>
      <c r="P154" s="383"/>
      <c r="Q154" s="445"/>
      <c r="R154" s="709"/>
      <c r="S154" s="709"/>
      <c r="T154" s="694" t="s">
        <v>58</v>
      </c>
      <c r="U154" s="694" t="s">
        <v>61</v>
      </c>
      <c r="V154" s="240"/>
      <c r="W154" s="240"/>
      <c r="X154" s="240"/>
      <c r="Y154" s="249"/>
      <c r="Z154" s="269"/>
      <c r="AA154" s="269"/>
      <c r="AB154" s="269"/>
      <c r="AC154" s="269"/>
      <c r="AD154" s="269"/>
      <c r="AE154" s="269"/>
      <c r="AF154" s="269"/>
      <c r="AG154" s="269"/>
      <c r="AH154" s="269"/>
      <c r="AI154" s="269"/>
      <c r="AJ154" s="269"/>
      <c r="AK154" s="269"/>
      <c r="AL154" s="269"/>
      <c r="AM154" s="269"/>
      <c r="AN154" s="269"/>
      <c r="AO154" s="269"/>
      <c r="AP154" s="269"/>
      <c r="AQ154" s="269"/>
      <c r="AR154" s="269"/>
      <c r="AS154" s="269"/>
      <c r="AT154" s="269"/>
      <c r="AU154" s="269"/>
      <c r="AV154" s="269"/>
      <c r="AW154" s="269"/>
      <c r="AX154" s="269"/>
      <c r="AY154" s="269"/>
      <c r="AZ154" s="269"/>
      <c r="BA154" s="652"/>
    </row>
    <row r="155" spans="1:53">
      <c r="A155" s="709"/>
      <c r="B155" s="30"/>
      <c r="C155" s="30"/>
      <c r="D155" s="706" t="s">
        <v>134</v>
      </c>
      <c r="E155" s="394">
        <f>1000+(FIXED(E154*((1.00130346-0.000134722124*(((E153+40)*9/5)-40)+0.00000204052596*(((E153+40)*9/5)-40)^2-0.00000000232820948*(((E153+40)*9/5)-40)^3)/(1.00130346-0.000134722124*(((E152+40)*9/5)-40)+0.00000204052596*(((E152+40)*9/5)-40)^2-0.00000000232820948*(((E152+40)*9/5)-40)^3)),1)-1000)</f>
        <v>1072.3</v>
      </c>
      <c r="F155" s="395">
        <f>1000+(FIXED(F154*((1.00130346-0.000134722124*(((F153+40)*9/5)-40)+0.00000204052596*(((F153+40)*9/5)-40)^2-0.00000000232820948*(((F153+40)*9/5)-40)^3)/(1.00130346-0.000134722124*(((E152+40)*9/5)-40)+0.00000204052596*(((E152+40)*9/5)-40)^2-0.00000000232820948*(((E152+40)*9/5)-40)^3)),1)-1000)</f>
        <v>994.7</v>
      </c>
      <c r="G155" s="30"/>
      <c r="H155" s="151"/>
      <c r="I155" s="30"/>
      <c r="J155" s="151"/>
      <c r="K155" s="151"/>
      <c r="L155" s="151"/>
      <c r="M155" s="422"/>
      <c r="N155" s="422"/>
      <c r="O155" s="151"/>
      <c r="P155" s="151"/>
      <c r="Q155" s="151"/>
      <c r="R155" s="151"/>
      <c r="S155" s="643"/>
      <c r="T155" s="672">
        <v>63</v>
      </c>
      <c r="U155" s="447" t="str">
        <f>INT(T155/16)&amp;" lb  "&amp;FIXED(T155-16*INT(T155/16),1)&amp;" oz"</f>
        <v>3 lb  15.0 oz</v>
      </c>
      <c r="V155" s="240"/>
      <c r="W155" s="240"/>
      <c r="X155" s="240"/>
      <c r="Y155" s="249"/>
      <c r="Z155" s="269"/>
      <c r="AA155" s="269"/>
      <c r="AB155" s="269"/>
      <c r="AC155" s="269"/>
      <c r="AD155" s="269"/>
      <c r="AE155" s="269"/>
      <c r="AF155" s="269"/>
      <c r="AG155" s="269"/>
      <c r="AH155" s="269"/>
      <c r="AI155" s="269"/>
      <c r="AJ155" s="269"/>
      <c r="AK155" s="269"/>
      <c r="AL155" s="269"/>
      <c r="AM155" s="269"/>
      <c r="AN155" s="269"/>
      <c r="AO155" s="269"/>
      <c r="AP155" s="269"/>
      <c r="AQ155" s="269"/>
      <c r="AR155" s="269"/>
      <c r="AS155" s="269"/>
      <c r="AT155" s="269"/>
      <c r="AU155" s="269"/>
      <c r="AV155" s="269"/>
      <c r="AW155" s="269"/>
      <c r="AX155" s="269"/>
      <c r="AY155" s="269"/>
      <c r="AZ155" s="269"/>
      <c r="BA155" s="652"/>
    </row>
    <row r="156" spans="1:53">
      <c r="A156" s="709"/>
      <c r="B156" s="30"/>
      <c r="C156" s="30"/>
      <c r="D156" s="689" t="s">
        <v>128</v>
      </c>
      <c r="E156" s="1382" t="str">
        <f>FIXED((E155-F155)/(7.7537-0.003742*(E155-1000)),1)&amp;"%"</f>
        <v>10.4%</v>
      </c>
      <c r="F156" s="1383"/>
      <c r="G156" s="30"/>
      <c r="H156" s="30"/>
      <c r="I156" s="30"/>
      <c r="J156" s="30"/>
      <c r="K156" s="30"/>
      <c r="L156" s="30"/>
      <c r="M156" s="30"/>
      <c r="N156" s="30"/>
      <c r="O156" s="30"/>
      <c r="P156" s="30"/>
      <c r="Q156" s="30"/>
      <c r="R156" s="30"/>
      <c r="S156" s="30"/>
      <c r="T156" s="30"/>
      <c r="U156" s="30"/>
      <c r="V156" s="240"/>
      <c r="W156" s="240"/>
      <c r="X156" s="240"/>
      <c r="Y156" s="249"/>
      <c r="Z156" s="269"/>
      <c r="AA156" s="269"/>
      <c r="AB156" s="269"/>
      <c r="AC156" s="269"/>
      <c r="AD156" s="269"/>
      <c r="AE156" s="269"/>
      <c r="AF156" s="269"/>
      <c r="AG156" s="269"/>
      <c r="AH156" s="269"/>
      <c r="AI156" s="269"/>
      <c r="AJ156" s="269"/>
      <c r="AK156" s="269"/>
      <c r="AL156" s="269"/>
      <c r="AM156" s="269"/>
      <c r="AN156" s="269"/>
      <c r="AO156" s="269"/>
      <c r="AP156" s="269"/>
      <c r="AQ156" s="269"/>
      <c r="AR156" s="269"/>
      <c r="AS156" s="269"/>
      <c r="AT156" s="269"/>
      <c r="AU156" s="269"/>
      <c r="AV156" s="269"/>
      <c r="AW156" s="269"/>
      <c r="AX156" s="269"/>
      <c r="AY156" s="269"/>
      <c r="AZ156" s="269"/>
      <c r="BA156" s="652"/>
    </row>
    <row r="157" spans="1:53">
      <c r="A157" s="643"/>
      <c r="B157" s="240"/>
      <c r="C157" s="240"/>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9"/>
      <c r="Z157" s="269"/>
      <c r="AA157" s="269"/>
      <c r="AB157" s="269"/>
      <c r="AC157" s="269"/>
      <c r="AD157" s="269"/>
      <c r="AE157" s="269"/>
      <c r="AF157" s="269"/>
      <c r="AG157" s="269"/>
      <c r="AH157" s="269"/>
      <c r="AI157" s="269"/>
      <c r="AJ157" s="269"/>
      <c r="AK157" s="269"/>
      <c r="AL157" s="269"/>
      <c r="AM157" s="269"/>
      <c r="AN157" s="269"/>
      <c r="AO157" s="269"/>
      <c r="AP157" s="269"/>
      <c r="AQ157" s="269"/>
      <c r="AR157" s="269"/>
      <c r="AS157" s="269"/>
      <c r="AT157" s="269"/>
      <c r="AU157" s="269"/>
      <c r="AV157" s="269"/>
      <c r="AW157" s="269"/>
      <c r="AX157" s="269"/>
      <c r="AY157" s="269"/>
      <c r="AZ157" s="269"/>
      <c r="BA157" s="652"/>
    </row>
    <row r="158" spans="1:53">
      <c r="A158" s="1205" t="s">
        <v>715</v>
      </c>
      <c r="B158" s="1205"/>
      <c r="C158" s="240"/>
      <c r="D158" s="240"/>
      <c r="E158" s="240"/>
      <c r="F158" s="240"/>
      <c r="G158" s="240"/>
      <c r="H158" s="240"/>
      <c r="I158" s="240"/>
      <c r="J158" s="240"/>
      <c r="K158" s="240"/>
      <c r="L158" s="240"/>
      <c r="M158" s="240"/>
      <c r="N158" s="240"/>
      <c r="O158" s="240"/>
      <c r="P158" s="240"/>
      <c r="Q158" s="240"/>
      <c r="R158" s="240"/>
      <c r="S158" s="1205" t="s">
        <v>716</v>
      </c>
      <c r="T158" s="1205"/>
      <c r="U158" s="1205"/>
      <c r="V158" s="240"/>
      <c r="W158" s="240"/>
      <c r="X158" s="240"/>
      <c r="Y158" s="249"/>
      <c r="Z158" s="269"/>
      <c r="AA158" s="269"/>
      <c r="AB158" s="269"/>
      <c r="AC158" s="269"/>
      <c r="AD158" s="269"/>
      <c r="AE158" s="269"/>
      <c r="AF158" s="269"/>
      <c r="AG158" s="269"/>
      <c r="AH158" s="269"/>
      <c r="AI158" s="269"/>
      <c r="AJ158" s="269"/>
      <c r="AK158" s="269"/>
      <c r="AL158" s="269"/>
      <c r="AM158" s="269"/>
      <c r="AN158" s="269"/>
      <c r="AO158" s="269"/>
      <c r="AP158" s="269"/>
      <c r="AQ158" s="269"/>
      <c r="AR158" s="269"/>
      <c r="AS158" s="269"/>
      <c r="AT158" s="269"/>
      <c r="AU158" s="269"/>
      <c r="AV158" s="269"/>
      <c r="AW158" s="269"/>
      <c r="AX158" s="269"/>
      <c r="AY158" s="269"/>
      <c r="AZ158" s="269"/>
      <c r="BA158" s="652"/>
    </row>
    <row r="159" spans="1:53">
      <c r="A159" s="709"/>
      <c r="B159" s="240"/>
      <c r="C159" s="240"/>
      <c r="D159" s="240"/>
      <c r="E159" s="240"/>
      <c r="F159" s="240"/>
      <c r="G159" s="240"/>
      <c r="H159" s="240"/>
      <c r="I159" s="240"/>
      <c r="J159" s="240"/>
      <c r="K159" s="240"/>
      <c r="L159" s="240"/>
      <c r="M159" s="240"/>
      <c r="N159" s="240"/>
      <c r="O159" s="240"/>
      <c r="P159" s="240"/>
      <c r="Q159" s="240"/>
      <c r="R159" s="240"/>
      <c r="S159" s="1112" t="s">
        <v>717</v>
      </c>
      <c r="T159" s="1112"/>
      <c r="U159" s="1112"/>
      <c r="V159" s="1112"/>
      <c r="W159" s="1112"/>
      <c r="X159" s="240"/>
      <c r="Y159" s="249"/>
      <c r="Z159" s="269"/>
      <c r="AA159" s="269"/>
      <c r="AB159" s="269"/>
      <c r="AC159" s="269"/>
      <c r="AD159" s="269"/>
      <c r="AE159" s="269"/>
      <c r="AF159" s="269"/>
      <c r="AG159" s="269"/>
      <c r="AH159" s="269"/>
      <c r="AI159" s="269"/>
      <c r="AJ159" s="269"/>
      <c r="AK159" s="269"/>
      <c r="AL159" s="269"/>
      <c r="AM159" s="269"/>
      <c r="AN159" s="269"/>
      <c r="AO159" s="269"/>
      <c r="AP159" s="269"/>
      <c r="AQ159" s="269"/>
      <c r="AR159" s="269"/>
      <c r="AS159" s="269"/>
      <c r="AT159" s="269"/>
      <c r="AU159" s="269"/>
      <c r="AV159" s="269"/>
      <c r="AW159" s="269"/>
      <c r="AX159" s="269"/>
      <c r="AY159" s="269"/>
      <c r="AZ159" s="269"/>
      <c r="BA159" s="652"/>
    </row>
    <row r="160" spans="1:53">
      <c r="A160" s="709"/>
      <c r="B160" s="240"/>
      <c r="C160" s="240"/>
      <c r="D160" s="240"/>
      <c r="E160" s="240"/>
      <c r="F160" s="240"/>
      <c r="G160" s="240"/>
      <c r="H160" s="240"/>
      <c r="I160" s="240"/>
      <c r="J160" s="240"/>
      <c r="K160" s="240"/>
      <c r="L160" s="240"/>
      <c r="M160" s="240"/>
      <c r="N160" s="240"/>
      <c r="O160" s="240"/>
      <c r="P160" s="240"/>
      <c r="Q160" s="240"/>
      <c r="R160" s="240"/>
      <c r="S160" s="1112"/>
      <c r="T160" s="1112"/>
      <c r="U160" s="1112"/>
      <c r="V160" s="1112"/>
      <c r="W160" s="1112"/>
      <c r="X160" s="240"/>
      <c r="Y160" s="249"/>
      <c r="Z160" s="269"/>
      <c r="AA160" s="269"/>
      <c r="AB160" s="269"/>
      <c r="AC160" s="269"/>
      <c r="AD160" s="269"/>
      <c r="AE160" s="269"/>
      <c r="AF160" s="269"/>
      <c r="AG160" s="269"/>
      <c r="AH160" s="269"/>
      <c r="AI160" s="269"/>
      <c r="AJ160" s="269"/>
      <c r="AK160" s="269"/>
      <c r="AL160" s="269"/>
      <c r="AM160" s="269"/>
      <c r="AN160" s="269"/>
      <c r="AO160" s="269"/>
      <c r="AP160" s="269"/>
      <c r="AQ160" s="269"/>
      <c r="AR160" s="269"/>
      <c r="AS160" s="269"/>
      <c r="AT160" s="269"/>
      <c r="AU160" s="269"/>
      <c r="AV160" s="269"/>
      <c r="AW160" s="269"/>
      <c r="AX160" s="269"/>
      <c r="AY160" s="269"/>
      <c r="AZ160" s="269"/>
      <c r="BA160" s="652"/>
    </row>
    <row r="161" spans="1:53">
      <c r="A161" s="709"/>
      <c r="B161" s="240"/>
      <c r="C161" s="240"/>
      <c r="D161" s="240"/>
      <c r="E161" s="240"/>
      <c r="F161" s="240"/>
      <c r="G161" s="240"/>
      <c r="H161" s="240"/>
      <c r="I161" s="240"/>
      <c r="J161" s="240"/>
      <c r="K161" s="240"/>
      <c r="L161" s="240"/>
      <c r="M161" s="240"/>
      <c r="N161" s="240"/>
      <c r="O161" s="240"/>
      <c r="P161" s="240"/>
      <c r="Q161" s="240"/>
      <c r="R161" s="240"/>
      <c r="S161" s="709"/>
      <c r="T161" s="709"/>
      <c r="U161" s="709"/>
      <c r="V161" s="709"/>
      <c r="W161" s="709"/>
      <c r="X161" s="240"/>
      <c r="Y161" s="249"/>
      <c r="Z161" s="269"/>
      <c r="AA161" s="269"/>
      <c r="AB161" s="269"/>
      <c r="AC161" s="269"/>
      <c r="AD161" s="269"/>
      <c r="AE161" s="269"/>
      <c r="AF161" s="269"/>
      <c r="AG161" s="269"/>
      <c r="AH161" s="269"/>
      <c r="AI161" s="269"/>
      <c r="AJ161" s="269"/>
      <c r="AK161" s="269"/>
      <c r="AL161" s="269"/>
      <c r="AM161" s="269"/>
      <c r="AN161" s="269"/>
      <c r="AO161" s="269"/>
      <c r="AP161" s="269"/>
      <c r="AQ161" s="269"/>
      <c r="AR161" s="269"/>
      <c r="AS161" s="269"/>
      <c r="AT161" s="269"/>
      <c r="AU161" s="269"/>
      <c r="AV161" s="269"/>
      <c r="AW161" s="269"/>
      <c r="AX161" s="269"/>
      <c r="AY161" s="269"/>
      <c r="AZ161" s="269"/>
      <c r="BA161" s="652"/>
    </row>
    <row r="162" spans="1:53">
      <c r="A162" s="678"/>
      <c r="B162" s="240"/>
      <c r="C162" s="240"/>
      <c r="D162" s="240"/>
      <c r="E162" s="240"/>
      <c r="F162" s="240"/>
      <c r="G162" s="240"/>
      <c r="H162" s="240"/>
      <c r="I162" s="240"/>
      <c r="J162" s="240"/>
      <c r="K162" s="240"/>
      <c r="L162" s="240"/>
      <c r="M162" s="240"/>
      <c r="N162" s="240"/>
      <c r="O162" s="240"/>
      <c r="P162" s="240"/>
      <c r="Q162" s="240"/>
      <c r="R162" s="240"/>
      <c r="S162" s="1384" t="s">
        <v>718</v>
      </c>
      <c r="T162" s="1384"/>
      <c r="U162" s="450">
        <f>L60</f>
        <v>4.8</v>
      </c>
      <c r="V162" s="1106" t="s">
        <v>719</v>
      </c>
      <c r="W162" s="1106"/>
      <c r="X162" s="240"/>
      <c r="Y162" s="249"/>
      <c r="Z162" s="269"/>
      <c r="AA162" s="643"/>
      <c r="AB162" s="643"/>
      <c r="AC162" s="643"/>
      <c r="AD162" s="643"/>
      <c r="AE162" s="643"/>
      <c r="AF162" s="269"/>
      <c r="AG162" s="269"/>
      <c r="AH162" s="269"/>
      <c r="AI162" s="269"/>
      <c r="AJ162" s="269"/>
      <c r="AK162" s="269"/>
      <c r="AL162" s="269"/>
      <c r="AM162" s="269"/>
      <c r="AN162" s="269"/>
      <c r="AO162" s="269"/>
      <c r="AP162" s="269"/>
      <c r="AQ162" s="269"/>
      <c r="AR162" s="269"/>
      <c r="AS162" s="269"/>
      <c r="AT162" s="269"/>
      <c r="AU162" s="269"/>
      <c r="AV162" s="269"/>
      <c r="AW162" s="269"/>
      <c r="AX162" s="269"/>
      <c r="AY162" s="269"/>
      <c r="AZ162" s="269"/>
      <c r="BA162" s="652"/>
    </row>
    <row r="163" spans="1:53">
      <c r="A163" s="709"/>
      <c r="B163" s="240"/>
      <c r="C163" s="240"/>
      <c r="D163" s="240"/>
      <c r="E163" s="240"/>
      <c r="F163" s="240"/>
      <c r="G163" s="240"/>
      <c r="H163" s="240"/>
      <c r="I163" s="240"/>
      <c r="J163" s="240"/>
      <c r="K163" s="240"/>
      <c r="L163" s="240"/>
      <c r="M163" s="240"/>
      <c r="N163" s="240"/>
      <c r="O163" s="240"/>
      <c r="P163" s="423" t="s">
        <v>179</v>
      </c>
      <c r="Q163" s="451">
        <f>89.6/342</f>
        <v>0.26198830409356721</v>
      </c>
      <c r="R163" s="37"/>
      <c r="S163" s="985" t="s">
        <v>720</v>
      </c>
      <c r="T163" s="985"/>
      <c r="U163" s="450">
        <f>L62</f>
        <v>4.5</v>
      </c>
      <c r="V163" s="972" t="s">
        <v>721</v>
      </c>
      <c r="W163" s="1106"/>
      <c r="X163" s="240"/>
      <c r="Y163" s="249"/>
      <c r="Z163" s="269"/>
      <c r="AA163" s="643"/>
      <c r="AB163" s="643"/>
      <c r="AC163" s="643"/>
      <c r="AD163" s="643"/>
      <c r="AE163" s="643"/>
      <c r="AF163" s="269"/>
      <c r="AG163" s="269"/>
      <c r="AH163" s="269"/>
      <c r="AI163" s="269"/>
      <c r="AJ163" s="269"/>
      <c r="AK163" s="269"/>
      <c r="AL163" s="269"/>
      <c r="AM163" s="269"/>
      <c r="AN163" s="269"/>
      <c r="AO163" s="269"/>
      <c r="AP163" s="269"/>
      <c r="AQ163" s="269"/>
      <c r="AR163" s="269"/>
      <c r="AS163" s="269"/>
      <c r="AT163" s="269"/>
      <c r="AU163" s="269"/>
      <c r="AV163" s="269"/>
      <c r="AW163" s="269"/>
      <c r="AX163" s="269"/>
      <c r="AY163" s="269"/>
      <c r="AZ163" s="269"/>
      <c r="BA163" s="652"/>
    </row>
    <row r="164" spans="1:53" ht="15" customHeight="1">
      <c r="A164" s="709"/>
      <c r="B164" s="240"/>
      <c r="C164" s="240"/>
      <c r="D164" s="240"/>
      <c r="E164" s="240"/>
      <c r="F164" s="240"/>
      <c r="G164" s="240"/>
      <c r="H164" s="240"/>
      <c r="I164" s="240"/>
      <c r="J164" s="240"/>
      <c r="K164" s="240"/>
      <c r="L164" s="240"/>
      <c r="M164" s="240"/>
      <c r="N164" s="240"/>
      <c r="O164" s="240"/>
      <c r="P164" s="424" t="s">
        <v>722</v>
      </c>
      <c r="Q164" s="452" t="s">
        <v>147</v>
      </c>
      <c r="R164" s="37"/>
      <c r="S164" s="1441" t="s">
        <v>723</v>
      </c>
      <c r="T164" s="1441" t="s">
        <v>724</v>
      </c>
      <c r="U164" s="1474" t="str">
        <f>"Sugar (g) for "&amp;FIXED(U162)&amp;" ̸ "&amp;U163&amp;" litres."</f>
        <v>Sugar (g) for 4.80 ̸ 4.5 litres.</v>
      </c>
      <c r="V164" s="1475"/>
      <c r="W164" s="453"/>
      <c r="X164" s="240"/>
      <c r="Y164" s="249"/>
      <c r="Z164" s="269"/>
      <c r="AA164" s="643"/>
      <c r="AB164" s="643"/>
      <c r="AC164" s="643"/>
      <c r="AD164" s="643"/>
      <c r="AE164" s="643"/>
      <c r="AF164" s="269"/>
      <c r="AG164" s="269"/>
      <c r="AH164" s="269"/>
      <c r="AI164" s="269"/>
      <c r="AJ164" s="269"/>
      <c r="AK164" s="269"/>
      <c r="AL164" s="269"/>
      <c r="AM164" s="269"/>
      <c r="AN164" s="269"/>
      <c r="AO164" s="269"/>
      <c r="AP164" s="269"/>
      <c r="AQ164" s="269"/>
      <c r="AR164" s="269"/>
      <c r="AS164" s="269"/>
      <c r="AT164" s="269"/>
      <c r="AU164" s="269"/>
      <c r="AV164" s="269"/>
      <c r="AW164" s="269"/>
      <c r="AX164" s="269"/>
      <c r="AY164" s="269"/>
      <c r="AZ164" s="269"/>
      <c r="BA164" s="652"/>
    </row>
    <row r="165" spans="1:53">
      <c r="A165" s="709"/>
      <c r="B165" s="240"/>
      <c r="C165" s="240"/>
      <c r="D165" s="240"/>
      <c r="E165" s="240"/>
      <c r="F165" s="240"/>
      <c r="G165" s="240"/>
      <c r="H165" s="240"/>
      <c r="I165" s="240"/>
      <c r="J165" s="240"/>
      <c r="K165" s="240"/>
      <c r="L165" s="240"/>
      <c r="M165" s="240"/>
      <c r="N165" s="240"/>
      <c r="O165" s="240"/>
      <c r="P165" s="424" t="s">
        <v>725</v>
      </c>
      <c r="Q165" s="454" t="s">
        <v>726</v>
      </c>
      <c r="R165" s="37"/>
      <c r="S165" s="1442"/>
      <c r="T165" s="1442"/>
      <c r="U165" s="455" t="s">
        <v>727</v>
      </c>
      <c r="V165" s="456" t="s">
        <v>728</v>
      </c>
      <c r="W165" s="453"/>
      <c r="X165" s="240"/>
      <c r="Y165" s="249"/>
      <c r="Z165" s="269"/>
      <c r="AA165" s="643"/>
      <c r="AB165" s="643"/>
      <c r="AC165" s="643"/>
      <c r="AD165" s="643"/>
      <c r="AE165" s="643"/>
      <c r="AF165" s="269"/>
      <c r="AG165" s="269"/>
      <c r="AH165" s="269"/>
      <c r="AI165" s="269"/>
      <c r="AJ165" s="269"/>
      <c r="AK165" s="269"/>
      <c r="AL165" s="269"/>
      <c r="AM165" s="269"/>
      <c r="AN165" s="269"/>
      <c r="AO165" s="269"/>
      <c r="AP165" s="269"/>
      <c r="AQ165" s="269"/>
      <c r="AR165" s="269"/>
      <c r="AS165" s="269"/>
      <c r="AT165" s="269"/>
      <c r="AU165" s="269"/>
      <c r="AV165" s="269"/>
      <c r="AW165" s="269"/>
      <c r="AX165" s="269"/>
      <c r="AY165" s="269"/>
      <c r="AZ165" s="269"/>
      <c r="BA165" s="652"/>
    </row>
    <row r="166" spans="1:53">
      <c r="A166" s="709"/>
      <c r="B166" s="240"/>
      <c r="C166" s="240"/>
      <c r="D166" s="240"/>
      <c r="E166" s="240"/>
      <c r="F166" s="240"/>
      <c r="G166" s="240"/>
      <c r="H166" s="240"/>
      <c r="I166" s="240"/>
      <c r="J166" s="240"/>
      <c r="K166" s="240"/>
      <c r="L166" s="240"/>
      <c r="M166" s="240"/>
      <c r="N166" s="240"/>
      <c r="O166" s="240"/>
      <c r="P166" s="425">
        <v>0</v>
      </c>
      <c r="Q166" s="457">
        <v>1.7130000000000001</v>
      </c>
      <c r="R166" s="458"/>
      <c r="S166" s="459">
        <v>1000</v>
      </c>
      <c r="T166" s="460">
        <v>1000</v>
      </c>
      <c r="U166" s="631" t="s">
        <v>729</v>
      </c>
      <c r="V166" s="459">
        <v>0</v>
      </c>
      <c r="W166" s="462"/>
      <c r="X166" s="240"/>
      <c r="Y166" s="249"/>
      <c r="Z166" s="269"/>
      <c r="AA166" s="643"/>
      <c r="AB166" s="643"/>
      <c r="AC166" s="643"/>
      <c r="AD166" s="643"/>
      <c r="AE166" s="643"/>
      <c r="AF166" s="269"/>
      <c r="AG166" s="269"/>
      <c r="AH166" s="269"/>
      <c r="AI166" s="269"/>
      <c r="AJ166" s="269"/>
      <c r="AK166" s="269"/>
      <c r="AL166" s="269"/>
      <c r="AM166" s="269"/>
      <c r="AN166" s="269"/>
      <c r="AO166" s="269"/>
      <c r="AP166" s="269"/>
      <c r="AQ166" s="269"/>
      <c r="AR166" s="269"/>
      <c r="AS166" s="269"/>
      <c r="AT166" s="269"/>
      <c r="AU166" s="269"/>
      <c r="AV166" s="269"/>
      <c r="AW166" s="269"/>
      <c r="AX166" s="269"/>
      <c r="AY166" s="269"/>
      <c r="AZ166" s="269"/>
      <c r="BA166" s="652"/>
    </row>
    <row r="167" spans="1:53">
      <c r="A167" s="709"/>
      <c r="B167" s="240"/>
      <c r="C167" s="240"/>
      <c r="D167" s="240"/>
      <c r="E167" s="240"/>
      <c r="F167" s="240"/>
      <c r="G167" s="240"/>
      <c r="H167" s="240"/>
      <c r="I167" s="240"/>
      <c r="J167" s="240"/>
      <c r="K167" s="240"/>
      <c r="L167" s="240"/>
      <c r="M167" s="240"/>
      <c r="N167" s="240"/>
      <c r="O167" s="240"/>
      <c r="P167" s="425">
        <v>1</v>
      </c>
      <c r="Q167" s="457">
        <v>1.6459999999999999</v>
      </c>
      <c r="R167" s="458"/>
      <c r="S167" s="447">
        <v>1001</v>
      </c>
      <c r="T167" s="463">
        <v>999.9</v>
      </c>
      <c r="U167" s="631" t="str">
        <f t="shared" ref="U167:U175" si="93">1*FIXED(((U$162/4.5)*W167),1)&amp;" ̸ "&amp;FIXED(((U$163/4.5)*W167),1)</f>
        <v>12.8 ̸ 12.0</v>
      </c>
      <c r="V167" s="691">
        <f t="shared" ref="V167:V205" si="94">(S167-T167)/(7.75-3*(S167-1000)/800)</f>
        <v>0.14200419557850866</v>
      </c>
      <c r="W167" s="464">
        <v>12</v>
      </c>
      <c r="X167" s="240"/>
      <c r="Y167" s="249"/>
      <c r="Z167" s="269"/>
      <c r="AA167" s="643"/>
      <c r="AB167" s="643"/>
      <c r="AC167" s="643"/>
      <c r="AD167" s="643"/>
      <c r="AE167" s="643"/>
      <c r="AF167" s="269"/>
      <c r="AG167" s="269"/>
      <c r="AH167" s="269"/>
      <c r="AI167" s="269"/>
      <c r="AJ167" s="269"/>
      <c r="AK167" s="269"/>
      <c r="AL167" s="269"/>
      <c r="AM167" s="269"/>
      <c r="AN167" s="269"/>
      <c r="AO167" s="269"/>
      <c r="AP167" s="269"/>
      <c r="AQ167" s="269"/>
      <c r="AR167" s="269"/>
      <c r="AS167" s="269"/>
      <c r="AT167" s="269"/>
      <c r="AU167" s="269"/>
      <c r="AV167" s="269"/>
      <c r="AW167" s="269"/>
      <c r="AX167" s="269"/>
      <c r="AY167" s="269"/>
      <c r="AZ167" s="269"/>
      <c r="BA167" s="652"/>
    </row>
    <row r="168" spans="1:53">
      <c r="A168" s="709"/>
      <c r="B168" s="240"/>
      <c r="C168" s="240"/>
      <c r="D168" s="240"/>
      <c r="E168" s="240"/>
      <c r="F168" s="240"/>
      <c r="G168" s="240"/>
      <c r="H168" s="240"/>
      <c r="I168" s="240"/>
      <c r="J168" s="240"/>
      <c r="K168" s="240"/>
      <c r="L168" s="240"/>
      <c r="M168" s="240"/>
      <c r="N168" s="240"/>
      <c r="O168" s="240"/>
      <c r="P168" s="425">
        <v>2</v>
      </c>
      <c r="Q168" s="457">
        <v>1.5840000000000001</v>
      </c>
      <c r="R168" s="458"/>
      <c r="S168" s="447">
        <v>1002</v>
      </c>
      <c r="T168" s="463">
        <v>999.8</v>
      </c>
      <c r="U168" s="631" t="str">
        <f t="shared" si="93"/>
        <v>25.6 ̸ 24.0</v>
      </c>
      <c r="V168" s="691">
        <f t="shared" si="94"/>
        <v>0.28414594769132007</v>
      </c>
      <c r="W168" s="464">
        <v>24</v>
      </c>
      <c r="X168" s="240"/>
      <c r="Y168" s="249"/>
      <c r="Z168" s="269"/>
      <c r="AA168" s="643"/>
      <c r="AB168" s="643"/>
      <c r="AC168" s="643"/>
      <c r="AD168" s="643"/>
      <c r="AE168" s="643"/>
      <c r="AF168" s="269"/>
      <c r="AG168" s="269"/>
      <c r="AH168" s="269"/>
      <c r="AI168" s="269"/>
      <c r="AJ168" s="269"/>
      <c r="AK168" s="269"/>
      <c r="AL168" s="269"/>
      <c r="AM168" s="269"/>
      <c r="AN168" s="269"/>
      <c r="AO168" s="269"/>
      <c r="AP168" s="269"/>
      <c r="AQ168" s="269"/>
      <c r="AR168" s="269"/>
      <c r="AS168" s="269"/>
      <c r="AT168" s="269"/>
      <c r="AU168" s="269"/>
      <c r="AV168" s="269"/>
      <c r="AW168" s="269"/>
      <c r="AX168" s="269"/>
      <c r="AY168" s="269"/>
      <c r="AZ168" s="269"/>
      <c r="BA168" s="652"/>
    </row>
    <row r="169" spans="1:53">
      <c r="A169" s="709"/>
      <c r="B169" s="240"/>
      <c r="C169" s="240"/>
      <c r="D169" s="240"/>
      <c r="E169" s="240"/>
      <c r="F169" s="240"/>
      <c r="G169" s="240"/>
      <c r="H169" s="240"/>
      <c r="I169" s="240"/>
      <c r="J169" s="240"/>
      <c r="K169" s="240"/>
      <c r="L169" s="240"/>
      <c r="M169" s="240"/>
      <c r="N169" s="240"/>
      <c r="O169" s="240"/>
      <c r="P169" s="425">
        <v>3</v>
      </c>
      <c r="Q169" s="457">
        <v>1.53</v>
      </c>
      <c r="R169" s="458"/>
      <c r="S169" s="447">
        <v>1003</v>
      </c>
      <c r="T169" s="463">
        <v>999.8</v>
      </c>
      <c r="U169" s="631" t="str">
        <f t="shared" si="93"/>
        <v>38.4 ̸ 36.0</v>
      </c>
      <c r="V169" s="691">
        <f t="shared" si="94"/>
        <v>0.41350347278307809</v>
      </c>
      <c r="W169" s="464">
        <v>36</v>
      </c>
      <c r="X169" s="240"/>
      <c r="Y169" s="249"/>
      <c r="Z169" s="643"/>
      <c r="AA169" s="643"/>
      <c r="AB169" s="643"/>
      <c r="AC169" s="643"/>
      <c r="AD169" s="643"/>
      <c r="AE169" s="643"/>
      <c r="AF169" s="269"/>
      <c r="AG169" s="269"/>
      <c r="AH169" s="269"/>
      <c r="AI169" s="269"/>
      <c r="AJ169" s="269"/>
      <c r="AK169" s="269"/>
      <c r="AL169" s="269"/>
      <c r="AM169" s="269"/>
      <c r="AN169" s="269"/>
      <c r="AO169" s="269"/>
      <c r="AP169" s="269"/>
      <c r="AQ169" s="269"/>
      <c r="AR169" s="269"/>
      <c r="AS169" s="269"/>
      <c r="AT169" s="269"/>
      <c r="AU169" s="269"/>
      <c r="AV169" s="269"/>
      <c r="AW169" s="269"/>
      <c r="AX169" s="269"/>
      <c r="AY169" s="269"/>
      <c r="AZ169" s="269"/>
      <c r="BA169" s="652"/>
    </row>
    <row r="170" spans="1:53">
      <c r="A170" s="709"/>
      <c r="B170" s="240"/>
      <c r="C170" s="240"/>
      <c r="D170" s="240"/>
      <c r="E170" s="240"/>
      <c r="F170" s="240"/>
      <c r="G170" s="240"/>
      <c r="H170" s="240"/>
      <c r="I170" s="240"/>
      <c r="J170" s="240"/>
      <c r="K170" s="240"/>
      <c r="L170" s="240"/>
      <c r="M170" s="240"/>
      <c r="N170" s="240"/>
      <c r="O170" s="240"/>
      <c r="P170" s="425">
        <v>4</v>
      </c>
      <c r="Q170" s="457">
        <v>1.4730000000000001</v>
      </c>
      <c r="R170" s="458"/>
      <c r="S170" s="447">
        <v>1004</v>
      </c>
      <c r="T170" s="463">
        <v>999.7</v>
      </c>
      <c r="U170" s="631" t="str">
        <f t="shared" si="93"/>
        <v>51.2 ̸ 48.0</v>
      </c>
      <c r="V170" s="691">
        <f t="shared" si="94"/>
        <v>0.55591467356172652</v>
      </c>
      <c r="W170" s="464">
        <v>48</v>
      </c>
      <c r="X170" s="240"/>
      <c r="Y170" s="249"/>
      <c r="Z170" s="643"/>
      <c r="AA170" s="643"/>
      <c r="AB170" s="643"/>
      <c r="AC170" s="643"/>
      <c r="AD170" s="643"/>
      <c r="AE170" s="643"/>
      <c r="AF170" s="269"/>
      <c r="AG170" s="269"/>
      <c r="AH170" s="269"/>
      <c r="AI170" s="269"/>
      <c r="AJ170" s="269"/>
      <c r="AK170" s="269"/>
      <c r="AL170" s="269"/>
      <c r="AM170" s="269"/>
      <c r="AN170" s="269"/>
      <c r="AO170" s="269"/>
      <c r="AP170" s="269"/>
      <c r="AQ170" s="269"/>
      <c r="AR170" s="269"/>
      <c r="AS170" s="269"/>
      <c r="AT170" s="269"/>
      <c r="AU170" s="269"/>
      <c r="AV170" s="269"/>
      <c r="AW170" s="269"/>
      <c r="AX170" s="269"/>
      <c r="AY170" s="269"/>
      <c r="AZ170" s="269"/>
      <c r="BA170" s="652"/>
    </row>
    <row r="171" spans="1:53">
      <c r="A171" s="709"/>
      <c r="B171" s="240"/>
      <c r="C171" s="240"/>
      <c r="D171" s="240"/>
      <c r="E171" s="240"/>
      <c r="F171" s="240"/>
      <c r="G171" s="240"/>
      <c r="H171" s="240"/>
      <c r="I171" s="240"/>
      <c r="J171" s="240"/>
      <c r="K171" s="240"/>
      <c r="L171" s="240"/>
      <c r="M171" s="240"/>
      <c r="N171" s="240"/>
      <c r="O171" s="240"/>
      <c r="P171" s="425">
        <v>5</v>
      </c>
      <c r="Q171" s="457">
        <v>1.4239999999999999</v>
      </c>
      <c r="R171" s="458"/>
      <c r="S171" s="447">
        <v>1005</v>
      </c>
      <c r="T171" s="463">
        <v>999.6</v>
      </c>
      <c r="U171" s="631" t="str">
        <f t="shared" si="93"/>
        <v>64 ̸ 60.0</v>
      </c>
      <c r="V171" s="691">
        <f t="shared" si="94"/>
        <v>0.698464025869035</v>
      </c>
      <c r="W171" s="464">
        <v>60</v>
      </c>
      <c r="X171" s="240"/>
      <c r="Y171" s="249"/>
      <c r="Z171" s="643"/>
      <c r="AA171" s="643"/>
      <c r="AB171" s="643"/>
      <c r="AC171" s="643"/>
      <c r="AD171" s="643"/>
      <c r="AE171" s="643"/>
      <c r="AF171" s="269"/>
      <c r="AG171" s="269"/>
      <c r="AH171" s="269"/>
      <c r="AI171" s="269"/>
      <c r="AJ171" s="269"/>
      <c r="AK171" s="269"/>
      <c r="AL171" s="269"/>
      <c r="AM171" s="269"/>
      <c r="AN171" s="269"/>
      <c r="AO171" s="269"/>
      <c r="AP171" s="269"/>
      <c r="AQ171" s="269"/>
      <c r="AR171" s="269"/>
      <c r="AS171" s="269"/>
      <c r="AT171" s="269"/>
      <c r="AU171" s="269"/>
      <c r="AV171" s="269"/>
      <c r="AW171" s="269"/>
      <c r="AX171" s="269"/>
      <c r="AY171" s="269"/>
      <c r="AZ171" s="269"/>
      <c r="BA171" s="652"/>
    </row>
    <row r="172" spans="1:53">
      <c r="A172" s="709"/>
      <c r="B172" s="240"/>
      <c r="C172" s="240"/>
      <c r="D172" s="240"/>
      <c r="E172" s="240"/>
      <c r="F172" s="240"/>
      <c r="G172" s="240"/>
      <c r="H172" s="240"/>
      <c r="I172" s="240"/>
      <c r="J172" s="240"/>
      <c r="K172" s="240"/>
      <c r="L172" s="240"/>
      <c r="M172" s="240"/>
      <c r="N172" s="240"/>
      <c r="O172" s="240"/>
      <c r="P172" s="425">
        <v>6</v>
      </c>
      <c r="Q172" s="457">
        <v>1.377</v>
      </c>
      <c r="R172" s="458"/>
      <c r="S172" s="447">
        <v>1006</v>
      </c>
      <c r="T172" s="463">
        <v>999.5</v>
      </c>
      <c r="U172" s="631" t="str">
        <f t="shared" si="93"/>
        <v>76.8 ̸ 72.0</v>
      </c>
      <c r="V172" s="691">
        <f t="shared" si="94"/>
        <v>0.84115173083144612</v>
      </c>
      <c r="W172" s="464">
        <v>72</v>
      </c>
      <c r="X172" s="240"/>
      <c r="Y172" s="249"/>
      <c r="Z172" s="643"/>
      <c r="AA172" s="643"/>
      <c r="AB172" s="643"/>
      <c r="AC172" s="643"/>
      <c r="AD172" s="643"/>
      <c r="AE172" s="643"/>
      <c r="AF172" s="269"/>
      <c r="AG172" s="269"/>
      <c r="AH172" s="269"/>
      <c r="AI172" s="269"/>
      <c r="AJ172" s="269"/>
      <c r="AK172" s="269"/>
      <c r="AL172" s="269"/>
      <c r="AM172" s="269"/>
      <c r="AN172" s="269"/>
      <c r="AO172" s="269"/>
      <c r="AP172" s="269"/>
      <c r="AQ172" s="269"/>
      <c r="AR172" s="269"/>
      <c r="AS172" s="269"/>
      <c r="AT172" s="269"/>
      <c r="AU172" s="269"/>
      <c r="AV172" s="269"/>
      <c r="AW172" s="269"/>
      <c r="AX172" s="269"/>
      <c r="AY172" s="269"/>
      <c r="AZ172" s="269"/>
      <c r="BA172" s="652"/>
    </row>
    <row r="173" spans="1:53">
      <c r="A173" s="709"/>
      <c r="B173" s="240"/>
      <c r="C173" s="240"/>
      <c r="D173" s="240"/>
      <c r="E173" s="240"/>
      <c r="F173" s="240"/>
      <c r="G173" s="240"/>
      <c r="H173" s="240"/>
      <c r="I173" s="240"/>
      <c r="J173" s="240"/>
      <c r="K173" s="240"/>
      <c r="L173" s="240"/>
      <c r="M173" s="240"/>
      <c r="N173" s="240"/>
      <c r="O173" s="240"/>
      <c r="P173" s="425">
        <v>7</v>
      </c>
      <c r="Q173" s="457">
        <v>1.331</v>
      </c>
      <c r="R173" s="458"/>
      <c r="S173" s="447">
        <v>1007</v>
      </c>
      <c r="T173" s="463">
        <v>999.4</v>
      </c>
      <c r="U173" s="631" t="str">
        <f t="shared" si="93"/>
        <v>89.6 ̸ 84.0</v>
      </c>
      <c r="V173" s="691">
        <f t="shared" si="94"/>
        <v>0.98397798996601693</v>
      </c>
      <c r="W173" s="464">
        <v>84</v>
      </c>
      <c r="X173" s="240"/>
      <c r="Y173" s="249"/>
      <c r="Z173" s="643"/>
      <c r="AA173" s="643"/>
      <c r="AB173" s="643"/>
      <c r="AC173" s="643"/>
      <c r="AD173" s="643"/>
      <c r="AE173" s="643"/>
      <c r="AF173" s="269"/>
      <c r="AG173" s="269"/>
      <c r="AH173" s="269"/>
      <c r="AI173" s="269"/>
      <c r="AJ173" s="269"/>
      <c r="AK173" s="269"/>
      <c r="AL173" s="269"/>
      <c r="AM173" s="269"/>
      <c r="AN173" s="269"/>
      <c r="AO173" s="269"/>
      <c r="AP173" s="269"/>
      <c r="AQ173" s="269"/>
      <c r="AR173" s="269"/>
      <c r="AS173" s="269"/>
      <c r="AT173" s="269"/>
      <c r="AU173" s="269"/>
      <c r="AV173" s="269"/>
      <c r="AW173" s="269"/>
      <c r="AX173" s="269"/>
      <c r="AY173" s="269"/>
      <c r="AZ173" s="269"/>
      <c r="BA173" s="652"/>
    </row>
    <row r="174" spans="1:53">
      <c r="A174" s="709"/>
      <c r="B174" s="240"/>
      <c r="C174" s="240"/>
      <c r="D174" s="240"/>
      <c r="E174" s="240"/>
      <c r="F174" s="240"/>
      <c r="G174" s="240"/>
      <c r="H174" s="240"/>
      <c r="I174" s="240"/>
      <c r="J174" s="240"/>
      <c r="K174" s="240"/>
      <c r="L174" s="240"/>
      <c r="M174" s="240"/>
      <c r="N174" s="240"/>
      <c r="O174" s="240"/>
      <c r="P174" s="425">
        <v>8</v>
      </c>
      <c r="Q174" s="457">
        <v>1.282</v>
      </c>
      <c r="R174" s="458"/>
      <c r="S174" s="447">
        <v>1008</v>
      </c>
      <c r="T174" s="463">
        <v>999.4</v>
      </c>
      <c r="U174" s="631" t="str">
        <f t="shared" si="93"/>
        <v>102.4 ̸ 96.0</v>
      </c>
      <c r="V174" s="691">
        <f t="shared" si="94"/>
        <v>1.1139896373057026</v>
      </c>
      <c r="W174" s="464">
        <v>96</v>
      </c>
      <c r="X174" s="240"/>
      <c r="Y174" s="249"/>
      <c r="Z174" s="643"/>
      <c r="AA174" s="643"/>
      <c r="AB174" s="643"/>
      <c r="AC174" s="643"/>
      <c r="AD174" s="643"/>
      <c r="AE174" s="643"/>
      <c r="AF174" s="269"/>
      <c r="AG174" s="269"/>
      <c r="AH174" s="269"/>
      <c r="AI174" s="269"/>
      <c r="AJ174" s="269"/>
      <c r="AK174" s="269"/>
      <c r="AL174" s="269"/>
      <c r="AM174" s="269"/>
      <c r="AN174" s="269"/>
      <c r="AO174" s="269"/>
      <c r="AP174" s="269"/>
      <c r="AQ174" s="269"/>
      <c r="AR174" s="269"/>
      <c r="AS174" s="269"/>
      <c r="AT174" s="269"/>
      <c r="AU174" s="269"/>
      <c r="AV174" s="269"/>
      <c r="AW174" s="269"/>
      <c r="AX174" s="269"/>
      <c r="AY174" s="269"/>
      <c r="AZ174" s="269"/>
      <c r="BA174" s="652"/>
    </row>
    <row r="175" spans="1:53">
      <c r="A175" s="709"/>
      <c r="B175" s="240"/>
      <c r="C175" s="240"/>
      <c r="D175" s="240"/>
      <c r="E175" s="240"/>
      <c r="F175" s="240"/>
      <c r="G175" s="240"/>
      <c r="H175" s="240"/>
      <c r="I175" s="240"/>
      <c r="J175" s="240"/>
      <c r="K175" s="240"/>
      <c r="L175" s="240"/>
      <c r="M175" s="240"/>
      <c r="N175" s="240"/>
      <c r="O175" s="240"/>
      <c r="P175" s="425">
        <v>9</v>
      </c>
      <c r="Q175" s="457">
        <v>1.2370000000000001</v>
      </c>
      <c r="R175" s="458"/>
      <c r="S175" s="447">
        <v>1009</v>
      </c>
      <c r="T175" s="463">
        <v>999.3</v>
      </c>
      <c r="U175" s="631" t="str">
        <f t="shared" si="93"/>
        <v>115.2 ̸ 108.0</v>
      </c>
      <c r="V175" s="691">
        <f t="shared" si="94"/>
        <v>1.257087315729797</v>
      </c>
      <c r="W175" s="464">
        <v>108</v>
      </c>
      <c r="X175" s="240"/>
      <c r="Y175" s="249"/>
      <c r="Z175" s="643"/>
      <c r="AA175" s="643"/>
      <c r="AB175" s="643"/>
      <c r="AC175" s="643"/>
      <c r="AD175" s="643"/>
      <c r="AE175" s="643"/>
      <c r="AF175" s="269"/>
      <c r="AG175" s="269"/>
      <c r="AH175" s="269"/>
      <c r="AI175" s="269"/>
      <c r="AJ175" s="269"/>
      <c r="AK175" s="269"/>
      <c r="AL175" s="269"/>
      <c r="AM175" s="269"/>
      <c r="AN175" s="269"/>
      <c r="AO175" s="269"/>
      <c r="AP175" s="269"/>
      <c r="AQ175" s="269"/>
      <c r="AR175" s="269"/>
      <c r="AS175" s="269"/>
      <c r="AT175" s="269"/>
      <c r="AU175" s="269"/>
      <c r="AV175" s="269"/>
      <c r="AW175" s="269"/>
      <c r="AX175" s="269"/>
      <c r="AY175" s="269"/>
      <c r="AZ175" s="269"/>
      <c r="BA175" s="652"/>
    </row>
    <row r="176" spans="1:53">
      <c r="A176" s="709"/>
      <c r="B176" s="240"/>
      <c r="C176" s="240"/>
      <c r="D176" s="240"/>
      <c r="E176" s="240"/>
      <c r="F176" s="240"/>
      <c r="G176" s="240"/>
      <c r="H176" s="240"/>
      <c r="I176" s="240"/>
      <c r="J176" s="240"/>
      <c r="K176" s="240"/>
      <c r="L176" s="240"/>
      <c r="M176" s="240"/>
      <c r="N176" s="240"/>
      <c r="O176" s="240"/>
      <c r="P176" s="425">
        <v>10</v>
      </c>
      <c r="Q176" s="457">
        <v>1.194</v>
      </c>
      <c r="R176" s="458"/>
      <c r="S176" s="447">
        <f>S171+5</f>
        <v>1010</v>
      </c>
      <c r="T176" s="463">
        <v>999.2</v>
      </c>
      <c r="U176" s="631" t="str">
        <f t="shared" ref="U176:U188" si="95">1*FIXED(((U$162/4.5)*W176),1)&amp;" ̸ "&amp;1*FIXED(((U$163/4.5)*W176),1)</f>
        <v>128 ̸ 120</v>
      </c>
      <c r="V176" s="691">
        <f t="shared" si="94"/>
        <v>1.400324149108584</v>
      </c>
      <c r="W176" s="464">
        <v>120</v>
      </c>
      <c r="X176" s="240"/>
      <c r="Y176" s="249"/>
      <c r="Z176" s="643"/>
      <c r="AA176" s="643"/>
      <c r="AB176" s="643"/>
      <c r="AC176" s="643"/>
      <c r="AD176" s="643"/>
      <c r="AE176" s="643"/>
      <c r="AF176" s="465"/>
      <c r="AG176" s="269"/>
      <c r="AH176" s="269"/>
      <c r="AI176" s="269"/>
      <c r="AJ176" s="269"/>
      <c r="AK176" s="269"/>
      <c r="AL176" s="269"/>
      <c r="AM176" s="269"/>
      <c r="AN176" s="269"/>
      <c r="AO176" s="269"/>
      <c r="AP176" s="269"/>
      <c r="AQ176" s="269"/>
      <c r="AR176" s="269"/>
      <c r="AS176" s="269"/>
      <c r="AT176" s="269"/>
      <c r="AU176" s="269"/>
      <c r="AV176" s="269"/>
      <c r="AW176" s="269"/>
      <c r="AX176" s="269"/>
      <c r="AY176" s="269"/>
      <c r="AZ176" s="269"/>
      <c r="BA176" s="652"/>
    </row>
    <row r="177" spans="1:53">
      <c r="A177" s="709"/>
      <c r="B177" s="240"/>
      <c r="C177" s="240"/>
      <c r="D177" s="240"/>
      <c r="E177" s="240"/>
      <c r="F177" s="240"/>
      <c r="G177" s="240"/>
      <c r="H177" s="240"/>
      <c r="I177" s="240"/>
      <c r="J177" s="240"/>
      <c r="K177" s="240"/>
      <c r="L177" s="240"/>
      <c r="M177" s="240"/>
      <c r="N177" s="240"/>
      <c r="O177" s="240"/>
      <c r="P177" s="425">
        <v>11</v>
      </c>
      <c r="Q177" s="457">
        <v>1.1539999999999999</v>
      </c>
      <c r="R177" s="458"/>
      <c r="S177" s="447">
        <f t="shared" ref="S177:S205" si="96">S176+5</f>
        <v>1015</v>
      </c>
      <c r="T177" s="463">
        <v>998.8</v>
      </c>
      <c r="U177" s="631" t="str">
        <f t="shared" si="95"/>
        <v>192 ̸ 180</v>
      </c>
      <c r="V177" s="691">
        <f t="shared" si="94"/>
        <v>2.1056051990251889</v>
      </c>
      <c r="W177" s="464">
        <v>180</v>
      </c>
      <c r="X177" s="240"/>
      <c r="Y177" s="249"/>
      <c r="Z177" s="643"/>
      <c r="AA177" s="643"/>
      <c r="AB177" s="643"/>
      <c r="AC177" s="643"/>
      <c r="AD177" s="643"/>
      <c r="AE177" s="643"/>
      <c r="AF177" s="465"/>
      <c r="AG177" s="269"/>
      <c r="AH177" s="269"/>
      <c r="AI177" s="269"/>
      <c r="AJ177" s="269"/>
      <c r="AK177" s="269"/>
      <c r="AL177" s="269"/>
      <c r="AM177" s="269"/>
      <c r="AN177" s="269"/>
      <c r="AO177" s="269"/>
      <c r="AP177" s="269"/>
      <c r="AQ177" s="269"/>
      <c r="AR177" s="269"/>
      <c r="AS177" s="269"/>
      <c r="AT177" s="269"/>
      <c r="AU177" s="269"/>
      <c r="AV177" s="269"/>
      <c r="AW177" s="269"/>
      <c r="AX177" s="269"/>
      <c r="AY177" s="269"/>
      <c r="AZ177" s="269"/>
      <c r="BA177" s="652"/>
    </row>
    <row r="178" spans="1:53">
      <c r="A178" s="709"/>
      <c r="B178" s="240"/>
      <c r="C178" s="240"/>
      <c r="D178" s="240"/>
      <c r="E178" s="240"/>
      <c r="F178" s="240"/>
      <c r="G178" s="240"/>
      <c r="H178" s="240"/>
      <c r="I178" s="240"/>
      <c r="J178" s="240"/>
      <c r="K178" s="240"/>
      <c r="L178" s="240"/>
      <c r="M178" s="240"/>
      <c r="N178" s="240"/>
      <c r="O178" s="240"/>
      <c r="P178" s="425">
        <v>12</v>
      </c>
      <c r="Q178" s="457">
        <v>1.117</v>
      </c>
      <c r="R178" s="458"/>
      <c r="S178" s="447">
        <f t="shared" si="96"/>
        <v>1020</v>
      </c>
      <c r="T178" s="463">
        <v>998.4</v>
      </c>
      <c r="U178" s="631" t="str">
        <f t="shared" si="95"/>
        <v>256 ̸ 240</v>
      </c>
      <c r="V178" s="691">
        <f t="shared" si="94"/>
        <v>2.8143322475570063</v>
      </c>
      <c r="W178" s="464">
        <v>240</v>
      </c>
      <c r="X178" s="240"/>
      <c r="Y178" s="249"/>
      <c r="Z178" s="643"/>
      <c r="AA178" s="643"/>
      <c r="AB178" s="643"/>
      <c r="AC178" s="643"/>
      <c r="AD178" s="643"/>
      <c r="AE178" s="643"/>
      <c r="AF178" s="465"/>
      <c r="AG178" s="269"/>
      <c r="AH178" s="269"/>
      <c r="AI178" s="269"/>
      <c r="AJ178" s="269"/>
      <c r="AK178" s="269"/>
      <c r="AL178" s="269"/>
      <c r="AM178" s="269"/>
      <c r="AN178" s="269"/>
      <c r="AO178" s="269"/>
      <c r="AP178" s="269"/>
      <c r="AQ178" s="269"/>
      <c r="AR178" s="269"/>
      <c r="AS178" s="269"/>
      <c r="AT178" s="269"/>
      <c r="AU178" s="269"/>
      <c r="AV178" s="269"/>
      <c r="AW178" s="269"/>
      <c r="AX178" s="269"/>
      <c r="AY178" s="269"/>
      <c r="AZ178" s="269"/>
      <c r="BA178" s="652"/>
    </row>
    <row r="179" spans="1:53">
      <c r="A179" s="709"/>
      <c r="B179" s="240"/>
      <c r="C179" s="240"/>
      <c r="D179" s="240"/>
      <c r="E179" s="240"/>
      <c r="F179" s="240"/>
      <c r="G179" s="240"/>
      <c r="H179" s="240"/>
      <c r="I179" s="240"/>
      <c r="J179" s="240"/>
      <c r="K179" s="240"/>
      <c r="L179" s="240"/>
      <c r="M179" s="240"/>
      <c r="N179" s="240"/>
      <c r="O179" s="240"/>
      <c r="P179" s="425">
        <v>13</v>
      </c>
      <c r="Q179" s="457">
        <v>1.083</v>
      </c>
      <c r="R179" s="458"/>
      <c r="S179" s="447">
        <f t="shared" si="96"/>
        <v>1025</v>
      </c>
      <c r="T179" s="463">
        <v>998</v>
      </c>
      <c r="U179" s="631" t="str">
        <f t="shared" si="95"/>
        <v>320 ̸ 300</v>
      </c>
      <c r="V179" s="691">
        <f t="shared" si="94"/>
        <v>3.5265306122448981</v>
      </c>
      <c r="W179" s="464">
        <v>300</v>
      </c>
      <c r="X179" s="240"/>
      <c r="Y179" s="249"/>
      <c r="Z179" s="643"/>
      <c r="AA179" s="643"/>
      <c r="AB179" s="643"/>
      <c r="AC179" s="643"/>
      <c r="AD179" s="643"/>
      <c r="AE179" s="643"/>
      <c r="AF179" s="465"/>
      <c r="AG179" s="269"/>
      <c r="AH179" s="269"/>
      <c r="AI179" s="269"/>
      <c r="AJ179" s="269"/>
      <c r="AK179" s="269"/>
      <c r="AL179" s="269"/>
      <c r="AM179" s="269"/>
      <c r="AN179" s="269"/>
      <c r="AO179" s="269"/>
      <c r="AP179" s="269"/>
      <c r="AQ179" s="269"/>
      <c r="AR179" s="269"/>
      <c r="AS179" s="269"/>
      <c r="AT179" s="269"/>
      <c r="AU179" s="269"/>
      <c r="AV179" s="269"/>
      <c r="AW179" s="269"/>
      <c r="AX179" s="269"/>
      <c r="AY179" s="269"/>
      <c r="AZ179" s="269"/>
      <c r="BA179" s="652"/>
    </row>
    <row r="180" spans="1:53">
      <c r="A180" s="709"/>
      <c r="B180" s="240"/>
      <c r="C180" s="240"/>
      <c r="D180" s="240"/>
      <c r="E180" s="240"/>
      <c r="F180" s="240"/>
      <c r="G180" s="240"/>
      <c r="H180" s="240"/>
      <c r="I180" s="240"/>
      <c r="J180" s="240"/>
      <c r="K180" s="240"/>
      <c r="L180" s="240"/>
      <c r="M180" s="240"/>
      <c r="N180" s="240"/>
      <c r="O180" s="240"/>
      <c r="P180" s="425">
        <f>(P179+P181)/2</f>
        <v>13.5</v>
      </c>
      <c r="Q180" s="425">
        <f>(Q179+Q181)/2</f>
        <v>1.0665</v>
      </c>
      <c r="R180" s="458"/>
      <c r="S180" s="447">
        <f t="shared" si="96"/>
        <v>1030</v>
      </c>
      <c r="T180" s="463">
        <v>997.6</v>
      </c>
      <c r="U180" s="631" t="str">
        <f t="shared" si="95"/>
        <v>384 ̸ 360</v>
      </c>
      <c r="V180" s="691">
        <f t="shared" si="94"/>
        <v>4.2422258592471325</v>
      </c>
      <c r="W180" s="464">
        <v>360</v>
      </c>
      <c r="X180" s="240"/>
      <c r="Y180" s="249"/>
      <c r="Z180" s="643"/>
      <c r="AA180" s="643"/>
      <c r="AB180" s="643"/>
      <c r="AC180" s="643"/>
      <c r="AD180" s="643"/>
      <c r="AE180" s="643"/>
      <c r="AF180" s="465"/>
      <c r="AG180" s="269"/>
      <c r="AH180" s="269"/>
      <c r="AI180" s="269"/>
      <c r="AJ180" s="269"/>
      <c r="AK180" s="269"/>
      <c r="AL180" s="269"/>
      <c r="AM180" s="269"/>
      <c r="AN180" s="269"/>
      <c r="AO180" s="269"/>
      <c r="AP180" s="269"/>
      <c r="AQ180" s="269"/>
      <c r="AR180" s="269"/>
      <c r="AS180" s="269"/>
      <c r="AT180" s="269"/>
      <c r="AU180" s="269"/>
      <c r="AV180" s="269"/>
      <c r="AW180" s="269"/>
      <c r="AX180" s="269"/>
      <c r="AY180" s="269"/>
      <c r="AZ180" s="269"/>
      <c r="BA180" s="652"/>
    </row>
    <row r="181" spans="1:53">
      <c r="A181" s="709"/>
      <c r="B181" s="240"/>
      <c r="C181" s="240"/>
      <c r="D181" s="240"/>
      <c r="E181" s="240"/>
      <c r="F181" s="240"/>
      <c r="G181" s="240"/>
      <c r="H181" s="240"/>
      <c r="I181" s="240"/>
      <c r="J181" s="240"/>
      <c r="K181" s="240"/>
      <c r="L181" s="240"/>
      <c r="M181" s="240"/>
      <c r="N181" s="240"/>
      <c r="O181" s="240"/>
      <c r="P181" s="425">
        <v>14</v>
      </c>
      <c r="Q181" s="457">
        <v>1.05</v>
      </c>
      <c r="R181" s="458"/>
      <c r="S181" s="447">
        <f t="shared" si="96"/>
        <v>1035</v>
      </c>
      <c r="T181" s="463">
        <v>997.2</v>
      </c>
      <c r="U181" s="631" t="str">
        <f t="shared" si="95"/>
        <v>448 ̸ 420</v>
      </c>
      <c r="V181" s="691">
        <f t="shared" si="94"/>
        <v>4.9614438063986812</v>
      </c>
      <c r="W181" s="464">
        <v>420</v>
      </c>
      <c r="X181" s="240"/>
      <c r="Y181" s="249"/>
      <c r="Z181" s="643"/>
      <c r="AA181" s="643"/>
      <c r="AB181" s="643"/>
      <c r="AC181" s="643"/>
      <c r="AD181" s="643"/>
      <c r="AE181" s="643"/>
      <c r="AF181" s="465"/>
      <c r="AG181" s="269"/>
      <c r="AH181" s="269"/>
      <c r="AI181" s="269"/>
      <c r="AJ181" s="269"/>
      <c r="AK181" s="269"/>
      <c r="AL181" s="269"/>
      <c r="AM181" s="269"/>
      <c r="AN181" s="269"/>
      <c r="AO181" s="269"/>
      <c r="AP181" s="269"/>
      <c r="AQ181" s="269"/>
      <c r="AR181" s="269"/>
      <c r="AS181" s="269"/>
      <c r="AT181" s="269"/>
      <c r="AU181" s="269"/>
      <c r="AV181" s="269"/>
      <c r="AW181" s="269"/>
      <c r="AX181" s="269"/>
      <c r="AY181" s="269"/>
      <c r="AZ181" s="269"/>
      <c r="BA181" s="652"/>
    </row>
    <row r="182" spans="1:53">
      <c r="A182" s="709"/>
      <c r="B182" s="240"/>
      <c r="C182" s="240"/>
      <c r="D182" s="240"/>
      <c r="E182" s="240"/>
      <c r="F182" s="240"/>
      <c r="G182" s="240"/>
      <c r="H182" s="240"/>
      <c r="I182" s="240"/>
      <c r="J182" s="240"/>
      <c r="K182" s="240"/>
      <c r="L182" s="240"/>
      <c r="M182" s="240"/>
      <c r="N182" s="240"/>
      <c r="O182" s="240"/>
      <c r="P182" s="425">
        <f>(P181+P183)/2</f>
        <v>14.5</v>
      </c>
      <c r="Q182" s="425">
        <f>(Q181+Q183)/2</f>
        <v>1.034</v>
      </c>
      <c r="R182" s="458"/>
      <c r="S182" s="447">
        <f t="shared" si="96"/>
        <v>1040</v>
      </c>
      <c r="T182" s="463">
        <v>996.8</v>
      </c>
      <c r="U182" s="631" t="str">
        <f t="shared" si="95"/>
        <v>512 ̸ 480</v>
      </c>
      <c r="V182" s="691">
        <f t="shared" si="94"/>
        <v>5.6842105263157956</v>
      </c>
      <c r="W182" s="464">
        <v>480</v>
      </c>
      <c r="X182" s="240"/>
      <c r="Y182" s="249"/>
      <c r="Z182" s="643"/>
      <c r="AA182" s="643"/>
      <c r="AB182" s="643"/>
      <c r="AC182" s="643"/>
      <c r="AD182" s="643"/>
      <c r="AE182" s="643"/>
      <c r="AF182" s="465"/>
      <c r="AG182" s="269"/>
      <c r="AH182" s="269"/>
      <c r="AI182" s="269"/>
      <c r="AJ182" s="269"/>
      <c r="AK182" s="269"/>
      <c r="AL182" s="269"/>
      <c r="AM182" s="269"/>
      <c r="AN182" s="269"/>
      <c r="AO182" s="269"/>
      <c r="AP182" s="269"/>
      <c r="AQ182" s="269"/>
      <c r="AR182" s="269"/>
      <c r="AS182" s="269"/>
      <c r="AT182" s="269"/>
      <c r="AU182" s="269"/>
      <c r="AV182" s="269"/>
      <c r="AW182" s="269"/>
      <c r="AX182" s="269"/>
      <c r="AY182" s="269"/>
      <c r="AZ182" s="269"/>
      <c r="BA182" s="652"/>
    </row>
    <row r="183" spans="1:53">
      <c r="A183" s="709"/>
      <c r="B183" s="240"/>
      <c r="C183" s="240"/>
      <c r="D183" s="240"/>
      <c r="E183" s="240"/>
      <c r="F183" s="240"/>
      <c r="G183" s="240"/>
      <c r="H183" s="240"/>
      <c r="I183" s="240"/>
      <c r="J183" s="240"/>
      <c r="K183" s="240"/>
      <c r="L183" s="240"/>
      <c r="M183" s="240"/>
      <c r="N183" s="240"/>
      <c r="O183" s="240"/>
      <c r="P183" s="425">
        <v>15</v>
      </c>
      <c r="Q183" s="457">
        <v>1.018</v>
      </c>
      <c r="R183" s="458"/>
      <c r="S183" s="447">
        <f t="shared" si="96"/>
        <v>1045</v>
      </c>
      <c r="T183" s="463">
        <v>996.4</v>
      </c>
      <c r="U183" s="631" t="str">
        <f t="shared" si="95"/>
        <v>576 ̸ 540</v>
      </c>
      <c r="V183" s="691">
        <f t="shared" si="94"/>
        <v>6.4105523495465819</v>
      </c>
      <c r="W183" s="464">
        <v>540</v>
      </c>
      <c r="X183" s="240"/>
      <c r="Y183" s="249"/>
      <c r="Z183" s="643"/>
      <c r="AA183" s="643"/>
      <c r="AB183" s="643"/>
      <c r="AC183" s="643"/>
      <c r="AD183" s="643"/>
      <c r="AE183" s="643"/>
      <c r="AF183" s="465"/>
      <c r="AG183" s="269"/>
      <c r="AH183" s="269"/>
      <c r="AI183" s="269"/>
      <c r="AJ183" s="269"/>
      <c r="AK183" s="269"/>
      <c r="AL183" s="269"/>
      <c r="AM183" s="269"/>
      <c r="AN183" s="269"/>
      <c r="AO183" s="269"/>
      <c r="AP183" s="269"/>
      <c r="AQ183" s="269"/>
      <c r="AR183" s="269"/>
      <c r="AS183" s="269"/>
      <c r="AT183" s="269"/>
      <c r="AU183" s="269"/>
      <c r="AV183" s="269"/>
      <c r="AW183" s="269"/>
      <c r="AX183" s="269"/>
      <c r="AY183" s="269"/>
      <c r="AZ183" s="269"/>
      <c r="BA183" s="652"/>
    </row>
    <row r="184" spans="1:53">
      <c r="A184" s="709"/>
      <c r="B184" s="240"/>
      <c r="C184" s="240"/>
      <c r="D184" s="240"/>
      <c r="E184" s="240"/>
      <c r="F184" s="240"/>
      <c r="G184" s="240"/>
      <c r="H184" s="240"/>
      <c r="I184" s="240"/>
      <c r="J184" s="240"/>
      <c r="K184" s="240"/>
      <c r="L184" s="240"/>
      <c r="M184" s="240"/>
      <c r="N184" s="240"/>
      <c r="O184" s="240"/>
      <c r="P184" s="425">
        <f>(P183+P185)/2</f>
        <v>15.5</v>
      </c>
      <c r="Q184" s="425">
        <f>(Q183+Q185)/2</f>
        <v>1.0015000000000001</v>
      </c>
      <c r="R184" s="458"/>
      <c r="S184" s="447">
        <f t="shared" si="96"/>
        <v>1050</v>
      </c>
      <c r="T184" s="463">
        <v>996</v>
      </c>
      <c r="U184" s="631" t="str">
        <f t="shared" si="95"/>
        <v>640 ̸ 600</v>
      </c>
      <c r="V184" s="691">
        <f t="shared" si="94"/>
        <v>7.1404958677685952</v>
      </c>
      <c r="W184" s="464">
        <v>600</v>
      </c>
      <c r="X184" s="240"/>
      <c r="Y184" s="249"/>
      <c r="Z184" s="643"/>
      <c r="AA184" s="643"/>
      <c r="AB184" s="643"/>
      <c r="AC184" s="643"/>
      <c r="AD184" s="643"/>
      <c r="AE184" s="643"/>
      <c r="AF184" s="465"/>
      <c r="AG184" s="269"/>
      <c r="AH184" s="269"/>
      <c r="AI184" s="269"/>
      <c r="AJ184" s="269"/>
      <c r="AK184" s="269"/>
      <c r="AL184" s="269"/>
      <c r="AM184" s="269"/>
      <c r="AN184" s="269"/>
      <c r="AO184" s="269"/>
      <c r="AP184" s="269"/>
      <c r="AQ184" s="269"/>
      <c r="AR184" s="269"/>
      <c r="AS184" s="269"/>
      <c r="AT184" s="269"/>
      <c r="AU184" s="269"/>
      <c r="AV184" s="269"/>
      <c r="AW184" s="269"/>
      <c r="AX184" s="269"/>
      <c r="AY184" s="269"/>
      <c r="AZ184" s="269"/>
      <c r="BA184" s="652"/>
    </row>
    <row r="185" spans="1:53">
      <c r="A185" s="709"/>
      <c r="B185" s="240"/>
      <c r="C185" s="240"/>
      <c r="D185" s="240"/>
      <c r="E185" s="240"/>
      <c r="F185" s="240"/>
      <c r="G185" s="240"/>
      <c r="H185" s="240"/>
      <c r="I185" s="240"/>
      <c r="J185" s="240"/>
      <c r="K185" s="240"/>
      <c r="L185" s="240"/>
      <c r="M185" s="240"/>
      <c r="N185" s="240"/>
      <c r="O185" s="240"/>
      <c r="P185" s="425">
        <v>16</v>
      </c>
      <c r="Q185" s="457">
        <v>0.98499999999999999</v>
      </c>
      <c r="R185" s="458"/>
      <c r="S185" s="447">
        <f t="shared" si="96"/>
        <v>1055</v>
      </c>
      <c r="T185" s="463">
        <v>995.6</v>
      </c>
      <c r="U185" s="631" t="str">
        <f t="shared" si="95"/>
        <v>704 ̸ 660</v>
      </c>
      <c r="V185" s="691">
        <f t="shared" si="94"/>
        <v>7.8740679370339652</v>
      </c>
      <c r="W185" s="464">
        <v>660</v>
      </c>
      <c r="X185" s="240"/>
      <c r="Y185" s="249"/>
      <c r="Z185" s="643"/>
      <c r="AA185" s="643"/>
      <c r="AB185" s="643"/>
      <c r="AC185" s="643"/>
      <c r="AD185" s="643"/>
      <c r="AE185" s="643"/>
      <c r="AF185" s="465"/>
      <c r="AG185" s="269"/>
      <c r="AH185" s="269"/>
      <c r="AI185" s="269"/>
      <c r="AJ185" s="269"/>
      <c r="AK185" s="269"/>
      <c r="AL185" s="269"/>
      <c r="AM185" s="269"/>
      <c r="AN185" s="269"/>
      <c r="AO185" s="269"/>
      <c r="AP185" s="269"/>
      <c r="AQ185" s="269"/>
      <c r="AR185" s="269"/>
      <c r="AS185" s="269"/>
      <c r="AT185" s="269"/>
      <c r="AU185" s="269"/>
      <c r="AV185" s="269"/>
      <c r="AW185" s="269"/>
      <c r="AX185" s="269"/>
      <c r="AY185" s="269"/>
      <c r="AZ185" s="269"/>
      <c r="BA185" s="652"/>
    </row>
    <row r="186" spans="1:53">
      <c r="A186" s="709"/>
      <c r="B186" s="240"/>
      <c r="C186" s="240"/>
      <c r="D186" s="240"/>
      <c r="E186" s="240"/>
      <c r="F186" s="240"/>
      <c r="G186" s="240"/>
      <c r="H186" s="240"/>
      <c r="I186" s="240"/>
      <c r="J186" s="240"/>
      <c r="K186" s="240"/>
      <c r="L186" s="240"/>
      <c r="M186" s="240"/>
      <c r="N186" s="240"/>
      <c r="O186" s="240"/>
      <c r="P186" s="425">
        <f>(P185+P187)/2</f>
        <v>16.5</v>
      </c>
      <c r="Q186" s="425">
        <f>(Q185+Q187)/2</f>
        <v>0.97049999999999992</v>
      </c>
      <c r="R186" s="458"/>
      <c r="S186" s="447">
        <f t="shared" si="96"/>
        <v>1060</v>
      </c>
      <c r="T186" s="463">
        <v>995.2</v>
      </c>
      <c r="U186" s="631" t="str">
        <f t="shared" si="95"/>
        <v>768 ̸ 720</v>
      </c>
      <c r="V186" s="691">
        <f t="shared" si="94"/>
        <v>8.6112956810631172</v>
      </c>
      <c r="W186" s="464">
        <v>720</v>
      </c>
      <c r="X186" s="240"/>
      <c r="Y186" s="249"/>
      <c r="Z186" s="643"/>
      <c r="AA186" s="643"/>
      <c r="AB186" s="643"/>
      <c r="AC186" s="643"/>
      <c r="AD186" s="643"/>
      <c r="AE186" s="643"/>
      <c r="AF186" s="465"/>
      <c r="AG186" s="269"/>
      <c r="AH186" s="269"/>
      <c r="AI186" s="269"/>
      <c r="AJ186" s="269"/>
      <c r="AK186" s="269"/>
      <c r="AL186" s="269"/>
      <c r="AM186" s="269"/>
      <c r="AN186" s="269"/>
      <c r="AO186" s="269"/>
      <c r="AP186" s="269"/>
      <c r="AQ186" s="269"/>
      <c r="AR186" s="269"/>
      <c r="AS186" s="269"/>
      <c r="AT186" s="269"/>
      <c r="AU186" s="269"/>
      <c r="AV186" s="269"/>
      <c r="AW186" s="269"/>
      <c r="AX186" s="269"/>
      <c r="AY186" s="269"/>
      <c r="AZ186" s="269"/>
      <c r="BA186" s="652"/>
    </row>
    <row r="187" spans="1:53">
      <c r="A187" s="709"/>
      <c r="B187" s="240"/>
      <c r="C187" s="240"/>
      <c r="D187" s="240"/>
      <c r="E187" s="240"/>
      <c r="F187" s="240"/>
      <c r="G187" s="240"/>
      <c r="H187" s="240"/>
      <c r="I187" s="240"/>
      <c r="J187" s="679"/>
      <c r="K187" s="240"/>
      <c r="L187" s="240"/>
      <c r="M187" s="240"/>
      <c r="N187" s="240"/>
      <c r="O187" s="240"/>
      <c r="P187" s="425">
        <v>17</v>
      </c>
      <c r="Q187" s="457">
        <v>0.95599999999999996</v>
      </c>
      <c r="R187" s="458"/>
      <c r="S187" s="447">
        <f t="shared" si="96"/>
        <v>1065</v>
      </c>
      <c r="T187" s="463">
        <v>994.8</v>
      </c>
      <c r="U187" s="631" t="str">
        <f t="shared" si="95"/>
        <v>832 ̸ 780</v>
      </c>
      <c r="V187" s="691">
        <f t="shared" si="94"/>
        <v>9.3522064945878505</v>
      </c>
      <c r="W187" s="464">
        <v>780</v>
      </c>
      <c r="X187" s="240"/>
      <c r="Y187" s="249"/>
      <c r="Z187" s="643"/>
      <c r="AA187" s="643"/>
      <c r="AB187" s="643"/>
      <c r="AC187" s="643"/>
      <c r="AD187" s="643"/>
      <c r="AE187" s="643"/>
      <c r="AF187" s="465"/>
      <c r="AG187" s="269"/>
      <c r="AH187" s="269"/>
      <c r="AI187" s="269"/>
      <c r="AJ187" s="269"/>
      <c r="AK187" s="269"/>
      <c r="AL187" s="269"/>
      <c r="AM187" s="269"/>
      <c r="AN187" s="269"/>
      <c r="AO187" s="269"/>
      <c r="AP187" s="269"/>
      <c r="AQ187" s="269"/>
      <c r="AR187" s="269"/>
      <c r="AS187" s="269"/>
      <c r="AT187" s="269"/>
      <c r="AU187" s="269"/>
      <c r="AV187" s="269"/>
      <c r="AW187" s="269"/>
      <c r="AX187" s="269"/>
      <c r="AY187" s="269"/>
      <c r="AZ187" s="269"/>
      <c r="BA187" s="652"/>
    </row>
    <row r="188" spans="1:53">
      <c r="A188" s="709"/>
      <c r="B188" s="240"/>
      <c r="C188" s="240"/>
      <c r="D188" s="240"/>
      <c r="E188" s="240"/>
      <c r="F188" s="240"/>
      <c r="G188" s="240"/>
      <c r="H188" s="240"/>
      <c r="I188" s="240"/>
      <c r="J188" s="240"/>
      <c r="K188" s="240"/>
      <c r="L188" s="240"/>
      <c r="M188" s="240"/>
      <c r="N188" s="240"/>
      <c r="O188" s="240"/>
      <c r="P188" s="425">
        <f>(P187+P189)/2</f>
        <v>17.5</v>
      </c>
      <c r="Q188" s="425">
        <f>(Q187+Q189)/2</f>
        <v>0.94199999999999995</v>
      </c>
      <c r="R188" s="458"/>
      <c r="S188" s="447">
        <f t="shared" si="96"/>
        <v>1070</v>
      </c>
      <c r="T188" s="463">
        <v>994.4</v>
      </c>
      <c r="U188" s="631" t="str">
        <f t="shared" si="95"/>
        <v>896 ̸ 840</v>
      </c>
      <c r="V188" s="691">
        <f t="shared" si="94"/>
        <v>10.096828046744578</v>
      </c>
      <c r="W188" s="464">
        <v>840</v>
      </c>
      <c r="X188" s="240"/>
      <c r="Y188" s="249"/>
      <c r="Z188" s="643"/>
      <c r="AA188" s="643"/>
      <c r="AB188" s="643"/>
      <c r="AC188" s="643"/>
      <c r="AD188" s="643"/>
      <c r="AE188" s="643"/>
      <c r="AF188" s="465"/>
      <c r="AG188" s="269"/>
      <c r="AH188" s="269"/>
      <c r="AI188" s="269"/>
      <c r="AJ188" s="269"/>
      <c r="AK188" s="269"/>
      <c r="AL188" s="269"/>
      <c r="AM188" s="269"/>
      <c r="AN188" s="269"/>
      <c r="AO188" s="269"/>
      <c r="AP188" s="269"/>
      <c r="AQ188" s="269"/>
      <c r="AR188" s="269"/>
      <c r="AS188" s="269"/>
      <c r="AT188" s="269"/>
      <c r="AU188" s="269"/>
      <c r="AV188" s="269"/>
      <c r="AW188" s="269"/>
      <c r="AX188" s="269"/>
      <c r="AY188" s="269"/>
      <c r="AZ188" s="269"/>
      <c r="BA188" s="652"/>
    </row>
    <row r="189" spans="1:53">
      <c r="A189" s="709"/>
      <c r="B189" s="240"/>
      <c r="C189" s="240"/>
      <c r="D189" s="240"/>
      <c r="E189" s="240"/>
      <c r="F189" s="240"/>
      <c r="G189" s="240"/>
      <c r="H189" s="240"/>
      <c r="I189" s="240"/>
      <c r="J189" s="240"/>
      <c r="K189" s="240"/>
      <c r="L189" s="240"/>
      <c r="M189" s="240"/>
      <c r="N189" s="240"/>
      <c r="O189" s="240"/>
      <c r="P189" s="425">
        <v>18</v>
      </c>
      <c r="Q189" s="457">
        <v>0.92800000000000005</v>
      </c>
      <c r="R189" s="458"/>
      <c r="S189" s="447">
        <f t="shared" si="96"/>
        <v>1075</v>
      </c>
      <c r="T189" s="463">
        <v>994</v>
      </c>
      <c r="U189" s="632" t="str">
        <f t="shared" ref="U189:U204" si="97">1*FIXED(((U$162/4.5)*W189),0)&amp;" ̸ "&amp;1*FIXED(((U$163/4.5)*W189),1)</f>
        <v>960 ̸ 900</v>
      </c>
      <c r="V189" s="691">
        <f t="shared" si="94"/>
        <v>10.845188284518828</v>
      </c>
      <c r="W189" s="464">
        <v>900</v>
      </c>
      <c r="X189" s="240"/>
      <c r="Y189" s="249"/>
      <c r="Z189" s="643"/>
      <c r="AA189" s="643"/>
      <c r="AB189" s="643"/>
      <c r="AC189" s="643"/>
      <c r="AD189" s="643"/>
      <c r="AE189" s="643"/>
      <c r="AF189" s="465"/>
      <c r="AG189" s="269"/>
      <c r="AH189" s="269"/>
      <c r="AI189" s="269"/>
      <c r="AJ189" s="269"/>
      <c r="AK189" s="269"/>
      <c r="AL189" s="269"/>
      <c r="AM189" s="269"/>
      <c r="AN189" s="269"/>
      <c r="AO189" s="269"/>
      <c r="AP189" s="269"/>
      <c r="AQ189" s="269"/>
      <c r="AR189" s="269"/>
      <c r="AS189" s="269"/>
      <c r="AT189" s="269"/>
      <c r="AU189" s="269"/>
      <c r="AV189" s="269"/>
      <c r="AW189" s="269"/>
      <c r="AX189" s="269"/>
      <c r="AY189" s="269"/>
      <c r="AZ189" s="269"/>
      <c r="BA189" s="652"/>
    </row>
    <row r="190" spans="1:53">
      <c r="A190" s="709"/>
      <c r="B190" s="240"/>
      <c r="C190" s="240"/>
      <c r="D190" s="240"/>
      <c r="E190" s="240"/>
      <c r="F190" s="240"/>
      <c r="G190" s="240"/>
      <c r="H190" s="240"/>
      <c r="I190" s="240"/>
      <c r="J190" s="240"/>
      <c r="K190" s="240"/>
      <c r="L190" s="240"/>
      <c r="M190" s="240"/>
      <c r="N190" s="240"/>
      <c r="O190" s="240"/>
      <c r="P190" s="425">
        <f>(P189+P191)/2</f>
        <v>18.5</v>
      </c>
      <c r="Q190" s="425">
        <f>(Q189+Q191)/2</f>
        <v>0.91500000000000004</v>
      </c>
      <c r="R190" s="458"/>
      <c r="S190" s="447">
        <f t="shared" si="96"/>
        <v>1080</v>
      </c>
      <c r="T190" s="463">
        <v>993.61</v>
      </c>
      <c r="U190" s="632" t="str">
        <f t="shared" si="97"/>
        <v>1024 ̸ 960</v>
      </c>
      <c r="V190" s="691">
        <f t="shared" si="94"/>
        <v>11.595973154362413</v>
      </c>
      <c r="W190" s="464">
        <v>960</v>
      </c>
      <c r="X190" s="240"/>
      <c r="Y190" s="249"/>
      <c r="Z190" s="643"/>
      <c r="AA190" s="643"/>
      <c r="AB190" s="643"/>
      <c r="AC190" s="643"/>
      <c r="AD190" s="643"/>
      <c r="AE190" s="643"/>
      <c r="AF190" s="465"/>
      <c r="AG190" s="269"/>
      <c r="AH190" s="269"/>
      <c r="AI190" s="269"/>
      <c r="AJ190" s="269"/>
      <c r="AK190" s="269"/>
      <c r="AL190" s="269"/>
      <c r="AM190" s="269"/>
      <c r="AN190" s="269"/>
      <c r="AO190" s="269"/>
      <c r="AP190" s="269"/>
      <c r="AQ190" s="269"/>
      <c r="AR190" s="269"/>
      <c r="AS190" s="269"/>
      <c r="AT190" s="269"/>
      <c r="AU190" s="269"/>
      <c r="AV190" s="269"/>
      <c r="AW190" s="269"/>
      <c r="AX190" s="269"/>
      <c r="AY190" s="269"/>
      <c r="AZ190" s="269"/>
      <c r="BA190" s="652"/>
    </row>
    <row r="191" spans="1:53">
      <c r="A191" s="709"/>
      <c r="B191" s="240"/>
      <c r="C191" s="240"/>
      <c r="D191" s="240"/>
      <c r="E191" s="240"/>
      <c r="F191" s="240"/>
      <c r="G191" s="240"/>
      <c r="H191" s="240"/>
      <c r="I191" s="240"/>
      <c r="J191" s="240"/>
      <c r="K191" s="240"/>
      <c r="L191" s="240"/>
      <c r="M191" s="240"/>
      <c r="N191" s="240"/>
      <c r="O191" s="240"/>
      <c r="P191" s="425">
        <v>19</v>
      </c>
      <c r="Q191" s="457">
        <v>0.90200000000000002</v>
      </c>
      <c r="R191" s="458"/>
      <c r="S191" s="447">
        <f t="shared" si="96"/>
        <v>1085</v>
      </c>
      <c r="T191" s="463">
        <v>993.21</v>
      </c>
      <c r="U191" s="632" t="str">
        <f t="shared" si="97"/>
        <v>1088 ̸ 1020</v>
      </c>
      <c r="V191" s="691">
        <f t="shared" si="94"/>
        <v>12.351892346509667</v>
      </c>
      <c r="W191" s="464">
        <v>1020</v>
      </c>
      <c r="X191" s="240"/>
      <c r="Y191" s="249"/>
      <c r="Z191" s="643"/>
      <c r="AA191" s="643"/>
      <c r="AB191" s="643"/>
      <c r="AC191" s="643"/>
      <c r="AD191" s="643"/>
      <c r="AE191" s="643"/>
      <c r="AF191" s="465"/>
      <c r="AG191" s="269"/>
      <c r="AH191" s="269"/>
      <c r="AI191" s="269"/>
      <c r="AJ191" s="269"/>
      <c r="AK191" s="269"/>
      <c r="AL191" s="269"/>
      <c r="AM191" s="269"/>
      <c r="AN191" s="269"/>
      <c r="AO191" s="269"/>
      <c r="AP191" s="269"/>
      <c r="AQ191" s="269"/>
      <c r="AR191" s="269"/>
      <c r="AS191" s="269"/>
      <c r="AT191" s="269"/>
      <c r="AU191" s="269"/>
      <c r="AV191" s="269"/>
      <c r="AW191" s="269"/>
      <c r="AX191" s="269"/>
      <c r="AY191" s="269"/>
      <c r="AZ191" s="269"/>
      <c r="BA191" s="652"/>
    </row>
    <row r="192" spans="1:53">
      <c r="A192" s="709"/>
      <c r="B192" s="240"/>
      <c r="C192" s="240"/>
      <c r="D192" s="240"/>
      <c r="E192" s="240"/>
      <c r="F192" s="240"/>
      <c r="G192" s="240"/>
      <c r="H192" s="240"/>
      <c r="I192" s="240"/>
      <c r="J192" s="240"/>
      <c r="K192" s="240"/>
      <c r="L192" s="240"/>
      <c r="M192" s="240"/>
      <c r="N192" s="240"/>
      <c r="O192" s="240"/>
      <c r="P192" s="425">
        <f>(P191+P193)/2</f>
        <v>19.5</v>
      </c>
      <c r="Q192" s="425">
        <f>(Q191+Q193)/2</f>
        <v>0.88949999999999996</v>
      </c>
      <c r="R192" s="458"/>
      <c r="S192" s="447">
        <f t="shared" si="96"/>
        <v>1090</v>
      </c>
      <c r="T192" s="463">
        <v>992.81</v>
      </c>
      <c r="U192" s="632" t="str">
        <f t="shared" si="97"/>
        <v>1152 ̸ 1080</v>
      </c>
      <c r="V192" s="691">
        <f t="shared" si="94"/>
        <v>13.111635750421593</v>
      </c>
      <c r="W192" s="464">
        <v>1080</v>
      </c>
      <c r="X192" s="240"/>
      <c r="Y192" s="249"/>
      <c r="Z192" s="643"/>
      <c r="AA192" s="643"/>
      <c r="AB192" s="643"/>
      <c r="AC192" s="643"/>
      <c r="AD192" s="643"/>
      <c r="AE192" s="643"/>
      <c r="AF192" s="465"/>
      <c r="AG192" s="269"/>
      <c r="AH192" s="269"/>
      <c r="AI192" s="269"/>
      <c r="AJ192" s="269"/>
      <c r="AK192" s="269"/>
      <c r="AL192" s="269"/>
      <c r="AM192" s="269"/>
      <c r="AN192" s="269"/>
      <c r="AO192" s="269"/>
      <c r="AP192" s="269"/>
      <c r="AQ192" s="269"/>
      <c r="AR192" s="269"/>
      <c r="AS192" s="269"/>
      <c r="AT192" s="269"/>
      <c r="AU192" s="269"/>
      <c r="AV192" s="269"/>
      <c r="AW192" s="269"/>
      <c r="AX192" s="269"/>
      <c r="AY192" s="269"/>
      <c r="AZ192" s="269"/>
      <c r="BA192" s="652"/>
    </row>
    <row r="193" spans="1:53">
      <c r="A193" s="709"/>
      <c r="B193" s="240"/>
      <c r="C193" s="240"/>
      <c r="D193" s="240"/>
      <c r="E193" s="240"/>
      <c r="F193" s="240"/>
      <c r="G193" s="240"/>
      <c r="H193" s="240"/>
      <c r="I193" s="240"/>
      <c r="J193" s="240"/>
      <c r="K193" s="240"/>
      <c r="L193" s="240"/>
      <c r="M193" s="240"/>
      <c r="N193" s="240"/>
      <c r="O193" s="240"/>
      <c r="P193" s="425">
        <v>20</v>
      </c>
      <c r="Q193" s="457">
        <v>0.877</v>
      </c>
      <c r="R193" s="458"/>
      <c r="S193" s="447">
        <f t="shared" si="96"/>
        <v>1095</v>
      </c>
      <c r="T193" s="463">
        <v>992.41</v>
      </c>
      <c r="U193" s="632" t="str">
        <f t="shared" si="97"/>
        <v>1216 ̸ 1140</v>
      </c>
      <c r="V193" s="691">
        <f t="shared" si="94"/>
        <v>13.875232459847849</v>
      </c>
      <c r="W193" s="464">
        <v>1140</v>
      </c>
      <c r="X193" s="240"/>
      <c r="Y193" s="249"/>
      <c r="Z193" s="643"/>
      <c r="AA193" s="643"/>
      <c r="AB193" s="643"/>
      <c r="AC193" s="643"/>
      <c r="AD193" s="643"/>
      <c r="AE193" s="643"/>
      <c r="AF193" s="465"/>
      <c r="AG193" s="269"/>
      <c r="AH193" s="269"/>
      <c r="AI193" s="269"/>
      <c r="AJ193" s="269"/>
      <c r="AK193" s="269"/>
      <c r="AL193" s="269"/>
      <c r="AM193" s="269"/>
      <c r="AN193" s="269"/>
      <c r="AO193" s="269"/>
      <c r="AP193" s="269"/>
      <c r="AQ193" s="269"/>
      <c r="AR193" s="269"/>
      <c r="AS193" s="269"/>
      <c r="AT193" s="269"/>
      <c r="AU193" s="269"/>
      <c r="AV193" s="269"/>
      <c r="AW193" s="269"/>
      <c r="AX193" s="269"/>
      <c r="AY193" s="269"/>
      <c r="AZ193" s="269"/>
      <c r="BA193" s="652"/>
    </row>
    <row r="194" spans="1:53">
      <c r="A194" s="709"/>
      <c r="B194" s="240"/>
      <c r="C194" s="240"/>
      <c r="D194" s="240"/>
      <c r="E194" s="240"/>
      <c r="F194" s="240"/>
      <c r="G194" s="240"/>
      <c r="H194" s="240"/>
      <c r="I194" s="240"/>
      <c r="J194" s="240"/>
      <c r="K194" s="240"/>
      <c r="L194" s="240"/>
      <c r="M194" s="240"/>
      <c r="N194" s="240"/>
      <c r="O194" s="240"/>
      <c r="P194" s="425">
        <f>(P193+P195)/2</f>
        <v>20.5</v>
      </c>
      <c r="Q194" s="425">
        <f>(Q193+Q195)/2</f>
        <v>0.86450000000000005</v>
      </c>
      <c r="R194" s="458"/>
      <c r="S194" s="447">
        <f t="shared" si="96"/>
        <v>1100</v>
      </c>
      <c r="T194" s="463">
        <v>992.01</v>
      </c>
      <c r="U194" s="632" t="str">
        <f t="shared" si="97"/>
        <v>1280 ̸ 1200</v>
      </c>
      <c r="V194" s="691">
        <f t="shared" si="94"/>
        <v>14.642711864406781</v>
      </c>
      <c r="W194" s="464">
        <v>1200</v>
      </c>
      <c r="X194" s="240"/>
      <c r="Y194" s="249"/>
      <c r="Z194" s="643"/>
      <c r="AA194" s="643"/>
      <c r="AB194" s="643"/>
      <c r="AC194" s="643"/>
      <c r="AD194" s="643"/>
      <c r="AE194" s="643"/>
      <c r="AF194" s="465"/>
      <c r="AG194" s="269"/>
      <c r="AH194" s="269"/>
      <c r="AI194" s="269"/>
      <c r="AJ194" s="269"/>
      <c r="AK194" s="269"/>
      <c r="AL194" s="269"/>
      <c r="AM194" s="269"/>
      <c r="AN194" s="269"/>
      <c r="AO194" s="269"/>
      <c r="AP194" s="269"/>
      <c r="AQ194" s="269"/>
      <c r="AR194" s="269"/>
      <c r="AS194" s="269"/>
      <c r="AT194" s="269"/>
      <c r="AU194" s="269"/>
      <c r="AV194" s="269"/>
      <c r="AW194" s="269"/>
      <c r="AX194" s="269"/>
      <c r="AY194" s="269"/>
      <c r="AZ194" s="269"/>
      <c r="BA194" s="652"/>
    </row>
    <row r="195" spans="1:53">
      <c r="A195" s="709"/>
      <c r="B195" s="240"/>
      <c r="C195" s="240"/>
      <c r="D195" s="240"/>
      <c r="E195" s="240"/>
      <c r="F195" s="240"/>
      <c r="G195" s="240"/>
      <c r="H195" s="240"/>
      <c r="I195" s="240"/>
      <c r="J195" s="240"/>
      <c r="K195" s="240"/>
      <c r="L195" s="240"/>
      <c r="M195" s="240"/>
      <c r="N195" s="240"/>
      <c r="O195" s="240"/>
      <c r="P195" s="425">
        <v>21</v>
      </c>
      <c r="Q195" s="457">
        <v>0.85199999999999998</v>
      </c>
      <c r="R195" s="458"/>
      <c r="S195" s="447">
        <f t="shared" si="96"/>
        <v>1105</v>
      </c>
      <c r="T195" s="463">
        <v>991.61</v>
      </c>
      <c r="U195" s="632" t="str">
        <f t="shared" si="97"/>
        <v>1344 ̸ 1260</v>
      </c>
      <c r="V195" s="691">
        <f t="shared" si="94"/>
        <v>15.414103653355987</v>
      </c>
      <c r="W195" s="464">
        <v>1260</v>
      </c>
      <c r="X195" s="240"/>
      <c r="Y195" s="249"/>
      <c r="Z195" s="643"/>
      <c r="AA195" s="643"/>
      <c r="AB195" s="643"/>
      <c r="AC195" s="643"/>
      <c r="AD195" s="643"/>
      <c r="AE195" s="643"/>
      <c r="AF195" s="465"/>
      <c r="AG195" s="269"/>
      <c r="AH195" s="269"/>
      <c r="AI195" s="269"/>
      <c r="AJ195" s="269"/>
      <c r="AK195" s="269"/>
      <c r="AL195" s="269"/>
      <c r="AM195" s="269"/>
      <c r="AN195" s="269"/>
      <c r="AO195" s="269"/>
      <c r="AP195" s="269"/>
      <c r="AQ195" s="269"/>
      <c r="AR195" s="269"/>
      <c r="AS195" s="269"/>
      <c r="AT195" s="269"/>
      <c r="AU195" s="269"/>
      <c r="AV195" s="269"/>
      <c r="AW195" s="269"/>
      <c r="AX195" s="269"/>
      <c r="AY195" s="269"/>
      <c r="AZ195" s="269"/>
      <c r="BA195" s="652"/>
    </row>
    <row r="196" spans="1:53">
      <c r="A196" s="709"/>
      <c r="B196" s="240"/>
      <c r="C196" s="240"/>
      <c r="D196" s="240"/>
      <c r="E196" s="240"/>
      <c r="F196" s="240"/>
      <c r="G196" s="240"/>
      <c r="H196" s="240"/>
      <c r="I196" s="240"/>
      <c r="J196" s="240"/>
      <c r="K196" s="240"/>
      <c r="L196" s="240"/>
      <c r="M196" s="240"/>
      <c r="N196" s="240"/>
      <c r="O196" s="240"/>
      <c r="P196" s="425">
        <f>(P195+P197)/2</f>
        <v>21.5</v>
      </c>
      <c r="Q196" s="425">
        <f>(Q195+Q197)/2</f>
        <v>0.83949999999999991</v>
      </c>
      <c r="R196" s="458"/>
      <c r="S196" s="447">
        <f t="shared" si="96"/>
        <v>1110</v>
      </c>
      <c r="T196" s="463">
        <v>991.21</v>
      </c>
      <c r="U196" s="632" t="str">
        <f t="shared" si="97"/>
        <v>1408 ̸ 1320</v>
      </c>
      <c r="V196" s="691">
        <f t="shared" si="94"/>
        <v>16.189437819420778</v>
      </c>
      <c r="W196" s="464">
        <v>1320</v>
      </c>
      <c r="X196" s="240"/>
      <c r="Y196" s="249"/>
      <c r="Z196" s="643"/>
      <c r="AA196" s="643"/>
      <c r="AB196" s="643"/>
      <c r="AC196" s="643"/>
      <c r="AD196" s="643"/>
      <c r="AE196" s="643"/>
      <c r="AF196" s="465"/>
      <c r="AG196" s="269"/>
      <c r="AH196" s="269"/>
      <c r="AI196" s="269"/>
      <c r="AJ196" s="269"/>
      <c r="AK196" s="269"/>
      <c r="AL196" s="269"/>
      <c r="AM196" s="269"/>
      <c r="AN196" s="269"/>
      <c r="AO196" s="269"/>
      <c r="AP196" s="269"/>
      <c r="AQ196" s="269"/>
      <c r="AR196" s="269"/>
      <c r="AS196" s="269"/>
      <c r="AT196" s="269"/>
      <c r="AU196" s="269"/>
      <c r="AV196" s="269"/>
      <c r="AW196" s="269"/>
      <c r="AX196" s="269"/>
      <c r="AY196" s="269"/>
      <c r="AZ196" s="269"/>
      <c r="BA196" s="652"/>
    </row>
    <row r="197" spans="1:53">
      <c r="A197" s="709"/>
      <c r="B197" s="240"/>
      <c r="C197" s="240"/>
      <c r="D197" s="240"/>
      <c r="E197" s="240"/>
      <c r="F197" s="240"/>
      <c r="G197" s="240"/>
      <c r="H197" s="240"/>
      <c r="I197" s="240"/>
      <c r="J197" s="240"/>
      <c r="K197" s="240"/>
      <c r="L197" s="240"/>
      <c r="M197" s="240"/>
      <c r="N197" s="240"/>
      <c r="O197" s="240"/>
      <c r="P197" s="425">
        <v>22</v>
      </c>
      <c r="Q197" s="457">
        <v>0.82699999999999996</v>
      </c>
      <c r="R197" s="458"/>
      <c r="S197" s="447">
        <f t="shared" si="96"/>
        <v>1115</v>
      </c>
      <c r="T197" s="463">
        <v>990.81</v>
      </c>
      <c r="U197" s="632" t="str">
        <f t="shared" si="97"/>
        <v>1472 ̸ 1380</v>
      </c>
      <c r="V197" s="691">
        <f t="shared" si="94"/>
        <v>16.968744662681477</v>
      </c>
      <c r="W197" s="464">
        <v>1380</v>
      </c>
      <c r="X197" s="240"/>
      <c r="Y197" s="249"/>
      <c r="Z197" s="643"/>
      <c r="AA197" s="643"/>
      <c r="AB197" s="643"/>
      <c r="AC197" s="643"/>
      <c r="AD197" s="643"/>
      <c r="AE197" s="643"/>
      <c r="AF197" s="465"/>
      <c r="AG197" s="269"/>
      <c r="AH197" s="269"/>
      <c r="AI197" s="269"/>
      <c r="AJ197" s="269"/>
      <c r="AK197" s="269"/>
      <c r="AL197" s="269"/>
      <c r="AM197" s="269"/>
      <c r="AN197" s="269"/>
      <c r="AO197" s="269"/>
      <c r="AP197" s="269"/>
      <c r="AQ197" s="269"/>
      <c r="AR197" s="269"/>
      <c r="AS197" s="269"/>
      <c r="AT197" s="269"/>
      <c r="AU197" s="269"/>
      <c r="AV197" s="269"/>
      <c r="AW197" s="269"/>
      <c r="AX197" s="269"/>
      <c r="AY197" s="269"/>
      <c r="AZ197" s="269"/>
      <c r="BA197" s="652"/>
    </row>
    <row r="198" spans="1:53">
      <c r="A198" s="709"/>
      <c r="B198" s="240"/>
      <c r="C198" s="240"/>
      <c r="D198" s="240"/>
      <c r="E198" s="240"/>
      <c r="F198" s="240"/>
      <c r="G198" s="240"/>
      <c r="H198" s="240"/>
      <c r="I198" s="240"/>
      <c r="J198" s="240"/>
      <c r="K198" s="240"/>
      <c r="L198" s="240"/>
      <c r="M198" s="240"/>
      <c r="N198" s="240"/>
      <c r="O198" s="240"/>
      <c r="P198" s="425">
        <f>(P197+P199)/2</f>
        <v>22.5</v>
      </c>
      <c r="Q198" s="425">
        <f>(Q197+Q199)/2</f>
        <v>0.8145</v>
      </c>
      <c r="R198" s="458"/>
      <c r="S198" s="447">
        <f t="shared" si="96"/>
        <v>1120</v>
      </c>
      <c r="T198" s="463">
        <v>990.41</v>
      </c>
      <c r="U198" s="632" t="str">
        <f t="shared" si="97"/>
        <v>1536 ̸ 1440</v>
      </c>
      <c r="V198" s="691">
        <f t="shared" si="94"/>
        <v>17.752054794520554</v>
      </c>
      <c r="W198" s="464">
        <v>1440</v>
      </c>
      <c r="X198" s="240"/>
      <c r="Y198" s="249"/>
      <c r="Z198" s="643"/>
      <c r="AA198" s="643"/>
      <c r="AB198" s="643"/>
      <c r="AC198" s="643"/>
      <c r="AD198" s="643"/>
      <c r="AE198" s="643"/>
      <c r="AF198" s="465"/>
      <c r="AG198" s="269"/>
      <c r="AH198" s="269"/>
      <c r="AI198" s="269"/>
      <c r="AJ198" s="269"/>
      <c r="AK198" s="269"/>
      <c r="AL198" s="269"/>
      <c r="AM198" s="269"/>
      <c r="AN198" s="269"/>
      <c r="AO198" s="269"/>
      <c r="AP198" s="269"/>
      <c r="AQ198" s="269"/>
      <c r="AR198" s="269"/>
      <c r="AS198" s="269"/>
      <c r="AT198" s="269"/>
      <c r="AU198" s="269"/>
      <c r="AV198" s="269"/>
      <c r="AW198" s="269"/>
      <c r="AX198" s="269"/>
      <c r="AY198" s="269"/>
      <c r="AZ198" s="269"/>
      <c r="BA198" s="652"/>
    </row>
    <row r="199" spans="1:53">
      <c r="A199" s="709"/>
      <c r="B199" s="240"/>
      <c r="C199" s="240"/>
      <c r="D199" s="240"/>
      <c r="E199" s="240"/>
      <c r="F199" s="240"/>
      <c r="G199" s="240"/>
      <c r="H199" s="240"/>
      <c r="I199" s="240"/>
      <c r="J199" s="240"/>
      <c r="K199" s="240"/>
      <c r="L199" s="240"/>
      <c r="M199" s="240"/>
      <c r="N199" s="240"/>
      <c r="O199" s="240"/>
      <c r="P199" s="425">
        <v>23</v>
      </c>
      <c r="Q199" s="457">
        <v>0.80200000000000005</v>
      </c>
      <c r="R199" s="458"/>
      <c r="S199" s="447">
        <f t="shared" si="96"/>
        <v>1125</v>
      </c>
      <c r="T199" s="463">
        <v>990.01</v>
      </c>
      <c r="U199" s="632" t="str">
        <f t="shared" si="97"/>
        <v>1600 ̸ 1500</v>
      </c>
      <c r="V199" s="691">
        <f t="shared" si="94"/>
        <v>18.539399141630902</v>
      </c>
      <c r="W199" s="464">
        <v>1500</v>
      </c>
      <c r="X199" s="240"/>
      <c r="Y199" s="249"/>
      <c r="Z199" s="643"/>
      <c r="AA199" s="643"/>
      <c r="AB199" s="643"/>
      <c r="AC199" s="643"/>
      <c r="AD199" s="643"/>
      <c r="AE199" s="643"/>
      <c r="AF199" s="465"/>
      <c r="AG199" s="269"/>
      <c r="AH199" s="269"/>
      <c r="AI199" s="269"/>
      <c r="AJ199" s="269"/>
      <c r="AK199" s="269"/>
      <c r="AL199" s="269"/>
      <c r="AM199" s="269"/>
      <c r="AN199" s="269"/>
      <c r="AO199" s="269"/>
      <c r="AP199" s="269"/>
      <c r="AQ199" s="269"/>
      <c r="AR199" s="269"/>
      <c r="AS199" s="269"/>
      <c r="AT199" s="269"/>
      <c r="AU199" s="269"/>
      <c r="AV199" s="269"/>
      <c r="AW199" s="269"/>
      <c r="AX199" s="269"/>
      <c r="AY199" s="269"/>
      <c r="AZ199" s="269"/>
      <c r="BA199" s="652"/>
    </row>
    <row r="200" spans="1:53">
      <c r="A200" s="709"/>
      <c r="B200" s="240"/>
      <c r="C200" s="240"/>
      <c r="D200" s="240"/>
      <c r="E200" s="240"/>
      <c r="F200" s="240"/>
      <c r="G200" s="240"/>
      <c r="H200" s="240"/>
      <c r="I200" s="240"/>
      <c r="J200" s="240"/>
      <c r="K200" s="240"/>
      <c r="L200" s="240"/>
      <c r="M200" s="240"/>
      <c r="N200" s="240"/>
      <c r="O200" s="240"/>
      <c r="P200" s="425">
        <f>(P199+P201)/2</f>
        <v>23.5</v>
      </c>
      <c r="Q200" s="425">
        <f>(Q199+Q201)/2</f>
        <v>0.79150000000000009</v>
      </c>
      <c r="R200" s="458"/>
      <c r="S200" s="447">
        <f t="shared" si="96"/>
        <v>1130</v>
      </c>
      <c r="T200" s="463">
        <v>989.61</v>
      </c>
      <c r="U200" s="632" t="str">
        <f t="shared" si="97"/>
        <v>1664 ̸ 1560</v>
      </c>
      <c r="V200" s="691">
        <f t="shared" si="94"/>
        <v>19.330808950086055</v>
      </c>
      <c r="W200" s="464">
        <v>1560</v>
      </c>
      <c r="X200" s="240"/>
      <c r="Y200" s="249"/>
      <c r="Z200" s="643"/>
      <c r="AA200" s="643"/>
      <c r="AB200" s="643"/>
      <c r="AC200" s="643"/>
      <c r="AD200" s="643"/>
      <c r="AE200" s="643"/>
      <c r="AF200" s="465"/>
      <c r="AG200" s="269"/>
      <c r="AH200" s="269"/>
      <c r="AI200" s="269"/>
      <c r="AJ200" s="269"/>
      <c r="AK200" s="269"/>
      <c r="AL200" s="269"/>
      <c r="AM200" s="269"/>
      <c r="AN200" s="269"/>
      <c r="AO200" s="269"/>
      <c r="AP200" s="269"/>
      <c r="AQ200" s="269"/>
      <c r="AR200" s="269"/>
      <c r="AS200" s="269"/>
      <c r="AT200" s="269"/>
      <c r="AU200" s="269"/>
      <c r="AV200" s="269"/>
      <c r="AW200" s="269"/>
      <c r="AX200" s="269"/>
      <c r="AY200" s="269"/>
      <c r="AZ200" s="269"/>
      <c r="BA200" s="652"/>
    </row>
    <row r="201" spans="1:53">
      <c r="A201" s="709"/>
      <c r="B201" s="240"/>
      <c r="C201" s="240"/>
      <c r="D201" s="240"/>
      <c r="E201" s="240"/>
      <c r="F201" s="240"/>
      <c r="G201" s="240"/>
      <c r="H201" s="240"/>
      <c r="I201" s="240"/>
      <c r="J201" s="240"/>
      <c r="K201" s="240"/>
      <c r="L201" s="240"/>
      <c r="M201" s="240"/>
      <c r="N201" s="240"/>
      <c r="O201" s="240"/>
      <c r="P201" s="425">
        <v>24</v>
      </c>
      <c r="Q201" s="457">
        <v>0.78100000000000003</v>
      </c>
      <c r="R201" s="37"/>
      <c r="S201" s="447">
        <f t="shared" si="96"/>
        <v>1135</v>
      </c>
      <c r="T201" s="463">
        <v>989.21</v>
      </c>
      <c r="U201" s="632" t="str">
        <f t="shared" si="97"/>
        <v>1728 ̸ 1620</v>
      </c>
      <c r="V201" s="691">
        <f t="shared" si="94"/>
        <v>20.126315789473679</v>
      </c>
      <c r="W201" s="464">
        <v>1620</v>
      </c>
      <c r="X201" s="240"/>
      <c r="Y201" s="249"/>
      <c r="Z201" s="643"/>
      <c r="AA201" s="643"/>
      <c r="AB201" s="643"/>
      <c r="AC201" s="643"/>
      <c r="AD201" s="643"/>
      <c r="AE201" s="643"/>
      <c r="AF201" s="643"/>
      <c r="AG201" s="269"/>
      <c r="AH201" s="269"/>
      <c r="AI201" s="269"/>
      <c r="AJ201" s="269"/>
      <c r="AK201" s="269"/>
      <c r="AL201" s="269"/>
      <c r="AM201" s="269"/>
      <c r="AN201" s="269"/>
      <c r="AO201" s="269"/>
      <c r="AP201" s="269"/>
      <c r="AQ201" s="269"/>
      <c r="AR201" s="269"/>
      <c r="AS201" s="269"/>
      <c r="AT201" s="269"/>
      <c r="AU201" s="269"/>
      <c r="AV201" s="269"/>
      <c r="AW201" s="269"/>
      <c r="AX201" s="269"/>
      <c r="AY201" s="269"/>
      <c r="AZ201" s="269"/>
      <c r="BA201" s="652"/>
    </row>
    <row r="202" spans="1:53">
      <c r="A202" s="709"/>
      <c r="B202" s="240"/>
      <c r="C202" s="240"/>
      <c r="D202" s="240"/>
      <c r="E202" s="240"/>
      <c r="F202" s="240"/>
      <c r="G202" s="240"/>
      <c r="H202" s="240"/>
      <c r="I202" s="240"/>
      <c r="J202" s="240"/>
      <c r="K202" s="240"/>
      <c r="L202" s="240"/>
      <c r="M202" s="240"/>
      <c r="N202" s="240"/>
      <c r="O202" s="240"/>
      <c r="P202" s="425">
        <f>(P201+P203)/2</f>
        <v>24.5</v>
      </c>
      <c r="Q202" s="425">
        <f>(Q201+Q203)/2</f>
        <v>0.77</v>
      </c>
      <c r="R202" s="37"/>
      <c r="S202" s="447">
        <f t="shared" si="96"/>
        <v>1140</v>
      </c>
      <c r="T202" s="463">
        <v>988.81</v>
      </c>
      <c r="U202" s="632" t="str">
        <f t="shared" si="97"/>
        <v>1792 ̸ 1680</v>
      </c>
      <c r="V202" s="691">
        <f t="shared" si="94"/>
        <v>20.925951557093434</v>
      </c>
      <c r="W202" s="464">
        <v>1680</v>
      </c>
      <c r="X202" s="240"/>
      <c r="Y202" s="249"/>
      <c r="Z202" s="643"/>
      <c r="AA202" s="643"/>
      <c r="AB202" s="643"/>
      <c r="AC202" s="643"/>
      <c r="AD202" s="643"/>
      <c r="AE202" s="643"/>
      <c r="AF202" s="643"/>
      <c r="AG202" s="269"/>
      <c r="AH202" s="269"/>
      <c r="AI202" s="269"/>
      <c r="AJ202" s="269"/>
      <c r="AK202" s="269"/>
      <c r="AL202" s="269"/>
      <c r="AM202" s="269"/>
      <c r="AN202" s="269"/>
      <c r="AO202" s="269"/>
      <c r="AP202" s="269"/>
      <c r="AQ202" s="269"/>
      <c r="AR202" s="269"/>
      <c r="AS202" s="269"/>
      <c r="AT202" s="269"/>
      <c r="AU202" s="269"/>
      <c r="AV202" s="269"/>
      <c r="AW202" s="269"/>
      <c r="AX202" s="269"/>
      <c r="AY202" s="269"/>
      <c r="AZ202" s="269"/>
      <c r="BA202" s="652"/>
    </row>
    <row r="203" spans="1:53">
      <c r="A203" s="709"/>
      <c r="B203" s="240"/>
      <c r="C203" s="240"/>
      <c r="D203" s="240"/>
      <c r="E203" s="240"/>
      <c r="F203" s="240"/>
      <c r="G203" s="240"/>
      <c r="H203" s="240"/>
      <c r="I203" s="240"/>
      <c r="J203" s="240"/>
      <c r="K203" s="240"/>
      <c r="L203" s="240"/>
      <c r="M203" s="240"/>
      <c r="N203" s="240"/>
      <c r="O203" s="240"/>
      <c r="P203" s="425">
        <v>25</v>
      </c>
      <c r="Q203" s="457">
        <v>0.75900000000000001</v>
      </c>
      <c r="R203" s="37"/>
      <c r="S203" s="447">
        <f t="shared" si="96"/>
        <v>1145</v>
      </c>
      <c r="T203" s="463">
        <v>988.41</v>
      </c>
      <c r="U203" s="632" t="str">
        <f t="shared" si="97"/>
        <v>1856 ̸ 1740</v>
      </c>
      <c r="V203" s="691">
        <f t="shared" si="94"/>
        <v>21.729748482220298</v>
      </c>
      <c r="W203" s="464">
        <v>1740</v>
      </c>
      <c r="X203" s="240"/>
      <c r="Y203" s="249"/>
      <c r="Z203" s="643"/>
      <c r="AA203" s="643"/>
      <c r="AB203" s="643"/>
      <c r="AC203" s="643"/>
      <c r="AD203" s="643"/>
      <c r="AE203" s="643"/>
      <c r="AF203" s="643"/>
      <c r="AG203" s="269"/>
      <c r="AH203" s="269"/>
      <c r="AI203" s="269"/>
      <c r="AJ203" s="269"/>
      <c r="AK203" s="269"/>
      <c r="AL203" s="269"/>
      <c r="AM203" s="269"/>
      <c r="AN203" s="269"/>
      <c r="AO203" s="269"/>
      <c r="AP203" s="269"/>
      <c r="AQ203" s="269"/>
      <c r="AR203" s="269"/>
      <c r="AS203" s="269"/>
      <c r="AT203" s="269"/>
      <c r="AU203" s="269"/>
      <c r="AV203" s="269"/>
      <c r="AW203" s="269"/>
      <c r="AX203" s="269"/>
      <c r="AY203" s="269"/>
      <c r="AZ203" s="269"/>
      <c r="BA203" s="652"/>
    </row>
    <row r="204" spans="1:53">
      <c r="A204" s="709"/>
      <c r="B204" s="240"/>
      <c r="C204" s="240"/>
      <c r="D204" s="240"/>
      <c r="E204" s="240"/>
      <c r="F204" s="240"/>
      <c r="G204" s="240"/>
      <c r="H204" s="240"/>
      <c r="I204" s="240"/>
      <c r="J204" s="240"/>
      <c r="K204" s="240"/>
      <c r="L204" s="240"/>
      <c r="M204" s="240"/>
      <c r="N204" s="240"/>
      <c r="O204" s="240"/>
      <c r="P204" s="425">
        <f>(P203+P205)/2</f>
        <v>25.5</v>
      </c>
      <c r="Q204" s="425">
        <f>(Q203+Q205)/2</f>
        <v>0.74849999999999994</v>
      </c>
      <c r="R204" s="37"/>
      <c r="S204" s="447">
        <f t="shared" si="96"/>
        <v>1150</v>
      </c>
      <c r="T204" s="463">
        <v>988.01</v>
      </c>
      <c r="U204" s="632" t="str">
        <f t="shared" si="97"/>
        <v>1920 ̸ 1800</v>
      </c>
      <c r="V204" s="691">
        <f t="shared" si="94"/>
        <v>22.537739130434783</v>
      </c>
      <c r="W204" s="464">
        <v>1800</v>
      </c>
      <c r="X204" s="240"/>
      <c r="Y204" s="249"/>
      <c r="Z204" s="643"/>
      <c r="AA204" s="643"/>
      <c r="AB204" s="643"/>
      <c r="AC204" s="643"/>
      <c r="AD204" s="643"/>
      <c r="AE204" s="643"/>
      <c r="AF204" s="643"/>
      <c r="AG204" s="269"/>
      <c r="AH204" s="269"/>
      <c r="AI204" s="269"/>
      <c r="AJ204" s="269"/>
      <c r="AK204" s="269"/>
      <c r="AL204" s="269"/>
      <c r="AM204" s="269"/>
      <c r="AN204" s="269"/>
      <c r="AO204" s="269"/>
      <c r="AP204" s="269"/>
      <c r="AQ204" s="269"/>
      <c r="AR204" s="269"/>
      <c r="AS204" s="269"/>
      <c r="AT204" s="269"/>
      <c r="AU204" s="269"/>
      <c r="AV204" s="269"/>
      <c r="AW204" s="269"/>
      <c r="AX204" s="269"/>
      <c r="AY204" s="269"/>
      <c r="AZ204" s="269"/>
      <c r="BA204" s="652"/>
    </row>
    <row r="205" spans="1:53">
      <c r="A205" s="709"/>
      <c r="B205" s="240"/>
      <c r="C205" s="240"/>
      <c r="D205" s="240"/>
      <c r="E205" s="240"/>
      <c r="F205" s="240"/>
      <c r="G205" s="240"/>
      <c r="H205" s="240"/>
      <c r="I205" s="240"/>
      <c r="J205" s="240"/>
      <c r="K205" s="240"/>
      <c r="L205" s="240"/>
      <c r="M205" s="240"/>
      <c r="N205" s="240"/>
      <c r="O205" s="240"/>
      <c r="P205" s="425">
        <v>26</v>
      </c>
      <c r="Q205" s="457">
        <v>0.73799999999999999</v>
      </c>
      <c r="R205" s="37"/>
      <c r="S205" s="447">
        <f t="shared" si="96"/>
        <v>1155</v>
      </c>
      <c r="T205" s="463">
        <v>987.61</v>
      </c>
      <c r="U205" s="632" t="str">
        <f>1*FIXED(((U$162/4.5)*W205),0)&amp;" ̸ "&amp;1*FIXED(((U$163/4.5)*W205),1)</f>
        <v>1984 ̸ 1860</v>
      </c>
      <c r="V205" s="691">
        <f t="shared" si="94"/>
        <v>23.349956408020923</v>
      </c>
      <c r="W205" s="464">
        <v>1860</v>
      </c>
      <c r="X205" s="240"/>
      <c r="Y205" s="249"/>
      <c r="Z205" s="643"/>
      <c r="AA205" s="643"/>
      <c r="AB205" s="643"/>
      <c r="AC205" s="643"/>
      <c r="AD205" s="643"/>
      <c r="AE205" s="643"/>
      <c r="AF205" s="643"/>
      <c r="AG205" s="269"/>
      <c r="AH205" s="269"/>
      <c r="AI205" s="269"/>
      <c r="AJ205" s="269"/>
      <c r="AK205" s="269"/>
      <c r="AL205" s="269"/>
      <c r="AM205" s="269"/>
      <c r="AN205" s="269"/>
      <c r="AO205" s="269"/>
      <c r="AP205" s="269"/>
      <c r="AQ205" s="269"/>
      <c r="AR205" s="269"/>
      <c r="AS205" s="269"/>
      <c r="AT205" s="269"/>
      <c r="AU205" s="269"/>
      <c r="AV205" s="269"/>
      <c r="AW205" s="269"/>
      <c r="AX205" s="269"/>
      <c r="AY205" s="269"/>
      <c r="AZ205" s="269"/>
      <c r="BA205" s="652"/>
    </row>
    <row r="206" spans="1:53" ht="18" customHeight="1">
      <c r="A206" s="709"/>
      <c r="B206" s="240"/>
      <c r="C206" s="240"/>
      <c r="D206" s="240"/>
      <c r="E206" s="240"/>
      <c r="F206" s="240"/>
      <c r="G206" s="240"/>
      <c r="H206" s="240"/>
      <c r="I206" s="240"/>
      <c r="J206" s="240"/>
      <c r="K206" s="240"/>
      <c r="L206" s="240"/>
      <c r="M206" s="240"/>
      <c r="N206" s="240"/>
      <c r="O206" s="240"/>
      <c r="P206" s="425">
        <v>27</v>
      </c>
      <c r="Q206" s="457">
        <v>0.71799999999999997</v>
      </c>
      <c r="R206" s="37"/>
      <c r="S206" s="467" t="s">
        <v>730</v>
      </c>
      <c r="T206" s="468"/>
      <c r="U206" s="468"/>
      <c r="V206" s="468"/>
      <c r="W206" s="690"/>
      <c r="X206" s="240"/>
      <c r="Y206" s="249"/>
      <c r="Z206" s="269"/>
      <c r="AA206" s="643"/>
      <c r="AB206" s="643"/>
      <c r="AC206" s="643"/>
      <c r="AD206" s="643"/>
      <c r="AE206" s="643"/>
      <c r="AF206" s="643"/>
      <c r="AG206" s="269"/>
      <c r="AH206" s="269"/>
      <c r="AI206" s="269"/>
      <c r="AJ206" s="269"/>
      <c r="AK206" s="269"/>
      <c r="AL206" s="269"/>
      <c r="AM206" s="269"/>
      <c r="AN206" s="269"/>
      <c r="AO206" s="269"/>
      <c r="AP206" s="269"/>
      <c r="AQ206" s="269"/>
      <c r="AR206" s="269"/>
      <c r="AS206" s="269"/>
      <c r="AT206" s="269"/>
      <c r="AU206" s="269"/>
      <c r="AV206" s="269"/>
      <c r="AW206" s="269"/>
      <c r="AX206" s="269"/>
      <c r="AY206" s="269"/>
      <c r="AZ206" s="269"/>
      <c r="BA206" s="652"/>
    </row>
    <row r="207" spans="1:53" ht="13.95" customHeight="1">
      <c r="A207" s="709"/>
      <c r="B207" s="240"/>
      <c r="C207" s="240"/>
      <c r="D207" s="240"/>
      <c r="E207" s="240"/>
      <c r="F207" s="240"/>
      <c r="G207" s="240"/>
      <c r="H207" s="240"/>
      <c r="I207" s="240"/>
      <c r="J207" s="240"/>
      <c r="K207" s="240"/>
      <c r="L207" s="240"/>
      <c r="M207" s="240"/>
      <c r="N207" s="240"/>
      <c r="O207" s="240"/>
      <c r="P207" s="425">
        <v>28</v>
      </c>
      <c r="Q207" s="457">
        <v>0.69899999999999995</v>
      </c>
      <c r="R207" s="37"/>
      <c r="S207" s="947" t="str">
        <f>"In a wort/must of "&amp;FIXED(U162)&amp;" (cell C162) litres, a weight  of say"</f>
        <v>In a wort/must of 4.80 (cell C162) litres, a weight  of say</v>
      </c>
      <c r="T207" s="947"/>
      <c r="U207" s="947"/>
      <c r="V207" s="947"/>
      <c r="W207" s="469">
        <v>100</v>
      </c>
      <c r="X207" s="683" t="s">
        <v>51</v>
      </c>
      <c r="Y207" s="249"/>
      <c r="Z207" s="269"/>
      <c r="AA207" s="643"/>
      <c r="AB207" s="643"/>
      <c r="AC207" s="643"/>
      <c r="AD207" s="643"/>
      <c r="AE207" s="643"/>
      <c r="AF207" s="643"/>
      <c r="AG207" s="269"/>
      <c r="AH207" s="269"/>
      <c r="AI207" s="269"/>
      <c r="AJ207" s="269"/>
      <c r="AK207" s="269"/>
      <c r="AL207" s="269"/>
      <c r="AM207" s="269"/>
      <c r="AN207" s="269"/>
      <c r="AO207" s="269"/>
      <c r="AP207" s="269"/>
      <c r="AQ207" s="269"/>
      <c r="AR207" s="269"/>
      <c r="AS207" s="269"/>
      <c r="AT207" s="269"/>
      <c r="AU207" s="269"/>
      <c r="AV207" s="269"/>
      <c r="AW207" s="269"/>
      <c r="AX207" s="269"/>
      <c r="AY207" s="269"/>
      <c r="AZ207" s="269"/>
      <c r="BA207" s="652"/>
    </row>
    <row r="208" spans="1:53" ht="15" customHeight="1">
      <c r="A208" s="709"/>
      <c r="B208" s="240"/>
      <c r="C208" s="240"/>
      <c r="D208" s="240"/>
      <c r="E208" s="240"/>
      <c r="F208" s="240"/>
      <c r="G208" s="240"/>
      <c r="H208" s="240"/>
      <c r="I208" s="240"/>
      <c r="J208" s="240"/>
      <c r="K208" s="240"/>
      <c r="L208" s="240"/>
      <c r="M208" s="240"/>
      <c r="N208" s="240"/>
      <c r="O208" s="240"/>
      <c r="P208" s="425">
        <v>29</v>
      </c>
      <c r="Q208" s="457">
        <v>0.68200000000000005</v>
      </c>
      <c r="R208" s="37"/>
      <c r="S208" s="1200" t="str">
        <f>"of sugar in "&amp;U163&amp;" litres this will produce the same effect as "&amp;1*FIXED(U163/U162)*100&amp;"g litres of finished, bottled beer/wine.The sugar content includes the juice &amp;/or fruit etc. in wines, some of which may be hidden. Un-fermentable sugars will also be included in these figures."</f>
        <v>of sugar in 4.5 litres this will produce the same effect as 94g litres of finished, bottled beer/wine.The sugar content includes the juice &amp;/or fruit etc. in wines, some of which may be hidden. Un-fermentable sugars will also be included in these figures.</v>
      </c>
      <c r="T208" s="1200"/>
      <c r="U208" s="1200"/>
      <c r="V208" s="1200"/>
      <c r="W208" s="1200"/>
      <c r="X208" s="1200"/>
      <c r="Y208" s="249"/>
      <c r="Z208" s="269"/>
      <c r="AA208" s="643"/>
      <c r="AB208" s="643"/>
      <c r="AC208" s="643"/>
      <c r="AD208" s="643"/>
      <c r="AE208" s="643"/>
      <c r="AF208" s="643"/>
      <c r="AG208" s="269"/>
      <c r="AH208" s="269"/>
      <c r="AI208" s="269"/>
      <c r="AJ208" s="269"/>
      <c r="AK208" s="269"/>
      <c r="AL208" s="269"/>
      <c r="AM208" s="269"/>
      <c r="AN208" s="269"/>
      <c r="AO208" s="269"/>
      <c r="AP208" s="269"/>
      <c r="AQ208" s="269"/>
      <c r="AR208" s="269"/>
      <c r="AS208" s="269"/>
      <c r="AT208" s="269"/>
      <c r="AU208" s="269"/>
      <c r="AV208" s="269"/>
      <c r="AW208" s="269"/>
      <c r="AX208" s="269"/>
      <c r="AY208" s="269"/>
      <c r="AZ208" s="269"/>
      <c r="BA208" s="652"/>
    </row>
    <row r="209" spans="1:53">
      <c r="A209" s="709"/>
      <c r="B209" s="240"/>
      <c r="C209" s="240"/>
      <c r="D209" s="240"/>
      <c r="E209" s="240"/>
      <c r="F209" s="240"/>
      <c r="G209" s="240"/>
      <c r="H209" s="240"/>
      <c r="I209" s="240"/>
      <c r="J209" s="240"/>
      <c r="K209" s="240"/>
      <c r="L209" s="240"/>
      <c r="M209" s="240"/>
      <c r="N209" s="240"/>
      <c r="O209" s="240"/>
      <c r="P209" s="425">
        <v>30</v>
      </c>
      <c r="Q209" s="457">
        <v>0.66500000000000004</v>
      </c>
      <c r="R209" s="37"/>
      <c r="S209" s="1200"/>
      <c r="T209" s="1200"/>
      <c r="U209" s="1200"/>
      <c r="V209" s="1200"/>
      <c r="W209" s="1200"/>
      <c r="X209" s="1200"/>
      <c r="Y209" s="249"/>
      <c r="Z209" s="269"/>
      <c r="AA209" s="643"/>
      <c r="AB209" s="643"/>
      <c r="AC209" s="643"/>
      <c r="AD209" s="643"/>
      <c r="AE209" s="643"/>
      <c r="AF209" s="643"/>
      <c r="AG209" s="269"/>
      <c r="AH209" s="269"/>
      <c r="AI209" s="269"/>
      <c r="AJ209" s="269"/>
      <c r="AK209" s="269"/>
      <c r="AL209" s="269"/>
      <c r="AM209" s="269"/>
      <c r="AN209" s="269"/>
      <c r="AO209" s="269"/>
      <c r="AP209" s="269"/>
      <c r="AQ209" s="269"/>
      <c r="AR209" s="269"/>
      <c r="AS209" s="269"/>
      <c r="AT209" s="269"/>
      <c r="AU209" s="269"/>
      <c r="AV209" s="269"/>
      <c r="AW209" s="269"/>
      <c r="AX209" s="269"/>
      <c r="AY209" s="269"/>
      <c r="AZ209" s="269"/>
      <c r="BA209" s="652"/>
    </row>
    <row r="210" spans="1:53">
      <c r="A210" s="709"/>
      <c r="B210" s="240"/>
      <c r="C210" s="240"/>
      <c r="D210" s="240"/>
      <c r="E210" s="240"/>
      <c r="F210" s="240"/>
      <c r="G210" s="240"/>
      <c r="H210" s="240"/>
      <c r="I210" s="240"/>
      <c r="J210" s="240"/>
      <c r="K210" s="240"/>
      <c r="L210" s="240"/>
      <c r="M210" s="240"/>
      <c r="N210" s="240"/>
      <c r="O210" s="240"/>
      <c r="P210" s="240"/>
      <c r="Q210" s="240"/>
      <c r="R210" s="240"/>
      <c r="S210" s="1200"/>
      <c r="T210" s="1200"/>
      <c r="U210" s="1200"/>
      <c r="V210" s="1200"/>
      <c r="W210" s="1200"/>
      <c r="X210" s="1200"/>
      <c r="Y210" s="249"/>
      <c r="Z210" s="269"/>
      <c r="AA210" s="643"/>
      <c r="AB210" s="643"/>
      <c r="AC210" s="643"/>
      <c r="AD210" s="643"/>
      <c r="AE210" s="643"/>
      <c r="AF210" s="465"/>
      <c r="AG210" s="269"/>
      <c r="AH210" s="269"/>
      <c r="AI210" s="269"/>
      <c r="AJ210" s="269"/>
      <c r="AK210" s="269"/>
      <c r="AL210" s="269"/>
      <c r="AM210" s="269"/>
      <c r="AN210" s="269"/>
      <c r="AO210" s="269"/>
      <c r="AP210" s="269"/>
      <c r="AQ210" s="269"/>
      <c r="AR210" s="269"/>
      <c r="AS210" s="269"/>
      <c r="AT210" s="269"/>
      <c r="AU210" s="269"/>
      <c r="AV210" s="269"/>
      <c r="AW210" s="269"/>
      <c r="AX210" s="269"/>
      <c r="AY210" s="269"/>
      <c r="AZ210" s="269"/>
      <c r="BA210" s="652"/>
    </row>
    <row r="211" spans="1:53">
      <c r="A211" s="709"/>
      <c r="B211" s="240"/>
      <c r="C211" s="240"/>
      <c r="D211" s="240"/>
      <c r="E211" s="240"/>
      <c r="F211" s="240"/>
      <c r="G211" s="240"/>
      <c r="H211" s="240"/>
      <c r="I211" s="240"/>
      <c r="J211" s="240"/>
      <c r="K211" s="240"/>
      <c r="L211" s="240"/>
      <c r="M211" s="240"/>
      <c r="N211" s="240"/>
      <c r="O211" s="240"/>
      <c r="P211" s="240"/>
      <c r="Q211" s="240"/>
      <c r="R211" s="240"/>
      <c r="S211" s="1200"/>
      <c r="T211" s="1200"/>
      <c r="U211" s="1200"/>
      <c r="V211" s="1200"/>
      <c r="W211" s="1200"/>
      <c r="X211" s="1200"/>
      <c r="Y211" s="249"/>
      <c r="Z211" s="269"/>
      <c r="AA211" s="643"/>
      <c r="AB211" s="643"/>
      <c r="AC211" s="643"/>
      <c r="AD211" s="643"/>
      <c r="AE211" s="643"/>
      <c r="AF211" s="465"/>
      <c r="AG211" s="269"/>
      <c r="AH211" s="269"/>
      <c r="AI211" s="269"/>
      <c r="AJ211" s="269"/>
      <c r="AK211" s="269"/>
      <c r="AL211" s="269"/>
      <c r="AM211" s="269"/>
      <c r="AN211" s="269"/>
      <c r="AO211" s="269"/>
      <c r="AP211" s="269"/>
      <c r="AQ211" s="269"/>
      <c r="AR211" s="269"/>
      <c r="AS211" s="269"/>
      <c r="AT211" s="269"/>
      <c r="AU211" s="269"/>
      <c r="AV211" s="269"/>
      <c r="AW211" s="269"/>
      <c r="AX211" s="269"/>
      <c r="AY211" s="269"/>
      <c r="AZ211" s="269"/>
      <c r="BA211" s="652"/>
    </row>
    <row r="212" spans="1:53">
      <c r="A212" s="914" t="s">
        <v>964</v>
      </c>
      <c r="B212" s="914"/>
      <c r="C212" s="914"/>
      <c r="D212" s="914"/>
      <c r="E212" s="914"/>
      <c r="F212" s="914"/>
      <c r="G212" s="914"/>
      <c r="H212" s="914"/>
      <c r="I212" s="914"/>
      <c r="J212" s="240"/>
      <c r="K212" s="240"/>
      <c r="L212" s="240"/>
      <c r="M212" s="240"/>
      <c r="N212" s="240"/>
      <c r="O212" s="240"/>
      <c r="P212" s="240"/>
      <c r="Q212" s="240"/>
      <c r="R212" s="240"/>
      <c r="S212" s="171"/>
      <c r="T212" s="171"/>
      <c r="U212" s="171"/>
      <c r="V212" s="171"/>
      <c r="W212" s="171"/>
      <c r="X212" s="240"/>
      <c r="Y212" s="249"/>
      <c r="Z212" s="269"/>
      <c r="AA212" s="643"/>
      <c r="AB212" s="643"/>
      <c r="AC212" s="643"/>
      <c r="AD212" s="643"/>
      <c r="AE212" s="643"/>
      <c r="AF212" s="465"/>
      <c r="AG212" s="269"/>
      <c r="AH212" s="269"/>
      <c r="AI212" s="269"/>
      <c r="AJ212" s="269"/>
      <c r="AK212" s="269"/>
      <c r="AL212" s="269"/>
      <c r="AM212" s="269"/>
      <c r="AN212" s="269"/>
      <c r="AO212" s="269"/>
      <c r="AP212" s="269"/>
      <c r="AQ212" s="269"/>
      <c r="AR212" s="269"/>
      <c r="AS212" s="269"/>
      <c r="AT212" s="269"/>
      <c r="AU212" s="269"/>
      <c r="AV212" s="269"/>
      <c r="AW212" s="269"/>
      <c r="AX212" s="269"/>
      <c r="AY212" s="269"/>
      <c r="AZ212" s="269"/>
      <c r="BA212" s="652"/>
    </row>
  </sheetData>
  <sheetProtection password="FA80" sheet="1" objects="1" scenarios="1"/>
  <mergeCells count="302">
    <mergeCell ref="A212:I212"/>
    <mergeCell ref="J148:Q148"/>
    <mergeCell ref="S164:S165"/>
    <mergeCell ref="T164:T165"/>
    <mergeCell ref="Z3:Z4"/>
    <mergeCell ref="AM9:AM10"/>
    <mergeCell ref="S208:X211"/>
    <mergeCell ref="S159:W160"/>
    <mergeCell ref="J1:O2"/>
    <mergeCell ref="AA3:AB4"/>
    <mergeCell ref="AC3:AD4"/>
    <mergeCell ref="AE3:AF4"/>
    <mergeCell ref="AG3:AH4"/>
    <mergeCell ref="AI3:AJ4"/>
    <mergeCell ref="AM5:BA7"/>
    <mergeCell ref="AZ9:BA10"/>
    <mergeCell ref="J16:K17"/>
    <mergeCell ref="O105:P106"/>
    <mergeCell ref="R115:S117"/>
    <mergeCell ref="R125:T127"/>
    <mergeCell ref="J132:K133"/>
    <mergeCell ref="P132:Q133"/>
    <mergeCell ref="U164:V164"/>
    <mergeCell ref="S207:V207"/>
    <mergeCell ref="C80:C85"/>
    <mergeCell ref="C93:C94"/>
    <mergeCell ref="C115:C116"/>
    <mergeCell ref="C133:C134"/>
    <mergeCell ref="H95:H114"/>
    <mergeCell ref="J114:J115"/>
    <mergeCell ref="K114:K115"/>
    <mergeCell ref="D134:E134"/>
    <mergeCell ref="J134:K134"/>
    <mergeCell ref="D132:G132"/>
    <mergeCell ref="D133:E133"/>
    <mergeCell ref="I97:K97"/>
    <mergeCell ref="J100:K100"/>
    <mergeCell ref="E81:F81"/>
    <mergeCell ref="I81:K81"/>
    <mergeCell ref="H117:I131"/>
    <mergeCell ref="D82:F82"/>
    <mergeCell ref="I82:K82"/>
    <mergeCell ref="I83:K83"/>
    <mergeCell ref="I84:K84"/>
    <mergeCell ref="A11:A12"/>
    <mergeCell ref="A80:A85"/>
    <mergeCell ref="A93:A94"/>
    <mergeCell ref="A115:A116"/>
    <mergeCell ref="A117:A131"/>
    <mergeCell ref="A133:A134"/>
    <mergeCell ref="A135:A142"/>
    <mergeCell ref="B11:B12"/>
    <mergeCell ref="B80:B85"/>
    <mergeCell ref="B93:B94"/>
    <mergeCell ref="B115:B116"/>
    <mergeCell ref="B133:B134"/>
    <mergeCell ref="A132:B132"/>
    <mergeCell ref="E151:F151"/>
    <mergeCell ref="E152:F152"/>
    <mergeCell ref="E156:F156"/>
    <mergeCell ref="J138:K138"/>
    <mergeCell ref="A158:B158"/>
    <mergeCell ref="S158:U158"/>
    <mergeCell ref="S162:T162"/>
    <mergeCell ref="V162:W162"/>
    <mergeCell ref="S163:T163"/>
    <mergeCell ref="V163:W163"/>
    <mergeCell ref="J146:Q146"/>
    <mergeCell ref="V147:X147"/>
    <mergeCell ref="A150:D150"/>
    <mergeCell ref="J150:L150"/>
    <mergeCell ref="P138:Q138"/>
    <mergeCell ref="J139:K139"/>
    <mergeCell ref="P139:Q139"/>
    <mergeCell ref="J140:K140"/>
    <mergeCell ref="P140:Q140"/>
    <mergeCell ref="J141:K141"/>
    <mergeCell ref="J145:K145"/>
    <mergeCell ref="B143:F146"/>
    <mergeCell ref="P141:Q141"/>
    <mergeCell ref="M142:O142"/>
    <mergeCell ref="Z134:AL134"/>
    <mergeCell ref="J135:K135"/>
    <mergeCell ref="P135:Q135"/>
    <mergeCell ref="J136:K136"/>
    <mergeCell ref="P136:Q136"/>
    <mergeCell ref="J137:K137"/>
    <mergeCell ref="P137:Q137"/>
    <mergeCell ref="J142:L142"/>
    <mergeCell ref="O125:P125"/>
    <mergeCell ref="O126:P126"/>
    <mergeCell ref="O127:P127"/>
    <mergeCell ref="J131:K131"/>
    <mergeCell ref="M132:O132"/>
    <mergeCell ref="S132:U132"/>
    <mergeCell ref="P142:Q142"/>
    <mergeCell ref="P134:Q134"/>
    <mergeCell ref="Z116:AL116"/>
    <mergeCell ref="O117:P117"/>
    <mergeCell ref="O118:P118"/>
    <mergeCell ref="R118:S118"/>
    <mergeCell ref="O119:P119"/>
    <mergeCell ref="R119:S119"/>
    <mergeCell ref="O120:P120"/>
    <mergeCell ref="R120:S120"/>
    <mergeCell ref="O124:R124"/>
    <mergeCell ref="J113:L113"/>
    <mergeCell ref="O113:Q113"/>
    <mergeCell ref="O114:T114"/>
    <mergeCell ref="D115:E115"/>
    <mergeCell ref="O115:P115"/>
    <mergeCell ref="D116:E116"/>
    <mergeCell ref="O116:P116"/>
    <mergeCell ref="L114:L115"/>
    <mergeCell ref="Q100:R100"/>
    <mergeCell ref="O109:P109"/>
    <mergeCell ref="O110:P110"/>
    <mergeCell ref="V100:W100"/>
    <mergeCell ref="L101:P101"/>
    <mergeCell ref="Q101:S101"/>
    <mergeCell ref="L102:P102"/>
    <mergeCell ref="J104:K104"/>
    <mergeCell ref="I92:K92"/>
    <mergeCell ref="D93:E93"/>
    <mergeCell ref="I93:K93"/>
    <mergeCell ref="L93:O93"/>
    <mergeCell ref="D94:E94"/>
    <mergeCell ref="I94:K94"/>
    <mergeCell ref="L100:P100"/>
    <mergeCell ref="Z94:AL94"/>
    <mergeCell ref="I95:K95"/>
    <mergeCell ref="I96:K96"/>
    <mergeCell ref="I85:K85"/>
    <mergeCell ref="M85:U85"/>
    <mergeCell ref="I86:K86"/>
    <mergeCell ref="M86:U86"/>
    <mergeCell ref="I87:K87"/>
    <mergeCell ref="M87:U87"/>
    <mergeCell ref="I89:L89"/>
    <mergeCell ref="I90:K90"/>
    <mergeCell ref="I91:K91"/>
    <mergeCell ref="M84:U84"/>
    <mergeCell ref="D83:F85"/>
    <mergeCell ref="I79:V79"/>
    <mergeCell ref="I80:K80"/>
    <mergeCell ref="M80:U80"/>
    <mergeCell ref="I63:K63"/>
    <mergeCell ref="M63:S63"/>
    <mergeCell ref="I64:K64"/>
    <mergeCell ref="M64:S64"/>
    <mergeCell ref="I65:K65"/>
    <mergeCell ref="M65:S65"/>
    <mergeCell ref="I68:L68"/>
    <mergeCell ref="I69:K69"/>
    <mergeCell ref="N69:R69"/>
    <mergeCell ref="I70:K70"/>
    <mergeCell ref="I71:K71"/>
    <mergeCell ref="I72:K72"/>
    <mergeCell ref="I73:K73"/>
    <mergeCell ref="I74:K74"/>
    <mergeCell ref="I75:K75"/>
    <mergeCell ref="I78:L78"/>
    <mergeCell ref="M81:U81"/>
    <mergeCell ref="M82:U82"/>
    <mergeCell ref="M83:U83"/>
    <mergeCell ref="I58:K58"/>
    <mergeCell ref="M58:S58"/>
    <mergeCell ref="I59:K59"/>
    <mergeCell ref="M59:S59"/>
    <mergeCell ref="I60:K60"/>
    <mergeCell ref="M60:S60"/>
    <mergeCell ref="I61:K61"/>
    <mergeCell ref="M61:S61"/>
    <mergeCell ref="I62:K62"/>
    <mergeCell ref="M62:S62"/>
    <mergeCell ref="I51:K51"/>
    <mergeCell ref="G52:H52"/>
    <mergeCell ref="I52:S52"/>
    <mergeCell ref="I53:K53"/>
    <mergeCell ref="M53:W53"/>
    <mergeCell ref="I54:K54"/>
    <mergeCell ref="M54:W54"/>
    <mergeCell ref="I57:K57"/>
    <mergeCell ref="M57:O57"/>
    <mergeCell ref="I47:K47"/>
    <mergeCell ref="L47:M47"/>
    <mergeCell ref="N47:O47"/>
    <mergeCell ref="P47:Q47"/>
    <mergeCell ref="R47:S47"/>
    <mergeCell ref="T47:U47"/>
    <mergeCell ref="V47:W47"/>
    <mergeCell ref="I48:J48"/>
    <mergeCell ref="L48:M48"/>
    <mergeCell ref="N48:O48"/>
    <mergeCell ref="P48:Q48"/>
    <mergeCell ref="R48:S48"/>
    <mergeCell ref="T48:U48"/>
    <mergeCell ref="V48:W48"/>
    <mergeCell ref="I45:K45"/>
    <mergeCell ref="L45:M45"/>
    <mergeCell ref="N45:O45"/>
    <mergeCell ref="P45:Q45"/>
    <mergeCell ref="R45:S45"/>
    <mergeCell ref="T45:U45"/>
    <mergeCell ref="V45:W45"/>
    <mergeCell ref="I46:K46"/>
    <mergeCell ref="L46:M46"/>
    <mergeCell ref="N46:O46"/>
    <mergeCell ref="P46:Q46"/>
    <mergeCell ref="R46:S46"/>
    <mergeCell ref="T46:U46"/>
    <mergeCell ref="V46:W46"/>
    <mergeCell ref="M34:P34"/>
    <mergeCell ref="O35:P35"/>
    <mergeCell ref="S38:V38"/>
    <mergeCell ref="I41:K41"/>
    <mergeCell ref="I42:W42"/>
    <mergeCell ref="I43:K43"/>
    <mergeCell ref="M43:V43"/>
    <mergeCell ref="I44:K44"/>
    <mergeCell ref="M44:W44"/>
    <mergeCell ref="I31:J34"/>
    <mergeCell ref="J25:K25"/>
    <mergeCell ref="M25:N25"/>
    <mergeCell ref="Q25:V25"/>
    <mergeCell ref="J26:K26"/>
    <mergeCell ref="M26:N26"/>
    <mergeCell ref="L30:P30"/>
    <mergeCell ref="L31:P31"/>
    <mergeCell ref="L32:P32"/>
    <mergeCell ref="M33:P33"/>
    <mergeCell ref="M17:O17"/>
    <mergeCell ref="P17:W17"/>
    <mergeCell ref="J18:K18"/>
    <mergeCell ref="M18:O18"/>
    <mergeCell ref="P18:W18"/>
    <mergeCell ref="J19:L19"/>
    <mergeCell ref="M19:R19"/>
    <mergeCell ref="J20:W20"/>
    <mergeCell ref="J21:W21"/>
    <mergeCell ref="L16:L17"/>
    <mergeCell ref="J13:K13"/>
    <mergeCell ref="M13:R13"/>
    <mergeCell ref="J14:K14"/>
    <mergeCell ref="M14:W14"/>
    <mergeCell ref="J15:K15"/>
    <mergeCell ref="M15:O15"/>
    <mergeCell ref="P15:W15"/>
    <mergeCell ref="M16:O16"/>
    <mergeCell ref="P16:W16"/>
    <mergeCell ref="AK8:AL8"/>
    <mergeCell ref="F9:P9"/>
    <mergeCell ref="S9:X9"/>
    <mergeCell ref="AG9:AL9"/>
    <mergeCell ref="B10:G10"/>
    <mergeCell ref="D11:E11"/>
    <mergeCell ref="I11:K11"/>
    <mergeCell ref="Z11:AL11"/>
    <mergeCell ref="AZ11:BA11"/>
    <mergeCell ref="C11:C12"/>
    <mergeCell ref="D12:E12"/>
    <mergeCell ref="J12:K12"/>
    <mergeCell ref="M12:W12"/>
    <mergeCell ref="AZ12:BA12"/>
    <mergeCell ref="S7:X7"/>
    <mergeCell ref="AA7:AB7"/>
    <mergeCell ref="AC7:AD7"/>
    <mergeCell ref="AE7:AF7"/>
    <mergeCell ref="AG7:AH7"/>
    <mergeCell ref="AI7:AJ7"/>
    <mergeCell ref="H8:I8"/>
    <mergeCell ref="J8:P8"/>
    <mergeCell ref="S8:X8"/>
    <mergeCell ref="AA8:AB8"/>
    <mergeCell ref="AC8:AD8"/>
    <mergeCell ref="AE8:AF8"/>
    <mergeCell ref="AG8:AH8"/>
    <mergeCell ref="AI8:AJ8"/>
    <mergeCell ref="V148:X148"/>
    <mergeCell ref="V1:X1"/>
    <mergeCell ref="Z2:AL2"/>
    <mergeCell ref="AN2:AY2"/>
    <mergeCell ref="AK3:AL3"/>
    <mergeCell ref="D4:F4"/>
    <mergeCell ref="H4:P4"/>
    <mergeCell ref="S4:X4"/>
    <mergeCell ref="I5:P5"/>
    <mergeCell ref="S5:X5"/>
    <mergeCell ref="AA5:AB5"/>
    <mergeCell ref="AC5:AD5"/>
    <mergeCell ref="AE5:AF5"/>
    <mergeCell ref="AG5:AH5"/>
    <mergeCell ref="AI5:AJ5"/>
    <mergeCell ref="F5:F7"/>
    <mergeCell ref="I6:P6"/>
    <mergeCell ref="S6:X6"/>
    <mergeCell ref="AA6:AB6"/>
    <mergeCell ref="AC6:AD6"/>
    <mergeCell ref="AE6:AF6"/>
    <mergeCell ref="AG6:AH6"/>
    <mergeCell ref="AI6:AJ6"/>
    <mergeCell ref="I7:P7"/>
  </mergeCells>
  <conditionalFormatting sqref="C117:C131">
    <cfRule type="cellIs" dxfId="19" priority="1" operator="greaterThan">
      <formula>0</formula>
    </cfRule>
  </conditionalFormatting>
  <conditionalFormatting sqref="E153">
    <cfRule type="cellIs" dxfId="18" priority="9" stopIfTrue="1" operator="notEqual">
      <formula>E152</formula>
    </cfRule>
  </conditionalFormatting>
  <conditionalFormatting sqref="F153">
    <cfRule type="cellIs" dxfId="17" priority="8" stopIfTrue="1" operator="notEqual">
      <formula>E152</formula>
    </cfRule>
  </conditionalFormatting>
  <conditionalFormatting sqref="H5">
    <cfRule type="cellIs" dxfId="16" priority="11" stopIfTrue="1" operator="between">
      <formula>15</formula>
      <formula>20</formula>
    </cfRule>
    <cfRule type="cellIs" dxfId="15" priority="12" stopIfTrue="1" operator="greaterThan">
      <formula>20</formula>
    </cfRule>
    <cfRule type="cellIs" dxfId="14" priority="13" stopIfTrue="1" operator="lessThan">
      <formula>9</formula>
    </cfRule>
  </conditionalFormatting>
  <conditionalFormatting sqref="H6">
    <cfRule type="cellIs" dxfId="13" priority="15" stopIfTrue="1" operator="greaterThan">
      <formula>0.75</formula>
    </cfRule>
    <cfRule type="cellIs" dxfId="12" priority="16" stopIfTrue="1" operator="lessThan">
      <formula>0.5</formula>
    </cfRule>
  </conditionalFormatting>
  <conditionalFormatting sqref="H7">
    <cfRule type="cellIs" dxfId="11" priority="14" stopIfTrue="1" operator="greaterThan">
      <formula>0.3</formula>
    </cfRule>
  </conditionalFormatting>
  <conditionalFormatting sqref="L43:L44">
    <cfRule type="cellIs" dxfId="10" priority="17" stopIfTrue="1" operator="greaterThan">
      <formula>0</formula>
    </cfRule>
    <cfRule type="cellIs" dxfId="9" priority="18" stopIfTrue="1" operator="equal">
      <formula>0</formula>
    </cfRule>
  </conditionalFormatting>
  <conditionalFormatting sqref="L53">
    <cfRule type="cellIs" dxfId="8" priority="6" stopIfTrue="1" operator="greaterThan">
      <formula>L61</formula>
    </cfRule>
    <cfRule type="cellIs" dxfId="7" priority="7" stopIfTrue="1" operator="between">
      <formula>L61*4.2/4.5</formula>
      <formula>L61</formula>
    </cfRule>
  </conditionalFormatting>
  <conditionalFormatting sqref="L54">
    <cfRule type="cellIs" dxfId="6" priority="4" stopIfTrue="1" operator="lessThanOrEqual">
      <formula>0</formula>
    </cfRule>
    <cfRule type="cellIs" dxfId="5" priority="5" stopIfTrue="1" operator="between">
      <formula>0</formula>
      <formula>L61*0.3/4.5</formula>
    </cfRule>
  </conditionalFormatting>
  <conditionalFormatting sqref="L58">
    <cfRule type="cellIs" dxfId="4" priority="10" stopIfTrue="1" operator="lessThan">
      <formula>150</formula>
    </cfRule>
  </conditionalFormatting>
  <conditionalFormatting sqref="L83">
    <cfRule type="cellIs" dxfId="3" priority="3" stopIfTrue="1" operator="greaterThan">
      <formula>4</formula>
    </cfRule>
  </conditionalFormatting>
  <conditionalFormatting sqref="L92">
    <cfRule type="cellIs" dxfId="2" priority="2" stopIfTrue="1" operator="equal">
      <formula>0</formula>
    </cfRule>
  </conditionalFormatting>
  <hyperlinks>
    <hyperlink ref="G5" location="'Wine &amp; Cider Calc'!Z5" display="ALCOHOL" xr:uid="{00000000-0004-0000-0200-000000000000}"/>
    <hyperlink ref="I5:O5" location="'Wine &amp; Cider Calc'!M81" display="=&quot;% ABV OR, = &quot;&amp;FIXED(L87,1)&amp;&quot;% ABV after priming with &quot;&amp;FIXED(L80*(L81/1000),2)&amp;&quot;g (&quot;&amp;FIXED(((L81/1000)*L80/S100),2)&amp;&quot; level 5ml tsp) sugar per &quot;&amp;(L81)&amp;&quot;ml bottle.&quot;" xr:uid="{00000000-0004-0000-0200-000001000000}"/>
    <hyperlink ref="G6" location="'Wine &amp; Cider Calc'!Z6" display="ACIDITY" xr:uid="{00000000-0004-0000-0200-000002000000}"/>
    <hyperlink ref="G7" location="'Wine &amp; Cider Calc'!Z7" display="TANNIN" xr:uid="{00000000-0004-0000-0200-000003000000}"/>
    <hyperlink ref="F8" location="'Wine &amp; Cider Calc'!L61" display="=&quot; ̸  &quot;&amp;FIXED(L61)&amp;&quot; litres&quot;" xr:uid="{00000000-0004-0000-0200-000004000000}"/>
    <hyperlink ref="G8" location="'Wine &amp; Cider Calc'!Z8" display="STYLE" xr:uid="{00000000-0004-0000-0200-000005000000}"/>
    <hyperlink ref="H8" location="'Wine &amp; Cider Calc'!I41" display="=IF(E7&gt;1020,&quot;Dessert ̸ 6&quot;,IF(E7&gt;1015,&quot;Sweet ̸ 5&quot;,IF(E7&gt;1010,&quot;Medium Sweet ̸ 4&quot;,IF(E7&gt;1005,&quot;Medium ̸ 3&quot;,IF(E7&gt;998,&quot;Medium dry ̸ 2&quot;,IF(E7&gt;0,&quot;Dry ̸ 1&quot;))))))" xr:uid="{00000000-0004-0000-0200-000006000000}"/>
    <hyperlink ref="B11" location="'Wine &amp; Cider Calc'!B10" display="Mat. Time " xr:uid="{00000000-0004-0000-0200-000007000000}"/>
    <hyperlink ref="D11" location="'Wine &amp; Cider Calc'!AC11" display="FRUIT" xr:uid="{00000000-0004-0000-0200-000008000000}"/>
    <hyperlink ref="E11" location="'Wine Calc'!AA9" display="'Wine Calc'!AA9" xr:uid="{00000000-0004-0000-0200-000009000000}"/>
    <hyperlink ref="B12" location="'Wine &amp; Cider Calc'!B10" display="'Wine &amp; Cider Calc'!B10" xr:uid="{00000000-0004-0000-0200-00000A000000}"/>
    <hyperlink ref="B26" location="'Extract Calc'!B98" display="9" xr:uid="{00000000-0004-0000-0200-00000B000000}"/>
    <hyperlink ref="M36" r:id="rId1" display="http://www.petespintpot.co.uk/" xr:uid="{00000000-0004-0000-0200-00000C000000}"/>
    <hyperlink ref="R36" r:id="rId2" display="120" xr:uid="{00000000-0004-0000-0200-00000D000000}"/>
    <hyperlink ref="M37" r:id="rId3" display="mailto:david.barrow@live.co.uk" xr:uid="{00000000-0004-0000-0200-00000E000000}"/>
    <hyperlink ref="R37" r:id="rId4" xr:uid="{00000000-0004-0000-0200-00000F000000}"/>
    <hyperlink ref="V42:W42" r:id="rId5" display="http://www.petespintpot.co.uk/" xr:uid="{00000000-0004-0000-0200-000010000000}"/>
    <hyperlink ref="K43" location="'Wine Calc'!G68" display="'Wine Calc'!G68" xr:uid="{00000000-0004-0000-0200-000011000000}"/>
    <hyperlink ref="K44" location="'Wine Calc'!G68" display="'Wine Calc'!G68" xr:uid="{00000000-0004-0000-0200-000012000000}"/>
    <hyperlink ref="J46" location="'Wine Calc'!AA7" display="'Wine Calc'!AA7" xr:uid="{00000000-0004-0000-0200-000013000000}"/>
    <hyperlink ref="K46" r:id="rId6" display="http://www.petespintpot.co.uk/kitmod.html" xr:uid="{00000000-0004-0000-0200-000014000000}"/>
    <hyperlink ref="K48" location="'Wine &amp; Cider Calc'!E8" display="=&quot;(g ̸ &quot;&amp;FIXED(($E$8),1)&amp;&quot; litres)&quot;" xr:uid="{00000000-0004-0000-0200-000015000000}"/>
    <hyperlink ref="I52:S52" location="'Wine &amp; Cider Calc'!B143" display="This assumes that the any vegetables (cells B143:F147) are catered for as per cell L13. Use the figures below as a VERY APPROX. GUIDE only." xr:uid="{00000000-0004-0000-0200-000016000000}"/>
    <hyperlink ref="T52:U52" location="'Wine &amp; Cider Calc'!A140" display="'Wine &amp; Cider Calc'!A140" xr:uid="{00000000-0004-0000-0200-000017000000}"/>
    <hyperlink ref="V52:X52" location="'Wine &amp; Cider Calc'!B142" display="'Wine &amp; Cider Calc'!B142" xr:uid="{00000000-0004-0000-0200-000018000000}"/>
    <hyperlink ref="K57" location="'Wine Calc'!D7" display="'Wine Calc'!D7" xr:uid="{00000000-0004-0000-0200-000019000000}"/>
    <hyperlink ref="L57" location="'Wine &amp; Cider Calc'!E8" display="=E8&amp;&quot; litres&quot;" xr:uid="{00000000-0004-0000-0200-00001A000000}"/>
    <hyperlink ref="I79:V79" location="'Wine &amp; Cider Calc'!L43" display="=&quot;Do not add a crushed Campden tablet after racking of the lees. To be used for UNSWEETENED ciders, meads &amp; sparkling wines ONLY. Cell L43 MUST be &quot;&quot;0&quot;&quot; (presently set to &quot;&amp;FIXED(L43,0)&amp;&quot;g).&quot;" xr:uid="{00000000-0004-0000-0200-00001B000000}"/>
    <hyperlink ref="L81" location="'Wine &amp; Cider Calc'!L89" display="=L90" xr:uid="{00000000-0004-0000-0200-00001C000000}"/>
    <hyperlink ref="B93" location="'Wine &amp; Cider Calc'!B10" display="Mat. Time " xr:uid="{00000000-0004-0000-0200-00001D000000}"/>
    <hyperlink ref="D93:E93" location="'Wine &amp; Cider Calc'!AC94" display="TINS" xr:uid="{00000000-0004-0000-0200-00001E000000}"/>
    <hyperlink ref="I93:K93" location="'Wine &amp; Cider Calc'!L43" display="=&quot;Ensure cell L43 is clear! (Presently set to &quot;&amp;FIXED(L43,0)&amp;&quot;)&quot;" xr:uid="{00000000-0004-0000-0200-00001F000000}"/>
    <hyperlink ref="B94" location="'Wine &amp; Cider Calc'!B10" display="'Wine &amp; Cider Calc'!B10" xr:uid="{00000000-0004-0000-0200-000020000000}"/>
    <hyperlink ref="B115" location="'Wine &amp; Cider Calc'!B10" display="Mat. Time " xr:uid="{00000000-0004-0000-0200-000021000000}"/>
    <hyperlink ref="D115:E115" location="'Wine &amp; Cider Calc'!AC116" display="JUICES" xr:uid="{00000000-0004-0000-0200-000022000000}"/>
    <hyperlink ref="B116" location="'Wine &amp; Cider Calc'!B10" display="'Wine &amp; Cider Calc'!B10" xr:uid="{00000000-0004-0000-0200-000023000000}"/>
    <hyperlink ref="P120" location="'Wine Calc'!J40" display="'Wine Calc'!J40" xr:uid="{00000000-0004-0000-0200-000024000000}"/>
    <hyperlink ref="BA130" location="_Toc40529806" display="_Toc40529806" xr:uid="{00000000-0004-0000-0200-000025000000}"/>
    <hyperlink ref="BA131" location="_Toc40529806" display="_Toc40529806" xr:uid="{00000000-0004-0000-0200-000026000000}"/>
    <hyperlink ref="D132:G132" location="'Wine &amp; Cider Calc'!L59" display="Purée waste factor, this is assumed nominally set at &quot;10&quot;, see cell L59 for details." xr:uid="{00000000-0004-0000-0200-000027000000}"/>
    <hyperlink ref="BA132" location="_Toc40529806" display="_Toc40529806" xr:uid="{00000000-0004-0000-0200-000028000000}"/>
    <hyperlink ref="B133" location="'Wine &amp; Cider Calc'!B10" display="Mat. Time " xr:uid="{00000000-0004-0000-0200-000029000000}"/>
    <hyperlink ref="D133:E133" location="'Wine &amp; Cider Calc'!Z134" display="VEGETABLES" xr:uid="{00000000-0004-0000-0200-00002A000000}"/>
    <hyperlink ref="B134" location="'Wine &amp; Cider Calc'!B10" display="'Wine &amp; Cider Calc'!B10" xr:uid="{00000000-0004-0000-0200-00002B000000}"/>
    <hyperlink ref="B143" location="'Wine &amp; Cider Calc'!L13" display="=&quot;Vegetables, if used - exc. rhubarb - see the `FRUIT` section, MUST be washed, chopped, diced etc. &amp; boiled separately with an equivalent weight of water &amp; then strained ̸ sparged out onto the &quot;&amp;L13&amp;&quot;g sugar (see cell L13). Extra sparge water may be added to make the volume up to the stated &quot;&amp;(ROUND(W13,-1))&amp;&quot;ml as required.&quot;" xr:uid="{00000000-0004-0000-0200-00002C000000}"/>
    <hyperlink ref="U147" location="'Wine Calc'!G68" display="'Wine Calc'!G68" xr:uid="{00000000-0004-0000-0200-00002D000000}"/>
    <hyperlink ref="U148" location="'Wine Calc'!AA5" display="'Wine Calc'!AA5" xr:uid="{00000000-0004-0000-0200-00002E000000}"/>
  </hyperlinks>
  <printOptions horizontalCentered="1"/>
  <pageMargins left="0.315278" right="0.315278" top="0.66944400000000004" bottom="0.70833299999999999" header="0.315278" footer="0.315278"/>
  <pageSetup paperSize="9" scale="35" fitToWidth="2" fitToHeight="2" pageOrder="overThenDown"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5"/>
  <sheetViews>
    <sheetView workbookViewId="0">
      <selection activeCell="C1" sqref="C1:F1"/>
    </sheetView>
  </sheetViews>
  <sheetFormatPr defaultColWidth="9" defaultRowHeight="13.8"/>
  <cols>
    <col min="1" max="1" width="1.6640625" style="115" customWidth="1"/>
    <col min="2" max="2" width="42.109375" style="116" customWidth="1"/>
    <col min="3" max="9" width="11.33203125" style="116" customWidth="1"/>
    <col min="10" max="10" width="1.44140625" style="116" customWidth="1"/>
    <col min="11" max="11" width="2.33203125" style="115" customWidth="1"/>
  </cols>
  <sheetData>
    <row r="1" spans="1:11" ht="29.4" customHeight="1">
      <c r="A1" s="877"/>
      <c r="B1" s="877"/>
      <c r="C1" s="1477" t="s">
        <v>29</v>
      </c>
      <c r="D1" s="1477"/>
      <c r="E1" s="1477"/>
      <c r="F1" s="1477"/>
      <c r="G1" s="117"/>
      <c r="H1" s="117"/>
      <c r="I1" s="1478" t="s">
        <v>962</v>
      </c>
      <c r="J1" s="1478"/>
      <c r="K1" s="146"/>
    </row>
    <row r="2" spans="1:11">
      <c r="A2" s="118"/>
      <c r="B2" s="119"/>
      <c r="C2" s="120"/>
      <c r="D2" s="120"/>
      <c r="E2" s="120"/>
      <c r="F2" s="120"/>
      <c r="G2" s="120"/>
      <c r="H2" s="120"/>
      <c r="I2" s="147"/>
      <c r="J2" s="126"/>
      <c r="K2" s="146"/>
    </row>
    <row r="3" spans="1:11">
      <c r="A3" s="118"/>
      <c r="B3" s="121" t="s">
        <v>18</v>
      </c>
      <c r="C3" s="121"/>
      <c r="D3" s="121"/>
      <c r="E3" s="121"/>
      <c r="F3" s="121"/>
      <c r="G3" s="121"/>
      <c r="H3" s="121"/>
      <c r="I3" s="121"/>
      <c r="J3" s="126"/>
      <c r="K3" s="146"/>
    </row>
    <row r="4" spans="1:11" ht="26.4">
      <c r="A4" s="118"/>
      <c r="B4" s="122" t="s">
        <v>731</v>
      </c>
      <c r="C4" s="123" t="s">
        <v>732</v>
      </c>
      <c r="D4" s="123" t="s">
        <v>733</v>
      </c>
      <c r="E4" s="123" t="s">
        <v>734</v>
      </c>
      <c r="F4" s="123" t="s">
        <v>735</v>
      </c>
      <c r="G4" s="123" t="s">
        <v>736</v>
      </c>
      <c r="H4" s="123" t="s">
        <v>737</v>
      </c>
      <c r="I4" s="123" t="s">
        <v>738</v>
      </c>
      <c r="J4" s="126"/>
      <c r="K4" s="146"/>
    </row>
    <row r="5" spans="1:11" ht="15" customHeight="1">
      <c r="A5" s="118"/>
      <c r="B5" s="124" t="s">
        <v>739</v>
      </c>
      <c r="C5" s="125" t="s">
        <v>740</v>
      </c>
      <c r="D5" s="125" t="s">
        <v>741</v>
      </c>
      <c r="E5" s="125" t="s">
        <v>742</v>
      </c>
      <c r="F5" s="125" t="s">
        <v>743</v>
      </c>
      <c r="G5" s="125" t="s">
        <v>744</v>
      </c>
      <c r="H5" s="125" t="s">
        <v>745</v>
      </c>
      <c r="I5" s="125" t="s">
        <v>746</v>
      </c>
      <c r="J5" s="126"/>
      <c r="K5" s="146"/>
    </row>
    <row r="6" spans="1:11" ht="15" customHeight="1">
      <c r="A6" s="118"/>
      <c r="B6" s="124" t="s">
        <v>747</v>
      </c>
      <c r="C6" s="125" t="s">
        <v>748</v>
      </c>
      <c r="D6" s="125" t="s">
        <v>749</v>
      </c>
      <c r="E6" s="125" t="s">
        <v>750</v>
      </c>
      <c r="F6" s="125" t="s">
        <v>751</v>
      </c>
      <c r="G6" s="125" t="s">
        <v>752</v>
      </c>
      <c r="H6" s="125" t="s">
        <v>753</v>
      </c>
      <c r="I6" s="125" t="s">
        <v>754</v>
      </c>
      <c r="J6" s="126"/>
      <c r="K6" s="146"/>
    </row>
    <row r="7" spans="1:11" ht="15" customHeight="1">
      <c r="A7" s="118"/>
      <c r="B7" s="126"/>
      <c r="C7" s="126"/>
      <c r="D7" s="126"/>
      <c r="E7" s="126"/>
      <c r="F7" s="126"/>
      <c r="G7" s="126"/>
      <c r="H7" s="126"/>
      <c r="I7" s="126"/>
      <c r="J7" s="126"/>
      <c r="K7" s="146"/>
    </row>
    <row r="8" spans="1:11" ht="15" customHeight="1">
      <c r="A8" s="118"/>
      <c r="B8" s="127" t="s">
        <v>755</v>
      </c>
      <c r="C8" s="126"/>
      <c r="D8" s="126"/>
      <c r="E8" s="126"/>
      <c r="F8" s="126"/>
      <c r="G8" s="126"/>
      <c r="H8" s="126"/>
      <c r="I8" s="126"/>
      <c r="J8" s="126"/>
      <c r="K8" s="146"/>
    </row>
    <row r="9" spans="1:11" ht="15" customHeight="1">
      <c r="A9" s="118"/>
      <c r="B9" s="128" t="s">
        <v>756</v>
      </c>
      <c r="C9" s="126"/>
      <c r="D9" s="126"/>
      <c r="E9" s="126"/>
      <c r="F9" s="126"/>
      <c r="G9" s="126"/>
      <c r="H9" s="126"/>
      <c r="I9" s="126"/>
      <c r="J9" s="126"/>
      <c r="K9" s="146"/>
    </row>
    <row r="10" spans="1:11" ht="15" customHeight="1">
      <c r="A10" s="118"/>
      <c r="B10" s="129"/>
      <c r="C10" s="126"/>
      <c r="D10" s="126"/>
      <c r="E10" s="126"/>
      <c r="F10" s="126"/>
      <c r="G10" s="126"/>
      <c r="H10" s="126"/>
      <c r="I10" s="126"/>
      <c r="J10" s="126"/>
      <c r="K10" s="146"/>
    </row>
    <row r="11" spans="1:11" ht="15" customHeight="1">
      <c r="A11" s="118"/>
      <c r="B11" s="130" t="s">
        <v>757</v>
      </c>
      <c r="C11" s="126"/>
      <c r="D11" s="126"/>
      <c r="E11" s="126"/>
      <c r="F11" s="126"/>
      <c r="G11" s="126"/>
      <c r="H11" s="126"/>
      <c r="I11" s="126"/>
      <c r="J11" s="126"/>
      <c r="K11" s="146"/>
    </row>
    <row r="12" spans="1:11" ht="15" customHeight="1">
      <c r="A12" s="131"/>
      <c r="B12" s="126" t="s">
        <v>758</v>
      </c>
      <c r="C12" s="132">
        <v>0.1</v>
      </c>
      <c r="D12" s="126" t="s">
        <v>417</v>
      </c>
      <c r="E12" s="133"/>
      <c r="F12" s="133"/>
      <c r="G12" s="133"/>
      <c r="H12" s="133"/>
      <c r="I12" s="133"/>
      <c r="J12" s="133"/>
      <c r="K12" s="148"/>
    </row>
    <row r="13" spans="1:11" ht="15" customHeight="1">
      <c r="A13" s="131"/>
      <c r="B13" s="126" t="s">
        <v>759</v>
      </c>
      <c r="C13" s="132">
        <v>5</v>
      </c>
      <c r="D13" s="126" t="s">
        <v>73</v>
      </c>
      <c r="E13" s="133"/>
      <c r="F13" s="133"/>
      <c r="G13" s="133"/>
      <c r="H13" s="133"/>
      <c r="I13" s="133"/>
      <c r="J13" s="133"/>
      <c r="K13" s="148"/>
    </row>
    <row r="14" spans="1:11" ht="15" customHeight="1">
      <c r="A14" s="131"/>
      <c r="B14" s="126" t="s">
        <v>760</v>
      </c>
      <c r="C14" s="132">
        <v>4700</v>
      </c>
      <c r="D14" s="126" t="s">
        <v>73</v>
      </c>
      <c r="E14" s="133"/>
      <c r="F14" s="133"/>
      <c r="G14" s="133"/>
      <c r="H14" s="133"/>
      <c r="I14" s="133"/>
      <c r="J14" s="133"/>
      <c r="K14" s="148"/>
    </row>
    <row r="15" spans="1:11" ht="15" customHeight="1">
      <c r="A15" s="131"/>
      <c r="B15" s="126" t="s">
        <v>761</v>
      </c>
      <c r="C15" s="132">
        <v>4</v>
      </c>
      <c r="D15" s="126" t="s">
        <v>73</v>
      </c>
      <c r="E15" s="133"/>
      <c r="F15" s="133"/>
      <c r="G15" s="133"/>
      <c r="H15" s="133"/>
      <c r="I15" s="133"/>
      <c r="J15" s="133"/>
      <c r="K15" s="148"/>
    </row>
    <row r="16" spans="1:11" ht="15" customHeight="1">
      <c r="A16" s="131"/>
      <c r="B16" s="126" t="s">
        <v>762</v>
      </c>
      <c r="C16" s="132">
        <v>0.65</v>
      </c>
      <c r="D16" s="126" t="s">
        <v>366</v>
      </c>
      <c r="E16" s="133"/>
      <c r="F16" s="133"/>
      <c r="G16" s="133"/>
      <c r="H16" s="133"/>
      <c r="I16" s="133"/>
      <c r="J16" s="133"/>
      <c r="K16" s="148"/>
    </row>
    <row r="17" spans="1:11" ht="23.25" hidden="1" customHeight="1">
      <c r="A17" s="131"/>
      <c r="B17" s="126" t="s">
        <v>763</v>
      </c>
      <c r="C17" s="134">
        <f>($C$15*$C$12)/1000</f>
        <v>4.0000000000000002E-4</v>
      </c>
      <c r="D17" s="126" t="s">
        <v>764</v>
      </c>
      <c r="E17" s="133"/>
      <c r="F17" s="133"/>
      <c r="G17" s="133"/>
      <c r="H17" s="133"/>
      <c r="I17" s="133"/>
      <c r="J17" s="133"/>
      <c r="K17" s="148"/>
    </row>
    <row r="18" spans="1:11" ht="23.25" hidden="1" customHeight="1">
      <c r="A18" s="131"/>
      <c r="B18" s="126" t="s">
        <v>765</v>
      </c>
      <c r="C18" s="134">
        <f>$C$17*(100/$C$13)</f>
        <v>8.0000000000000002E-3</v>
      </c>
      <c r="D18" s="126" t="s">
        <v>764</v>
      </c>
      <c r="E18" s="133"/>
      <c r="F18" s="133"/>
      <c r="G18" s="133"/>
      <c r="H18" s="133"/>
      <c r="I18" s="133"/>
      <c r="J18" s="133"/>
      <c r="K18" s="148"/>
    </row>
    <row r="19" spans="1:11" ht="23.25" hidden="1" customHeight="1">
      <c r="A19" s="131"/>
      <c r="B19" s="126" t="s">
        <v>766</v>
      </c>
      <c r="C19" s="134">
        <f>$C$17*($C$14/$C$13)</f>
        <v>0.376</v>
      </c>
      <c r="D19" s="126" t="s">
        <v>764</v>
      </c>
      <c r="E19" s="133"/>
      <c r="F19" s="133"/>
      <c r="G19" s="133"/>
      <c r="H19" s="133"/>
      <c r="I19" s="133"/>
      <c r="J19" s="133"/>
      <c r="K19" s="148"/>
    </row>
    <row r="20" spans="1:11" ht="23.25" hidden="1" customHeight="1">
      <c r="A20" s="131"/>
      <c r="B20" s="126" t="s">
        <v>767</v>
      </c>
      <c r="C20" s="134">
        <f>$C$17/2</f>
        <v>2.0000000000000001E-4</v>
      </c>
      <c r="D20" s="126" t="s">
        <v>764</v>
      </c>
      <c r="E20" s="133"/>
      <c r="F20" s="133"/>
      <c r="G20" s="133"/>
      <c r="H20" s="133"/>
      <c r="I20" s="133"/>
      <c r="J20" s="133"/>
      <c r="K20" s="148"/>
    </row>
    <row r="21" spans="1:11" ht="23.25" hidden="1" customHeight="1">
      <c r="A21" s="131"/>
      <c r="B21" s="126" t="s">
        <v>768</v>
      </c>
      <c r="C21" s="134">
        <f>$C$18/2</f>
        <v>4.0000000000000001E-3</v>
      </c>
      <c r="D21" s="126" t="s">
        <v>764</v>
      </c>
      <c r="E21" s="133"/>
      <c r="F21" s="133"/>
      <c r="G21" s="133"/>
      <c r="H21" s="133"/>
      <c r="I21" s="133"/>
      <c r="J21" s="133"/>
      <c r="K21" s="148"/>
    </row>
    <row r="22" spans="1:11" ht="23.25" hidden="1" customHeight="1">
      <c r="A22" s="131"/>
      <c r="B22" s="126" t="s">
        <v>769</v>
      </c>
      <c r="C22" s="134">
        <f>$C$19/2</f>
        <v>0.188</v>
      </c>
      <c r="D22" s="126" t="s">
        <v>764</v>
      </c>
      <c r="E22" s="133"/>
      <c r="F22" s="133"/>
      <c r="G22" s="133"/>
      <c r="H22" s="133"/>
      <c r="I22" s="133"/>
      <c r="J22" s="133"/>
      <c r="K22" s="148"/>
    </row>
    <row r="23" spans="1:11" ht="15" customHeight="1">
      <c r="A23" s="131"/>
      <c r="B23" s="126" t="s">
        <v>770</v>
      </c>
      <c r="C23" s="135">
        <f>$C$21*98</f>
        <v>0.39200000000000002</v>
      </c>
      <c r="D23" s="126" t="s">
        <v>366</v>
      </c>
      <c r="E23" s="126"/>
      <c r="F23" s="133"/>
      <c r="G23" s="126"/>
      <c r="H23" s="126"/>
      <c r="I23" s="126"/>
      <c r="J23" s="133"/>
      <c r="K23" s="148"/>
    </row>
    <row r="24" spans="1:11" ht="15" customHeight="1">
      <c r="A24" s="131"/>
      <c r="B24" s="126" t="s">
        <v>771</v>
      </c>
      <c r="C24" s="136">
        <f>$C$21*150</f>
        <v>0.6</v>
      </c>
      <c r="D24" s="126" t="s">
        <v>366</v>
      </c>
      <c r="E24" s="126"/>
      <c r="F24" s="133"/>
      <c r="G24" s="126"/>
      <c r="H24" s="126"/>
      <c r="I24" s="126"/>
      <c r="J24" s="133"/>
      <c r="K24" s="148"/>
    </row>
    <row r="25" spans="1:11" ht="15" hidden="1" customHeight="1">
      <c r="A25" s="131"/>
      <c r="B25" s="126" t="s">
        <v>772</v>
      </c>
      <c r="C25" s="137">
        <f>$C$16/150</f>
        <v>4.3333333333333331E-3</v>
      </c>
      <c r="D25" s="126" t="s">
        <v>764</v>
      </c>
      <c r="E25" s="126"/>
      <c r="F25" s="133"/>
      <c r="G25" s="126"/>
      <c r="H25" s="126"/>
      <c r="I25" s="126"/>
      <c r="J25" s="133"/>
      <c r="K25" s="148"/>
    </row>
    <row r="26" spans="1:11" ht="15" hidden="1" customHeight="1">
      <c r="A26" s="131"/>
      <c r="B26" s="126" t="s">
        <v>773</v>
      </c>
      <c r="C26" s="137">
        <f>C25-C21</f>
        <v>3.3333333333333305E-4</v>
      </c>
      <c r="D26" s="126" t="s">
        <v>764</v>
      </c>
      <c r="E26" s="126"/>
      <c r="F26" s="133"/>
      <c r="G26" s="126"/>
      <c r="H26" s="126"/>
      <c r="I26" s="126"/>
      <c r="J26" s="133"/>
      <c r="K26" s="148"/>
    </row>
    <row r="27" spans="1:11" ht="15" hidden="1" customHeight="1">
      <c r="A27" s="131"/>
      <c r="B27" s="126" t="s">
        <v>774</v>
      </c>
      <c r="C27" s="137">
        <f>C21-C25</f>
        <v>-3.3333333333333305E-4</v>
      </c>
      <c r="D27" s="126" t="s">
        <v>764</v>
      </c>
      <c r="E27" s="126"/>
      <c r="F27" s="133"/>
      <c r="G27" s="126"/>
      <c r="H27" s="126"/>
      <c r="I27" s="126"/>
      <c r="J27" s="133"/>
      <c r="K27" s="148"/>
    </row>
    <row r="28" spans="1:11" ht="15" customHeight="1">
      <c r="A28" s="131"/>
      <c r="B28" s="126"/>
      <c r="C28" s="138"/>
      <c r="D28" s="126"/>
      <c r="E28" s="126"/>
      <c r="F28" s="133"/>
      <c r="G28" s="126"/>
      <c r="H28" s="126"/>
      <c r="I28" s="126"/>
      <c r="J28" s="133"/>
      <c r="K28" s="148"/>
    </row>
    <row r="29" spans="1:11" ht="15" customHeight="1">
      <c r="A29" s="131"/>
      <c r="B29" s="139" t="s">
        <v>775</v>
      </c>
      <c r="C29" s="140"/>
      <c r="D29" s="126"/>
      <c r="E29" s="126"/>
      <c r="F29" s="133"/>
      <c r="G29" s="126"/>
      <c r="H29" s="126"/>
      <c r="I29" s="126"/>
      <c r="J29" s="133"/>
      <c r="K29" s="148"/>
    </row>
    <row r="30" spans="1:11" ht="15" customHeight="1">
      <c r="A30" s="131"/>
      <c r="B30" s="126" t="s">
        <v>776</v>
      </c>
      <c r="C30" s="141">
        <f>($C$26*150)*($C$14/100)</f>
        <v>2.3499999999999983</v>
      </c>
      <c r="D30" s="126" t="s">
        <v>51</v>
      </c>
      <c r="E30" s="126"/>
      <c r="F30" s="133"/>
      <c r="G30" s="126"/>
      <c r="H30" s="126"/>
      <c r="I30" s="126"/>
      <c r="J30" s="133"/>
      <c r="K30" s="148"/>
    </row>
    <row r="31" spans="1:11" ht="15" customHeight="1">
      <c r="A31" s="131"/>
      <c r="B31" s="126" t="s">
        <v>777</v>
      </c>
      <c r="C31" s="142">
        <f>((0.6666667*$C$26)*192)*($C$14/100)</f>
        <v>2.0053334335999979</v>
      </c>
      <c r="D31" s="126" t="s">
        <v>51</v>
      </c>
      <c r="E31" s="126"/>
      <c r="F31" s="133"/>
      <c r="G31" s="126"/>
      <c r="H31" s="126"/>
      <c r="I31" s="126"/>
      <c r="J31" s="133"/>
      <c r="K31" s="148"/>
    </row>
    <row r="32" spans="1:11" ht="15" customHeight="1">
      <c r="A32" s="131"/>
      <c r="B32" s="126" t="s">
        <v>778</v>
      </c>
      <c r="C32" s="136">
        <f>($C$26*134)*($C$14/100)</f>
        <v>2.0993333333333317</v>
      </c>
      <c r="D32" s="126" t="s">
        <v>51</v>
      </c>
      <c r="E32" s="126"/>
      <c r="F32" s="133"/>
      <c r="G32" s="126"/>
      <c r="H32" s="126"/>
      <c r="I32" s="126"/>
      <c r="J32" s="133"/>
      <c r="K32" s="148"/>
    </row>
    <row r="33" spans="1:11" ht="15" customHeight="1">
      <c r="A33" s="131"/>
      <c r="B33" s="126"/>
      <c r="C33" s="143"/>
      <c r="D33" s="126"/>
      <c r="E33" s="126"/>
      <c r="F33" s="133"/>
      <c r="G33" s="126"/>
      <c r="H33" s="126"/>
      <c r="I33" s="126"/>
      <c r="J33" s="133"/>
      <c r="K33" s="148"/>
    </row>
    <row r="34" spans="1:11" ht="15" customHeight="1">
      <c r="A34" s="131"/>
      <c r="B34" s="130" t="s">
        <v>779</v>
      </c>
      <c r="C34" s="143"/>
      <c r="D34" s="126"/>
      <c r="E34" s="126"/>
      <c r="F34" s="126"/>
      <c r="G34" s="126"/>
      <c r="H34" s="126"/>
      <c r="I34" s="126"/>
      <c r="J34" s="133"/>
      <c r="K34" s="148"/>
    </row>
    <row r="35" spans="1:11" ht="15" customHeight="1">
      <c r="A35" s="131"/>
      <c r="B35" s="144" t="s">
        <v>780</v>
      </c>
      <c r="C35" s="141">
        <f>($C$27*100)*($C$14/100)</f>
        <v>-1.5666666666666653</v>
      </c>
      <c r="D35" s="126" t="s">
        <v>51</v>
      </c>
      <c r="E35" s="126"/>
      <c r="F35" s="126"/>
      <c r="G35" s="126"/>
      <c r="H35" s="126"/>
      <c r="I35" s="126"/>
      <c r="J35" s="133"/>
      <c r="K35" s="148"/>
    </row>
    <row r="36" spans="1:11" ht="15" customHeight="1">
      <c r="A36" s="131"/>
      <c r="B36" s="126" t="s">
        <v>781</v>
      </c>
      <c r="C36" s="142">
        <f>(2*($C$27*100))*($C$14/100)</f>
        <v>-3.1333333333333306</v>
      </c>
      <c r="D36" s="126" t="s">
        <v>51</v>
      </c>
      <c r="E36" s="126"/>
      <c r="F36" s="126"/>
      <c r="G36" s="126"/>
      <c r="H36" s="126"/>
      <c r="I36" s="126"/>
      <c r="J36" s="133"/>
      <c r="K36" s="148"/>
    </row>
    <row r="37" spans="1:11" ht="15" customHeight="1">
      <c r="A37" s="131"/>
      <c r="B37" s="126" t="s">
        <v>782</v>
      </c>
      <c r="C37" s="136">
        <f>(2*($C$27*84))*($C$14/100)</f>
        <v>-2.6319999999999979</v>
      </c>
      <c r="D37" s="126" t="s">
        <v>51</v>
      </c>
      <c r="E37" s="126"/>
      <c r="F37" s="126"/>
      <c r="G37" s="126"/>
      <c r="H37" s="126"/>
      <c r="I37" s="126"/>
      <c r="J37" s="133"/>
      <c r="K37" s="148"/>
    </row>
    <row r="38" spans="1:11" ht="15" customHeight="1">
      <c r="A38" s="131"/>
      <c r="B38" s="126"/>
      <c r="C38" s="126"/>
      <c r="D38" s="126"/>
      <c r="E38" s="126"/>
      <c r="F38" s="126"/>
      <c r="G38" s="126"/>
      <c r="H38" s="126"/>
      <c r="I38" s="126"/>
      <c r="J38" s="133"/>
      <c r="K38" s="148"/>
    </row>
    <row r="39" spans="1:11" ht="15" customHeight="1">
      <c r="A39" s="131"/>
      <c r="B39" s="133"/>
      <c r="C39" s="133"/>
      <c r="D39" s="133"/>
      <c r="E39" s="133"/>
      <c r="F39" s="133"/>
      <c r="G39" s="133"/>
      <c r="H39" s="133"/>
      <c r="I39" s="133"/>
      <c r="J39" s="133"/>
      <c r="K39" s="148"/>
    </row>
    <row r="40" spans="1:11" ht="15" customHeight="1">
      <c r="A40" s="131"/>
      <c r="B40" s="133"/>
      <c r="C40" s="133"/>
      <c r="D40" s="133"/>
      <c r="E40" s="133"/>
      <c r="F40" s="133"/>
      <c r="G40" s="133"/>
      <c r="H40" s="133"/>
      <c r="I40" s="133"/>
      <c r="J40" s="133"/>
      <c r="K40" s="148"/>
    </row>
    <row r="41" spans="1:11" ht="15" customHeight="1">
      <c r="A41" s="131"/>
      <c r="B41" s="133"/>
      <c r="C41" s="133"/>
      <c r="D41" s="133"/>
      <c r="E41" s="133"/>
      <c r="F41" s="133"/>
      <c r="G41" s="133"/>
      <c r="H41" s="133"/>
      <c r="I41" s="133"/>
      <c r="J41" s="133"/>
      <c r="K41" s="148"/>
    </row>
    <row r="42" spans="1:11" ht="15" customHeight="1">
      <c r="A42" s="131"/>
      <c r="B42" s="133"/>
      <c r="C42" s="133"/>
      <c r="D42" s="133"/>
      <c r="E42" s="133"/>
      <c r="F42" s="133"/>
      <c r="G42" s="133"/>
      <c r="H42" s="133"/>
      <c r="I42" s="133"/>
      <c r="J42" s="133"/>
      <c r="K42" s="148"/>
    </row>
    <row r="43" spans="1:11" ht="15" customHeight="1">
      <c r="A43" s="131"/>
      <c r="B43" s="133"/>
      <c r="C43" s="133"/>
      <c r="D43" s="133"/>
      <c r="E43" s="133"/>
      <c r="F43" s="133"/>
      <c r="G43" s="133"/>
      <c r="H43" s="133"/>
      <c r="I43" s="133"/>
      <c r="J43" s="133"/>
      <c r="K43" s="148"/>
    </row>
    <row r="44" spans="1:11" ht="15" customHeight="1">
      <c r="A44" s="131"/>
      <c r="B44" s="133"/>
      <c r="C44" s="133"/>
      <c r="D44" s="133"/>
      <c r="E44" s="133"/>
      <c r="F44" s="133"/>
      <c r="G44" s="133"/>
      <c r="H44" s="133"/>
      <c r="I44" s="133"/>
      <c r="J44" s="133"/>
      <c r="K44" s="148"/>
    </row>
    <row r="45" spans="1:11" ht="15" customHeight="1">
      <c r="A45" s="131"/>
      <c r="B45" s="133"/>
      <c r="C45" s="133"/>
      <c r="D45" s="133"/>
      <c r="E45" s="133"/>
      <c r="F45" s="133"/>
      <c r="G45" s="133"/>
      <c r="H45" s="133"/>
      <c r="I45" s="133"/>
      <c r="J45" s="133"/>
      <c r="K45" s="148"/>
    </row>
    <row r="46" spans="1:11" ht="15" customHeight="1">
      <c r="A46" s="131"/>
      <c r="B46" s="133"/>
      <c r="C46" s="133"/>
      <c r="D46" s="133"/>
      <c r="E46" s="133"/>
      <c r="F46" s="133"/>
      <c r="G46" s="133"/>
      <c r="H46" s="133"/>
      <c r="I46" s="133"/>
      <c r="J46" s="133"/>
      <c r="K46" s="148"/>
    </row>
    <row r="47" spans="1:11" ht="15" customHeight="1">
      <c r="A47" s="131"/>
      <c r="B47" s="133"/>
      <c r="C47" s="133"/>
      <c r="D47" s="133"/>
      <c r="E47" s="133"/>
      <c r="F47" s="133"/>
      <c r="G47" s="133"/>
      <c r="H47" s="133"/>
      <c r="I47" s="133"/>
      <c r="J47" s="133"/>
      <c r="K47" s="148"/>
    </row>
    <row r="48" spans="1:11" ht="15" customHeight="1">
      <c r="A48" s="131"/>
      <c r="B48" s="133"/>
      <c r="C48" s="133"/>
      <c r="D48" s="133"/>
      <c r="E48" s="133"/>
      <c r="F48" s="133"/>
      <c r="G48" s="133"/>
      <c r="H48" s="133"/>
      <c r="I48" s="133"/>
      <c r="J48" s="133"/>
      <c r="K48" s="148"/>
    </row>
    <row r="49" spans="1:11" ht="15" customHeight="1">
      <c r="A49" s="131"/>
      <c r="B49" s="133"/>
      <c r="C49" s="133"/>
      <c r="D49" s="133"/>
      <c r="E49" s="133"/>
      <c r="F49" s="133"/>
      <c r="G49" s="133"/>
      <c r="H49" s="133"/>
      <c r="I49" s="133"/>
      <c r="J49" s="133"/>
      <c r="K49" s="148"/>
    </row>
    <row r="50" spans="1:11" ht="15" customHeight="1">
      <c r="A50" s="131"/>
      <c r="B50" s="133"/>
      <c r="C50" s="133"/>
      <c r="D50" s="133"/>
      <c r="E50" s="133"/>
      <c r="F50" s="133"/>
      <c r="G50" s="133"/>
      <c r="H50" s="133"/>
      <c r="I50" s="133"/>
      <c r="J50" s="133"/>
      <c r="K50" s="148"/>
    </row>
    <row r="51" spans="1:11" ht="15" customHeight="1">
      <c r="A51" s="131"/>
      <c r="B51" s="133"/>
      <c r="C51" s="133"/>
      <c r="D51" s="133"/>
      <c r="E51" s="133"/>
      <c r="F51" s="133"/>
      <c r="G51" s="133"/>
      <c r="H51" s="133"/>
      <c r="I51" s="133"/>
      <c r="J51" s="133"/>
      <c r="K51" s="148"/>
    </row>
    <row r="52" spans="1:11" ht="15" customHeight="1">
      <c r="A52" s="131"/>
      <c r="B52" s="133"/>
      <c r="C52" s="133"/>
      <c r="D52" s="133"/>
      <c r="E52" s="133"/>
      <c r="F52" s="133"/>
      <c r="G52" s="133"/>
      <c r="H52" s="133"/>
      <c r="I52" s="133"/>
      <c r="J52" s="133"/>
      <c r="K52" s="148"/>
    </row>
    <row r="53" spans="1:11" ht="15" customHeight="1">
      <c r="A53" s="131"/>
      <c r="B53" s="133"/>
      <c r="C53" s="133"/>
      <c r="D53" s="133"/>
      <c r="E53" s="133"/>
      <c r="F53" s="133"/>
      <c r="G53" s="133"/>
      <c r="H53" s="133"/>
      <c r="I53" s="133"/>
      <c r="J53" s="133"/>
      <c r="K53" s="148"/>
    </row>
    <row r="54" spans="1:11" ht="15" customHeight="1">
      <c r="A54" s="131"/>
      <c r="B54" s="145" t="s">
        <v>715</v>
      </c>
      <c r="C54" s="133"/>
      <c r="D54" s="133"/>
      <c r="E54" s="133"/>
      <c r="F54" s="133"/>
      <c r="G54" s="133"/>
      <c r="H54" s="133"/>
      <c r="I54" s="133"/>
      <c r="J54" s="133"/>
      <c r="K54" s="148"/>
    </row>
    <row r="55" spans="1:11" ht="15" customHeight="1">
      <c r="A55" s="118"/>
      <c r="B55" s="133"/>
      <c r="C55" s="133"/>
      <c r="D55" s="133"/>
      <c r="E55" s="133"/>
      <c r="F55" s="133"/>
      <c r="G55" s="133"/>
      <c r="H55" s="133"/>
      <c r="I55" s="133"/>
      <c r="J55" s="133"/>
      <c r="K55" s="148"/>
    </row>
    <row r="56" spans="1:11" ht="15" customHeight="1">
      <c r="A56" s="118"/>
      <c r="B56" s="133"/>
      <c r="C56" s="133"/>
      <c r="D56" s="133"/>
      <c r="E56" s="133"/>
      <c r="F56" s="133"/>
      <c r="G56" s="133"/>
      <c r="H56" s="133"/>
      <c r="I56" s="133"/>
      <c r="J56" s="133"/>
      <c r="K56" s="148"/>
    </row>
    <row r="57" spans="1:11" ht="15" customHeight="1">
      <c r="A57" s="118"/>
      <c r="B57" s="133"/>
      <c r="C57" s="133"/>
      <c r="D57" s="133"/>
      <c r="E57" s="133"/>
      <c r="F57" s="133"/>
      <c r="G57" s="133"/>
      <c r="H57" s="133"/>
      <c r="I57" s="133"/>
      <c r="J57" s="133"/>
      <c r="K57" s="148"/>
    </row>
    <row r="58" spans="1:11" ht="15" customHeight="1">
      <c r="A58" s="118"/>
      <c r="B58" s="133"/>
      <c r="C58" s="133"/>
      <c r="D58" s="133"/>
      <c r="E58" s="133"/>
      <c r="F58" s="133"/>
      <c r="G58" s="133"/>
      <c r="H58" s="133"/>
      <c r="I58" s="133"/>
      <c r="J58" s="133"/>
      <c r="K58" s="148"/>
    </row>
    <row r="59" spans="1:11" ht="15" customHeight="1">
      <c r="A59" s="118"/>
      <c r="B59" s="133"/>
      <c r="C59" s="133"/>
      <c r="D59" s="133"/>
      <c r="E59" s="133"/>
      <c r="F59" s="133"/>
      <c r="G59" s="133"/>
      <c r="H59" s="133"/>
      <c r="I59" s="133"/>
      <c r="J59" s="133"/>
      <c r="K59" s="148"/>
    </row>
    <row r="60" spans="1:11" ht="15" customHeight="1">
      <c r="A60" s="118"/>
      <c r="B60" s="133"/>
      <c r="C60" s="133"/>
      <c r="D60" s="133"/>
      <c r="E60" s="133"/>
      <c r="F60" s="133"/>
      <c r="G60" s="133"/>
      <c r="H60" s="133"/>
      <c r="I60" s="133"/>
      <c r="J60" s="133"/>
      <c r="K60" s="148"/>
    </row>
    <row r="61" spans="1:11" ht="15" customHeight="1">
      <c r="A61" s="118"/>
      <c r="B61" s="133"/>
      <c r="C61" s="133"/>
      <c r="D61" s="133"/>
      <c r="E61" s="133"/>
      <c r="F61" s="133"/>
      <c r="G61" s="133"/>
      <c r="H61" s="133"/>
      <c r="I61" s="133"/>
      <c r="J61" s="133"/>
      <c r="K61" s="148"/>
    </row>
    <row r="62" spans="1:11" ht="15" customHeight="1">
      <c r="A62" s="118"/>
      <c r="B62" s="133"/>
      <c r="C62" s="133"/>
      <c r="D62" s="133"/>
      <c r="E62" s="133"/>
      <c r="F62" s="133"/>
      <c r="G62" s="133"/>
      <c r="H62" s="133"/>
      <c r="I62" s="133"/>
      <c r="J62" s="133"/>
      <c r="K62" s="148"/>
    </row>
    <row r="63" spans="1:11" ht="15" customHeight="1">
      <c r="A63" s="118"/>
      <c r="B63" s="133"/>
      <c r="C63" s="133"/>
      <c r="D63" s="133"/>
      <c r="E63" s="133"/>
      <c r="F63" s="133"/>
      <c r="G63" s="133"/>
      <c r="H63" s="133"/>
      <c r="I63" s="133"/>
      <c r="J63" s="133"/>
      <c r="K63" s="148"/>
    </row>
    <row r="64" spans="1:11" ht="15" customHeight="1">
      <c r="A64" s="118"/>
      <c r="B64" s="133"/>
      <c r="C64" s="133"/>
      <c r="D64" s="133"/>
      <c r="E64" s="133"/>
      <c r="F64" s="133"/>
      <c r="G64" s="133"/>
      <c r="H64" s="133"/>
      <c r="I64" s="133"/>
      <c r="J64" s="133"/>
      <c r="K64" s="148"/>
    </row>
    <row r="65" spans="1:11" ht="15" customHeight="1">
      <c r="A65" s="118"/>
      <c r="B65" s="133"/>
      <c r="C65" s="133"/>
      <c r="D65" s="133"/>
      <c r="E65" s="133"/>
      <c r="F65" s="133"/>
      <c r="G65" s="133"/>
      <c r="H65" s="133"/>
      <c r="I65" s="133"/>
      <c r="J65" s="133"/>
      <c r="K65" s="148"/>
    </row>
    <row r="66" spans="1:11" ht="15" customHeight="1">
      <c r="A66" s="118"/>
      <c r="B66" s="133"/>
      <c r="C66" s="133"/>
      <c r="D66" s="133"/>
      <c r="E66" s="133"/>
      <c r="F66" s="133"/>
      <c r="G66" s="133"/>
      <c r="H66" s="133"/>
      <c r="I66" s="133"/>
      <c r="J66" s="133"/>
      <c r="K66" s="148"/>
    </row>
    <row r="67" spans="1:11" ht="15" customHeight="1">
      <c r="A67" s="118"/>
      <c r="B67" s="133"/>
      <c r="C67" s="133"/>
      <c r="D67" s="133"/>
      <c r="E67" s="133"/>
      <c r="F67" s="133"/>
      <c r="G67" s="133"/>
      <c r="H67" s="133"/>
      <c r="I67" s="133"/>
      <c r="J67" s="133"/>
      <c r="K67" s="148"/>
    </row>
    <row r="68" spans="1:11" ht="15" customHeight="1">
      <c r="A68" s="118"/>
      <c r="B68" s="133"/>
      <c r="C68" s="133"/>
      <c r="D68" s="133"/>
      <c r="E68" s="133"/>
      <c r="F68" s="133"/>
      <c r="G68" s="133"/>
      <c r="H68" s="133"/>
      <c r="I68" s="133"/>
      <c r="J68" s="133"/>
      <c r="K68" s="148"/>
    </row>
    <row r="69" spans="1:11" ht="15" customHeight="1">
      <c r="A69" s="118"/>
      <c r="B69" s="133"/>
      <c r="C69" s="133"/>
      <c r="D69" s="133"/>
      <c r="E69" s="133"/>
      <c r="F69" s="133"/>
      <c r="G69" s="133"/>
      <c r="H69" s="133"/>
      <c r="I69" s="133"/>
      <c r="J69" s="133"/>
      <c r="K69" s="148"/>
    </row>
    <row r="70" spans="1:11" ht="15" customHeight="1">
      <c r="A70" s="118"/>
      <c r="B70" s="133"/>
      <c r="C70" s="133"/>
      <c r="D70" s="133"/>
      <c r="E70" s="133"/>
      <c r="F70" s="133"/>
      <c r="G70" s="133"/>
      <c r="H70" s="133"/>
      <c r="I70" s="133"/>
      <c r="J70" s="133"/>
      <c r="K70" s="148"/>
    </row>
    <row r="71" spans="1:11" ht="15" customHeight="1">
      <c r="A71" s="118"/>
      <c r="B71" s="133"/>
      <c r="C71" s="133"/>
      <c r="D71" s="133"/>
      <c r="E71" s="133"/>
      <c r="F71" s="133"/>
      <c r="G71" s="133"/>
      <c r="H71" s="133"/>
      <c r="I71" s="133"/>
      <c r="J71" s="133"/>
      <c r="K71" s="148"/>
    </row>
    <row r="72" spans="1:11" ht="15" customHeight="1">
      <c r="A72" s="118"/>
      <c r="B72" s="133"/>
      <c r="C72" s="133"/>
      <c r="D72" s="133"/>
      <c r="E72" s="133"/>
      <c r="F72" s="133"/>
      <c r="G72" s="133"/>
      <c r="H72" s="133"/>
      <c r="I72" s="133"/>
      <c r="J72" s="133"/>
      <c r="K72" s="148"/>
    </row>
    <row r="73" spans="1:11" ht="15" customHeight="1">
      <c r="A73" s="118"/>
      <c r="B73" s="133"/>
      <c r="C73" s="133"/>
      <c r="D73" s="133"/>
      <c r="E73" s="133"/>
      <c r="F73" s="133"/>
      <c r="G73" s="133"/>
      <c r="H73" s="133"/>
      <c r="I73" s="133"/>
      <c r="J73" s="133"/>
      <c r="K73" s="148"/>
    </row>
    <row r="74" spans="1:11" ht="15" customHeight="1">
      <c r="A74" s="914" t="s">
        <v>964</v>
      </c>
      <c r="B74" s="914"/>
      <c r="C74" s="914"/>
      <c r="D74" s="914"/>
      <c r="E74" s="914"/>
      <c r="F74" s="914"/>
      <c r="G74" s="914"/>
      <c r="H74" s="1476" t="s">
        <v>36</v>
      </c>
      <c r="I74" s="1476"/>
      <c r="J74" s="887"/>
      <c r="K74" s="148"/>
    </row>
    <row r="75" spans="1:11" ht="15" customHeight="1">
      <c r="A75" s="148"/>
      <c r="C75" s="885"/>
      <c r="D75" s="885"/>
      <c r="E75" s="885"/>
      <c r="F75" s="885"/>
      <c r="G75" s="885"/>
      <c r="H75" s="885"/>
      <c r="I75" s="885"/>
      <c r="J75" s="885"/>
      <c r="K75" s="148"/>
    </row>
  </sheetData>
  <mergeCells count="4">
    <mergeCell ref="H74:I74"/>
    <mergeCell ref="A74:G74"/>
    <mergeCell ref="C1:F1"/>
    <mergeCell ref="I1:J1"/>
  </mergeCells>
  <conditionalFormatting sqref="C29:C37">
    <cfRule type="cellIs" dxfId="1" priority="3" stopIfTrue="1" operator="lessThan">
      <formula>0</formula>
    </cfRule>
  </conditionalFormatting>
  <conditionalFormatting sqref="D29:D37">
    <cfRule type="expression" dxfId="0" priority="2" stopIfTrue="1">
      <formula>ISERROR(D29)</formula>
    </cfRule>
  </conditionalFormatting>
  <hyperlinks>
    <hyperlink ref="H74" r:id="rId1" xr:uid="{00000000-0004-0000-0300-000000000000}"/>
  </hyperlinks>
  <printOptions horizontalCentered="1"/>
  <pageMargins left="0.51180599999999998" right="0.51180599999999998" top="0.47222199999999998" bottom="0.70833299999999999" header="0.315278" footer="0.315278"/>
  <pageSetup paperSize="9" scale="76" fitToWidth="0" pageOrder="overThenDown"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9"/>
  <sheetViews>
    <sheetView zoomScale="75" zoomScaleNormal="75" workbookViewId="0">
      <pane ySplit="13" topLeftCell="A14" activePane="bottomLeft" state="frozen"/>
      <selection pane="bottomLeft" activeCell="C14" sqref="C14"/>
    </sheetView>
  </sheetViews>
  <sheetFormatPr defaultColWidth="9" defaultRowHeight="13.8"/>
  <cols>
    <col min="1" max="1" width="3.88671875" style="58" customWidth="1"/>
    <col min="2" max="2" width="34.88671875" style="58" customWidth="1"/>
    <col min="3" max="6" width="8.33203125" style="58" customWidth="1"/>
    <col min="7" max="8" width="5.6640625" style="58" hidden="1" customWidth="1"/>
    <col min="9" max="9" width="6" style="58" hidden="1" customWidth="1"/>
    <col min="10" max="10" width="0.6640625" style="58" customWidth="1"/>
    <col min="11" max="11" width="25" style="58" customWidth="1"/>
    <col min="12" max="14" width="8.33203125" style="58" customWidth="1"/>
    <col min="15" max="17" width="7.6640625" style="58" hidden="1" customWidth="1"/>
    <col min="18" max="18" width="8.5546875" style="59" customWidth="1"/>
    <col min="19" max="20" width="8" style="58" customWidth="1"/>
    <col min="21" max="21" width="12" style="58" customWidth="1"/>
    <col min="22" max="22" width="2.5546875" style="58" customWidth="1"/>
  </cols>
  <sheetData>
    <row r="1" spans="1:22" ht="45.6">
      <c r="A1" s="878"/>
      <c r="B1" s="879"/>
      <c r="C1" s="1487" t="s">
        <v>958</v>
      </c>
      <c r="D1" s="1487"/>
      <c r="E1" s="1487"/>
      <c r="F1" s="1487"/>
      <c r="G1" s="1487"/>
      <c r="H1" s="1487"/>
      <c r="I1" s="1487"/>
      <c r="J1" s="1487"/>
      <c r="K1" s="1487"/>
      <c r="L1" s="1487"/>
      <c r="M1" s="1487"/>
      <c r="N1" s="721"/>
      <c r="O1" s="721"/>
      <c r="P1" s="721"/>
      <c r="Q1" s="721"/>
      <c r="R1" s="721"/>
      <c r="S1" s="84"/>
      <c r="T1" s="1485" t="s">
        <v>962</v>
      </c>
      <c r="U1" s="1485"/>
      <c r="V1" s="95"/>
    </row>
    <row r="2" spans="1:22" s="57" customFormat="1" ht="12" customHeight="1">
      <c r="A2" s="61"/>
      <c r="B2" s="61"/>
      <c r="C2" s="61"/>
      <c r="D2" s="61"/>
      <c r="E2" s="1488" t="s">
        <v>783</v>
      </c>
      <c r="F2" s="1488"/>
      <c r="G2" s="1488"/>
      <c r="H2" s="1488"/>
      <c r="I2" s="1488"/>
      <c r="J2" s="1488"/>
      <c r="K2" s="1488"/>
      <c r="L2" s="61"/>
      <c r="M2" s="61"/>
      <c r="N2" s="61"/>
      <c r="O2" s="61"/>
      <c r="P2" s="61"/>
      <c r="Q2" s="61"/>
      <c r="R2" s="61"/>
      <c r="S2" s="61"/>
      <c r="T2" s="61"/>
      <c r="U2" s="61"/>
      <c r="V2" s="64"/>
    </row>
    <row r="3" spans="1:22" s="57" customFormat="1" ht="9.6" customHeight="1">
      <c r="A3" s="61"/>
      <c r="B3" s="61"/>
      <c r="C3" s="62"/>
      <c r="D3" s="62"/>
      <c r="E3" s="62"/>
      <c r="F3" s="63"/>
      <c r="G3" s="62"/>
      <c r="H3" s="64"/>
      <c r="I3" s="64"/>
      <c r="J3" s="64"/>
      <c r="K3" s="64"/>
      <c r="L3" s="64"/>
      <c r="M3" s="64"/>
      <c r="N3" s="64"/>
      <c r="O3" s="64"/>
      <c r="P3" s="64"/>
      <c r="Q3" s="64"/>
      <c r="R3" s="64"/>
      <c r="S3" s="64"/>
      <c r="T3" s="64"/>
      <c r="U3" s="64"/>
      <c r="V3" s="64"/>
    </row>
    <row r="4" spans="1:22" ht="14.4" customHeight="1">
      <c r="A4" s="1486" t="str">
        <f>"By calculation your `"&amp;A13&amp;"' should contain about -"</f>
        <v>By calculation your `Tequila Sunrise' should contain about -</v>
      </c>
      <c r="B4" s="1486"/>
      <c r="C4" s="1486"/>
      <c r="D4" s="1486"/>
      <c r="E4" s="1486"/>
      <c r="F4" s="1480" t="str">
        <f>FIXED((25*(C84+L84)+Q83),0)&amp;"ml (including any ice stated etc.)"</f>
        <v>250ml (including any ice stated etc.)</v>
      </c>
      <c r="G4" s="1480"/>
      <c r="H4" s="1480"/>
      <c r="I4" s="1480"/>
      <c r="J4" s="1480"/>
      <c r="K4" s="1480"/>
      <c r="L4" s="66"/>
      <c r="M4" s="66"/>
      <c r="N4" s="66"/>
      <c r="O4" s="66"/>
      <c r="P4" s="66"/>
      <c r="Q4" s="66"/>
      <c r="R4" s="96"/>
      <c r="S4" s="66"/>
      <c r="T4" s="66"/>
      <c r="U4" s="66"/>
      <c r="V4" s="66"/>
    </row>
    <row r="5" spans="1:22" ht="13.2" customHeight="1">
      <c r="A5" s="65"/>
      <c r="B5" s="1479" t="s">
        <v>234</v>
      </c>
      <c r="C5" s="1479"/>
      <c r="D5" s="1479"/>
      <c r="E5" s="65" t="s">
        <v>784</v>
      </c>
      <c r="F5" s="1480" t="str">
        <f>FIXED((H84+O83),0)&amp;" calories"</f>
        <v>252 calories</v>
      </c>
      <c r="G5" s="1480"/>
      <c r="H5" s="1480"/>
      <c r="I5" s="1480"/>
      <c r="J5" s="1480"/>
      <c r="K5" s="1481"/>
      <c r="L5" s="85"/>
      <c r="M5" s="86"/>
      <c r="N5" s="1482" t="s">
        <v>785</v>
      </c>
      <c r="O5" s="1483"/>
      <c r="P5" s="1483"/>
      <c r="Q5" s="1483"/>
      <c r="R5" s="1483"/>
      <c r="S5" s="1483"/>
      <c r="T5" s="1483"/>
      <c r="U5" s="97"/>
      <c r="V5" s="97"/>
    </row>
    <row r="6" spans="1:22" ht="13.2" customHeight="1">
      <c r="A6" s="65"/>
      <c r="B6" s="1479"/>
      <c r="C6" s="1479"/>
      <c r="D6" s="1479"/>
      <c r="E6" s="871"/>
      <c r="F6" s="1480" t="str">
        <f>FIXED((I84+P83),1)&amp;" carbs"</f>
        <v>35.5 carbs</v>
      </c>
      <c r="G6" s="1480"/>
      <c r="H6" s="1480"/>
      <c r="I6" s="1480"/>
      <c r="J6" s="1480"/>
      <c r="K6" s="1480"/>
      <c r="L6" s="66"/>
      <c r="M6" s="66"/>
      <c r="N6" s="66"/>
      <c r="O6" s="66"/>
      <c r="P6" s="66"/>
      <c r="Q6" s="66"/>
      <c r="R6" s="96"/>
      <c r="S6" s="66"/>
      <c r="T6" s="66"/>
      <c r="U6" s="67"/>
      <c r="V6" s="66"/>
    </row>
    <row r="7" spans="1:22" ht="13.2" customHeight="1">
      <c r="A7" s="772"/>
      <c r="B7" s="1479"/>
      <c r="C7" s="1479"/>
      <c r="D7" s="1479"/>
      <c r="E7" s="871"/>
      <c r="F7" s="1480" t="str">
        <f>FIXED(G84,1)&amp;" units of alcohol (UK)"</f>
        <v>2.0 units of alcohol (UK)</v>
      </c>
      <c r="G7" s="1480"/>
      <c r="H7" s="1480"/>
      <c r="I7" s="1480"/>
      <c r="J7" s="1480"/>
      <c r="K7" s="1480"/>
      <c r="L7" s="1484" t="s">
        <v>786</v>
      </c>
      <c r="M7" s="1484"/>
      <c r="N7" s="1484"/>
      <c r="O7" s="1484"/>
      <c r="P7" s="1484"/>
      <c r="Q7" s="1484"/>
      <c r="R7" s="1484"/>
      <c r="S7" s="1484"/>
      <c r="T7" s="1484"/>
      <c r="U7" s="1484"/>
      <c r="V7" s="66"/>
    </row>
    <row r="8" spans="1:22" ht="9" customHeight="1">
      <c r="A8" s="66"/>
      <c r="B8" s="1479"/>
      <c r="C8" s="1479"/>
      <c r="D8" s="1479"/>
      <c r="E8" s="871"/>
      <c r="F8" s="67"/>
      <c r="G8" s="67"/>
      <c r="H8" s="66"/>
      <c r="I8" s="87"/>
      <c r="J8" s="87"/>
      <c r="K8" s="66"/>
      <c r="L8" s="66"/>
      <c r="M8" s="67"/>
      <c r="N8" s="67"/>
      <c r="O8" s="66"/>
      <c r="P8" s="240"/>
      <c r="Q8" s="240"/>
      <c r="R8" s="96"/>
      <c r="S8" s="67"/>
      <c r="T8" s="67"/>
      <c r="U8" s="67"/>
      <c r="V8" s="66"/>
    </row>
    <row r="9" spans="1:22" ht="13.2" customHeight="1">
      <c r="A9" s="1505" t="s">
        <v>787</v>
      </c>
      <c r="B9" s="1505"/>
      <c r="C9" s="1505"/>
      <c r="D9" s="1505"/>
      <c r="E9" s="1505"/>
      <c r="F9" s="1505"/>
      <c r="G9" s="1505"/>
      <c r="H9" s="1505"/>
      <c r="I9" s="1505"/>
      <c r="J9" s="1505"/>
      <c r="K9" s="1505"/>
      <c r="L9" s="1505"/>
      <c r="M9" s="1505"/>
      <c r="N9" s="1505"/>
      <c r="O9" s="1505"/>
      <c r="P9" s="1505"/>
      <c r="Q9" s="1505"/>
      <c r="R9" s="1505"/>
      <c r="S9" s="1505"/>
      <c r="T9" s="1505"/>
      <c r="U9" s="1505"/>
      <c r="V9" s="66"/>
    </row>
    <row r="10" spans="1:22" ht="13.2" customHeight="1">
      <c r="A10" s="1480" t="s">
        <v>788</v>
      </c>
      <c r="B10" s="1480"/>
      <c r="C10" s="1480"/>
      <c r="D10" s="1480"/>
      <c r="E10" s="1480"/>
      <c r="F10" s="1480"/>
      <c r="G10" s="1480"/>
      <c r="H10" s="1480"/>
      <c r="I10" s="1480"/>
      <c r="J10" s="1480"/>
      <c r="K10" s="1480"/>
      <c r="L10" s="1480"/>
      <c r="M10" s="1480"/>
      <c r="N10" s="1480"/>
      <c r="O10" s="1480"/>
      <c r="P10" s="1480"/>
      <c r="Q10" s="1480"/>
      <c r="R10" s="1480"/>
      <c r="S10" s="1480"/>
      <c r="T10" s="1480"/>
      <c r="U10" s="1480"/>
      <c r="V10" s="66"/>
    </row>
    <row r="11" spans="1:22" ht="9.75" customHeight="1">
      <c r="A11" s="68"/>
      <c r="B11" s="68"/>
      <c r="C11" s="68"/>
      <c r="D11" s="68"/>
      <c r="E11" s="68"/>
      <c r="F11" s="68"/>
      <c r="G11" s="68"/>
      <c r="H11" s="68"/>
      <c r="I11" s="68"/>
      <c r="J11" s="68"/>
      <c r="K11" s="68"/>
      <c r="L11" s="68"/>
      <c r="M11" s="68"/>
      <c r="N11" s="68"/>
      <c r="O11" s="68"/>
      <c r="P11" s="68"/>
      <c r="Q11" s="68"/>
      <c r="R11" s="68"/>
      <c r="S11" s="68"/>
      <c r="T11" s="68"/>
      <c r="U11" s="68"/>
      <c r="V11" s="98"/>
    </row>
    <row r="12" spans="1:22" ht="13.2" customHeight="1">
      <c r="A12" s="1506" t="s">
        <v>789</v>
      </c>
      <c r="B12" s="1507"/>
      <c r="C12" s="69" t="s">
        <v>790</v>
      </c>
      <c r="D12" s="70" t="s">
        <v>100</v>
      </c>
      <c r="E12" s="69" t="s">
        <v>791</v>
      </c>
      <c r="F12" s="69" t="s">
        <v>792</v>
      </c>
      <c r="G12" s="71"/>
      <c r="H12" s="71"/>
      <c r="I12" s="71"/>
      <c r="J12" s="1512"/>
      <c r="K12" s="1514" t="s">
        <v>793</v>
      </c>
      <c r="L12" s="88" t="s">
        <v>790</v>
      </c>
      <c r="M12" s="69" t="s">
        <v>791</v>
      </c>
      <c r="N12" s="69" t="s">
        <v>792</v>
      </c>
      <c r="O12" s="89"/>
      <c r="P12" s="90"/>
      <c r="Q12" s="90"/>
      <c r="R12" s="1516" t="s">
        <v>794</v>
      </c>
      <c r="S12" s="1517"/>
      <c r="T12" s="1517"/>
      <c r="U12" s="1518"/>
      <c r="V12" s="98"/>
    </row>
    <row r="13" spans="1:22" ht="13.95" customHeight="1">
      <c r="A13" s="1508" t="s">
        <v>795</v>
      </c>
      <c r="B13" s="1508"/>
      <c r="C13" s="72" t="s">
        <v>796</v>
      </c>
      <c r="D13" s="73"/>
      <c r="E13" s="74" t="s">
        <v>797</v>
      </c>
      <c r="F13" s="74" t="s">
        <v>797</v>
      </c>
      <c r="G13" s="75" t="s">
        <v>728</v>
      </c>
      <c r="H13" s="75" t="s">
        <v>798</v>
      </c>
      <c r="I13" s="75" t="s">
        <v>799</v>
      </c>
      <c r="J13" s="1513"/>
      <c r="K13" s="1515"/>
      <c r="L13" s="91" t="s">
        <v>796</v>
      </c>
      <c r="M13" s="74" t="s">
        <v>797</v>
      </c>
      <c r="N13" s="74" t="s">
        <v>797</v>
      </c>
      <c r="O13" s="92" t="s">
        <v>798</v>
      </c>
      <c r="P13" s="92" t="s">
        <v>799</v>
      </c>
      <c r="Q13" s="99"/>
      <c r="R13" s="1519"/>
      <c r="S13" s="1520"/>
      <c r="T13" s="1520"/>
      <c r="U13" s="1521"/>
      <c r="V13" s="98"/>
    </row>
    <row r="14" spans="1:22" ht="13.5" customHeight="1">
      <c r="A14" s="76">
        <v>1</v>
      </c>
      <c r="B14" s="77" t="s">
        <v>800</v>
      </c>
      <c r="C14" s="672"/>
      <c r="D14" s="78">
        <v>40</v>
      </c>
      <c r="E14" s="78">
        <v>220</v>
      </c>
      <c r="F14" s="78">
        <v>0</v>
      </c>
      <c r="G14" s="79">
        <f t="shared" ref="G14:G45" si="0">C14*D14/40</f>
        <v>0</v>
      </c>
      <c r="H14" s="79">
        <f t="shared" ref="H14:H45" si="1">$C14*E14*25/100</f>
        <v>0</v>
      </c>
      <c r="I14" s="79">
        <f t="shared" ref="I14:I45" si="2">$C14*F14*25/100</f>
        <v>0</v>
      </c>
      <c r="J14" s="1493" t="s">
        <v>671</v>
      </c>
      <c r="K14" s="77" t="s">
        <v>801</v>
      </c>
      <c r="L14" s="81"/>
      <c r="M14" s="78">
        <v>49</v>
      </c>
      <c r="N14" s="78">
        <v>12.2</v>
      </c>
      <c r="O14" s="93">
        <f t="shared" ref="O14:O45" si="3">$L14*M14*25/100</f>
        <v>0</v>
      </c>
      <c r="P14" s="93">
        <f t="shared" ref="P14:P45" si="4">$L14*N14*25/100</f>
        <v>0</v>
      </c>
      <c r="Q14" s="100"/>
      <c r="R14" s="1495"/>
      <c r="S14" s="1496"/>
      <c r="T14" s="1496"/>
      <c r="U14" s="1497"/>
      <c r="V14" s="98"/>
    </row>
    <row r="15" spans="1:22" ht="13.5" customHeight="1">
      <c r="A15" s="76">
        <v>2</v>
      </c>
      <c r="B15" s="77"/>
      <c r="C15" s="672"/>
      <c r="D15" s="78"/>
      <c r="E15" s="78"/>
      <c r="F15" s="78"/>
      <c r="G15" s="79">
        <f t="shared" si="0"/>
        <v>0</v>
      </c>
      <c r="H15" s="79">
        <f t="shared" si="1"/>
        <v>0</v>
      </c>
      <c r="I15" s="79">
        <f t="shared" si="2"/>
        <v>0</v>
      </c>
      <c r="J15" s="1493"/>
      <c r="K15" s="77" t="s">
        <v>801</v>
      </c>
      <c r="L15" s="81"/>
      <c r="M15" s="78">
        <v>49</v>
      </c>
      <c r="N15" s="78">
        <v>12.2</v>
      </c>
      <c r="O15" s="93">
        <f t="shared" si="3"/>
        <v>0</v>
      </c>
      <c r="P15" s="93">
        <f t="shared" si="4"/>
        <v>0</v>
      </c>
      <c r="Q15" s="100"/>
      <c r="R15" s="1498"/>
      <c r="S15" s="1496"/>
      <c r="T15" s="1496"/>
      <c r="U15" s="1497"/>
      <c r="V15" s="98"/>
    </row>
    <row r="16" spans="1:22" ht="13.5" customHeight="1">
      <c r="A16" s="76">
        <v>3</v>
      </c>
      <c r="B16" s="80" t="s">
        <v>802</v>
      </c>
      <c r="C16" s="81"/>
      <c r="D16" s="78">
        <v>68</v>
      </c>
      <c r="E16" s="78">
        <v>400</v>
      </c>
      <c r="F16" s="78">
        <v>0</v>
      </c>
      <c r="G16" s="79">
        <f t="shared" si="0"/>
        <v>0</v>
      </c>
      <c r="H16" s="79">
        <f t="shared" si="1"/>
        <v>0</v>
      </c>
      <c r="I16" s="79">
        <f t="shared" si="2"/>
        <v>0</v>
      </c>
      <c r="J16" s="1493"/>
      <c r="K16" s="77" t="s">
        <v>803</v>
      </c>
      <c r="L16" s="81"/>
      <c r="M16" s="78">
        <v>24</v>
      </c>
      <c r="N16" s="78">
        <v>4.9000000000000004</v>
      </c>
      <c r="O16" s="93">
        <f t="shared" si="3"/>
        <v>0</v>
      </c>
      <c r="P16" s="93">
        <f t="shared" si="4"/>
        <v>0</v>
      </c>
      <c r="Q16" s="100"/>
      <c r="R16" s="1498"/>
      <c r="S16" s="1496"/>
      <c r="T16" s="1496"/>
      <c r="U16" s="1497"/>
      <c r="V16" s="98"/>
    </row>
    <row r="17" spans="1:22" ht="13.5" customHeight="1">
      <c r="A17" s="76">
        <v>4</v>
      </c>
      <c r="B17" s="80" t="s">
        <v>804</v>
      </c>
      <c r="C17" s="81"/>
      <c r="D17" s="78">
        <v>18</v>
      </c>
      <c r="E17" s="78">
        <v>260</v>
      </c>
      <c r="F17" s="78">
        <v>28</v>
      </c>
      <c r="G17" s="79">
        <f t="shared" si="0"/>
        <v>0</v>
      </c>
      <c r="H17" s="79">
        <f t="shared" si="1"/>
        <v>0</v>
      </c>
      <c r="I17" s="79">
        <f t="shared" si="2"/>
        <v>0</v>
      </c>
      <c r="J17" s="1493"/>
      <c r="K17" s="80"/>
      <c r="L17" s="81"/>
      <c r="M17" s="78"/>
      <c r="N17" s="78"/>
      <c r="O17" s="93">
        <f t="shared" si="3"/>
        <v>0</v>
      </c>
      <c r="P17" s="93">
        <f t="shared" si="4"/>
        <v>0</v>
      </c>
      <c r="Q17" s="100"/>
      <c r="R17" s="1498"/>
      <c r="S17" s="1496"/>
      <c r="T17" s="1496"/>
      <c r="U17" s="1497"/>
      <c r="V17" s="98"/>
    </row>
    <row r="18" spans="1:22" ht="13.5" customHeight="1">
      <c r="A18" s="76">
        <v>5</v>
      </c>
      <c r="B18" s="80" t="s">
        <v>805</v>
      </c>
      <c r="C18" s="81"/>
      <c r="D18" s="78">
        <v>17</v>
      </c>
      <c r="E18" s="78">
        <v>380</v>
      </c>
      <c r="F18" s="78">
        <v>43.2</v>
      </c>
      <c r="G18" s="79">
        <f t="shared" si="0"/>
        <v>0</v>
      </c>
      <c r="H18" s="79">
        <f t="shared" si="1"/>
        <v>0</v>
      </c>
      <c r="I18" s="79">
        <f t="shared" si="2"/>
        <v>0</v>
      </c>
      <c r="J18" s="1493"/>
      <c r="K18" s="77"/>
      <c r="L18" s="81"/>
      <c r="M18" s="78"/>
      <c r="N18" s="78"/>
      <c r="O18" s="93">
        <f t="shared" si="3"/>
        <v>0</v>
      </c>
      <c r="P18" s="93">
        <f t="shared" si="4"/>
        <v>0</v>
      </c>
      <c r="Q18" s="100"/>
      <c r="R18" s="1498"/>
      <c r="S18" s="1496"/>
      <c r="T18" s="1496"/>
      <c r="U18" s="1497"/>
      <c r="V18" s="98"/>
    </row>
    <row r="19" spans="1:22" ht="13.5" customHeight="1">
      <c r="A19" s="76">
        <v>6</v>
      </c>
      <c r="B19" s="80" t="s">
        <v>806</v>
      </c>
      <c r="C19" s="81"/>
      <c r="D19" s="78">
        <v>45</v>
      </c>
      <c r="E19" s="78">
        <v>64</v>
      </c>
      <c r="F19" s="78">
        <v>44</v>
      </c>
      <c r="G19" s="79">
        <f t="shared" si="0"/>
        <v>0</v>
      </c>
      <c r="H19" s="79">
        <f t="shared" si="1"/>
        <v>0</v>
      </c>
      <c r="I19" s="79">
        <f t="shared" si="2"/>
        <v>0</v>
      </c>
      <c r="J19" s="1493"/>
      <c r="K19" s="77"/>
      <c r="L19" s="81"/>
      <c r="M19" s="78"/>
      <c r="N19" s="78"/>
      <c r="O19" s="93">
        <f t="shared" si="3"/>
        <v>0</v>
      </c>
      <c r="P19" s="93">
        <f t="shared" si="4"/>
        <v>0</v>
      </c>
      <c r="Q19" s="100"/>
      <c r="R19" s="1498"/>
      <c r="S19" s="1496"/>
      <c r="T19" s="1496"/>
      <c r="U19" s="1497"/>
      <c r="V19" s="98"/>
    </row>
    <row r="20" spans="1:22" ht="13.5" customHeight="1">
      <c r="A20" s="76">
        <v>7</v>
      </c>
      <c r="B20" s="82" t="s">
        <v>807</v>
      </c>
      <c r="C20" s="81"/>
      <c r="D20" s="78">
        <v>11</v>
      </c>
      <c r="E20" s="78">
        <v>206</v>
      </c>
      <c r="F20" s="78">
        <v>0</v>
      </c>
      <c r="G20" s="79">
        <f t="shared" si="0"/>
        <v>0</v>
      </c>
      <c r="H20" s="79">
        <f t="shared" si="1"/>
        <v>0</v>
      </c>
      <c r="I20" s="79">
        <f t="shared" si="2"/>
        <v>0</v>
      </c>
      <c r="J20" s="1493"/>
      <c r="K20" s="80" t="s">
        <v>808</v>
      </c>
      <c r="L20" s="81"/>
      <c r="M20" s="78">
        <v>83</v>
      </c>
      <c r="N20" s="78">
        <v>1.7</v>
      </c>
      <c r="O20" s="93">
        <f t="shared" si="3"/>
        <v>0</v>
      </c>
      <c r="P20" s="93">
        <f t="shared" si="4"/>
        <v>0</v>
      </c>
      <c r="Q20" s="100"/>
      <c r="R20" s="1498"/>
      <c r="S20" s="1496"/>
      <c r="T20" s="1496"/>
      <c r="U20" s="1497"/>
      <c r="V20" s="98"/>
    </row>
    <row r="21" spans="1:22" ht="13.5" customHeight="1">
      <c r="A21" s="76">
        <v>8</v>
      </c>
      <c r="B21" s="80"/>
      <c r="C21" s="81"/>
      <c r="D21" s="78"/>
      <c r="E21" s="78"/>
      <c r="F21" s="78"/>
      <c r="G21" s="79">
        <f t="shared" si="0"/>
        <v>0</v>
      </c>
      <c r="H21" s="79">
        <f t="shared" si="1"/>
        <v>0</v>
      </c>
      <c r="I21" s="79">
        <f t="shared" si="2"/>
        <v>0</v>
      </c>
      <c r="J21" s="1493"/>
      <c r="K21" s="77" t="s">
        <v>809</v>
      </c>
      <c r="L21" s="81"/>
      <c r="M21" s="78">
        <v>40</v>
      </c>
      <c r="N21" s="78">
        <v>11.3</v>
      </c>
      <c r="O21" s="93">
        <f t="shared" si="3"/>
        <v>0</v>
      </c>
      <c r="P21" s="93">
        <f t="shared" si="4"/>
        <v>0</v>
      </c>
      <c r="Q21" s="100"/>
      <c r="R21" s="1498"/>
      <c r="S21" s="1496"/>
      <c r="T21" s="1496"/>
      <c r="U21" s="1497"/>
      <c r="V21" s="98"/>
    </row>
    <row r="22" spans="1:22" ht="13.5" customHeight="1">
      <c r="A22" s="76">
        <v>9</v>
      </c>
      <c r="B22" s="80" t="s">
        <v>810</v>
      </c>
      <c r="C22" s="81"/>
      <c r="D22" s="78">
        <v>40</v>
      </c>
      <c r="E22" s="78">
        <v>220</v>
      </c>
      <c r="F22" s="78">
        <v>0</v>
      </c>
      <c r="G22" s="79">
        <f t="shared" si="0"/>
        <v>0</v>
      </c>
      <c r="H22" s="79">
        <f t="shared" si="1"/>
        <v>0</v>
      </c>
      <c r="I22" s="79">
        <f t="shared" si="2"/>
        <v>0</v>
      </c>
      <c r="J22" s="1493"/>
      <c r="K22" s="77" t="s">
        <v>811</v>
      </c>
      <c r="L22" s="672"/>
      <c r="M22" s="78">
        <v>58</v>
      </c>
      <c r="N22" s="78">
        <v>14.5</v>
      </c>
      <c r="O22" s="93">
        <f t="shared" si="3"/>
        <v>0</v>
      </c>
      <c r="P22" s="93">
        <f t="shared" si="4"/>
        <v>0</v>
      </c>
      <c r="Q22" s="100"/>
      <c r="R22" s="1498"/>
      <c r="S22" s="1496"/>
      <c r="T22" s="1496"/>
      <c r="U22" s="1497"/>
      <c r="V22" s="98"/>
    </row>
    <row r="23" spans="1:22" ht="13.5" customHeight="1">
      <c r="A23" s="76">
        <v>10</v>
      </c>
      <c r="B23" s="80" t="s">
        <v>812</v>
      </c>
      <c r="C23" s="81"/>
      <c r="D23" s="78">
        <v>40</v>
      </c>
      <c r="E23" s="78">
        <v>360</v>
      </c>
      <c r="F23" s="78">
        <v>20</v>
      </c>
      <c r="G23" s="79">
        <f t="shared" si="0"/>
        <v>0</v>
      </c>
      <c r="H23" s="79">
        <f t="shared" si="1"/>
        <v>0</v>
      </c>
      <c r="I23" s="79">
        <f t="shared" si="2"/>
        <v>0</v>
      </c>
      <c r="J23" s="1493"/>
      <c r="K23" s="77" t="s">
        <v>813</v>
      </c>
      <c r="L23" s="672"/>
      <c r="M23" s="78">
        <v>58</v>
      </c>
      <c r="N23" s="78">
        <v>14.4</v>
      </c>
      <c r="O23" s="93">
        <f t="shared" si="3"/>
        <v>0</v>
      </c>
      <c r="P23" s="93">
        <f t="shared" si="4"/>
        <v>0</v>
      </c>
      <c r="Q23" s="100"/>
      <c r="R23" s="1498"/>
      <c r="S23" s="1496"/>
      <c r="T23" s="1496"/>
      <c r="U23" s="1497"/>
      <c r="V23" s="98"/>
    </row>
    <row r="24" spans="1:22" ht="13.5" customHeight="1">
      <c r="A24" s="76">
        <v>11</v>
      </c>
      <c r="B24" s="77" t="s">
        <v>814</v>
      </c>
      <c r="C24" s="81"/>
      <c r="D24" s="78">
        <v>40</v>
      </c>
      <c r="E24" s="78">
        <v>220</v>
      </c>
      <c r="F24" s="78">
        <v>0</v>
      </c>
      <c r="G24" s="79">
        <f t="shared" si="0"/>
        <v>0</v>
      </c>
      <c r="H24" s="79">
        <f t="shared" si="1"/>
        <v>0</v>
      </c>
      <c r="I24" s="79">
        <f t="shared" si="2"/>
        <v>0</v>
      </c>
      <c r="J24" s="1493"/>
      <c r="K24" s="80" t="s">
        <v>815</v>
      </c>
      <c r="L24" s="81"/>
      <c r="M24" s="78">
        <v>194</v>
      </c>
      <c r="N24" s="78">
        <v>19.100000000000001</v>
      </c>
      <c r="O24" s="93">
        <f t="shared" si="3"/>
        <v>0</v>
      </c>
      <c r="P24" s="93">
        <f t="shared" si="4"/>
        <v>0</v>
      </c>
      <c r="Q24" s="100"/>
      <c r="R24" s="1498"/>
      <c r="S24" s="1496"/>
      <c r="T24" s="1496"/>
      <c r="U24" s="1497"/>
      <c r="V24" s="98"/>
    </row>
    <row r="25" spans="1:22" ht="13.5" customHeight="1">
      <c r="A25" s="76">
        <v>12</v>
      </c>
      <c r="B25" s="80" t="s">
        <v>816</v>
      </c>
      <c r="C25" s="81"/>
      <c r="D25" s="78">
        <v>40</v>
      </c>
      <c r="E25" s="78">
        <v>220</v>
      </c>
      <c r="F25" s="78">
        <v>0</v>
      </c>
      <c r="G25" s="79">
        <f t="shared" si="0"/>
        <v>0</v>
      </c>
      <c r="H25" s="79">
        <f t="shared" si="1"/>
        <v>0</v>
      </c>
      <c r="I25" s="79">
        <f t="shared" si="2"/>
        <v>0</v>
      </c>
      <c r="J25" s="1493"/>
      <c r="K25" s="80"/>
      <c r="L25" s="81"/>
      <c r="M25" s="78"/>
      <c r="N25" s="78"/>
      <c r="O25" s="93">
        <f t="shared" si="3"/>
        <v>0</v>
      </c>
      <c r="P25" s="93">
        <f t="shared" si="4"/>
        <v>0</v>
      </c>
      <c r="Q25" s="100"/>
      <c r="R25" s="1498"/>
      <c r="S25" s="1496"/>
      <c r="T25" s="1496"/>
      <c r="U25" s="1497"/>
      <c r="V25" s="98"/>
    </row>
    <row r="26" spans="1:22" ht="13.5" customHeight="1">
      <c r="A26" s="76">
        <v>13</v>
      </c>
      <c r="B26" s="80"/>
      <c r="C26" s="81"/>
      <c r="D26" s="78"/>
      <c r="E26" s="78"/>
      <c r="F26" s="78"/>
      <c r="G26" s="79">
        <f t="shared" si="0"/>
        <v>0</v>
      </c>
      <c r="H26" s="79">
        <f t="shared" si="1"/>
        <v>0</v>
      </c>
      <c r="I26" s="79">
        <f t="shared" si="2"/>
        <v>0</v>
      </c>
      <c r="J26" s="1493"/>
      <c r="K26" s="80"/>
      <c r="L26" s="81"/>
      <c r="M26" s="78"/>
      <c r="N26" s="78"/>
      <c r="O26" s="93">
        <f t="shared" si="3"/>
        <v>0</v>
      </c>
      <c r="P26" s="93">
        <f t="shared" si="4"/>
        <v>0</v>
      </c>
      <c r="Q26" s="100"/>
      <c r="R26" s="1498"/>
      <c r="S26" s="1496"/>
      <c r="T26" s="1496"/>
      <c r="U26" s="1497"/>
      <c r="V26" s="98"/>
    </row>
    <row r="27" spans="1:22" ht="13.5" customHeight="1">
      <c r="A27" s="76">
        <v>14</v>
      </c>
      <c r="B27" s="80"/>
      <c r="C27" s="81"/>
      <c r="D27" s="78"/>
      <c r="E27" s="78"/>
      <c r="F27" s="78"/>
      <c r="G27" s="79">
        <f t="shared" si="0"/>
        <v>0</v>
      </c>
      <c r="H27" s="79">
        <f t="shared" si="1"/>
        <v>0</v>
      </c>
      <c r="I27" s="79">
        <f t="shared" si="2"/>
        <v>0</v>
      </c>
      <c r="J27" s="1493"/>
      <c r="K27" s="80" t="s">
        <v>817</v>
      </c>
      <c r="L27" s="81"/>
      <c r="M27" s="78">
        <v>450</v>
      </c>
      <c r="N27" s="78">
        <v>48</v>
      </c>
      <c r="O27" s="93">
        <f t="shared" si="3"/>
        <v>0</v>
      </c>
      <c r="P27" s="93">
        <f t="shared" si="4"/>
        <v>0</v>
      </c>
      <c r="Q27" s="100"/>
      <c r="R27" s="1498"/>
      <c r="S27" s="1496"/>
      <c r="T27" s="1496"/>
      <c r="U27" s="1497"/>
      <c r="V27" s="98"/>
    </row>
    <row r="28" spans="1:22" ht="13.5" customHeight="1">
      <c r="A28" s="76">
        <v>15</v>
      </c>
      <c r="B28" s="80" t="s">
        <v>818</v>
      </c>
      <c r="C28" s="81"/>
      <c r="D28" s="78">
        <v>40</v>
      </c>
      <c r="E28" s="78">
        <v>220</v>
      </c>
      <c r="F28" s="78">
        <v>0</v>
      </c>
      <c r="G28" s="79">
        <f t="shared" si="0"/>
        <v>0</v>
      </c>
      <c r="H28" s="79">
        <f t="shared" si="1"/>
        <v>0</v>
      </c>
      <c r="I28" s="79">
        <f t="shared" si="2"/>
        <v>0</v>
      </c>
      <c r="J28" s="1493"/>
      <c r="K28" s="80"/>
      <c r="L28" s="81"/>
      <c r="M28" s="78"/>
      <c r="N28" s="78"/>
      <c r="O28" s="93">
        <f t="shared" si="3"/>
        <v>0</v>
      </c>
      <c r="P28" s="93">
        <f t="shared" si="4"/>
        <v>0</v>
      </c>
      <c r="Q28" s="100"/>
      <c r="R28" s="1498"/>
      <c r="S28" s="1496"/>
      <c r="T28" s="1496"/>
      <c r="U28" s="1497"/>
      <c r="V28" s="98"/>
    </row>
    <row r="29" spans="1:22" ht="13.5" customHeight="1">
      <c r="A29" s="76">
        <v>16</v>
      </c>
      <c r="B29" s="80" t="s">
        <v>819</v>
      </c>
      <c r="C29" s="81"/>
      <c r="D29" s="78">
        <v>25</v>
      </c>
      <c r="E29" s="78">
        <v>320</v>
      </c>
      <c r="F29" s="78">
        <v>32</v>
      </c>
      <c r="G29" s="79">
        <f t="shared" si="0"/>
        <v>0</v>
      </c>
      <c r="H29" s="79">
        <f t="shared" si="1"/>
        <v>0</v>
      </c>
      <c r="I29" s="79">
        <f t="shared" si="2"/>
        <v>0</v>
      </c>
      <c r="J29" s="1493"/>
      <c r="K29" s="80"/>
      <c r="L29" s="81"/>
      <c r="M29" s="78"/>
      <c r="N29" s="78"/>
      <c r="O29" s="93">
        <f t="shared" si="3"/>
        <v>0</v>
      </c>
      <c r="P29" s="93">
        <f t="shared" si="4"/>
        <v>0</v>
      </c>
      <c r="Q29" s="100"/>
      <c r="R29" s="1498"/>
      <c r="S29" s="1496"/>
      <c r="T29" s="1496"/>
      <c r="U29" s="1497"/>
      <c r="V29" s="98"/>
    </row>
    <row r="30" spans="1:22" ht="13.5" customHeight="1">
      <c r="A30" s="76">
        <v>17</v>
      </c>
      <c r="B30" s="80" t="s">
        <v>820</v>
      </c>
      <c r="C30" s="81"/>
      <c r="D30" s="78">
        <v>40</v>
      </c>
      <c r="E30" s="78">
        <v>220</v>
      </c>
      <c r="F30" s="78">
        <v>0</v>
      </c>
      <c r="G30" s="79">
        <f t="shared" si="0"/>
        <v>0</v>
      </c>
      <c r="H30" s="79">
        <f t="shared" si="1"/>
        <v>0</v>
      </c>
      <c r="I30" s="79">
        <f t="shared" si="2"/>
        <v>0</v>
      </c>
      <c r="J30" s="1493"/>
      <c r="K30" s="80" t="s">
        <v>821</v>
      </c>
      <c r="L30" s="81"/>
      <c r="M30" s="78">
        <v>46</v>
      </c>
      <c r="N30" s="78">
        <v>10</v>
      </c>
      <c r="O30" s="93">
        <f t="shared" si="3"/>
        <v>0</v>
      </c>
      <c r="P30" s="93">
        <f t="shared" si="4"/>
        <v>0</v>
      </c>
      <c r="Q30" s="100"/>
      <c r="R30" s="1498"/>
      <c r="S30" s="1496"/>
      <c r="T30" s="1496"/>
      <c r="U30" s="1497"/>
      <c r="V30" s="98"/>
    </row>
    <row r="31" spans="1:22" ht="13.5" customHeight="1">
      <c r="A31" s="76">
        <v>18</v>
      </c>
      <c r="B31" s="80" t="s">
        <v>822</v>
      </c>
      <c r="C31" s="81"/>
      <c r="D31" s="78">
        <v>40</v>
      </c>
      <c r="E31" s="78">
        <v>216</v>
      </c>
      <c r="F31" s="78">
        <v>0</v>
      </c>
      <c r="G31" s="79">
        <f t="shared" si="0"/>
        <v>0</v>
      </c>
      <c r="H31" s="79">
        <f t="shared" si="1"/>
        <v>0</v>
      </c>
      <c r="I31" s="79">
        <f t="shared" si="2"/>
        <v>0</v>
      </c>
      <c r="J31" s="1493"/>
      <c r="K31" s="80"/>
      <c r="L31" s="81"/>
      <c r="M31" s="78"/>
      <c r="N31" s="78"/>
      <c r="O31" s="93">
        <f t="shared" si="3"/>
        <v>0</v>
      </c>
      <c r="P31" s="93">
        <f t="shared" si="4"/>
        <v>0</v>
      </c>
      <c r="Q31" s="100"/>
      <c r="R31" s="1498"/>
      <c r="S31" s="1496"/>
      <c r="T31" s="1496"/>
      <c r="U31" s="1497"/>
      <c r="V31" s="98"/>
    </row>
    <row r="32" spans="1:22" ht="13.5" customHeight="1">
      <c r="A32" s="76">
        <v>19</v>
      </c>
      <c r="B32" s="80" t="s">
        <v>823</v>
      </c>
      <c r="C32" s="81"/>
      <c r="D32" s="78">
        <v>40</v>
      </c>
      <c r="E32" s="78">
        <v>400</v>
      </c>
      <c r="F32" s="78">
        <v>40</v>
      </c>
      <c r="G32" s="79">
        <f t="shared" si="0"/>
        <v>0</v>
      </c>
      <c r="H32" s="79">
        <f t="shared" si="1"/>
        <v>0</v>
      </c>
      <c r="I32" s="79">
        <f t="shared" si="2"/>
        <v>0</v>
      </c>
      <c r="J32" s="1493"/>
      <c r="K32" s="77"/>
      <c r="L32" s="672"/>
      <c r="M32" s="78"/>
      <c r="N32" s="78"/>
      <c r="O32" s="93">
        <f t="shared" si="3"/>
        <v>0</v>
      </c>
      <c r="P32" s="93">
        <f t="shared" si="4"/>
        <v>0</v>
      </c>
      <c r="Q32" s="100"/>
      <c r="R32" s="1498"/>
      <c r="S32" s="1496"/>
      <c r="T32" s="1496"/>
      <c r="U32" s="1497"/>
      <c r="V32" s="98"/>
    </row>
    <row r="33" spans="1:22" ht="13.5" customHeight="1">
      <c r="A33" s="76">
        <v>20</v>
      </c>
      <c r="B33" s="80" t="s">
        <v>824</v>
      </c>
      <c r="C33" s="81"/>
      <c r="D33" s="78">
        <v>28</v>
      </c>
      <c r="E33" s="78">
        <v>392</v>
      </c>
      <c r="F33" s="78">
        <v>43.2</v>
      </c>
      <c r="G33" s="79">
        <f t="shared" si="0"/>
        <v>0</v>
      </c>
      <c r="H33" s="79">
        <f t="shared" si="1"/>
        <v>0</v>
      </c>
      <c r="I33" s="79">
        <f t="shared" si="2"/>
        <v>0</v>
      </c>
      <c r="J33" s="1493"/>
      <c r="K33" s="80" t="s">
        <v>825</v>
      </c>
      <c r="L33" s="81"/>
      <c r="M33" s="78">
        <v>38</v>
      </c>
      <c r="N33" s="78">
        <v>10.5</v>
      </c>
      <c r="O33" s="93">
        <f t="shared" si="3"/>
        <v>0</v>
      </c>
      <c r="P33" s="93">
        <f t="shared" si="4"/>
        <v>0</v>
      </c>
      <c r="Q33" s="100"/>
      <c r="R33" s="1498"/>
      <c r="S33" s="1496"/>
      <c r="T33" s="1496"/>
      <c r="U33" s="1497"/>
      <c r="V33" s="98"/>
    </row>
    <row r="34" spans="1:22" ht="13.5" customHeight="1">
      <c r="A34" s="76">
        <v>21</v>
      </c>
      <c r="B34" s="80" t="s">
        <v>826</v>
      </c>
      <c r="C34" s="81"/>
      <c r="D34" s="78">
        <v>30</v>
      </c>
      <c r="E34" s="78">
        <v>400</v>
      </c>
      <c r="F34" s="78">
        <v>44</v>
      </c>
      <c r="G34" s="79">
        <f t="shared" si="0"/>
        <v>0</v>
      </c>
      <c r="H34" s="79">
        <f t="shared" si="1"/>
        <v>0</v>
      </c>
      <c r="I34" s="79">
        <f t="shared" si="2"/>
        <v>0</v>
      </c>
      <c r="J34" s="1493"/>
      <c r="K34" s="80"/>
      <c r="L34" s="81"/>
      <c r="M34" s="78"/>
      <c r="N34" s="78"/>
      <c r="O34" s="93">
        <f t="shared" si="3"/>
        <v>0</v>
      </c>
      <c r="P34" s="93">
        <f t="shared" si="4"/>
        <v>0</v>
      </c>
      <c r="Q34" s="100"/>
      <c r="R34" s="1498"/>
      <c r="S34" s="1496"/>
      <c r="T34" s="1496"/>
      <c r="U34" s="1497"/>
      <c r="V34" s="98"/>
    </row>
    <row r="35" spans="1:22" ht="13.5" customHeight="1">
      <c r="A35" s="76">
        <v>22</v>
      </c>
      <c r="B35" s="80"/>
      <c r="C35" s="81"/>
      <c r="D35" s="78"/>
      <c r="E35" s="78">
        <v>0</v>
      </c>
      <c r="F35" s="78">
        <v>0</v>
      </c>
      <c r="G35" s="79">
        <f t="shared" si="0"/>
        <v>0</v>
      </c>
      <c r="H35" s="79">
        <f t="shared" si="1"/>
        <v>0</v>
      </c>
      <c r="I35" s="79">
        <f t="shared" si="2"/>
        <v>0</v>
      </c>
      <c r="J35" s="1493"/>
      <c r="K35" s="77" t="s">
        <v>827</v>
      </c>
      <c r="L35" s="672"/>
      <c r="M35" s="78">
        <v>65</v>
      </c>
      <c r="N35" s="78">
        <v>15.6</v>
      </c>
      <c r="O35" s="93">
        <f t="shared" si="3"/>
        <v>0</v>
      </c>
      <c r="P35" s="93">
        <f t="shared" si="4"/>
        <v>0</v>
      </c>
      <c r="Q35" s="100"/>
      <c r="R35" s="1498"/>
      <c r="S35" s="1496"/>
      <c r="T35" s="1496"/>
      <c r="U35" s="1497"/>
      <c r="V35" s="98"/>
    </row>
    <row r="36" spans="1:22" ht="13.5" customHeight="1">
      <c r="A36" s="76">
        <v>23</v>
      </c>
      <c r="B36" s="80" t="s">
        <v>828</v>
      </c>
      <c r="C36" s="81"/>
      <c r="D36" s="78">
        <v>20</v>
      </c>
      <c r="E36" s="78">
        <v>280</v>
      </c>
      <c r="F36" s="78">
        <v>28</v>
      </c>
      <c r="G36" s="79">
        <f t="shared" si="0"/>
        <v>0</v>
      </c>
      <c r="H36" s="79">
        <f t="shared" si="1"/>
        <v>0</v>
      </c>
      <c r="I36" s="79">
        <f t="shared" si="2"/>
        <v>0</v>
      </c>
      <c r="J36" s="1493"/>
      <c r="K36" s="77" t="s">
        <v>829</v>
      </c>
      <c r="L36" s="672"/>
      <c r="M36" s="78">
        <v>65</v>
      </c>
      <c r="N36" s="78">
        <v>15.6</v>
      </c>
      <c r="O36" s="93">
        <f t="shared" si="3"/>
        <v>0</v>
      </c>
      <c r="P36" s="93">
        <f t="shared" si="4"/>
        <v>0</v>
      </c>
      <c r="Q36" s="100"/>
      <c r="R36" s="1498"/>
      <c r="S36" s="1496"/>
      <c r="T36" s="1496"/>
      <c r="U36" s="1497"/>
      <c r="V36" s="98"/>
    </row>
    <row r="37" spans="1:22" ht="13.5" customHeight="1">
      <c r="A37" s="76">
        <v>24</v>
      </c>
      <c r="B37" s="80" t="s">
        <v>830</v>
      </c>
      <c r="C37" s="81"/>
      <c r="D37" s="78">
        <v>24</v>
      </c>
      <c r="E37" s="78">
        <v>300</v>
      </c>
      <c r="F37" s="78">
        <v>36</v>
      </c>
      <c r="G37" s="79">
        <f t="shared" si="0"/>
        <v>0</v>
      </c>
      <c r="H37" s="79">
        <f t="shared" si="1"/>
        <v>0</v>
      </c>
      <c r="I37" s="79">
        <f t="shared" si="2"/>
        <v>0</v>
      </c>
      <c r="J37" s="1493"/>
      <c r="K37" s="80" t="s">
        <v>831</v>
      </c>
      <c r="L37" s="81">
        <v>1</v>
      </c>
      <c r="M37" s="78">
        <v>268</v>
      </c>
      <c r="N37" s="78">
        <v>70</v>
      </c>
      <c r="O37" s="93">
        <f t="shared" si="3"/>
        <v>67</v>
      </c>
      <c r="P37" s="93">
        <f t="shared" si="4"/>
        <v>17.5</v>
      </c>
      <c r="Q37" s="100"/>
      <c r="R37" s="1498"/>
      <c r="S37" s="1496"/>
      <c r="T37" s="1496"/>
      <c r="U37" s="1497"/>
      <c r="V37" s="98"/>
    </row>
    <row r="38" spans="1:22" ht="13.5" customHeight="1">
      <c r="A38" s="76">
        <v>25</v>
      </c>
      <c r="B38" s="80" t="s">
        <v>832</v>
      </c>
      <c r="C38" s="81"/>
      <c r="D38" s="78">
        <v>24</v>
      </c>
      <c r="E38" s="78">
        <v>400</v>
      </c>
      <c r="F38" s="78">
        <v>60</v>
      </c>
      <c r="G38" s="79">
        <f t="shared" si="0"/>
        <v>0</v>
      </c>
      <c r="H38" s="79">
        <f t="shared" si="1"/>
        <v>0</v>
      </c>
      <c r="I38" s="79">
        <f t="shared" si="2"/>
        <v>0</v>
      </c>
      <c r="J38" s="1493"/>
      <c r="K38" s="77"/>
      <c r="L38" s="672"/>
      <c r="M38" s="78"/>
      <c r="N38" s="78"/>
      <c r="O38" s="93">
        <f t="shared" si="3"/>
        <v>0</v>
      </c>
      <c r="P38" s="93">
        <f t="shared" si="4"/>
        <v>0</v>
      </c>
      <c r="Q38" s="100"/>
      <c r="R38" s="1498"/>
      <c r="S38" s="1496"/>
      <c r="T38" s="1496"/>
      <c r="U38" s="1497"/>
      <c r="V38" s="98"/>
    </row>
    <row r="39" spans="1:22" ht="13.5" customHeight="1">
      <c r="A39" s="76">
        <v>26</v>
      </c>
      <c r="B39" s="80" t="s">
        <v>833</v>
      </c>
      <c r="C39" s="81"/>
      <c r="D39" s="78">
        <v>15</v>
      </c>
      <c r="E39" s="78">
        <v>320</v>
      </c>
      <c r="F39" s="78">
        <v>44</v>
      </c>
      <c r="G39" s="79">
        <f t="shared" si="0"/>
        <v>0</v>
      </c>
      <c r="H39" s="79">
        <f t="shared" si="1"/>
        <v>0</v>
      </c>
      <c r="I39" s="79">
        <f t="shared" si="2"/>
        <v>0</v>
      </c>
      <c r="J39" s="1493"/>
      <c r="K39" s="77"/>
      <c r="L39" s="672"/>
      <c r="M39" s="78"/>
      <c r="N39" s="78"/>
      <c r="O39" s="93">
        <f t="shared" si="3"/>
        <v>0</v>
      </c>
      <c r="P39" s="93">
        <f t="shared" si="4"/>
        <v>0</v>
      </c>
      <c r="Q39" s="100"/>
      <c r="R39" s="1498"/>
      <c r="S39" s="1496"/>
      <c r="T39" s="1496"/>
      <c r="U39" s="1497"/>
      <c r="V39" s="98"/>
    </row>
    <row r="40" spans="1:22" ht="13.5" customHeight="1">
      <c r="A40" s="76">
        <v>27</v>
      </c>
      <c r="B40" s="80" t="s">
        <v>834</v>
      </c>
      <c r="C40" s="81"/>
      <c r="D40" s="78">
        <v>24</v>
      </c>
      <c r="E40" s="78">
        <v>360</v>
      </c>
      <c r="F40" s="78">
        <v>56</v>
      </c>
      <c r="G40" s="79">
        <f t="shared" si="0"/>
        <v>0</v>
      </c>
      <c r="H40" s="79">
        <f t="shared" si="1"/>
        <v>0</v>
      </c>
      <c r="I40" s="79">
        <f t="shared" si="2"/>
        <v>0</v>
      </c>
      <c r="J40" s="1493"/>
      <c r="K40" s="77"/>
      <c r="L40" s="672"/>
      <c r="M40" s="78"/>
      <c r="N40" s="78"/>
      <c r="O40" s="93">
        <f t="shared" si="3"/>
        <v>0</v>
      </c>
      <c r="P40" s="93">
        <f t="shared" si="4"/>
        <v>0</v>
      </c>
      <c r="Q40" s="100"/>
      <c r="R40" s="1498"/>
      <c r="S40" s="1496"/>
      <c r="T40" s="1496"/>
      <c r="U40" s="1497"/>
      <c r="V40" s="98"/>
    </row>
    <row r="41" spans="1:22" ht="13.2" customHeight="1">
      <c r="A41" s="76">
        <v>28</v>
      </c>
      <c r="B41" s="80"/>
      <c r="C41" s="81"/>
      <c r="D41" s="78"/>
      <c r="E41" s="78"/>
      <c r="F41" s="78"/>
      <c r="G41" s="79">
        <f t="shared" si="0"/>
        <v>0</v>
      </c>
      <c r="H41" s="79">
        <f t="shared" si="1"/>
        <v>0</v>
      </c>
      <c r="I41" s="79">
        <f t="shared" si="2"/>
        <v>0</v>
      </c>
      <c r="J41" s="1493"/>
      <c r="K41" s="77"/>
      <c r="L41" s="672"/>
      <c r="M41" s="78"/>
      <c r="N41" s="78"/>
      <c r="O41" s="93">
        <f t="shared" si="3"/>
        <v>0</v>
      </c>
      <c r="P41" s="93">
        <f t="shared" si="4"/>
        <v>0</v>
      </c>
      <c r="Q41" s="100"/>
      <c r="R41" s="1498"/>
      <c r="S41" s="1496"/>
      <c r="T41" s="1496"/>
      <c r="U41" s="1497"/>
      <c r="V41" s="98"/>
    </row>
    <row r="42" spans="1:22" ht="13.5" customHeight="1">
      <c r="A42" s="76">
        <v>29</v>
      </c>
      <c r="B42" s="80" t="s">
        <v>835</v>
      </c>
      <c r="C42" s="81"/>
      <c r="D42" s="78">
        <v>16</v>
      </c>
      <c r="E42" s="78">
        <v>400</v>
      </c>
      <c r="F42" s="78">
        <v>44</v>
      </c>
      <c r="G42" s="79">
        <f t="shared" si="0"/>
        <v>0</v>
      </c>
      <c r="H42" s="79">
        <f t="shared" si="1"/>
        <v>0</v>
      </c>
      <c r="I42" s="79">
        <f t="shared" si="2"/>
        <v>0</v>
      </c>
      <c r="J42" s="1493"/>
      <c r="K42" s="77" t="s">
        <v>836</v>
      </c>
      <c r="L42" s="672"/>
      <c r="M42" s="78">
        <v>22</v>
      </c>
      <c r="N42" s="78">
        <v>6.7</v>
      </c>
      <c r="O42" s="93">
        <f t="shared" si="3"/>
        <v>0</v>
      </c>
      <c r="P42" s="93">
        <f t="shared" si="4"/>
        <v>0</v>
      </c>
      <c r="Q42" s="100"/>
      <c r="R42" s="1498"/>
      <c r="S42" s="1496"/>
      <c r="T42" s="1496"/>
      <c r="U42" s="1497"/>
      <c r="V42" s="98"/>
    </row>
    <row r="43" spans="1:22" ht="13.5" customHeight="1">
      <c r="A43" s="76">
        <v>30</v>
      </c>
      <c r="B43" s="80" t="s">
        <v>837</v>
      </c>
      <c r="C43" s="81"/>
      <c r="D43" s="78">
        <v>40</v>
      </c>
      <c r="E43" s="78">
        <v>400</v>
      </c>
      <c r="F43" s="78">
        <v>43.2</v>
      </c>
      <c r="G43" s="79">
        <f t="shared" si="0"/>
        <v>0</v>
      </c>
      <c r="H43" s="79">
        <f t="shared" si="1"/>
        <v>0</v>
      </c>
      <c r="I43" s="79">
        <f t="shared" si="2"/>
        <v>0</v>
      </c>
      <c r="J43" s="1493"/>
      <c r="K43" s="77" t="s">
        <v>838</v>
      </c>
      <c r="L43" s="672"/>
      <c r="M43" s="78">
        <v>26</v>
      </c>
      <c r="N43" s="78">
        <v>8.9</v>
      </c>
      <c r="O43" s="93">
        <f t="shared" si="3"/>
        <v>0</v>
      </c>
      <c r="P43" s="93">
        <f t="shared" si="4"/>
        <v>0</v>
      </c>
      <c r="Q43" s="100"/>
      <c r="R43" s="1498"/>
      <c r="S43" s="1496"/>
      <c r="T43" s="1496"/>
      <c r="U43" s="1497"/>
      <c r="V43" s="98"/>
    </row>
    <row r="44" spans="1:22" ht="13.5" customHeight="1">
      <c r="A44" s="76">
        <v>31</v>
      </c>
      <c r="B44" s="80"/>
      <c r="C44" s="81"/>
      <c r="D44" s="78"/>
      <c r="E44" s="78"/>
      <c r="F44" s="78"/>
      <c r="G44" s="79">
        <f t="shared" si="0"/>
        <v>0</v>
      </c>
      <c r="H44" s="79">
        <f t="shared" si="1"/>
        <v>0</v>
      </c>
      <c r="I44" s="79">
        <f t="shared" si="2"/>
        <v>0</v>
      </c>
      <c r="J44" s="1493"/>
      <c r="K44" s="80" t="s">
        <v>839</v>
      </c>
      <c r="L44" s="81"/>
      <c r="M44" s="78">
        <v>51</v>
      </c>
      <c r="N44" s="78">
        <v>13.5</v>
      </c>
      <c r="O44" s="93">
        <f t="shared" si="3"/>
        <v>0</v>
      </c>
      <c r="P44" s="93">
        <f t="shared" si="4"/>
        <v>0</v>
      </c>
      <c r="Q44" s="100"/>
      <c r="R44" s="1498"/>
      <c r="S44" s="1496"/>
      <c r="T44" s="1496"/>
      <c r="U44" s="1497"/>
      <c r="V44" s="98"/>
    </row>
    <row r="45" spans="1:22" ht="13.5" customHeight="1">
      <c r="A45" s="76">
        <v>32</v>
      </c>
      <c r="B45" s="80" t="s">
        <v>840</v>
      </c>
      <c r="C45" s="81"/>
      <c r="D45" s="78">
        <v>28</v>
      </c>
      <c r="E45" s="78">
        <v>424</v>
      </c>
      <c r="F45" s="78">
        <v>66</v>
      </c>
      <c r="G45" s="79">
        <f t="shared" si="0"/>
        <v>0</v>
      </c>
      <c r="H45" s="79">
        <f t="shared" si="1"/>
        <v>0</v>
      </c>
      <c r="I45" s="79">
        <f t="shared" si="2"/>
        <v>0</v>
      </c>
      <c r="J45" s="1493"/>
      <c r="K45" s="80"/>
      <c r="L45" s="81"/>
      <c r="M45" s="78"/>
      <c r="N45" s="78"/>
      <c r="O45" s="93">
        <f t="shared" si="3"/>
        <v>0</v>
      </c>
      <c r="P45" s="93">
        <f t="shared" si="4"/>
        <v>0</v>
      </c>
      <c r="Q45" s="100"/>
      <c r="R45" s="1498"/>
      <c r="S45" s="1496"/>
      <c r="T45" s="1496"/>
      <c r="U45" s="1497"/>
      <c r="V45" s="98"/>
    </row>
    <row r="46" spans="1:22" ht="13.5" customHeight="1">
      <c r="A46" s="76">
        <v>33</v>
      </c>
      <c r="B46" s="80" t="s">
        <v>841</v>
      </c>
      <c r="C46" s="81"/>
      <c r="D46" s="78">
        <v>28</v>
      </c>
      <c r="E46" s="78">
        <v>256</v>
      </c>
      <c r="F46" s="78">
        <v>39.200000000000003</v>
      </c>
      <c r="G46" s="79">
        <f t="shared" ref="G46:G77" si="5">C46*D46/40</f>
        <v>0</v>
      </c>
      <c r="H46" s="79">
        <f t="shared" ref="H46:H77" si="6">$C46*E46*25/100</f>
        <v>0</v>
      </c>
      <c r="I46" s="79">
        <f t="shared" ref="I46:I77" si="7">$C46*F46*25/100</f>
        <v>0</v>
      </c>
      <c r="J46" s="1493"/>
      <c r="K46" s="80" t="s">
        <v>842</v>
      </c>
      <c r="L46" s="81"/>
      <c r="M46" s="78">
        <v>46</v>
      </c>
      <c r="N46" s="78">
        <v>9.1</v>
      </c>
      <c r="O46" s="93">
        <f t="shared" ref="O46:O74" si="8">$L46*M46*25/100</f>
        <v>0</v>
      </c>
      <c r="P46" s="93">
        <f t="shared" ref="P46:P74" si="9">$L46*N46*25/100</f>
        <v>0</v>
      </c>
      <c r="Q46" s="100"/>
      <c r="R46" s="1498"/>
      <c r="S46" s="1496"/>
      <c r="T46" s="1496"/>
      <c r="U46" s="1497"/>
      <c r="V46" s="98"/>
    </row>
    <row r="47" spans="1:22" ht="13.5" customHeight="1">
      <c r="A47" s="76">
        <v>34</v>
      </c>
      <c r="B47" s="80"/>
      <c r="C47" s="81"/>
      <c r="D47" s="78"/>
      <c r="E47" s="78"/>
      <c r="F47" s="78"/>
      <c r="G47" s="79">
        <f t="shared" si="5"/>
        <v>0</v>
      </c>
      <c r="H47" s="79">
        <f t="shared" si="6"/>
        <v>0</v>
      </c>
      <c r="I47" s="79">
        <f t="shared" si="7"/>
        <v>0</v>
      </c>
      <c r="J47" s="1493"/>
      <c r="K47" s="77" t="s">
        <v>843</v>
      </c>
      <c r="L47" s="81"/>
      <c r="M47" s="78">
        <v>22</v>
      </c>
      <c r="N47" s="78">
        <v>7</v>
      </c>
      <c r="O47" s="93">
        <f t="shared" si="8"/>
        <v>0</v>
      </c>
      <c r="P47" s="93">
        <f t="shared" si="9"/>
        <v>0</v>
      </c>
      <c r="Q47" s="100"/>
      <c r="R47" s="1498"/>
      <c r="S47" s="1496"/>
      <c r="T47" s="1496"/>
      <c r="U47" s="1497"/>
      <c r="V47" s="98"/>
    </row>
    <row r="48" spans="1:22" ht="13.5" customHeight="1">
      <c r="A48" s="76">
        <v>35</v>
      </c>
      <c r="B48" s="80" t="s">
        <v>844</v>
      </c>
      <c r="C48" s="81"/>
      <c r="D48" s="78">
        <v>18</v>
      </c>
      <c r="E48" s="78">
        <v>400</v>
      </c>
      <c r="F48" s="78">
        <v>44</v>
      </c>
      <c r="G48" s="79">
        <f t="shared" si="5"/>
        <v>0</v>
      </c>
      <c r="H48" s="79">
        <f t="shared" si="6"/>
        <v>0</v>
      </c>
      <c r="I48" s="79">
        <f t="shared" si="7"/>
        <v>0</v>
      </c>
      <c r="J48" s="1493"/>
      <c r="K48" s="77" t="s">
        <v>845</v>
      </c>
      <c r="L48" s="81"/>
      <c r="M48" s="78">
        <v>26</v>
      </c>
      <c r="N48" s="78">
        <v>8.8000000000000007</v>
      </c>
      <c r="O48" s="93">
        <f t="shared" si="8"/>
        <v>0</v>
      </c>
      <c r="P48" s="93">
        <f t="shared" si="9"/>
        <v>0</v>
      </c>
      <c r="Q48" s="100"/>
      <c r="R48" s="1498"/>
      <c r="S48" s="1496"/>
      <c r="T48" s="1496"/>
      <c r="U48" s="1497"/>
      <c r="V48" s="98"/>
    </row>
    <row r="49" spans="1:22" ht="13.5" customHeight="1">
      <c r="A49" s="76">
        <v>36</v>
      </c>
      <c r="B49" s="80" t="s">
        <v>846</v>
      </c>
      <c r="C49" s="81"/>
      <c r="D49" s="78">
        <v>40</v>
      </c>
      <c r="E49" s="78">
        <v>332</v>
      </c>
      <c r="F49" s="78">
        <v>26.8</v>
      </c>
      <c r="G49" s="79">
        <f t="shared" si="5"/>
        <v>0</v>
      </c>
      <c r="H49" s="79">
        <f t="shared" si="6"/>
        <v>0</v>
      </c>
      <c r="I49" s="79">
        <f t="shared" si="7"/>
        <v>0</v>
      </c>
      <c r="J49" s="1493"/>
      <c r="K49" s="77"/>
      <c r="L49" s="81"/>
      <c r="M49" s="78">
        <v>0</v>
      </c>
      <c r="N49" s="78">
        <v>0</v>
      </c>
      <c r="O49" s="93">
        <f t="shared" si="8"/>
        <v>0</v>
      </c>
      <c r="P49" s="93">
        <f t="shared" si="9"/>
        <v>0</v>
      </c>
      <c r="Q49" s="100"/>
      <c r="R49" s="1498"/>
      <c r="S49" s="1496"/>
      <c r="T49" s="1496"/>
      <c r="U49" s="1497"/>
      <c r="V49" s="98"/>
    </row>
    <row r="50" spans="1:22" ht="13.5" customHeight="1">
      <c r="A50" s="76">
        <v>37</v>
      </c>
      <c r="B50" s="80" t="s">
        <v>847</v>
      </c>
      <c r="C50" s="81"/>
      <c r="D50" s="78">
        <v>40</v>
      </c>
      <c r="E50" s="78">
        <v>216</v>
      </c>
      <c r="F50" s="78">
        <v>0</v>
      </c>
      <c r="G50" s="79">
        <f t="shared" si="5"/>
        <v>0</v>
      </c>
      <c r="H50" s="79">
        <f t="shared" si="6"/>
        <v>0</v>
      </c>
      <c r="I50" s="79">
        <f t="shared" si="7"/>
        <v>0</v>
      </c>
      <c r="J50" s="1493"/>
      <c r="K50" s="80" t="s">
        <v>848</v>
      </c>
      <c r="L50" s="81"/>
      <c r="M50" s="78">
        <v>50</v>
      </c>
      <c r="N50" s="78">
        <v>5</v>
      </c>
      <c r="O50" s="93">
        <f t="shared" si="8"/>
        <v>0</v>
      </c>
      <c r="P50" s="93">
        <f t="shared" si="9"/>
        <v>0</v>
      </c>
      <c r="Q50" s="100"/>
      <c r="R50" s="1498"/>
      <c r="S50" s="1496"/>
      <c r="T50" s="1496"/>
      <c r="U50" s="1497"/>
      <c r="V50" s="98"/>
    </row>
    <row r="51" spans="1:22" ht="13.5" customHeight="1">
      <c r="A51" s="76">
        <v>38</v>
      </c>
      <c r="B51" s="80"/>
      <c r="C51" s="81"/>
      <c r="D51" s="78"/>
      <c r="E51" s="78"/>
      <c r="F51" s="78"/>
      <c r="G51" s="79">
        <f t="shared" si="5"/>
        <v>0</v>
      </c>
      <c r="H51" s="79">
        <f t="shared" si="6"/>
        <v>0</v>
      </c>
      <c r="I51" s="79">
        <f t="shared" si="7"/>
        <v>0</v>
      </c>
      <c r="J51" s="1493"/>
      <c r="K51" s="80"/>
      <c r="L51" s="81"/>
      <c r="M51" s="78"/>
      <c r="N51" s="78"/>
      <c r="O51" s="93">
        <f t="shared" si="8"/>
        <v>0</v>
      </c>
      <c r="P51" s="93">
        <f t="shared" si="9"/>
        <v>0</v>
      </c>
      <c r="Q51" s="100"/>
      <c r="R51" s="1498"/>
      <c r="S51" s="1496"/>
      <c r="T51" s="1496"/>
      <c r="U51" s="1497"/>
      <c r="V51" s="98"/>
    </row>
    <row r="52" spans="1:22" ht="13.5" customHeight="1">
      <c r="A52" s="76">
        <v>39</v>
      </c>
      <c r="B52" s="80" t="s">
        <v>849</v>
      </c>
      <c r="C52" s="81"/>
      <c r="D52" s="78">
        <v>40</v>
      </c>
      <c r="E52" s="78">
        <v>264</v>
      </c>
      <c r="F52" s="78">
        <v>0</v>
      </c>
      <c r="G52" s="79">
        <f t="shared" si="5"/>
        <v>0</v>
      </c>
      <c r="H52" s="79">
        <f t="shared" si="6"/>
        <v>0</v>
      </c>
      <c r="I52" s="79">
        <f t="shared" si="7"/>
        <v>0</v>
      </c>
      <c r="J52" s="1493"/>
      <c r="K52" s="77" t="s">
        <v>850</v>
      </c>
      <c r="L52" s="81">
        <v>7</v>
      </c>
      <c r="M52" s="78">
        <v>44</v>
      </c>
      <c r="N52" s="78">
        <v>10.3</v>
      </c>
      <c r="O52" s="93">
        <f t="shared" si="8"/>
        <v>77</v>
      </c>
      <c r="P52" s="93">
        <f t="shared" si="9"/>
        <v>18.025000000000002</v>
      </c>
      <c r="Q52" s="100"/>
      <c r="R52" s="1498"/>
      <c r="S52" s="1496"/>
      <c r="T52" s="1496"/>
      <c r="U52" s="1497"/>
      <c r="V52" s="98"/>
    </row>
    <row r="53" spans="1:22" ht="13.5" customHeight="1">
      <c r="A53" s="76">
        <v>40</v>
      </c>
      <c r="B53" s="80" t="s">
        <v>851</v>
      </c>
      <c r="C53" s="81"/>
      <c r="D53" s="78">
        <v>21</v>
      </c>
      <c r="E53" s="78">
        <v>192</v>
      </c>
      <c r="F53" s="78">
        <v>20.399999999999999</v>
      </c>
      <c r="G53" s="79">
        <f t="shared" si="5"/>
        <v>0</v>
      </c>
      <c r="H53" s="79">
        <f t="shared" si="6"/>
        <v>0</v>
      </c>
      <c r="I53" s="79">
        <f t="shared" si="7"/>
        <v>0</v>
      </c>
      <c r="J53" s="1493"/>
      <c r="K53" s="77" t="s">
        <v>852</v>
      </c>
      <c r="L53" s="81"/>
      <c r="M53" s="78">
        <v>47</v>
      </c>
      <c r="N53" s="78">
        <v>10.9</v>
      </c>
      <c r="O53" s="93">
        <f t="shared" si="8"/>
        <v>0</v>
      </c>
      <c r="P53" s="93">
        <f t="shared" si="9"/>
        <v>0</v>
      </c>
      <c r="Q53" s="100"/>
      <c r="R53" s="1498"/>
      <c r="S53" s="1496"/>
      <c r="T53" s="1496"/>
      <c r="U53" s="1497"/>
      <c r="V53" s="98"/>
    </row>
    <row r="54" spans="1:22" ht="13.5" customHeight="1">
      <c r="A54" s="76">
        <v>41</v>
      </c>
      <c r="B54" s="80" t="s">
        <v>853</v>
      </c>
      <c r="C54" s="81"/>
      <c r="D54" s="78">
        <v>25</v>
      </c>
      <c r="E54" s="78">
        <v>280</v>
      </c>
      <c r="F54" s="78">
        <v>35.6</v>
      </c>
      <c r="G54" s="79">
        <f t="shared" si="5"/>
        <v>0</v>
      </c>
      <c r="H54" s="79">
        <f t="shared" si="6"/>
        <v>0</v>
      </c>
      <c r="I54" s="79">
        <f t="shared" si="7"/>
        <v>0</v>
      </c>
      <c r="J54" s="1493"/>
      <c r="K54" s="80"/>
      <c r="L54" s="81"/>
      <c r="M54" s="78"/>
      <c r="N54" s="78"/>
      <c r="O54" s="93">
        <f t="shared" si="8"/>
        <v>0</v>
      </c>
      <c r="P54" s="93">
        <f t="shared" si="9"/>
        <v>0</v>
      </c>
      <c r="Q54" s="100"/>
      <c r="R54" s="1498"/>
      <c r="S54" s="1496"/>
      <c r="T54" s="1496"/>
      <c r="U54" s="1497"/>
      <c r="V54" s="98"/>
    </row>
    <row r="55" spans="1:22" ht="13.5" customHeight="1">
      <c r="A55" s="76">
        <v>42</v>
      </c>
      <c r="B55" s="80" t="s">
        <v>854</v>
      </c>
      <c r="C55" s="81"/>
      <c r="D55" s="78">
        <v>18</v>
      </c>
      <c r="E55" s="78">
        <v>180</v>
      </c>
      <c r="F55" s="78">
        <v>16</v>
      </c>
      <c r="G55" s="79">
        <f t="shared" si="5"/>
        <v>0</v>
      </c>
      <c r="H55" s="79">
        <f t="shared" si="6"/>
        <v>0</v>
      </c>
      <c r="I55" s="79">
        <f t="shared" si="7"/>
        <v>0</v>
      </c>
      <c r="J55" s="1493"/>
      <c r="K55" s="77"/>
      <c r="L55" s="81"/>
      <c r="M55" s="78"/>
      <c r="N55" s="78"/>
      <c r="O55" s="93">
        <f t="shared" si="8"/>
        <v>0</v>
      </c>
      <c r="P55" s="93">
        <f t="shared" si="9"/>
        <v>0</v>
      </c>
      <c r="Q55" s="100"/>
      <c r="R55" s="1498"/>
      <c r="S55" s="1496"/>
      <c r="T55" s="1496"/>
      <c r="U55" s="1497"/>
      <c r="V55" s="98"/>
    </row>
    <row r="56" spans="1:22" ht="13.5" customHeight="1">
      <c r="A56" s="76">
        <v>43</v>
      </c>
      <c r="B56" s="80"/>
      <c r="C56" s="81"/>
      <c r="D56" s="78"/>
      <c r="E56" s="78"/>
      <c r="F56" s="78"/>
      <c r="G56" s="79">
        <f t="shared" si="5"/>
        <v>0</v>
      </c>
      <c r="H56" s="79">
        <f t="shared" si="6"/>
        <v>0</v>
      </c>
      <c r="I56" s="79">
        <f t="shared" si="7"/>
        <v>0</v>
      </c>
      <c r="J56" s="1493"/>
      <c r="K56" s="80"/>
      <c r="L56" s="81"/>
      <c r="M56" s="78"/>
      <c r="N56" s="78"/>
      <c r="O56" s="93">
        <f t="shared" si="8"/>
        <v>0</v>
      </c>
      <c r="P56" s="93">
        <f t="shared" si="9"/>
        <v>0</v>
      </c>
      <c r="Q56" s="100"/>
      <c r="R56" s="1498"/>
      <c r="S56" s="1496"/>
      <c r="T56" s="1496"/>
      <c r="U56" s="1497"/>
      <c r="V56" s="98"/>
    </row>
    <row r="57" spans="1:22" ht="13.5" customHeight="1">
      <c r="A57" s="76">
        <v>44</v>
      </c>
      <c r="B57" s="80" t="s">
        <v>855</v>
      </c>
      <c r="C57" s="81"/>
      <c r="D57" s="78">
        <v>24</v>
      </c>
      <c r="E57" s="78">
        <v>280</v>
      </c>
      <c r="F57" s="78">
        <v>28</v>
      </c>
      <c r="G57" s="79">
        <f t="shared" si="5"/>
        <v>0</v>
      </c>
      <c r="H57" s="79">
        <f t="shared" si="6"/>
        <v>0</v>
      </c>
      <c r="I57" s="79">
        <f t="shared" si="7"/>
        <v>0</v>
      </c>
      <c r="J57" s="1493"/>
      <c r="K57" s="80" t="s">
        <v>856</v>
      </c>
      <c r="L57" s="81"/>
      <c r="M57" s="78">
        <v>63</v>
      </c>
      <c r="N57" s="78">
        <v>15.1</v>
      </c>
      <c r="O57" s="93">
        <f t="shared" si="8"/>
        <v>0</v>
      </c>
      <c r="P57" s="93">
        <f t="shared" si="9"/>
        <v>0</v>
      </c>
      <c r="Q57" s="100"/>
      <c r="R57" s="1498"/>
      <c r="S57" s="1496"/>
      <c r="T57" s="1496"/>
      <c r="U57" s="1497"/>
      <c r="V57" s="98"/>
    </row>
    <row r="58" spans="1:22" ht="13.5" customHeight="1">
      <c r="A58" s="76">
        <v>45</v>
      </c>
      <c r="B58" s="80" t="s">
        <v>857</v>
      </c>
      <c r="C58" s="81"/>
      <c r="D58" s="78">
        <v>23</v>
      </c>
      <c r="E58" s="78">
        <v>252</v>
      </c>
      <c r="F58" s="78">
        <v>28</v>
      </c>
      <c r="G58" s="79">
        <f t="shared" si="5"/>
        <v>0</v>
      </c>
      <c r="H58" s="79">
        <f t="shared" si="6"/>
        <v>0</v>
      </c>
      <c r="I58" s="79">
        <f t="shared" si="7"/>
        <v>0</v>
      </c>
      <c r="J58" s="1493"/>
      <c r="K58" s="80" t="s">
        <v>858</v>
      </c>
      <c r="L58" s="81"/>
      <c r="M58" s="78">
        <v>74</v>
      </c>
      <c r="N58" s="78">
        <v>17.2</v>
      </c>
      <c r="O58" s="93">
        <f t="shared" si="8"/>
        <v>0</v>
      </c>
      <c r="P58" s="93">
        <f t="shared" si="9"/>
        <v>0</v>
      </c>
      <c r="Q58" s="100"/>
      <c r="R58" s="1498"/>
      <c r="S58" s="1496"/>
      <c r="T58" s="1496"/>
      <c r="U58" s="1497"/>
      <c r="V58" s="98"/>
    </row>
    <row r="59" spans="1:22" ht="13.5" customHeight="1">
      <c r="A59" s="76">
        <v>46</v>
      </c>
      <c r="B59" s="80" t="s">
        <v>859</v>
      </c>
      <c r="C59" s="81"/>
      <c r="D59" s="78">
        <v>25</v>
      </c>
      <c r="E59" s="78">
        <v>160</v>
      </c>
      <c r="F59" s="78">
        <v>16</v>
      </c>
      <c r="G59" s="79">
        <f t="shared" si="5"/>
        <v>0</v>
      </c>
      <c r="H59" s="79">
        <f t="shared" si="6"/>
        <v>0</v>
      </c>
      <c r="I59" s="79">
        <f t="shared" si="7"/>
        <v>0</v>
      </c>
      <c r="J59" s="1493"/>
      <c r="K59" s="77" t="s">
        <v>860</v>
      </c>
      <c r="L59" s="81"/>
      <c r="M59" s="78">
        <v>110</v>
      </c>
      <c r="N59" s="78">
        <v>16</v>
      </c>
      <c r="O59" s="93">
        <f t="shared" si="8"/>
        <v>0</v>
      </c>
      <c r="P59" s="93">
        <f t="shared" si="9"/>
        <v>0</v>
      </c>
      <c r="Q59" s="100"/>
      <c r="R59" s="1498"/>
      <c r="S59" s="1496"/>
      <c r="T59" s="1496"/>
      <c r="U59" s="1497"/>
      <c r="V59" s="98"/>
    </row>
    <row r="60" spans="1:22" ht="13.5" customHeight="1">
      <c r="A60" s="76">
        <v>47</v>
      </c>
      <c r="B60" s="80" t="s">
        <v>861</v>
      </c>
      <c r="C60" s="81"/>
      <c r="D60" s="78">
        <v>20</v>
      </c>
      <c r="E60" s="78">
        <v>160</v>
      </c>
      <c r="F60" s="78">
        <v>12</v>
      </c>
      <c r="G60" s="79">
        <f t="shared" si="5"/>
        <v>0</v>
      </c>
      <c r="H60" s="79">
        <f t="shared" si="6"/>
        <v>0</v>
      </c>
      <c r="I60" s="79">
        <f t="shared" si="7"/>
        <v>0</v>
      </c>
      <c r="J60" s="1493"/>
      <c r="K60" s="77" t="s">
        <v>862</v>
      </c>
      <c r="L60" s="81"/>
      <c r="M60" s="78">
        <v>48</v>
      </c>
      <c r="N60" s="78">
        <v>12</v>
      </c>
      <c r="O60" s="93">
        <f t="shared" si="8"/>
        <v>0</v>
      </c>
      <c r="P60" s="93">
        <f t="shared" si="9"/>
        <v>0</v>
      </c>
      <c r="Q60" s="100"/>
      <c r="R60" s="1498"/>
      <c r="S60" s="1496"/>
      <c r="T60" s="1496"/>
      <c r="U60" s="1497"/>
      <c r="V60" s="98"/>
    </row>
    <row r="61" spans="1:22" ht="13.5" customHeight="1">
      <c r="A61" s="76">
        <v>48</v>
      </c>
      <c r="B61" s="80" t="s">
        <v>863</v>
      </c>
      <c r="C61" s="81"/>
      <c r="D61" s="78">
        <v>40</v>
      </c>
      <c r="E61" s="78">
        <v>216</v>
      </c>
      <c r="F61" s="78">
        <v>0</v>
      </c>
      <c r="G61" s="79">
        <f t="shared" si="5"/>
        <v>0</v>
      </c>
      <c r="H61" s="79">
        <f t="shared" si="6"/>
        <v>0</v>
      </c>
      <c r="I61" s="79">
        <f t="shared" si="7"/>
        <v>0</v>
      </c>
      <c r="J61" s="1493"/>
      <c r="K61" s="80" t="s">
        <v>864</v>
      </c>
      <c r="L61" s="81"/>
      <c r="M61" s="78">
        <v>58</v>
      </c>
      <c r="N61" s="78">
        <v>14.6</v>
      </c>
      <c r="O61" s="93">
        <f t="shared" si="8"/>
        <v>0</v>
      </c>
      <c r="P61" s="93">
        <f t="shared" si="9"/>
        <v>0</v>
      </c>
      <c r="Q61" s="100"/>
      <c r="R61" s="1498"/>
      <c r="S61" s="1496"/>
      <c r="T61" s="1496"/>
      <c r="U61" s="1497"/>
      <c r="V61" s="98"/>
    </row>
    <row r="62" spans="1:22" ht="13.5" customHeight="1">
      <c r="A62" s="76">
        <v>49</v>
      </c>
      <c r="B62" s="80"/>
      <c r="C62" s="81"/>
      <c r="D62" s="78"/>
      <c r="E62" s="78"/>
      <c r="F62" s="78"/>
      <c r="G62" s="79">
        <f t="shared" si="5"/>
        <v>0</v>
      </c>
      <c r="H62" s="79">
        <f t="shared" si="6"/>
        <v>0</v>
      </c>
      <c r="I62" s="79">
        <f t="shared" si="7"/>
        <v>0</v>
      </c>
      <c r="J62" s="1493"/>
      <c r="K62" s="80"/>
      <c r="L62" s="81"/>
      <c r="M62" s="78"/>
      <c r="N62" s="78"/>
      <c r="O62" s="93">
        <f t="shared" si="8"/>
        <v>0</v>
      </c>
      <c r="P62" s="93">
        <f t="shared" si="9"/>
        <v>0</v>
      </c>
      <c r="Q62" s="100"/>
      <c r="R62" s="1498"/>
      <c r="S62" s="1496"/>
      <c r="T62" s="1496"/>
      <c r="U62" s="1497"/>
      <c r="V62" s="98"/>
    </row>
    <row r="63" spans="1:22" s="58" customFormat="1" ht="13.5" customHeight="1">
      <c r="A63" s="76">
        <v>50</v>
      </c>
      <c r="B63" s="80"/>
      <c r="C63" s="81"/>
      <c r="D63" s="78"/>
      <c r="E63" s="78"/>
      <c r="F63" s="78"/>
      <c r="G63" s="79">
        <f t="shared" si="5"/>
        <v>0</v>
      </c>
      <c r="H63" s="79">
        <f t="shared" si="6"/>
        <v>0</v>
      </c>
      <c r="I63" s="79">
        <f t="shared" si="7"/>
        <v>0</v>
      </c>
      <c r="J63" s="1493"/>
      <c r="K63" s="80"/>
      <c r="L63" s="81"/>
      <c r="M63" s="78"/>
      <c r="N63" s="78"/>
      <c r="O63" s="93">
        <f t="shared" si="8"/>
        <v>0</v>
      </c>
      <c r="P63" s="93">
        <f t="shared" si="9"/>
        <v>0</v>
      </c>
      <c r="Q63" s="100"/>
      <c r="R63" s="1498"/>
      <c r="S63" s="1496"/>
      <c r="T63" s="1496"/>
      <c r="U63" s="1497"/>
      <c r="V63" s="98"/>
    </row>
    <row r="64" spans="1:22" ht="13.5" customHeight="1">
      <c r="A64" s="76">
        <v>51</v>
      </c>
      <c r="B64" s="80" t="s">
        <v>865</v>
      </c>
      <c r="C64" s="81"/>
      <c r="D64" s="78">
        <v>15</v>
      </c>
      <c r="E64" s="78">
        <v>144</v>
      </c>
      <c r="F64" s="78">
        <v>6</v>
      </c>
      <c r="G64" s="79">
        <f t="shared" si="5"/>
        <v>0</v>
      </c>
      <c r="H64" s="79">
        <f t="shared" si="6"/>
        <v>0</v>
      </c>
      <c r="I64" s="79">
        <f t="shared" si="7"/>
        <v>0</v>
      </c>
      <c r="J64" s="1493"/>
      <c r="K64" s="77"/>
      <c r="L64" s="81"/>
      <c r="M64" s="78"/>
      <c r="N64" s="78"/>
      <c r="O64" s="93">
        <f t="shared" si="8"/>
        <v>0</v>
      </c>
      <c r="P64" s="93">
        <f t="shared" si="9"/>
        <v>0</v>
      </c>
      <c r="Q64" s="100"/>
      <c r="R64" s="1498"/>
      <c r="S64" s="1496"/>
      <c r="T64" s="1496"/>
      <c r="U64" s="1497"/>
      <c r="V64" s="98"/>
    </row>
    <row r="65" spans="1:22" ht="13.5" customHeight="1">
      <c r="A65" s="76">
        <v>52</v>
      </c>
      <c r="B65" s="80" t="s">
        <v>866</v>
      </c>
      <c r="C65" s="81"/>
      <c r="D65" s="78">
        <v>15</v>
      </c>
      <c r="E65" s="78">
        <v>112</v>
      </c>
      <c r="F65" s="78">
        <v>1</v>
      </c>
      <c r="G65" s="79">
        <f t="shared" si="5"/>
        <v>0</v>
      </c>
      <c r="H65" s="79">
        <f t="shared" si="6"/>
        <v>0</v>
      </c>
      <c r="I65" s="79">
        <f t="shared" si="7"/>
        <v>0</v>
      </c>
      <c r="J65" s="1493"/>
      <c r="K65" s="80" t="s">
        <v>867</v>
      </c>
      <c r="L65" s="81"/>
      <c r="M65" s="78"/>
      <c r="N65" s="78"/>
      <c r="O65" s="93">
        <f t="shared" si="8"/>
        <v>0</v>
      </c>
      <c r="P65" s="93">
        <f t="shared" si="9"/>
        <v>0</v>
      </c>
      <c r="Q65" s="100"/>
      <c r="R65" s="1498"/>
      <c r="S65" s="1496"/>
      <c r="T65" s="1496"/>
      <c r="U65" s="1497"/>
      <c r="V65" s="98"/>
    </row>
    <row r="66" spans="1:22" ht="13.5" customHeight="1">
      <c r="A66" s="76">
        <v>53</v>
      </c>
      <c r="B66" s="80" t="s">
        <v>868</v>
      </c>
      <c r="C66" s="81"/>
      <c r="D66" s="78">
        <v>15</v>
      </c>
      <c r="E66" s="78">
        <v>112</v>
      </c>
      <c r="F66" s="78">
        <v>5</v>
      </c>
      <c r="G66" s="79">
        <f t="shared" si="5"/>
        <v>0</v>
      </c>
      <c r="H66" s="79">
        <f t="shared" si="6"/>
        <v>0</v>
      </c>
      <c r="I66" s="79">
        <f t="shared" si="7"/>
        <v>0</v>
      </c>
      <c r="J66" s="1493"/>
      <c r="K66" s="77" t="s">
        <v>869</v>
      </c>
      <c r="L66" s="81"/>
      <c r="M66" s="78">
        <v>160</v>
      </c>
      <c r="N66" s="78">
        <v>50</v>
      </c>
      <c r="O66" s="93">
        <f t="shared" si="8"/>
        <v>0</v>
      </c>
      <c r="P66" s="93">
        <f t="shared" si="9"/>
        <v>0</v>
      </c>
      <c r="Q66" s="100"/>
      <c r="R66" s="1498"/>
      <c r="S66" s="1496"/>
      <c r="T66" s="1496"/>
      <c r="U66" s="1497"/>
      <c r="V66" s="98"/>
    </row>
    <row r="67" spans="1:22" ht="13.5" customHeight="1">
      <c r="A67" s="76">
        <v>54</v>
      </c>
      <c r="B67" s="80" t="s">
        <v>870</v>
      </c>
      <c r="C67" s="81"/>
      <c r="D67" s="78">
        <v>25</v>
      </c>
      <c r="E67" s="78">
        <v>320</v>
      </c>
      <c r="F67" s="78">
        <v>0</v>
      </c>
      <c r="G67" s="79">
        <f t="shared" si="5"/>
        <v>0</v>
      </c>
      <c r="H67" s="79">
        <f t="shared" si="6"/>
        <v>0</v>
      </c>
      <c r="I67" s="79">
        <f t="shared" si="7"/>
        <v>0</v>
      </c>
      <c r="J67" s="1493"/>
      <c r="K67" s="80"/>
      <c r="L67" s="81"/>
      <c r="M67" s="78"/>
      <c r="N67" s="78"/>
      <c r="O67" s="93">
        <f t="shared" si="8"/>
        <v>0</v>
      </c>
      <c r="P67" s="93">
        <f t="shared" si="9"/>
        <v>0</v>
      </c>
      <c r="Q67" s="100"/>
      <c r="R67" s="1498"/>
      <c r="S67" s="1496"/>
      <c r="T67" s="1496"/>
      <c r="U67" s="1497"/>
      <c r="V67" s="98"/>
    </row>
    <row r="68" spans="1:22" ht="13.5" customHeight="1">
      <c r="A68" s="76">
        <v>55</v>
      </c>
      <c r="B68" s="80"/>
      <c r="C68" s="81"/>
      <c r="D68" s="78"/>
      <c r="E68" s="78"/>
      <c r="F68" s="78"/>
      <c r="G68" s="79">
        <f t="shared" si="5"/>
        <v>0</v>
      </c>
      <c r="H68" s="79">
        <f t="shared" si="6"/>
        <v>0</v>
      </c>
      <c r="I68" s="79">
        <f t="shared" si="7"/>
        <v>0</v>
      </c>
      <c r="J68" s="1493"/>
      <c r="K68" s="80"/>
      <c r="L68" s="81"/>
      <c r="M68" s="78"/>
      <c r="N68" s="78"/>
      <c r="O68" s="93">
        <f t="shared" si="8"/>
        <v>0</v>
      </c>
      <c r="P68" s="93">
        <f t="shared" si="9"/>
        <v>0</v>
      </c>
      <c r="Q68" s="100"/>
      <c r="R68" s="1498"/>
      <c r="S68" s="1496"/>
      <c r="T68" s="1496"/>
      <c r="U68" s="1497"/>
      <c r="V68" s="98"/>
    </row>
    <row r="69" spans="1:22" ht="13.5" customHeight="1">
      <c r="A69" s="76">
        <v>56</v>
      </c>
      <c r="B69" s="80"/>
      <c r="C69" s="81"/>
      <c r="D69" s="78"/>
      <c r="E69" s="78"/>
      <c r="F69" s="78"/>
      <c r="G69" s="79">
        <f t="shared" si="5"/>
        <v>0</v>
      </c>
      <c r="H69" s="79">
        <f t="shared" si="6"/>
        <v>0</v>
      </c>
      <c r="I69" s="79">
        <f t="shared" si="7"/>
        <v>0</v>
      </c>
      <c r="J69" s="1493"/>
      <c r="K69" s="77" t="s">
        <v>871</v>
      </c>
      <c r="L69" s="81"/>
      <c r="M69" s="78">
        <v>21</v>
      </c>
      <c r="N69" s="78">
        <v>4</v>
      </c>
      <c r="O69" s="93">
        <f t="shared" si="8"/>
        <v>0</v>
      </c>
      <c r="P69" s="93">
        <f t="shared" si="9"/>
        <v>0</v>
      </c>
      <c r="Q69" s="100"/>
      <c r="R69" s="1498"/>
      <c r="S69" s="1496"/>
      <c r="T69" s="1496"/>
      <c r="U69" s="1497"/>
      <c r="V69" s="98"/>
    </row>
    <row r="70" spans="1:22" ht="13.5" customHeight="1">
      <c r="A70" s="76">
        <v>57</v>
      </c>
      <c r="B70" s="80" t="s">
        <v>872</v>
      </c>
      <c r="C70" s="81">
        <v>2</v>
      </c>
      <c r="D70" s="78">
        <v>40</v>
      </c>
      <c r="E70" s="78">
        <v>216</v>
      </c>
      <c r="F70" s="78">
        <v>0</v>
      </c>
      <c r="G70" s="79">
        <f t="shared" si="5"/>
        <v>2</v>
      </c>
      <c r="H70" s="79">
        <f t="shared" si="6"/>
        <v>108</v>
      </c>
      <c r="I70" s="79">
        <f t="shared" si="7"/>
        <v>0</v>
      </c>
      <c r="J70" s="1493"/>
      <c r="K70" s="80" t="s">
        <v>873</v>
      </c>
      <c r="L70" s="81"/>
      <c r="M70" s="78">
        <v>38</v>
      </c>
      <c r="N70" s="78">
        <v>10.1</v>
      </c>
      <c r="O70" s="93">
        <f t="shared" si="8"/>
        <v>0</v>
      </c>
      <c r="P70" s="93">
        <f t="shared" si="9"/>
        <v>0</v>
      </c>
      <c r="Q70" s="100"/>
      <c r="R70" s="1498"/>
      <c r="S70" s="1496"/>
      <c r="T70" s="1496"/>
      <c r="U70" s="1497"/>
      <c r="V70" s="98"/>
    </row>
    <row r="71" spans="1:22" ht="13.5" customHeight="1">
      <c r="A71" s="76">
        <v>58</v>
      </c>
      <c r="B71" s="80" t="s">
        <v>874</v>
      </c>
      <c r="C71" s="81"/>
      <c r="D71" s="78">
        <v>20</v>
      </c>
      <c r="E71" s="78">
        <v>360</v>
      </c>
      <c r="F71" s="78">
        <v>40</v>
      </c>
      <c r="G71" s="79">
        <f t="shared" si="5"/>
        <v>0</v>
      </c>
      <c r="H71" s="79">
        <f t="shared" si="6"/>
        <v>0</v>
      </c>
      <c r="I71" s="79">
        <f t="shared" si="7"/>
        <v>0</v>
      </c>
      <c r="J71" s="1493"/>
      <c r="K71" s="80"/>
      <c r="L71" s="81"/>
      <c r="M71" s="78"/>
      <c r="N71" s="78"/>
      <c r="O71" s="93">
        <f t="shared" si="8"/>
        <v>0</v>
      </c>
      <c r="P71" s="93">
        <f t="shared" si="9"/>
        <v>0</v>
      </c>
      <c r="Q71" s="100"/>
      <c r="R71" s="1498"/>
      <c r="S71" s="1496"/>
      <c r="T71" s="1496"/>
      <c r="U71" s="1497"/>
      <c r="V71" s="98"/>
    </row>
    <row r="72" spans="1:22" ht="13.5" customHeight="1">
      <c r="A72" s="76">
        <v>59</v>
      </c>
      <c r="B72" s="80" t="s">
        <v>875</v>
      </c>
      <c r="C72" s="81"/>
      <c r="D72" s="78">
        <v>15</v>
      </c>
      <c r="E72" s="78">
        <v>112</v>
      </c>
      <c r="F72" s="78">
        <v>0</v>
      </c>
      <c r="G72" s="79">
        <f t="shared" si="5"/>
        <v>0</v>
      </c>
      <c r="H72" s="79">
        <f t="shared" si="6"/>
        <v>0</v>
      </c>
      <c r="I72" s="79">
        <f t="shared" si="7"/>
        <v>0</v>
      </c>
      <c r="J72" s="1493"/>
      <c r="K72" s="80"/>
      <c r="L72" s="81"/>
      <c r="M72" s="78"/>
      <c r="N72" s="78"/>
      <c r="O72" s="93">
        <f t="shared" si="8"/>
        <v>0</v>
      </c>
      <c r="P72" s="93">
        <f t="shared" si="9"/>
        <v>0</v>
      </c>
      <c r="Q72" s="100"/>
      <c r="R72" s="1498"/>
      <c r="S72" s="1496"/>
      <c r="T72" s="1496"/>
      <c r="U72" s="1497"/>
      <c r="V72" s="98"/>
    </row>
    <row r="73" spans="1:22" ht="13.5" customHeight="1">
      <c r="A73" s="76">
        <v>60</v>
      </c>
      <c r="B73" s="80"/>
      <c r="C73" s="81"/>
      <c r="D73" s="78"/>
      <c r="E73" s="78"/>
      <c r="F73" s="78"/>
      <c r="G73" s="79">
        <f t="shared" si="5"/>
        <v>0</v>
      </c>
      <c r="H73" s="79">
        <f t="shared" si="6"/>
        <v>0</v>
      </c>
      <c r="I73" s="79">
        <f t="shared" si="7"/>
        <v>0</v>
      </c>
      <c r="J73" s="1493"/>
      <c r="K73" s="80"/>
      <c r="L73" s="81"/>
      <c r="M73" s="78"/>
      <c r="N73" s="78"/>
      <c r="O73" s="93">
        <f t="shared" si="8"/>
        <v>0</v>
      </c>
      <c r="P73" s="93">
        <f t="shared" si="9"/>
        <v>0</v>
      </c>
      <c r="Q73" s="100"/>
      <c r="R73" s="1498"/>
      <c r="S73" s="1496"/>
      <c r="T73" s="1496"/>
      <c r="U73" s="1497"/>
      <c r="V73" s="98"/>
    </row>
    <row r="74" spans="1:22" ht="13.5" customHeight="1">
      <c r="A74" s="76">
        <v>61</v>
      </c>
      <c r="B74" s="80"/>
      <c r="C74" s="81"/>
      <c r="D74" s="78"/>
      <c r="E74" s="78"/>
      <c r="F74" s="78"/>
      <c r="G74" s="79">
        <f t="shared" si="5"/>
        <v>0</v>
      </c>
      <c r="H74" s="79">
        <f t="shared" si="6"/>
        <v>0</v>
      </c>
      <c r="I74" s="79">
        <f t="shared" si="7"/>
        <v>0</v>
      </c>
      <c r="J74" s="1493"/>
      <c r="K74" s="80" t="s">
        <v>876</v>
      </c>
      <c r="L74" s="81"/>
      <c r="M74" s="78">
        <v>100</v>
      </c>
      <c r="N74" s="78">
        <v>20</v>
      </c>
      <c r="O74" s="93">
        <f t="shared" si="8"/>
        <v>0</v>
      </c>
      <c r="P74" s="93">
        <f t="shared" si="9"/>
        <v>0</v>
      </c>
      <c r="Q74" s="100"/>
      <c r="R74" s="1498"/>
      <c r="S74" s="1496"/>
      <c r="T74" s="1496"/>
      <c r="U74" s="1497"/>
      <c r="V74" s="98"/>
    </row>
    <row r="75" spans="1:22" ht="13.5" customHeight="1">
      <c r="A75" s="76">
        <v>62</v>
      </c>
      <c r="B75" s="80" t="s">
        <v>877</v>
      </c>
      <c r="C75" s="81"/>
      <c r="D75" s="78">
        <v>18</v>
      </c>
      <c r="E75" s="78">
        <v>112</v>
      </c>
      <c r="F75" s="78">
        <v>3</v>
      </c>
      <c r="G75" s="79">
        <f t="shared" si="5"/>
        <v>0</v>
      </c>
      <c r="H75" s="79">
        <f t="shared" si="6"/>
        <v>0</v>
      </c>
      <c r="I75" s="79">
        <f t="shared" si="7"/>
        <v>0</v>
      </c>
      <c r="J75" s="1493"/>
      <c r="K75" s="731" t="s">
        <v>878</v>
      </c>
      <c r="L75" s="732" t="s">
        <v>879</v>
      </c>
      <c r="M75" s="732" t="s">
        <v>798</v>
      </c>
      <c r="N75" s="732" t="s">
        <v>799</v>
      </c>
      <c r="O75" s="733" t="s">
        <v>798</v>
      </c>
      <c r="P75" s="733" t="s">
        <v>799</v>
      </c>
      <c r="Q75" s="733" t="s">
        <v>880</v>
      </c>
      <c r="R75" s="732" t="s">
        <v>881</v>
      </c>
      <c r="S75" s="1495"/>
      <c r="T75" s="1499"/>
      <c r="U75" s="1500"/>
      <c r="V75" s="98"/>
    </row>
    <row r="76" spans="1:22" ht="13.5" customHeight="1">
      <c r="A76" s="76">
        <v>63</v>
      </c>
      <c r="B76" s="80" t="s">
        <v>882</v>
      </c>
      <c r="C76" s="81"/>
      <c r="D76" s="78">
        <v>40</v>
      </c>
      <c r="E76" s="78">
        <v>228</v>
      </c>
      <c r="F76" s="78">
        <v>0</v>
      </c>
      <c r="G76" s="79">
        <f t="shared" si="5"/>
        <v>0</v>
      </c>
      <c r="H76" s="79">
        <f t="shared" si="6"/>
        <v>0</v>
      </c>
      <c r="I76" s="79">
        <f t="shared" si="7"/>
        <v>0</v>
      </c>
      <c r="J76" s="1493"/>
      <c r="K76" s="80"/>
      <c r="L76" s="81"/>
      <c r="M76" s="78"/>
      <c r="N76" s="78"/>
      <c r="O76" s="107">
        <f t="shared" ref="O76:P80" si="10">$L76*M76*25/100</f>
        <v>0</v>
      </c>
      <c r="P76" s="107">
        <f t="shared" si="10"/>
        <v>0</v>
      </c>
      <c r="Q76" s="107">
        <f t="shared" ref="Q76:Q80" si="11">L76*R76</f>
        <v>0</v>
      </c>
      <c r="R76" s="78"/>
      <c r="S76" s="1501"/>
      <c r="T76" s="1499"/>
      <c r="U76" s="1500"/>
      <c r="V76" s="98"/>
    </row>
    <row r="77" spans="1:22" ht="13.5" customHeight="1">
      <c r="A77" s="76">
        <v>64</v>
      </c>
      <c r="B77" s="80" t="s">
        <v>883</v>
      </c>
      <c r="C77" s="81"/>
      <c r="D77" s="78">
        <v>40</v>
      </c>
      <c r="E77" s="78">
        <v>216</v>
      </c>
      <c r="F77" s="78">
        <v>0</v>
      </c>
      <c r="G77" s="79">
        <f t="shared" si="5"/>
        <v>0</v>
      </c>
      <c r="H77" s="79">
        <f t="shared" si="6"/>
        <v>0</v>
      </c>
      <c r="I77" s="79">
        <f t="shared" si="7"/>
        <v>0</v>
      </c>
      <c r="J77" s="1493"/>
      <c r="K77" s="80" t="s">
        <v>884</v>
      </c>
      <c r="L77" s="81"/>
      <c r="M77" s="78">
        <v>63</v>
      </c>
      <c r="N77" s="78">
        <v>3.0000000000000001E-3</v>
      </c>
      <c r="O77" s="107">
        <f t="shared" si="10"/>
        <v>0</v>
      </c>
      <c r="P77" s="107">
        <f t="shared" si="10"/>
        <v>0</v>
      </c>
      <c r="Q77" s="107">
        <f t="shared" si="11"/>
        <v>0</v>
      </c>
      <c r="R77" s="78">
        <v>50</v>
      </c>
      <c r="S77" s="1501"/>
      <c r="T77" s="1499"/>
      <c r="U77" s="1500"/>
      <c r="V77" s="98"/>
    </row>
    <row r="78" spans="1:22" ht="13.5" customHeight="1">
      <c r="A78" s="76">
        <v>65</v>
      </c>
      <c r="B78" s="80" t="s">
        <v>885</v>
      </c>
      <c r="C78" s="81"/>
      <c r="D78" s="78">
        <v>17</v>
      </c>
      <c r="E78" s="78">
        <v>160</v>
      </c>
      <c r="F78" s="78">
        <v>14</v>
      </c>
      <c r="G78" s="79">
        <f t="shared" ref="G78:G83" si="12">C78*D78/40</f>
        <v>0</v>
      </c>
      <c r="H78" s="79">
        <f t="shared" ref="H78:H83" si="13">$C78*E78*25/100</f>
        <v>0</v>
      </c>
      <c r="I78" s="79">
        <f t="shared" ref="I78:I83" si="14">$C78*F78*25/100</f>
        <v>0</v>
      </c>
      <c r="J78" s="1493"/>
      <c r="K78" s="80" t="s">
        <v>886</v>
      </c>
      <c r="L78" s="81"/>
      <c r="M78" s="78">
        <v>16</v>
      </c>
      <c r="N78" s="78">
        <v>2E-3</v>
      </c>
      <c r="O78" s="107">
        <f t="shared" si="10"/>
        <v>0</v>
      </c>
      <c r="P78" s="107">
        <f t="shared" si="10"/>
        <v>0</v>
      </c>
      <c r="Q78" s="107">
        <f t="shared" si="11"/>
        <v>0</v>
      </c>
      <c r="R78" s="78">
        <v>30</v>
      </c>
      <c r="S78" s="1501"/>
      <c r="T78" s="1499"/>
      <c r="U78" s="1500"/>
      <c r="V78" s="98"/>
    </row>
    <row r="79" spans="1:22" ht="13.5" customHeight="1">
      <c r="A79" s="76">
        <v>66</v>
      </c>
      <c r="B79" s="80" t="s">
        <v>887</v>
      </c>
      <c r="C79" s="81"/>
      <c r="D79" s="78">
        <v>11.5</v>
      </c>
      <c r="E79" s="78">
        <v>82</v>
      </c>
      <c r="F79" s="78">
        <v>3</v>
      </c>
      <c r="G79" s="79">
        <f t="shared" si="12"/>
        <v>0</v>
      </c>
      <c r="H79" s="79">
        <f t="shared" si="13"/>
        <v>0</v>
      </c>
      <c r="I79" s="79">
        <f t="shared" si="14"/>
        <v>0</v>
      </c>
      <c r="J79" s="1493"/>
      <c r="K79" s="80"/>
      <c r="L79" s="81"/>
      <c r="M79" s="78"/>
      <c r="N79" s="78"/>
      <c r="O79" s="107">
        <f t="shared" si="10"/>
        <v>0</v>
      </c>
      <c r="P79" s="107">
        <f t="shared" si="10"/>
        <v>0</v>
      </c>
      <c r="Q79" s="107">
        <f t="shared" si="11"/>
        <v>0</v>
      </c>
      <c r="R79" s="78"/>
      <c r="S79" s="1501"/>
      <c r="T79" s="1499"/>
      <c r="U79" s="1500"/>
      <c r="V79" s="98"/>
    </row>
    <row r="80" spans="1:22" ht="13.5" customHeight="1">
      <c r="A80" s="76">
        <v>67</v>
      </c>
      <c r="B80" s="80" t="s">
        <v>888</v>
      </c>
      <c r="C80" s="81"/>
      <c r="D80" s="78">
        <v>11.5</v>
      </c>
      <c r="E80" s="78">
        <v>80</v>
      </c>
      <c r="F80" s="78">
        <v>6</v>
      </c>
      <c r="G80" s="79">
        <f t="shared" si="12"/>
        <v>0</v>
      </c>
      <c r="H80" s="79">
        <f t="shared" si="13"/>
        <v>0</v>
      </c>
      <c r="I80" s="79">
        <f t="shared" si="14"/>
        <v>0</v>
      </c>
      <c r="J80" s="1493"/>
      <c r="K80" s="80"/>
      <c r="L80" s="81"/>
      <c r="M80" s="78"/>
      <c r="N80" s="78"/>
      <c r="O80" s="107">
        <f t="shared" si="10"/>
        <v>0</v>
      </c>
      <c r="P80" s="107">
        <f t="shared" si="10"/>
        <v>0</v>
      </c>
      <c r="Q80" s="107">
        <f t="shared" si="11"/>
        <v>0</v>
      </c>
      <c r="R80" s="78"/>
      <c r="S80" s="1501"/>
      <c r="T80" s="1499"/>
      <c r="U80" s="1500"/>
      <c r="V80" s="98"/>
    </row>
    <row r="81" spans="1:22" ht="13.5" customHeight="1">
      <c r="A81" s="76">
        <v>68</v>
      </c>
      <c r="B81" s="80"/>
      <c r="C81" s="81"/>
      <c r="D81" s="101"/>
      <c r="E81" s="78"/>
      <c r="F81" s="78"/>
      <c r="G81" s="79">
        <f t="shared" si="12"/>
        <v>0</v>
      </c>
      <c r="H81" s="79">
        <f t="shared" si="13"/>
        <v>0</v>
      </c>
      <c r="I81" s="79">
        <f t="shared" si="14"/>
        <v>0</v>
      </c>
      <c r="J81" s="1493"/>
      <c r="K81" s="80" t="s">
        <v>889</v>
      </c>
      <c r="L81" s="81"/>
      <c r="M81" s="78">
        <v>0</v>
      </c>
      <c r="N81" s="78">
        <v>0</v>
      </c>
      <c r="O81" s="107">
        <f>$L81*M81*25/100</f>
        <v>0</v>
      </c>
      <c r="P81" s="107">
        <f>$L81*N81*25/100</f>
        <v>0</v>
      </c>
      <c r="Q81" s="107">
        <f>L81*R81</f>
        <v>0</v>
      </c>
      <c r="R81" s="78"/>
      <c r="S81" s="1502"/>
      <c r="T81" s="1503"/>
      <c r="U81" s="1504"/>
      <c r="V81" s="98"/>
    </row>
    <row r="82" spans="1:22" ht="13.5" customHeight="1">
      <c r="A82" s="76">
        <v>69</v>
      </c>
      <c r="B82" s="80"/>
      <c r="C82" s="81"/>
      <c r="D82" s="101"/>
      <c r="E82" s="78"/>
      <c r="F82" s="78"/>
      <c r="G82" s="79">
        <f t="shared" si="12"/>
        <v>0</v>
      </c>
      <c r="H82" s="79">
        <f t="shared" si="13"/>
        <v>0</v>
      </c>
      <c r="I82" s="79">
        <f t="shared" si="14"/>
        <v>0</v>
      </c>
      <c r="J82" s="1493"/>
      <c r="K82" s="108" t="s">
        <v>890</v>
      </c>
      <c r="L82" s="81"/>
      <c r="M82" s="109">
        <v>0</v>
      </c>
      <c r="N82" s="109">
        <v>0</v>
      </c>
      <c r="O82" s="93">
        <f>$L82*M82*25/100</f>
        <v>0</v>
      </c>
      <c r="P82" s="93">
        <f>$L82*N82*25/100</f>
        <v>0</v>
      </c>
      <c r="Q82" s="110">
        <f>L82*R83</f>
        <v>0</v>
      </c>
      <c r="R82" s="1509" t="s">
        <v>891</v>
      </c>
      <c r="S82" s="1510"/>
      <c r="T82" s="1510"/>
      <c r="U82" s="1511"/>
      <c r="V82" s="98"/>
    </row>
    <row r="83" spans="1:22" ht="13.5" customHeight="1">
      <c r="A83" s="76">
        <v>70</v>
      </c>
      <c r="B83" s="80"/>
      <c r="C83" s="81"/>
      <c r="D83" s="101"/>
      <c r="E83" s="78"/>
      <c r="F83" s="78"/>
      <c r="G83" s="79">
        <f t="shared" si="12"/>
        <v>0</v>
      </c>
      <c r="H83" s="79">
        <f t="shared" si="13"/>
        <v>0</v>
      </c>
      <c r="I83" s="79">
        <f t="shared" si="14"/>
        <v>0</v>
      </c>
      <c r="J83" s="1494"/>
      <c r="K83" s="734" t="s">
        <v>892</v>
      </c>
      <c r="L83" s="78">
        <v>23</v>
      </c>
      <c r="M83" s="78">
        <v>23</v>
      </c>
      <c r="N83" s="78">
        <v>23</v>
      </c>
      <c r="O83" s="111">
        <f>SUM(O15:O82)</f>
        <v>144</v>
      </c>
      <c r="P83" s="111">
        <f>SUM(P14:P82)</f>
        <v>35.525000000000006</v>
      </c>
      <c r="Q83" s="111">
        <f>SUM(Q76:Q82)</f>
        <v>0</v>
      </c>
      <c r="R83" s="778">
        <f>L82*L83*M83*N83/1000</f>
        <v>0</v>
      </c>
      <c r="S83" s="1489" t="s">
        <v>893</v>
      </c>
      <c r="T83" s="1490"/>
      <c r="U83" s="1491"/>
      <c r="V83" s="98"/>
    </row>
    <row r="84" spans="1:22" ht="12.6" customHeight="1">
      <c r="A84" s="95"/>
      <c r="B84" s="102"/>
      <c r="C84" s="103">
        <f>SUM(C14:C83)</f>
        <v>2</v>
      </c>
      <c r="D84" s="104"/>
      <c r="E84" s="105"/>
      <c r="F84" s="105"/>
      <c r="G84" s="106">
        <f>SUM(G14:G83)</f>
        <v>2</v>
      </c>
      <c r="H84" s="106">
        <f>SUM(H14:H83)</f>
        <v>108</v>
      </c>
      <c r="I84" s="106">
        <f>SUM(I14:I83)</f>
        <v>0</v>
      </c>
      <c r="J84" s="105"/>
      <c r="K84" s="105"/>
      <c r="L84" s="112">
        <f>SUM(L14:L74)</f>
        <v>8</v>
      </c>
      <c r="M84" s="95"/>
      <c r="N84" s="95"/>
      <c r="O84" s="95"/>
      <c r="P84" s="95"/>
      <c r="Q84" s="95"/>
      <c r="R84" s="113"/>
      <c r="S84" s="114"/>
      <c r="T84" s="114"/>
      <c r="U84" s="114"/>
      <c r="V84" s="98"/>
    </row>
    <row r="85" spans="1:22" ht="13.5" customHeight="1">
      <c r="A85" s="914" t="s">
        <v>964</v>
      </c>
      <c r="B85" s="914"/>
      <c r="C85" s="914"/>
      <c r="D85" s="914"/>
      <c r="E85" s="914"/>
      <c r="F85" s="914"/>
      <c r="G85" s="914"/>
      <c r="H85" s="914"/>
      <c r="I85" s="914"/>
      <c r="J85" s="914"/>
      <c r="K85" s="914"/>
      <c r="L85" s="914"/>
      <c r="M85" s="914"/>
      <c r="N85" s="710"/>
      <c r="O85" s="710"/>
      <c r="P85" s="710"/>
      <c r="Q85" s="710"/>
      <c r="R85" s="710"/>
      <c r="S85" s="1492" t="s">
        <v>968</v>
      </c>
      <c r="T85" s="1492"/>
      <c r="U85" s="1492"/>
      <c r="V85" s="98"/>
    </row>
    <row r="86" spans="1:22" ht="13.5" customHeight="1">
      <c r="A86" s="95"/>
      <c r="B86" s="98"/>
      <c r="C86" s="98"/>
      <c r="D86" s="98"/>
      <c r="E86" s="98"/>
      <c r="F86" s="98"/>
      <c r="G86" s="98"/>
      <c r="H86" s="98"/>
      <c r="I86" s="98"/>
      <c r="J86" s="98"/>
      <c r="K86" s="98"/>
      <c r="L86" s="710"/>
      <c r="M86" s="710"/>
      <c r="N86" s="710"/>
      <c r="O86" s="710"/>
      <c r="P86" s="710"/>
      <c r="Q86" s="710"/>
      <c r="R86" s="710"/>
      <c r="S86" s="865"/>
      <c r="T86" s="865"/>
      <c r="U86" s="865"/>
      <c r="V86" s="98"/>
    </row>
    <row r="87" spans="1:22">
      <c r="A87" s="98"/>
      <c r="B87" s="98"/>
      <c r="C87" s="98"/>
      <c r="D87" s="98"/>
      <c r="E87" s="98"/>
      <c r="F87" s="98"/>
      <c r="G87" s="98"/>
      <c r="H87" s="98"/>
      <c r="I87" s="98"/>
      <c r="J87" s="98"/>
      <c r="K87" s="98"/>
      <c r="L87" s="98"/>
      <c r="M87" s="98"/>
      <c r="N87" s="98"/>
      <c r="O87" s="98"/>
      <c r="P87" s="98"/>
      <c r="Q87" s="98"/>
      <c r="R87" s="113"/>
      <c r="S87" s="98"/>
      <c r="T87" s="98"/>
      <c r="U87" s="98"/>
      <c r="V87" s="98"/>
    </row>
    <row r="88" spans="1:22">
      <c r="A88" s="60"/>
      <c r="B88" s="60"/>
      <c r="C88" s="60"/>
      <c r="D88" s="60"/>
      <c r="E88" s="60"/>
      <c r="F88" s="60"/>
      <c r="G88" s="60"/>
      <c r="H88" s="60"/>
      <c r="I88" s="60"/>
      <c r="J88" s="60"/>
      <c r="K88" s="60"/>
      <c r="L88" s="60"/>
      <c r="M88" s="60"/>
      <c r="N88" s="60"/>
      <c r="O88" s="60"/>
      <c r="P88" s="60"/>
      <c r="Q88" s="60"/>
      <c r="R88" s="779"/>
      <c r="S88" s="60"/>
      <c r="T88" s="60"/>
      <c r="U88" s="60"/>
    </row>
    <row r="89" spans="1:22">
      <c r="A89" s="60"/>
      <c r="B89" s="60"/>
      <c r="C89" s="60"/>
      <c r="D89" s="60"/>
      <c r="E89" s="60"/>
      <c r="F89" s="60"/>
      <c r="G89" s="60"/>
      <c r="H89" s="60"/>
      <c r="I89" s="60"/>
      <c r="J89" s="60"/>
      <c r="K89" s="60"/>
      <c r="L89" s="60"/>
      <c r="M89" s="60"/>
      <c r="N89" s="60"/>
      <c r="O89" s="60"/>
      <c r="P89" s="60"/>
      <c r="Q89" s="60"/>
      <c r="R89" s="779"/>
      <c r="S89" s="60"/>
      <c r="T89" s="60"/>
      <c r="U89" s="60"/>
    </row>
  </sheetData>
  <sheetProtection password="FA80" sheet="1" objects="1" scenarios="1" autoFilter="0"/>
  <mergeCells count="25">
    <mergeCell ref="A9:U9"/>
    <mergeCell ref="A10:U10"/>
    <mergeCell ref="A12:B12"/>
    <mergeCell ref="A13:B13"/>
    <mergeCell ref="R82:U82"/>
    <mergeCell ref="J12:J13"/>
    <mergeCell ref="K12:K13"/>
    <mergeCell ref="R12:U13"/>
    <mergeCell ref="S83:U83"/>
    <mergeCell ref="S85:U85"/>
    <mergeCell ref="J14:J83"/>
    <mergeCell ref="R14:U74"/>
    <mergeCell ref="S75:U81"/>
    <mergeCell ref="A85:M85"/>
    <mergeCell ref="T1:U1"/>
    <mergeCell ref="A4:E4"/>
    <mergeCell ref="F4:K4"/>
    <mergeCell ref="C1:M1"/>
    <mergeCell ref="E2:K2"/>
    <mergeCell ref="B5:D8"/>
    <mergeCell ref="F5:K5"/>
    <mergeCell ref="N5:T5"/>
    <mergeCell ref="F6:K6"/>
    <mergeCell ref="F7:K7"/>
    <mergeCell ref="L7:U7"/>
  </mergeCells>
  <printOptions horizontalCentered="1"/>
  <pageMargins left="0.315278" right="0.315278" top="0.39374999999999999" bottom="0.39374999999999999" header="0.27569399999999999" footer="0.39374999999999999"/>
  <pageSetup paperSize="9" scale="63" fitToWidth="0" pageOrder="overThenDown"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97"/>
  <sheetViews>
    <sheetView zoomScale="83" zoomScaleNormal="83" workbookViewId="0">
      <pane ySplit="19" topLeftCell="A20" activePane="bottomLeft" state="frozen"/>
      <selection pane="bottomLeft" activeCell="C8" sqref="C8"/>
    </sheetView>
  </sheetViews>
  <sheetFormatPr defaultColWidth="10" defaultRowHeight="13.8"/>
  <cols>
    <col min="1" max="1" width="21.44140625" style="1" customWidth="1"/>
    <col min="2" max="2" width="14.33203125" style="1" customWidth="1"/>
    <col min="3" max="3" width="7.6640625" style="1" customWidth="1"/>
    <col min="4" max="4" width="8.44140625" style="1" customWidth="1"/>
    <col min="5" max="5" width="7.88671875" style="1" customWidth="1"/>
    <col min="6" max="8" width="8.44140625" style="2" customWidth="1"/>
    <col min="9" max="11" width="9.5546875" style="1" hidden="1" customWidth="1"/>
    <col min="12" max="12" width="8.88671875" style="1" customWidth="1"/>
    <col min="13" max="13" width="8.88671875" style="1" hidden="1" customWidth="1"/>
    <col min="14" max="14" width="10.5546875" style="1" customWidth="1"/>
    <col min="15" max="15" width="9.5546875" style="2" customWidth="1"/>
    <col min="16" max="16" width="42.109375" style="2" customWidth="1"/>
    <col min="17" max="17" width="19.88671875" style="2" customWidth="1"/>
    <col min="18" max="18" width="3.6640625" style="2" customWidth="1"/>
  </cols>
  <sheetData>
    <row r="1" spans="1:18" ht="46.95" customHeight="1">
      <c r="A1" s="641"/>
      <c r="B1" s="3"/>
      <c r="C1" s="3"/>
      <c r="D1" s="3"/>
      <c r="E1" s="3"/>
      <c r="F1" s="1522" t="s">
        <v>959</v>
      </c>
      <c r="G1" s="1522"/>
      <c r="H1" s="1522"/>
      <c r="I1" s="1522"/>
      <c r="J1" s="1522"/>
      <c r="K1" s="1522"/>
      <c r="L1" s="1522"/>
      <c r="M1" s="1522"/>
      <c r="N1" s="1522"/>
      <c r="O1" s="1522"/>
      <c r="P1" s="26"/>
      <c r="Q1" s="642" t="s">
        <v>962</v>
      </c>
      <c r="R1" s="46"/>
    </row>
    <row r="2" spans="1:18" ht="11.25" customHeight="1">
      <c r="A2" s="5"/>
      <c r="B2" s="3"/>
      <c r="C2" s="3"/>
      <c r="D2" s="3"/>
      <c r="E2" s="3"/>
      <c r="F2" s="4"/>
      <c r="G2" s="4"/>
      <c r="H2" s="4"/>
      <c r="I2" s="27" t="s">
        <v>894</v>
      </c>
      <c r="J2" s="27" t="s">
        <v>894</v>
      </c>
      <c r="K2" s="27" t="s">
        <v>894</v>
      </c>
      <c r="L2" s="28"/>
      <c r="M2" s="27" t="s">
        <v>475</v>
      </c>
      <c r="N2" s="28"/>
      <c r="O2" s="4"/>
      <c r="P2" s="26"/>
      <c r="Q2" s="26"/>
      <c r="R2" s="46"/>
    </row>
    <row r="3" spans="1:18" ht="14.4" customHeight="1">
      <c r="A3" s="1523" t="s">
        <v>895</v>
      </c>
      <c r="B3" s="1523"/>
      <c r="C3" s="1524" t="s">
        <v>655</v>
      </c>
      <c r="D3" s="1524"/>
      <c r="E3" s="1524"/>
      <c r="F3" s="1524"/>
      <c r="G3" s="1524"/>
      <c r="H3" s="1525" t="s">
        <v>411</v>
      </c>
      <c r="I3" s="1525"/>
      <c r="J3" s="1525"/>
      <c r="K3" s="1525"/>
      <c r="L3" s="1525"/>
      <c r="M3" s="1525"/>
      <c r="N3" s="1525"/>
      <c r="O3" s="1525"/>
      <c r="P3" s="875"/>
      <c r="Q3" s="48"/>
      <c r="R3" s="46"/>
    </row>
    <row r="4" spans="1:18" ht="6" customHeight="1">
      <c r="A4" s="5"/>
      <c r="B4" s="3"/>
      <c r="C4" s="3"/>
      <c r="D4" s="3"/>
      <c r="E4" s="3"/>
      <c r="F4" s="4"/>
      <c r="G4" s="4"/>
      <c r="H4" s="4"/>
      <c r="I4" s="27"/>
      <c r="J4" s="27"/>
      <c r="K4" s="27"/>
      <c r="L4" s="28"/>
      <c r="M4" s="27"/>
      <c r="N4" s="29"/>
      <c r="O4" s="4"/>
      <c r="P4" s="643"/>
      <c r="Q4" s="48"/>
      <c r="R4" s="46"/>
    </row>
    <row r="5" spans="1:18" ht="15" customHeight="1">
      <c r="A5" s="1349" t="s">
        <v>896</v>
      </c>
      <c r="B5" s="1349"/>
      <c r="C5" s="6">
        <f>1*FIXED((SUM(M20:M81)),-1)</f>
        <v>610</v>
      </c>
      <c r="D5" s="683" t="s">
        <v>51</v>
      </c>
      <c r="E5" s="240"/>
      <c r="F5" s="240"/>
      <c r="G5" s="240"/>
      <c r="H5" s="7"/>
      <c r="I5" s="30"/>
      <c r="J5" s="31" t="s">
        <v>897</v>
      </c>
      <c r="K5" s="31"/>
      <c r="L5" s="940" t="s">
        <v>897</v>
      </c>
      <c r="M5" s="940"/>
      <c r="N5" s="940"/>
      <c r="O5" s="940"/>
      <c r="P5" s="940"/>
      <c r="Q5" s="49"/>
      <c r="R5" s="46"/>
    </row>
    <row r="6" spans="1:18" ht="15" customHeight="1">
      <c r="A6" s="1071" t="s">
        <v>898</v>
      </c>
      <c r="B6" s="1071"/>
      <c r="C6" s="6" t="str">
        <f>FIXED((10+SUM(K20:K81)),-1)</f>
        <v>10</v>
      </c>
      <c r="D6" s="683" t="s">
        <v>73</v>
      </c>
      <c r="E6" s="240"/>
      <c r="F6" s="240"/>
      <c r="G6" s="240"/>
      <c r="H6" s="8"/>
      <c r="I6" s="30"/>
      <c r="J6" s="31" t="s">
        <v>899</v>
      </c>
      <c r="K6" s="31"/>
      <c r="L6" s="940" t="s">
        <v>899</v>
      </c>
      <c r="M6" s="940"/>
      <c r="N6" s="940"/>
      <c r="O6" s="940"/>
      <c r="P6" s="940"/>
      <c r="Q6" s="49"/>
      <c r="R6" s="46"/>
    </row>
    <row r="7" spans="1:18" ht="6" customHeight="1">
      <c r="A7" s="679"/>
      <c r="B7" s="679"/>
      <c r="C7" s="679"/>
      <c r="D7" s="679"/>
      <c r="E7" s="679"/>
      <c r="F7" s="679"/>
      <c r="G7" s="679"/>
      <c r="H7" s="679"/>
      <c r="I7" s="679"/>
      <c r="J7" s="679"/>
      <c r="K7" s="679"/>
      <c r="L7" s="679"/>
      <c r="M7" s="679"/>
      <c r="N7" s="679"/>
      <c r="O7" s="679"/>
      <c r="P7" s="679"/>
      <c r="Q7" s="679"/>
      <c r="R7" s="46"/>
    </row>
    <row r="8" spans="1:18" ht="15" customHeight="1">
      <c r="A8" s="1349" t="s">
        <v>900</v>
      </c>
      <c r="B8" s="1349"/>
      <c r="C8" s="9">
        <v>8</v>
      </c>
      <c r="D8" s="1527" t="str">
        <f>"g ≈ "&amp;FIXED(C8/4.75)&amp;" level 5ml tsp."</f>
        <v>g ≈ 1.68 level 5ml tsp.</v>
      </c>
      <c r="E8" s="1527"/>
      <c r="F8" s="1527"/>
      <c r="G8" s="1527"/>
      <c r="H8" s="736"/>
      <c r="I8" s="736"/>
      <c r="J8" s="736"/>
      <c r="K8" s="736"/>
      <c r="L8" s="32"/>
      <c r="M8" s="736"/>
      <c r="N8" s="3"/>
      <c r="O8" s="3"/>
      <c r="P8" s="4"/>
      <c r="Q8" s="49"/>
      <c r="R8" s="46"/>
    </row>
    <row r="9" spans="1:18" ht="15" customHeight="1">
      <c r="A9" s="240"/>
      <c r="B9" s="240"/>
      <c r="C9" s="10" t="s">
        <v>129</v>
      </c>
      <c r="D9" s="1528" t="str">
        <f>"   ≈ "&amp;FIXED(C8/5)*8&amp;" tsp lemon juice (about "&amp;FIXED((C8*8/5/6),1)&amp;" lemons)"</f>
        <v xml:space="preserve">   ≈ 12.8 tsp lemon juice (about 2.1 lemons)</v>
      </c>
      <c r="E9" s="1528"/>
      <c r="F9" s="1528"/>
      <c r="G9" s="1528"/>
      <c r="H9" s="1528"/>
      <c r="I9" s="736"/>
      <c r="J9" s="736"/>
      <c r="K9" s="736"/>
      <c r="L9" s="1529" t="s">
        <v>901</v>
      </c>
      <c r="M9" s="1529"/>
      <c r="N9" s="1529"/>
      <c r="O9" s="1529"/>
      <c r="P9" s="1529"/>
      <c r="Q9" s="49"/>
      <c r="R9" s="46"/>
    </row>
    <row r="10" spans="1:18" ht="15" customHeight="1">
      <c r="A10" s="1071" t="s">
        <v>902</v>
      </c>
      <c r="B10" s="1071"/>
      <c r="C10" s="9"/>
      <c r="D10" s="1531" t="str">
        <f>"g ≈ "&amp;FIXED(C10/4.5)&amp;" level 5ml tsp."</f>
        <v>g ≈ 0.00 level 5ml tsp.</v>
      </c>
      <c r="E10" s="1531"/>
      <c r="F10" s="1531"/>
      <c r="G10" s="1531"/>
      <c r="H10" s="1531"/>
      <c r="I10" s="33"/>
      <c r="J10" s="33"/>
      <c r="K10" s="33"/>
      <c r="L10" s="1529"/>
      <c r="M10" s="1529"/>
      <c r="N10" s="1529"/>
      <c r="O10" s="1529"/>
      <c r="P10" s="1529"/>
      <c r="Q10" s="49"/>
      <c r="R10" s="46"/>
    </row>
    <row r="11" spans="1:18" ht="13.95" customHeight="1">
      <c r="A11" s="10"/>
      <c r="B11" s="10"/>
      <c r="C11" s="10" t="s">
        <v>129</v>
      </c>
      <c r="D11" s="1071" t="str">
        <f>"   ≈ "&amp;FIXED(3*C10/4.5)&amp;" tsp. liquid."</f>
        <v xml:space="preserve">   ≈ 0.00 tsp. liquid.</v>
      </c>
      <c r="E11" s="1071"/>
      <c r="F11" s="1071"/>
      <c r="G11" s="1071"/>
      <c r="H11" s="1071"/>
      <c r="I11" s="34"/>
      <c r="J11" s="34"/>
      <c r="K11" s="34"/>
      <c r="L11" s="240"/>
      <c r="M11" s="34"/>
      <c r="N11" s="35" t="s">
        <v>903</v>
      </c>
      <c r="O11" s="36"/>
      <c r="P11" s="34"/>
      <c r="Q11" s="34"/>
      <c r="R11" s="46"/>
    </row>
    <row r="12" spans="1:18" ht="6" customHeight="1">
      <c r="A12" s="10"/>
      <c r="B12" s="10"/>
      <c r="C12" s="10"/>
      <c r="D12" s="10"/>
      <c r="E12" s="10"/>
      <c r="F12" s="10"/>
      <c r="G12" s="10"/>
      <c r="H12" s="10"/>
      <c r="I12" s="10"/>
      <c r="J12" s="10"/>
      <c r="K12" s="10"/>
      <c r="L12" s="10"/>
      <c r="M12" s="34"/>
      <c r="N12" s="34"/>
      <c r="O12" s="33"/>
      <c r="P12" s="33"/>
      <c r="Q12" s="49"/>
      <c r="R12" s="46"/>
    </row>
    <row r="13" spans="1:18" ht="15" customHeight="1">
      <c r="A13" s="1071" t="s">
        <v>904</v>
      </c>
      <c r="B13" s="1071"/>
      <c r="C13" s="11">
        <f>C8+SUM(J20:J81)</f>
        <v>12.2</v>
      </c>
      <c r="D13" s="1349" t="str">
        <f>"g = "&amp;FIXED(100*$C$13/$C$15)&amp;"%. Which is"</f>
        <v>g = 1.15%. Which is</v>
      </c>
      <c r="E13" s="1349"/>
      <c r="F13" s="1349"/>
      <c r="G13" s="1526" t="str">
        <f>IF((100*$C$13/$C$15)&gt;1.3,"Very High",IF((100*$C$13/$C$15)&gt;1.1,"High",IF((100*$C$13/$C$15)&gt;0.69,"Medium",IF((100*$C$13/$C$15)&gt;0.49,"Low",IF((100*$C$13/$C$15)&gt;0,"Very Low")))))</f>
        <v>High</v>
      </c>
      <c r="H13" s="1526"/>
      <c r="I13" s="34" t="s">
        <v>905</v>
      </c>
      <c r="J13" s="34"/>
      <c r="K13" s="34"/>
      <c r="L13" s="1530" t="s">
        <v>906</v>
      </c>
      <c r="M13" s="1530"/>
      <c r="N13" s="1530"/>
      <c r="O13" s="1530"/>
      <c r="P13" s="1530"/>
      <c r="Q13" s="50"/>
      <c r="R13" s="46"/>
    </row>
    <row r="14" spans="1:18" ht="15" customHeight="1">
      <c r="A14" s="1071" t="s">
        <v>907</v>
      </c>
      <c r="B14" s="1071"/>
      <c r="C14" s="11">
        <f>C10+SUM(I20:I81)</f>
        <v>3.5</v>
      </c>
      <c r="D14" s="1349" t="str">
        <f>"g = "&amp;FIXED(100*$C$14/$C$15)&amp;"%. Which is"</f>
        <v>g = 0.33%. Which is</v>
      </c>
      <c r="E14" s="1349"/>
      <c r="F14" s="1349"/>
      <c r="G14" s="1526" t="str">
        <f>IF((100*$C$14/$C$15)&gt;0.89,"Very High",IF((100*$C$14/$C$15)&gt;0.59,"High",IF((100*$C$14/$C$15)&gt;0.29,"Medium",IF((100*$C$14/$C$15)&gt;0.19,"Low",IF((100*$C$14/$C$15)&gt;0,"Very Low")))))</f>
        <v>Medium</v>
      </c>
      <c r="H14" s="1526"/>
      <c r="I14" s="34"/>
      <c r="J14" s="34"/>
      <c r="K14" s="34"/>
      <c r="L14" s="1530"/>
      <c r="M14" s="1530"/>
      <c r="N14" s="1530"/>
      <c r="O14" s="1530"/>
      <c r="P14" s="1530"/>
      <c r="Q14" s="50"/>
      <c r="R14" s="46"/>
    </row>
    <row r="15" spans="1:18" ht="15" customHeight="1">
      <c r="A15" s="1071" t="s">
        <v>908</v>
      </c>
      <c r="B15" s="1071"/>
      <c r="C15" s="6">
        <f>1*FIXED((0.58*C5+C6+SUM(E20:E81)),0)</f>
        <v>1064</v>
      </c>
      <c r="D15" s="1544" t="s">
        <v>909</v>
      </c>
      <c r="E15" s="1544"/>
      <c r="F15" s="1544"/>
      <c r="G15" s="1544"/>
      <c r="H15" s="1544"/>
      <c r="I15" s="240"/>
      <c r="J15" s="37"/>
      <c r="K15" s="37"/>
      <c r="L15" s="37" t="str">
        <f>FIXED((0.1*R46/R74)*R26,1)*10&amp;" WEE"</f>
        <v>0 WEE</v>
      </c>
      <c r="M15" s="37"/>
      <c r="N15" s="37"/>
      <c r="O15" s="871"/>
      <c r="P15" s="871"/>
      <c r="Q15" s="871"/>
      <c r="R15" s="871"/>
    </row>
    <row r="16" spans="1:18" ht="15" customHeight="1">
      <c r="A16" s="1540" t="s">
        <v>963</v>
      </c>
      <c r="B16" s="1107"/>
      <c r="C16" s="12">
        <f>0.002*C15</f>
        <v>2.1280000000000001</v>
      </c>
      <c r="D16" s="1541" t="s">
        <v>910</v>
      </c>
      <c r="E16" s="1541"/>
      <c r="F16" s="1541"/>
      <c r="G16" s="1541"/>
      <c r="H16" s="1541"/>
      <c r="I16" s="1541"/>
      <c r="J16" s="1541"/>
      <c r="K16" s="1541"/>
      <c r="L16" s="1541"/>
      <c r="M16" s="37"/>
      <c r="N16" s="37"/>
      <c r="O16" s="1545" t="s">
        <v>234</v>
      </c>
      <c r="P16" s="1545"/>
      <c r="Q16" s="1545"/>
      <c r="R16" s="871"/>
    </row>
    <row r="17" spans="1:18" ht="6" customHeight="1">
      <c r="A17" s="13"/>
      <c r="B17" s="240"/>
      <c r="C17" s="240"/>
      <c r="D17" s="240"/>
      <c r="E17" s="240"/>
      <c r="F17" s="240"/>
      <c r="G17" s="240"/>
      <c r="H17" s="240"/>
      <c r="I17" s="240"/>
      <c r="J17" s="37"/>
      <c r="K17" s="37"/>
      <c r="L17" s="37"/>
      <c r="M17" s="37"/>
      <c r="N17" s="37"/>
      <c r="O17" s="871"/>
      <c r="P17" s="871"/>
      <c r="Q17" s="871"/>
      <c r="R17" s="871"/>
    </row>
    <row r="18" spans="1:18" ht="15" customHeight="1">
      <c r="A18" s="1536" t="s">
        <v>911</v>
      </c>
      <c r="B18" s="1537"/>
      <c r="C18" s="14" t="s">
        <v>52</v>
      </c>
      <c r="D18" s="14" t="s">
        <v>912</v>
      </c>
      <c r="E18" s="14" t="s">
        <v>913</v>
      </c>
      <c r="F18" s="15" t="s">
        <v>385</v>
      </c>
      <c r="G18" s="16" t="s">
        <v>388</v>
      </c>
      <c r="H18" s="17" t="s">
        <v>914</v>
      </c>
      <c r="I18" s="735" t="s">
        <v>388</v>
      </c>
      <c r="J18" s="735" t="s">
        <v>385</v>
      </c>
      <c r="K18" s="38" t="s">
        <v>914</v>
      </c>
      <c r="L18" s="17" t="s">
        <v>384</v>
      </c>
      <c r="M18" s="39" t="s">
        <v>384</v>
      </c>
      <c r="N18" s="17" t="s">
        <v>915</v>
      </c>
      <c r="O18" s="871"/>
      <c r="P18" s="871"/>
      <c r="Q18" s="240"/>
      <c r="R18" s="46"/>
    </row>
    <row r="19" spans="1:18" ht="15.6">
      <c r="A19" s="1538"/>
      <c r="B19" s="1539"/>
      <c r="C19" s="686" t="s">
        <v>51</v>
      </c>
      <c r="D19" s="686" t="s">
        <v>916</v>
      </c>
      <c r="E19" s="686" t="s">
        <v>52</v>
      </c>
      <c r="F19" s="686" t="s">
        <v>366</v>
      </c>
      <c r="G19" s="18" t="s">
        <v>366</v>
      </c>
      <c r="H19" s="19" t="s">
        <v>916</v>
      </c>
      <c r="I19" s="40" t="s">
        <v>51</v>
      </c>
      <c r="J19" s="40" t="s">
        <v>51</v>
      </c>
      <c r="K19" s="41" t="s">
        <v>917</v>
      </c>
      <c r="L19" s="19" t="s">
        <v>916</v>
      </c>
      <c r="M19" s="42" t="s">
        <v>918</v>
      </c>
      <c r="N19" s="19" t="s">
        <v>919</v>
      </c>
      <c r="O19" s="1542" t="s">
        <v>920</v>
      </c>
      <c r="P19" s="1543"/>
      <c r="Q19" s="1543"/>
      <c r="R19" s="46"/>
    </row>
    <row r="20" spans="1:18">
      <c r="A20" s="889" t="s">
        <v>415</v>
      </c>
      <c r="B20" s="891" t="s">
        <v>921</v>
      </c>
      <c r="C20" s="20"/>
      <c r="D20" s="21">
        <v>1.2</v>
      </c>
      <c r="E20" s="22">
        <f t="shared" ref="E20:E51" si="0">IF(D20=0,0,C20/D20)</f>
        <v>0</v>
      </c>
      <c r="F20" s="21">
        <v>1.2</v>
      </c>
      <c r="G20" s="21">
        <v>0.75</v>
      </c>
      <c r="H20" s="21">
        <v>0</v>
      </c>
      <c r="I20" s="21">
        <f t="shared" ref="I20:I51" si="1">0.01*C20*D20*G20</f>
        <v>0</v>
      </c>
      <c r="J20" s="21">
        <f t="shared" ref="J20:J36" si="2">0.01*C20*D20*F20</f>
        <v>0</v>
      </c>
      <c r="K20" s="21">
        <f t="shared" ref="K20:K51" si="3">H20*E20</f>
        <v>0</v>
      </c>
      <c r="L20" s="21">
        <v>1</v>
      </c>
      <c r="M20" s="21">
        <f t="shared" ref="M20:M51" si="4">E20*L20</f>
        <v>0</v>
      </c>
      <c r="N20" s="21">
        <v>30</v>
      </c>
      <c r="O20" s="43"/>
      <c r="P20" s="44"/>
      <c r="Q20" s="44"/>
      <c r="R20" s="46"/>
    </row>
    <row r="21" spans="1:18">
      <c r="A21" s="889" t="s">
        <v>442</v>
      </c>
      <c r="B21" s="891" t="s">
        <v>922</v>
      </c>
      <c r="C21" s="672"/>
      <c r="D21" s="23">
        <v>1.2</v>
      </c>
      <c r="E21" s="24">
        <f t="shared" si="0"/>
        <v>0</v>
      </c>
      <c r="F21" s="23">
        <v>0.7</v>
      </c>
      <c r="G21" s="25">
        <v>0.7</v>
      </c>
      <c r="H21" s="23">
        <v>0</v>
      </c>
      <c r="I21" s="23">
        <f t="shared" si="1"/>
        <v>0</v>
      </c>
      <c r="J21" s="23">
        <f t="shared" si="2"/>
        <v>0</v>
      </c>
      <c r="K21" s="23">
        <f t="shared" si="3"/>
        <v>0</v>
      </c>
      <c r="L21" s="23">
        <v>1</v>
      </c>
      <c r="M21" s="23">
        <f t="shared" si="4"/>
        <v>0</v>
      </c>
      <c r="N21" s="23">
        <v>30</v>
      </c>
      <c r="O21" s="43"/>
      <c r="P21" s="44"/>
      <c r="Q21" s="44"/>
      <c r="R21" s="46"/>
    </row>
    <row r="22" spans="1:18">
      <c r="A22" s="889" t="s">
        <v>428</v>
      </c>
      <c r="B22" s="890" t="s">
        <v>923</v>
      </c>
      <c r="C22" s="672"/>
      <c r="D22" s="23">
        <v>1.1000000000000001</v>
      </c>
      <c r="E22" s="24">
        <f t="shared" si="0"/>
        <v>0</v>
      </c>
      <c r="F22" s="23">
        <v>1.2</v>
      </c>
      <c r="G22" s="25">
        <v>0.35</v>
      </c>
      <c r="H22" s="23">
        <v>0.09</v>
      </c>
      <c r="I22" s="23">
        <f t="shared" si="1"/>
        <v>0</v>
      </c>
      <c r="J22" s="23">
        <f t="shared" si="2"/>
        <v>0</v>
      </c>
      <c r="K22" s="23">
        <f t="shared" si="3"/>
        <v>0</v>
      </c>
      <c r="L22" s="23">
        <v>0.85</v>
      </c>
      <c r="M22" s="23">
        <f t="shared" si="4"/>
        <v>0</v>
      </c>
      <c r="N22" s="23">
        <v>35</v>
      </c>
      <c r="O22" s="43"/>
      <c r="P22" s="44"/>
      <c r="Q22" s="44"/>
      <c r="R22" s="46"/>
    </row>
    <row r="23" spans="1:18">
      <c r="A23" s="889" t="s">
        <v>924</v>
      </c>
      <c r="B23" s="890" t="s">
        <v>925</v>
      </c>
      <c r="C23" s="672"/>
      <c r="D23" s="23">
        <v>1.1000000000000001</v>
      </c>
      <c r="E23" s="24">
        <f t="shared" si="0"/>
        <v>0</v>
      </c>
      <c r="F23" s="23">
        <v>1.2</v>
      </c>
      <c r="G23" s="25">
        <v>0.35</v>
      </c>
      <c r="H23" s="23">
        <v>0.15</v>
      </c>
      <c r="I23" s="23">
        <f t="shared" si="1"/>
        <v>0</v>
      </c>
      <c r="J23" s="23">
        <f t="shared" si="2"/>
        <v>0</v>
      </c>
      <c r="K23" s="23">
        <f t="shared" si="3"/>
        <v>0</v>
      </c>
      <c r="L23" s="23">
        <v>0.85</v>
      </c>
      <c r="M23" s="23">
        <f t="shared" si="4"/>
        <v>0</v>
      </c>
      <c r="N23" s="23">
        <v>35</v>
      </c>
      <c r="O23" s="43"/>
      <c r="P23" s="44"/>
      <c r="Q23" s="44"/>
      <c r="R23" s="46"/>
    </row>
    <row r="24" spans="1:18">
      <c r="A24" s="889" t="s">
        <v>924</v>
      </c>
      <c r="B24" s="891" t="s">
        <v>433</v>
      </c>
      <c r="C24" s="672"/>
      <c r="D24" s="23">
        <v>1</v>
      </c>
      <c r="E24" s="24">
        <f t="shared" si="0"/>
        <v>0</v>
      </c>
      <c r="F24" s="23">
        <v>3.6</v>
      </c>
      <c r="G24" s="25">
        <v>1.05</v>
      </c>
      <c r="H24" s="23">
        <v>3</v>
      </c>
      <c r="I24" s="23">
        <f t="shared" si="1"/>
        <v>0</v>
      </c>
      <c r="J24" s="23">
        <f t="shared" si="2"/>
        <v>0</v>
      </c>
      <c r="K24" s="23">
        <f t="shared" si="3"/>
        <v>0</v>
      </c>
      <c r="L24" s="23">
        <v>2</v>
      </c>
      <c r="M24" s="23">
        <f t="shared" si="4"/>
        <v>0</v>
      </c>
      <c r="N24" s="23" t="s">
        <v>926</v>
      </c>
      <c r="O24" s="43"/>
      <c r="P24" s="44"/>
      <c r="Q24" s="44"/>
      <c r="R24" s="46"/>
    </row>
    <row r="25" spans="1:18">
      <c r="A25" s="889" t="s">
        <v>927</v>
      </c>
      <c r="B25" s="891" t="s">
        <v>429</v>
      </c>
      <c r="C25" s="672"/>
      <c r="D25" s="23">
        <v>1.5</v>
      </c>
      <c r="E25" s="24">
        <f t="shared" si="0"/>
        <v>0</v>
      </c>
      <c r="F25" s="23">
        <v>0.35</v>
      </c>
      <c r="G25" s="23">
        <v>0.55000000000000004</v>
      </c>
      <c r="H25" s="23">
        <v>0</v>
      </c>
      <c r="I25" s="23">
        <f t="shared" si="1"/>
        <v>0</v>
      </c>
      <c r="J25" s="23">
        <f t="shared" si="2"/>
        <v>0</v>
      </c>
      <c r="K25" s="23">
        <f t="shared" si="3"/>
        <v>0</v>
      </c>
      <c r="L25" s="23">
        <v>1</v>
      </c>
      <c r="M25" s="23">
        <f t="shared" si="4"/>
        <v>0</v>
      </c>
      <c r="N25" s="23">
        <v>30</v>
      </c>
      <c r="O25" s="43"/>
      <c r="P25" s="44"/>
      <c r="Q25" s="44"/>
      <c r="R25" s="46"/>
    </row>
    <row r="26" spans="1:18">
      <c r="A26" s="889" t="s">
        <v>446</v>
      </c>
      <c r="B26" s="890"/>
      <c r="C26" s="672"/>
      <c r="D26" s="23">
        <v>1</v>
      </c>
      <c r="E26" s="24">
        <f t="shared" si="0"/>
        <v>0</v>
      </c>
      <c r="F26" s="23">
        <v>0.95</v>
      </c>
      <c r="G26" s="25">
        <v>0.8</v>
      </c>
      <c r="H26" s="23">
        <v>0</v>
      </c>
      <c r="I26" s="23">
        <f t="shared" si="1"/>
        <v>0</v>
      </c>
      <c r="J26" s="23">
        <f t="shared" si="2"/>
        <v>0</v>
      </c>
      <c r="K26" s="23">
        <f t="shared" si="3"/>
        <v>0</v>
      </c>
      <c r="L26" s="23">
        <v>1</v>
      </c>
      <c r="M26" s="23">
        <f t="shared" si="4"/>
        <v>0</v>
      </c>
      <c r="N26" s="23">
        <v>20</v>
      </c>
      <c r="O26" s="43"/>
      <c r="P26" s="44"/>
      <c r="Q26" s="44"/>
      <c r="R26" s="46"/>
    </row>
    <row r="27" spans="1:18">
      <c r="A27" s="889" t="s">
        <v>452</v>
      </c>
      <c r="B27" s="890"/>
      <c r="C27" s="672"/>
      <c r="D27" s="23">
        <v>1</v>
      </c>
      <c r="E27" s="24">
        <f t="shared" si="0"/>
        <v>0</v>
      </c>
      <c r="F27" s="23">
        <v>1.1000000000000001</v>
      </c>
      <c r="G27" s="23">
        <v>0.8</v>
      </c>
      <c r="H27" s="23">
        <v>0</v>
      </c>
      <c r="I27" s="23">
        <f t="shared" si="1"/>
        <v>0</v>
      </c>
      <c r="J27" s="23">
        <f t="shared" si="2"/>
        <v>0</v>
      </c>
      <c r="K27" s="23">
        <f t="shared" si="3"/>
        <v>0</v>
      </c>
      <c r="L27" s="23">
        <v>1</v>
      </c>
      <c r="M27" s="23">
        <f t="shared" si="4"/>
        <v>0</v>
      </c>
      <c r="N27" s="23">
        <v>25</v>
      </c>
      <c r="O27" s="43"/>
      <c r="P27" s="44"/>
      <c r="Q27" s="44"/>
      <c r="R27" s="46"/>
    </row>
    <row r="28" spans="1:18">
      <c r="A28" s="889" t="s">
        <v>454</v>
      </c>
      <c r="B28" s="890"/>
      <c r="C28" s="672"/>
      <c r="D28" s="23">
        <v>1</v>
      </c>
      <c r="E28" s="24">
        <f t="shared" si="0"/>
        <v>0</v>
      </c>
      <c r="F28" s="23">
        <v>3.5</v>
      </c>
      <c r="G28" s="23">
        <v>1.1000000000000001</v>
      </c>
      <c r="H28" s="23">
        <v>0.4</v>
      </c>
      <c r="I28" s="23">
        <f t="shared" si="1"/>
        <v>0</v>
      </c>
      <c r="J28" s="23">
        <f t="shared" si="2"/>
        <v>0</v>
      </c>
      <c r="K28" s="23">
        <f t="shared" si="3"/>
        <v>0</v>
      </c>
      <c r="L28" s="23">
        <v>1.25</v>
      </c>
      <c r="M28" s="23">
        <f t="shared" si="4"/>
        <v>0</v>
      </c>
      <c r="N28" s="23" t="s">
        <v>928</v>
      </c>
      <c r="O28" s="43"/>
      <c r="P28" s="44"/>
      <c r="Q28" s="44"/>
      <c r="R28" s="46"/>
    </row>
    <row r="29" spans="1:18">
      <c r="A29" s="889" t="s">
        <v>455</v>
      </c>
      <c r="B29" s="890"/>
      <c r="C29" s="672"/>
      <c r="D29" s="23">
        <v>1</v>
      </c>
      <c r="E29" s="24">
        <f t="shared" si="0"/>
        <v>0</v>
      </c>
      <c r="F29" s="23">
        <v>0.3</v>
      </c>
      <c r="G29" s="25">
        <v>0.8</v>
      </c>
      <c r="H29" s="23">
        <v>0</v>
      </c>
      <c r="I29" s="23">
        <f t="shared" si="1"/>
        <v>0</v>
      </c>
      <c r="J29" s="23">
        <f t="shared" si="2"/>
        <v>0</v>
      </c>
      <c r="K29" s="23">
        <f t="shared" si="3"/>
        <v>0</v>
      </c>
      <c r="L29" s="23">
        <v>1</v>
      </c>
      <c r="M29" s="23">
        <f t="shared" si="4"/>
        <v>0</v>
      </c>
      <c r="N29" s="23">
        <v>20</v>
      </c>
      <c r="O29" s="43"/>
      <c r="P29" s="44"/>
      <c r="Q29" s="44"/>
      <c r="R29" s="46"/>
    </row>
    <row r="30" spans="1:18">
      <c r="A30" s="889" t="s">
        <v>607</v>
      </c>
      <c r="B30" s="891" t="s">
        <v>929</v>
      </c>
      <c r="C30" s="672"/>
      <c r="D30" s="23">
        <v>1.1499999999999999</v>
      </c>
      <c r="E30" s="24">
        <f t="shared" si="0"/>
        <v>0</v>
      </c>
      <c r="F30" s="23">
        <v>0.5</v>
      </c>
      <c r="G30" s="23">
        <v>0.25</v>
      </c>
      <c r="H30" s="23">
        <v>0</v>
      </c>
      <c r="I30" s="23">
        <f t="shared" si="1"/>
        <v>0</v>
      </c>
      <c r="J30" s="23">
        <f t="shared" si="2"/>
        <v>0</v>
      </c>
      <c r="K30" s="23">
        <f t="shared" si="3"/>
        <v>0</v>
      </c>
      <c r="L30" s="23">
        <v>0.65</v>
      </c>
      <c r="M30" s="23">
        <f t="shared" si="4"/>
        <v>0</v>
      </c>
      <c r="N30" s="23" t="s">
        <v>930</v>
      </c>
      <c r="O30" s="43"/>
      <c r="P30" s="44"/>
      <c r="Q30" s="44"/>
      <c r="R30" s="46"/>
    </row>
    <row r="31" spans="1:18">
      <c r="A31" s="889" t="s">
        <v>575</v>
      </c>
      <c r="B31" s="891" t="s">
        <v>488</v>
      </c>
      <c r="C31" s="672"/>
      <c r="D31" s="23">
        <v>1.1499999999999999</v>
      </c>
      <c r="E31" s="24">
        <f t="shared" si="0"/>
        <v>0</v>
      </c>
      <c r="F31" s="23">
        <v>0.5</v>
      </c>
      <c r="G31" s="25">
        <v>0.25</v>
      </c>
      <c r="H31" s="23">
        <v>0</v>
      </c>
      <c r="I31" s="23">
        <f t="shared" si="1"/>
        <v>0</v>
      </c>
      <c r="J31" s="23">
        <f t="shared" si="2"/>
        <v>0</v>
      </c>
      <c r="K31" s="23">
        <f t="shared" si="3"/>
        <v>0</v>
      </c>
      <c r="L31" s="23">
        <v>0.65</v>
      </c>
      <c r="M31" s="23">
        <f t="shared" si="4"/>
        <v>0</v>
      </c>
      <c r="N31" s="23" t="s">
        <v>930</v>
      </c>
      <c r="O31" s="43"/>
      <c r="P31" s="44"/>
      <c r="Q31" s="44"/>
      <c r="R31" s="46"/>
    </row>
    <row r="32" spans="1:18">
      <c r="A32" s="889" t="s">
        <v>461</v>
      </c>
      <c r="B32" s="890"/>
      <c r="C32" s="672"/>
      <c r="D32" s="23">
        <v>1</v>
      </c>
      <c r="E32" s="24">
        <f t="shared" si="0"/>
        <v>0</v>
      </c>
      <c r="F32" s="23">
        <v>3</v>
      </c>
      <c r="G32" s="25">
        <v>0.8</v>
      </c>
      <c r="H32" s="23">
        <v>0</v>
      </c>
      <c r="I32" s="23">
        <f t="shared" si="1"/>
        <v>0</v>
      </c>
      <c r="J32" s="23">
        <f t="shared" si="2"/>
        <v>0</v>
      </c>
      <c r="K32" s="23">
        <f t="shared" si="3"/>
        <v>0</v>
      </c>
      <c r="L32" s="23">
        <v>1.25</v>
      </c>
      <c r="M32" s="23">
        <f t="shared" si="4"/>
        <v>0</v>
      </c>
      <c r="N32" s="23">
        <v>35</v>
      </c>
      <c r="O32" s="43"/>
      <c r="P32" s="44"/>
      <c r="Q32" s="44"/>
      <c r="R32" s="46"/>
    </row>
    <row r="33" spans="1:18">
      <c r="A33" s="889" t="s">
        <v>462</v>
      </c>
      <c r="B33" s="890" t="s">
        <v>923</v>
      </c>
      <c r="C33" s="672"/>
      <c r="D33" s="23">
        <v>1.1000000000000001</v>
      </c>
      <c r="E33" s="24">
        <f t="shared" si="0"/>
        <v>0</v>
      </c>
      <c r="F33" s="23">
        <v>2.2000000000000002</v>
      </c>
      <c r="G33" s="23">
        <v>1.1000000000000001</v>
      </c>
      <c r="H33" s="23">
        <v>0.15</v>
      </c>
      <c r="I33" s="23">
        <f t="shared" si="1"/>
        <v>0</v>
      </c>
      <c r="J33" s="23">
        <f t="shared" si="2"/>
        <v>0</v>
      </c>
      <c r="K33" s="23">
        <f t="shared" si="3"/>
        <v>0</v>
      </c>
      <c r="L33" s="23">
        <v>1.25</v>
      </c>
      <c r="M33" s="23">
        <f t="shared" si="4"/>
        <v>0</v>
      </c>
      <c r="N33" s="23" t="s">
        <v>931</v>
      </c>
      <c r="O33" s="43"/>
      <c r="P33" s="44"/>
      <c r="Q33" s="44"/>
      <c r="R33" s="46"/>
    </row>
    <row r="34" spans="1:18">
      <c r="A34" s="889" t="s">
        <v>575</v>
      </c>
      <c r="B34" s="890" t="s">
        <v>925</v>
      </c>
      <c r="C34" s="672"/>
      <c r="D34" s="23">
        <v>1.1000000000000001</v>
      </c>
      <c r="E34" s="24">
        <f t="shared" si="0"/>
        <v>0</v>
      </c>
      <c r="F34" s="23">
        <v>2.2999999999999998</v>
      </c>
      <c r="G34" s="23">
        <v>1.2</v>
      </c>
      <c r="H34" s="23">
        <v>0.3</v>
      </c>
      <c r="I34" s="23">
        <f t="shared" si="1"/>
        <v>0</v>
      </c>
      <c r="J34" s="23">
        <f t="shared" si="2"/>
        <v>0</v>
      </c>
      <c r="K34" s="23">
        <f t="shared" si="3"/>
        <v>0</v>
      </c>
      <c r="L34" s="23">
        <v>1.5</v>
      </c>
      <c r="M34" s="23">
        <f t="shared" si="4"/>
        <v>0</v>
      </c>
      <c r="N34" s="23" t="s">
        <v>931</v>
      </c>
      <c r="O34" s="43"/>
      <c r="P34" s="44"/>
      <c r="Q34" s="44"/>
      <c r="R34" s="46"/>
    </row>
    <row r="35" spans="1:18">
      <c r="A35" s="889" t="s">
        <v>464</v>
      </c>
      <c r="B35" s="890"/>
      <c r="C35" s="672"/>
      <c r="D35" s="23">
        <v>1</v>
      </c>
      <c r="E35" s="24">
        <f t="shared" si="0"/>
        <v>0</v>
      </c>
      <c r="F35" s="23">
        <v>1.05</v>
      </c>
      <c r="G35" s="25">
        <v>0.8</v>
      </c>
      <c r="H35" s="23">
        <v>0</v>
      </c>
      <c r="I35" s="23">
        <f t="shared" si="1"/>
        <v>0</v>
      </c>
      <c r="J35" s="23">
        <f t="shared" si="2"/>
        <v>0</v>
      </c>
      <c r="K35" s="23">
        <f t="shared" si="3"/>
        <v>0</v>
      </c>
      <c r="L35" s="23">
        <v>1</v>
      </c>
      <c r="M35" s="23">
        <f t="shared" si="4"/>
        <v>0</v>
      </c>
      <c r="N35" s="23">
        <v>25</v>
      </c>
      <c r="O35" s="43"/>
      <c r="P35" s="44"/>
      <c r="Q35" s="44"/>
      <c r="R35" s="46"/>
    </row>
    <row r="36" spans="1:18">
      <c r="A36" s="889" t="s">
        <v>468</v>
      </c>
      <c r="B36" s="890"/>
      <c r="C36" s="672"/>
      <c r="D36" s="23">
        <v>1</v>
      </c>
      <c r="E36" s="24">
        <f t="shared" si="0"/>
        <v>0</v>
      </c>
      <c r="F36" s="23">
        <v>0.4</v>
      </c>
      <c r="G36" s="25">
        <v>0.8</v>
      </c>
      <c r="H36" s="23">
        <v>0</v>
      </c>
      <c r="I36" s="23">
        <f t="shared" si="1"/>
        <v>0</v>
      </c>
      <c r="J36" s="23">
        <f t="shared" si="2"/>
        <v>0</v>
      </c>
      <c r="K36" s="23">
        <f t="shared" si="3"/>
        <v>0</v>
      </c>
      <c r="L36" s="23">
        <v>1</v>
      </c>
      <c r="M36" s="23">
        <f t="shared" si="4"/>
        <v>0</v>
      </c>
      <c r="N36" s="23">
        <v>45</v>
      </c>
      <c r="O36" s="43"/>
      <c r="P36" s="44"/>
      <c r="Q36" s="44"/>
      <c r="R36" s="46"/>
    </row>
    <row r="37" spans="1:18">
      <c r="A37" s="889" t="s">
        <v>470</v>
      </c>
      <c r="B37" s="890" t="s">
        <v>923</v>
      </c>
      <c r="C37" s="672"/>
      <c r="D37" s="23">
        <v>1</v>
      </c>
      <c r="E37" s="24">
        <f t="shared" si="0"/>
        <v>0</v>
      </c>
      <c r="F37" s="23">
        <v>1.7</v>
      </c>
      <c r="G37" s="23">
        <v>0.85</v>
      </c>
      <c r="H37" s="23">
        <v>0.15</v>
      </c>
      <c r="I37" s="23">
        <f t="shared" si="1"/>
        <v>0</v>
      </c>
      <c r="J37" s="23">
        <f>0.01*C38*D38*F38</f>
        <v>0</v>
      </c>
      <c r="K37" s="23">
        <f t="shared" si="3"/>
        <v>0</v>
      </c>
      <c r="L37" s="23">
        <v>1.1000000000000001</v>
      </c>
      <c r="M37" s="23">
        <f t="shared" si="4"/>
        <v>0</v>
      </c>
      <c r="N37" s="23" t="s">
        <v>931</v>
      </c>
      <c r="O37" s="43"/>
      <c r="P37" s="44"/>
      <c r="Q37" s="44"/>
      <c r="R37" s="46"/>
    </row>
    <row r="38" spans="1:18">
      <c r="A38" s="889" t="s">
        <v>575</v>
      </c>
      <c r="B38" s="890" t="s">
        <v>925</v>
      </c>
      <c r="C38" s="672"/>
      <c r="D38" s="23">
        <v>1</v>
      </c>
      <c r="E38" s="24">
        <f t="shared" si="0"/>
        <v>0</v>
      </c>
      <c r="F38" s="23">
        <v>1.8</v>
      </c>
      <c r="G38" s="23">
        <v>0.9</v>
      </c>
      <c r="H38" s="23">
        <v>0.5</v>
      </c>
      <c r="I38" s="23">
        <f t="shared" si="1"/>
        <v>0</v>
      </c>
      <c r="J38" s="23">
        <f>0.01*C39*D39*F39</f>
        <v>0</v>
      </c>
      <c r="K38" s="23">
        <f t="shared" si="3"/>
        <v>0</v>
      </c>
      <c r="L38" s="23">
        <v>1.1000000000000001</v>
      </c>
      <c r="M38" s="23">
        <f t="shared" si="4"/>
        <v>0</v>
      </c>
      <c r="N38" s="23" t="s">
        <v>931</v>
      </c>
      <c r="O38" s="43"/>
      <c r="P38" s="44"/>
      <c r="Q38" s="44"/>
      <c r="R38" s="46"/>
    </row>
    <row r="39" spans="1:18">
      <c r="A39" s="889" t="s">
        <v>481</v>
      </c>
      <c r="B39" s="891" t="s">
        <v>485</v>
      </c>
      <c r="C39" s="672"/>
      <c r="D39" s="23">
        <v>1</v>
      </c>
      <c r="E39" s="24">
        <f t="shared" si="0"/>
        <v>0</v>
      </c>
      <c r="F39" s="23">
        <v>0.85</v>
      </c>
      <c r="G39" s="23">
        <v>0.25</v>
      </c>
      <c r="H39" s="23">
        <v>0</v>
      </c>
      <c r="I39" s="23">
        <f t="shared" si="1"/>
        <v>0</v>
      </c>
      <c r="J39" s="23">
        <f t="shared" ref="J39:J81" si="5">0.01*C39*D39*F39</f>
        <v>0</v>
      </c>
      <c r="K39" s="23">
        <f t="shared" si="3"/>
        <v>0</v>
      </c>
      <c r="L39" s="23">
        <v>1</v>
      </c>
      <c r="M39" s="23">
        <f t="shared" si="4"/>
        <v>0</v>
      </c>
      <c r="N39" s="23" t="s">
        <v>932</v>
      </c>
      <c r="O39" s="43"/>
      <c r="P39" s="44"/>
      <c r="Q39" s="44"/>
      <c r="R39" s="46"/>
    </row>
    <row r="40" spans="1:18">
      <c r="A40" s="889" t="s">
        <v>575</v>
      </c>
      <c r="B40" s="891" t="s">
        <v>488</v>
      </c>
      <c r="C40" s="672"/>
      <c r="D40" s="23">
        <v>1</v>
      </c>
      <c r="E40" s="24">
        <f t="shared" si="0"/>
        <v>0</v>
      </c>
      <c r="F40" s="23">
        <v>0.85</v>
      </c>
      <c r="G40" s="23">
        <v>0.25</v>
      </c>
      <c r="H40" s="23">
        <v>0</v>
      </c>
      <c r="I40" s="23">
        <f t="shared" si="1"/>
        <v>0</v>
      </c>
      <c r="J40" s="23">
        <f t="shared" si="5"/>
        <v>0</v>
      </c>
      <c r="K40" s="23">
        <f t="shared" si="3"/>
        <v>0</v>
      </c>
      <c r="L40" s="23">
        <v>0.75</v>
      </c>
      <c r="M40" s="23">
        <f t="shared" si="4"/>
        <v>0</v>
      </c>
      <c r="N40" s="23" t="s">
        <v>932</v>
      </c>
      <c r="O40" s="43"/>
      <c r="P40" s="44"/>
      <c r="Q40" s="44"/>
      <c r="R40" s="46"/>
    </row>
    <row r="41" spans="1:18">
      <c r="A41" s="889" t="s">
        <v>507</v>
      </c>
      <c r="B41" s="890"/>
      <c r="C41" s="672"/>
      <c r="D41" s="23">
        <v>1.5</v>
      </c>
      <c r="E41" s="24">
        <f t="shared" si="0"/>
        <v>0</v>
      </c>
      <c r="F41" s="23">
        <v>2</v>
      </c>
      <c r="G41" s="23">
        <v>1.45</v>
      </c>
      <c r="H41" s="23">
        <v>0.15</v>
      </c>
      <c r="I41" s="23">
        <f t="shared" si="1"/>
        <v>0</v>
      </c>
      <c r="J41" s="23">
        <f t="shared" si="5"/>
        <v>0</v>
      </c>
      <c r="K41" s="23">
        <f t="shared" si="3"/>
        <v>0</v>
      </c>
      <c r="L41" s="23">
        <v>1.25</v>
      </c>
      <c r="M41" s="23">
        <f t="shared" si="4"/>
        <v>0</v>
      </c>
      <c r="N41" s="23"/>
      <c r="O41" s="43"/>
      <c r="P41" s="44"/>
      <c r="Q41" s="44"/>
      <c r="R41" s="46"/>
    </row>
    <row r="42" spans="1:18">
      <c r="A42" s="889" t="s">
        <v>516</v>
      </c>
      <c r="B42" s="890" t="s">
        <v>923</v>
      </c>
      <c r="C42" s="672"/>
      <c r="D42" s="23">
        <v>1.1000000000000001</v>
      </c>
      <c r="E42" s="24">
        <f t="shared" si="0"/>
        <v>0</v>
      </c>
      <c r="F42" s="23">
        <v>1.2</v>
      </c>
      <c r="G42" s="23">
        <v>0.9</v>
      </c>
      <c r="H42" s="23">
        <v>0</v>
      </c>
      <c r="I42" s="23">
        <f t="shared" si="1"/>
        <v>0</v>
      </c>
      <c r="J42" s="23">
        <f t="shared" si="5"/>
        <v>0</v>
      </c>
      <c r="K42" s="23">
        <f t="shared" si="3"/>
        <v>0</v>
      </c>
      <c r="L42" s="23">
        <v>1</v>
      </c>
      <c r="M42" s="23">
        <f t="shared" si="4"/>
        <v>0</v>
      </c>
      <c r="N42" s="23" t="s">
        <v>931</v>
      </c>
      <c r="O42" s="43"/>
      <c r="P42" s="44"/>
      <c r="Q42" s="44"/>
      <c r="R42" s="46"/>
    </row>
    <row r="43" spans="1:18">
      <c r="A43" s="889" t="s">
        <v>575</v>
      </c>
      <c r="B43" s="890" t="s">
        <v>925</v>
      </c>
      <c r="C43" s="672"/>
      <c r="D43" s="23">
        <v>1.1000000000000001</v>
      </c>
      <c r="E43" s="24">
        <f t="shared" si="0"/>
        <v>0</v>
      </c>
      <c r="F43" s="23">
        <v>1.3</v>
      </c>
      <c r="G43" s="23">
        <v>0.95</v>
      </c>
      <c r="H43" s="23">
        <v>0.1</v>
      </c>
      <c r="I43" s="23">
        <f t="shared" si="1"/>
        <v>0</v>
      </c>
      <c r="J43" s="23">
        <f t="shared" si="5"/>
        <v>0</v>
      </c>
      <c r="K43" s="23">
        <f t="shared" si="3"/>
        <v>0</v>
      </c>
      <c r="L43" s="23">
        <v>1</v>
      </c>
      <c r="M43" s="23">
        <f t="shared" si="4"/>
        <v>0</v>
      </c>
      <c r="N43" s="23" t="s">
        <v>931</v>
      </c>
      <c r="O43" s="43"/>
      <c r="P43" s="44"/>
      <c r="Q43" s="44"/>
      <c r="R43" s="46"/>
    </row>
    <row r="44" spans="1:18">
      <c r="A44" s="889" t="s">
        <v>517</v>
      </c>
      <c r="B44" s="890"/>
      <c r="C44" s="672"/>
      <c r="D44" s="23">
        <v>1.2</v>
      </c>
      <c r="E44" s="24">
        <f t="shared" si="0"/>
        <v>0</v>
      </c>
      <c r="F44" s="23">
        <v>0.4</v>
      </c>
      <c r="G44" s="23">
        <v>1.1000000000000001</v>
      </c>
      <c r="H44" s="23">
        <v>0</v>
      </c>
      <c r="I44" s="23">
        <f t="shared" si="1"/>
        <v>0</v>
      </c>
      <c r="J44" s="23">
        <f t="shared" si="5"/>
        <v>0</v>
      </c>
      <c r="K44" s="23">
        <f t="shared" si="3"/>
        <v>0</v>
      </c>
      <c r="L44" s="23">
        <v>1</v>
      </c>
      <c r="M44" s="23">
        <f t="shared" si="4"/>
        <v>0</v>
      </c>
      <c r="N44" s="23" t="s">
        <v>931</v>
      </c>
      <c r="O44" s="43"/>
      <c r="P44" s="44"/>
      <c r="Q44" s="44"/>
      <c r="R44" s="46"/>
    </row>
    <row r="45" spans="1:18">
      <c r="A45" s="889" t="s">
        <v>520</v>
      </c>
      <c r="B45" s="890"/>
      <c r="C45" s="672"/>
      <c r="D45" s="23">
        <v>1.1499999999999999</v>
      </c>
      <c r="E45" s="24">
        <f t="shared" si="0"/>
        <v>0</v>
      </c>
      <c r="F45" s="23">
        <v>3</v>
      </c>
      <c r="G45" s="23"/>
      <c r="H45" s="23">
        <v>0</v>
      </c>
      <c r="I45" s="23">
        <f t="shared" si="1"/>
        <v>0</v>
      </c>
      <c r="J45" s="23">
        <f t="shared" si="5"/>
        <v>0</v>
      </c>
      <c r="K45" s="23">
        <f t="shared" si="3"/>
        <v>0</v>
      </c>
      <c r="L45" s="23">
        <v>1</v>
      </c>
      <c r="M45" s="23">
        <f t="shared" si="4"/>
        <v>0</v>
      </c>
      <c r="N45" s="23"/>
      <c r="O45" s="43"/>
      <c r="P45" s="44"/>
      <c r="Q45" s="44"/>
      <c r="R45" s="46"/>
    </row>
    <row r="46" spans="1:18">
      <c r="A46" s="889" t="s">
        <v>933</v>
      </c>
      <c r="B46" s="890"/>
      <c r="C46" s="672"/>
      <c r="D46" s="23">
        <v>1</v>
      </c>
      <c r="E46" s="24">
        <f t="shared" si="0"/>
        <v>0</v>
      </c>
      <c r="F46" s="23">
        <v>4.3</v>
      </c>
      <c r="G46" s="25">
        <v>0.8</v>
      </c>
      <c r="H46" s="23">
        <v>0.15</v>
      </c>
      <c r="I46" s="23">
        <f t="shared" si="1"/>
        <v>0</v>
      </c>
      <c r="J46" s="23">
        <f t="shared" si="5"/>
        <v>0</v>
      </c>
      <c r="K46" s="23">
        <f t="shared" si="3"/>
        <v>0</v>
      </c>
      <c r="L46" s="23">
        <v>1</v>
      </c>
      <c r="M46" s="23">
        <f t="shared" si="4"/>
        <v>0</v>
      </c>
      <c r="N46" s="23"/>
      <c r="O46" s="43"/>
      <c r="P46" s="44"/>
      <c r="Q46" s="44"/>
      <c r="R46" s="46"/>
    </row>
    <row r="47" spans="1:18">
      <c r="A47" s="889" t="s">
        <v>934</v>
      </c>
      <c r="B47" s="890"/>
      <c r="C47" s="672"/>
      <c r="D47" s="23">
        <v>1.3</v>
      </c>
      <c r="E47" s="24">
        <f t="shared" si="0"/>
        <v>0</v>
      </c>
      <c r="F47" s="23">
        <v>0.3</v>
      </c>
      <c r="G47" s="25">
        <v>0.6</v>
      </c>
      <c r="H47" s="23">
        <v>0</v>
      </c>
      <c r="I47" s="23">
        <f t="shared" si="1"/>
        <v>0</v>
      </c>
      <c r="J47" s="23">
        <f t="shared" si="5"/>
        <v>0</v>
      </c>
      <c r="K47" s="23">
        <f t="shared" si="3"/>
        <v>0</v>
      </c>
      <c r="L47" s="23">
        <v>1</v>
      </c>
      <c r="M47" s="23">
        <f t="shared" si="4"/>
        <v>0</v>
      </c>
      <c r="N47" s="23">
        <v>15</v>
      </c>
      <c r="O47" s="43"/>
      <c r="P47" s="44"/>
      <c r="Q47" s="44"/>
      <c r="R47" s="46"/>
    </row>
    <row r="48" spans="1:18">
      <c r="A48" s="889" t="s">
        <v>528</v>
      </c>
      <c r="B48" s="890"/>
      <c r="C48" s="672"/>
      <c r="D48" s="23">
        <v>1</v>
      </c>
      <c r="E48" s="24">
        <f t="shared" si="0"/>
        <v>0</v>
      </c>
      <c r="F48" s="23">
        <v>2</v>
      </c>
      <c r="G48" s="23">
        <v>0.6</v>
      </c>
      <c r="H48" s="23">
        <v>0</v>
      </c>
      <c r="I48" s="45">
        <f t="shared" si="1"/>
        <v>0</v>
      </c>
      <c r="J48" s="45">
        <f t="shared" si="5"/>
        <v>0</v>
      </c>
      <c r="K48" s="23">
        <f t="shared" si="3"/>
        <v>0</v>
      </c>
      <c r="L48" s="23">
        <v>1</v>
      </c>
      <c r="M48" s="23">
        <f t="shared" si="4"/>
        <v>0</v>
      </c>
      <c r="N48" s="23">
        <v>20</v>
      </c>
      <c r="O48" s="43"/>
      <c r="P48" s="44"/>
      <c r="Q48" s="44"/>
      <c r="R48" s="46"/>
    </row>
    <row r="49" spans="1:18">
      <c r="A49" s="889" t="s">
        <v>529</v>
      </c>
      <c r="B49" s="890"/>
      <c r="C49" s="672"/>
      <c r="D49" s="23">
        <v>1.3</v>
      </c>
      <c r="E49" s="24">
        <f t="shared" si="0"/>
        <v>0</v>
      </c>
      <c r="F49" s="23">
        <v>0.5</v>
      </c>
      <c r="G49" s="23"/>
      <c r="H49" s="23">
        <v>0</v>
      </c>
      <c r="I49" s="23">
        <f t="shared" si="1"/>
        <v>0</v>
      </c>
      <c r="J49" s="23">
        <f t="shared" si="5"/>
        <v>0</v>
      </c>
      <c r="K49" s="23">
        <f t="shared" si="3"/>
        <v>0</v>
      </c>
      <c r="L49" s="23">
        <v>1</v>
      </c>
      <c r="M49" s="23">
        <f t="shared" si="4"/>
        <v>0</v>
      </c>
      <c r="N49" s="23"/>
      <c r="O49" s="43"/>
      <c r="P49" s="44"/>
      <c r="Q49" s="44"/>
      <c r="R49" s="46"/>
    </row>
    <row r="50" spans="1:18">
      <c r="A50" s="889" t="s">
        <v>530</v>
      </c>
      <c r="B50" s="890"/>
      <c r="C50" s="672"/>
      <c r="D50" s="23">
        <v>1</v>
      </c>
      <c r="E50" s="24">
        <f t="shared" si="0"/>
        <v>0</v>
      </c>
      <c r="F50" s="25">
        <v>1</v>
      </c>
      <c r="G50" s="23"/>
      <c r="H50" s="23">
        <v>0</v>
      </c>
      <c r="I50" s="23">
        <f t="shared" si="1"/>
        <v>0</v>
      </c>
      <c r="J50" s="23">
        <f t="shared" si="5"/>
        <v>0</v>
      </c>
      <c r="K50" s="23">
        <f t="shared" si="3"/>
        <v>0</v>
      </c>
      <c r="L50" s="23">
        <v>1</v>
      </c>
      <c r="M50" s="23">
        <f t="shared" si="4"/>
        <v>0</v>
      </c>
      <c r="N50" s="23" t="s">
        <v>931</v>
      </c>
      <c r="O50" s="43"/>
      <c r="P50" s="44"/>
      <c r="Q50" s="44"/>
      <c r="R50" s="46"/>
    </row>
    <row r="51" spans="1:18">
      <c r="A51" s="889" t="s">
        <v>532</v>
      </c>
      <c r="B51" s="890" t="s">
        <v>935</v>
      </c>
      <c r="C51" s="672"/>
      <c r="D51" s="23">
        <v>1.4</v>
      </c>
      <c r="E51" s="24">
        <f t="shared" si="0"/>
        <v>0</v>
      </c>
      <c r="F51" s="23">
        <v>0.2</v>
      </c>
      <c r="G51" s="25">
        <v>0.5</v>
      </c>
      <c r="H51" s="23">
        <v>0</v>
      </c>
      <c r="I51" s="23">
        <f t="shared" si="1"/>
        <v>0</v>
      </c>
      <c r="J51" s="23">
        <f t="shared" si="5"/>
        <v>0</v>
      </c>
      <c r="K51" s="23">
        <f t="shared" si="3"/>
        <v>0</v>
      </c>
      <c r="L51" s="23">
        <v>1</v>
      </c>
      <c r="M51" s="23">
        <f t="shared" si="4"/>
        <v>0</v>
      </c>
      <c r="N51" s="23">
        <v>30</v>
      </c>
      <c r="O51" s="43"/>
      <c r="P51" s="44"/>
      <c r="Q51" s="44"/>
      <c r="R51" s="46"/>
    </row>
    <row r="52" spans="1:18">
      <c r="A52" s="889" t="s">
        <v>534</v>
      </c>
      <c r="B52" s="890"/>
      <c r="C52" s="672"/>
      <c r="D52" s="23">
        <v>1.5</v>
      </c>
      <c r="E52" s="24">
        <f t="shared" ref="E52:E81" si="6">IF(D52=0,0,C52/D52)</f>
        <v>0</v>
      </c>
      <c r="F52" s="23">
        <v>0.45</v>
      </c>
      <c r="G52" s="23">
        <v>0.6</v>
      </c>
      <c r="H52" s="23">
        <v>0.15</v>
      </c>
      <c r="I52" s="23">
        <f t="shared" ref="I52:I81" si="7">0.01*C52*D52*G52</f>
        <v>0</v>
      </c>
      <c r="J52" s="23">
        <f t="shared" si="5"/>
        <v>0</v>
      </c>
      <c r="K52" s="23">
        <f t="shared" ref="K52:K81" si="8">H52*E52</f>
        <v>0</v>
      </c>
      <c r="L52" s="23">
        <v>1</v>
      </c>
      <c r="M52" s="23">
        <f t="shared" ref="M52:M81" si="9">E52*L52</f>
        <v>0</v>
      </c>
      <c r="N52" s="23">
        <v>30</v>
      </c>
      <c r="O52" s="43"/>
      <c r="P52" s="44"/>
      <c r="Q52" s="44"/>
      <c r="R52" s="46"/>
    </row>
    <row r="53" spans="1:18">
      <c r="A53" s="889" t="s">
        <v>537</v>
      </c>
      <c r="B53" s="890" t="s">
        <v>923</v>
      </c>
      <c r="C53" s="672"/>
      <c r="D53" s="23">
        <v>1.1000000000000001</v>
      </c>
      <c r="E53" s="24">
        <f t="shared" si="6"/>
        <v>0</v>
      </c>
      <c r="F53" s="23">
        <v>0.7</v>
      </c>
      <c r="G53" s="23">
        <v>0.35</v>
      </c>
      <c r="H53" s="23">
        <v>0.09</v>
      </c>
      <c r="I53" s="23">
        <f t="shared" si="7"/>
        <v>0</v>
      </c>
      <c r="J53" s="23">
        <f t="shared" si="5"/>
        <v>0</v>
      </c>
      <c r="K53" s="23">
        <f t="shared" si="8"/>
        <v>0</v>
      </c>
      <c r="L53" s="23">
        <v>1</v>
      </c>
      <c r="M53" s="23">
        <f t="shared" si="9"/>
        <v>0</v>
      </c>
      <c r="N53" s="23" t="s">
        <v>936</v>
      </c>
      <c r="O53" s="43"/>
      <c r="P53" s="44"/>
      <c r="Q53" s="44"/>
      <c r="R53" s="46"/>
    </row>
    <row r="54" spans="1:18">
      <c r="A54" s="889" t="s">
        <v>458</v>
      </c>
      <c r="B54" s="890" t="s">
        <v>925</v>
      </c>
      <c r="C54" s="672"/>
      <c r="D54" s="23">
        <v>1.1000000000000001</v>
      </c>
      <c r="E54" s="24">
        <f t="shared" si="6"/>
        <v>0</v>
      </c>
      <c r="F54" s="23">
        <v>0.7</v>
      </c>
      <c r="G54" s="23">
        <v>0.35</v>
      </c>
      <c r="H54" s="23">
        <v>0.15</v>
      </c>
      <c r="I54" s="23">
        <f t="shared" si="7"/>
        <v>0</v>
      </c>
      <c r="J54" s="23">
        <f t="shared" si="5"/>
        <v>0</v>
      </c>
      <c r="K54" s="23">
        <f t="shared" si="8"/>
        <v>0</v>
      </c>
      <c r="L54" s="23">
        <v>1</v>
      </c>
      <c r="M54" s="23">
        <f t="shared" si="9"/>
        <v>0</v>
      </c>
      <c r="N54" s="23" t="s">
        <v>936</v>
      </c>
      <c r="O54" s="43"/>
      <c r="P54" s="44"/>
      <c r="Q54" s="44"/>
      <c r="R54" s="46"/>
    </row>
    <row r="55" spans="1:18">
      <c r="A55" s="889" t="s">
        <v>540</v>
      </c>
      <c r="B55" s="890"/>
      <c r="C55" s="672"/>
      <c r="D55" s="23">
        <v>1</v>
      </c>
      <c r="E55" s="24">
        <f t="shared" si="6"/>
        <v>0</v>
      </c>
      <c r="F55" s="23">
        <v>0.95</v>
      </c>
      <c r="G55" s="23">
        <v>0.75</v>
      </c>
      <c r="H55" s="23">
        <v>0.15</v>
      </c>
      <c r="I55" s="23">
        <f t="shared" si="7"/>
        <v>0</v>
      </c>
      <c r="J55" s="23">
        <f t="shared" si="5"/>
        <v>0</v>
      </c>
      <c r="K55" s="23">
        <f t="shared" si="8"/>
        <v>0</v>
      </c>
      <c r="L55" s="23">
        <v>1</v>
      </c>
      <c r="M55" s="23">
        <f t="shared" si="9"/>
        <v>0</v>
      </c>
      <c r="N55" s="23"/>
      <c r="O55" s="43"/>
      <c r="P55" s="44"/>
      <c r="Q55" s="44"/>
      <c r="R55" s="46"/>
    </row>
    <row r="56" spans="1:18">
      <c r="A56" s="889" t="s">
        <v>937</v>
      </c>
      <c r="B56" s="890"/>
      <c r="C56" s="672"/>
      <c r="D56" s="23">
        <v>1.4</v>
      </c>
      <c r="E56" s="24">
        <f t="shared" si="6"/>
        <v>0</v>
      </c>
      <c r="F56" s="23">
        <v>0.1</v>
      </c>
      <c r="G56" s="23"/>
      <c r="H56" s="23">
        <v>0</v>
      </c>
      <c r="I56" s="23">
        <f t="shared" si="7"/>
        <v>0</v>
      </c>
      <c r="J56" s="23">
        <f t="shared" si="5"/>
        <v>0</v>
      </c>
      <c r="K56" s="23">
        <f t="shared" si="8"/>
        <v>0</v>
      </c>
      <c r="L56" s="23">
        <v>1</v>
      </c>
      <c r="M56" s="23">
        <f t="shared" si="9"/>
        <v>0</v>
      </c>
      <c r="N56" s="23"/>
      <c r="O56" s="43"/>
      <c r="P56" s="44"/>
      <c r="Q56" s="44"/>
      <c r="R56" s="46"/>
    </row>
    <row r="57" spans="1:18">
      <c r="A57" s="889" t="s">
        <v>549</v>
      </c>
      <c r="B57" s="890"/>
      <c r="C57" s="672"/>
      <c r="D57" s="23">
        <v>1</v>
      </c>
      <c r="E57" s="24">
        <f t="shared" si="6"/>
        <v>0</v>
      </c>
      <c r="F57" s="23">
        <v>3</v>
      </c>
      <c r="G57" s="25">
        <v>0.5</v>
      </c>
      <c r="H57" s="23">
        <v>0</v>
      </c>
      <c r="I57" s="23">
        <f t="shared" si="7"/>
        <v>0</v>
      </c>
      <c r="J57" s="23">
        <f t="shared" si="5"/>
        <v>0</v>
      </c>
      <c r="K57" s="23">
        <f t="shared" si="8"/>
        <v>0</v>
      </c>
      <c r="L57" s="23">
        <v>1</v>
      </c>
      <c r="M57" s="23">
        <f t="shared" si="9"/>
        <v>0</v>
      </c>
      <c r="N57" s="23">
        <v>15</v>
      </c>
      <c r="O57" s="43"/>
      <c r="P57" s="44"/>
      <c r="Q57" s="44"/>
      <c r="R57" s="46"/>
    </row>
    <row r="58" spans="1:18">
      <c r="A58" s="889" t="s">
        <v>550</v>
      </c>
      <c r="B58" s="890" t="s">
        <v>923</v>
      </c>
      <c r="C58" s="672"/>
      <c r="D58" s="23">
        <v>1.2</v>
      </c>
      <c r="E58" s="24">
        <f t="shared" si="6"/>
        <v>0</v>
      </c>
      <c r="F58" s="23">
        <v>0.65</v>
      </c>
      <c r="G58" s="23">
        <v>0.35</v>
      </c>
      <c r="H58" s="23">
        <v>0.09</v>
      </c>
      <c r="I58" s="23">
        <f t="shared" si="7"/>
        <v>0</v>
      </c>
      <c r="J58" s="23">
        <f t="shared" si="5"/>
        <v>0</v>
      </c>
      <c r="K58" s="23">
        <f t="shared" si="8"/>
        <v>0</v>
      </c>
      <c r="L58" s="23">
        <v>1</v>
      </c>
      <c r="M58" s="23">
        <f t="shared" si="9"/>
        <v>0</v>
      </c>
      <c r="N58" s="23">
        <v>30</v>
      </c>
      <c r="O58" s="43"/>
      <c r="P58" s="44"/>
      <c r="Q58" s="44"/>
      <c r="R58" s="46"/>
    </row>
    <row r="59" spans="1:18">
      <c r="A59" s="889" t="s">
        <v>442</v>
      </c>
      <c r="B59" s="890" t="s">
        <v>925</v>
      </c>
      <c r="C59" s="672"/>
      <c r="D59" s="23">
        <v>1.2</v>
      </c>
      <c r="E59" s="24">
        <f t="shared" si="6"/>
        <v>0</v>
      </c>
      <c r="F59" s="23">
        <v>0.65</v>
      </c>
      <c r="G59" s="23">
        <v>0.35</v>
      </c>
      <c r="H59" s="23">
        <v>0.15</v>
      </c>
      <c r="I59" s="23">
        <f t="shared" si="7"/>
        <v>0</v>
      </c>
      <c r="J59" s="23">
        <f t="shared" si="5"/>
        <v>0</v>
      </c>
      <c r="K59" s="23">
        <f t="shared" si="8"/>
        <v>0</v>
      </c>
      <c r="L59" s="23">
        <v>1</v>
      </c>
      <c r="M59" s="23">
        <f t="shared" si="9"/>
        <v>0</v>
      </c>
      <c r="N59" s="23">
        <v>31</v>
      </c>
      <c r="O59" s="43"/>
      <c r="P59" s="44"/>
      <c r="Q59" s="44"/>
      <c r="R59" s="46"/>
    </row>
    <row r="60" spans="1:18">
      <c r="A60" s="889" t="s">
        <v>442</v>
      </c>
      <c r="B60" s="891" t="s">
        <v>433</v>
      </c>
      <c r="C60" s="672"/>
      <c r="D60" s="23">
        <v>1</v>
      </c>
      <c r="E60" s="24">
        <f t="shared" si="6"/>
        <v>0</v>
      </c>
      <c r="F60" s="23">
        <v>1</v>
      </c>
      <c r="G60" s="25">
        <v>1.05</v>
      </c>
      <c r="H60" s="23">
        <v>3</v>
      </c>
      <c r="I60" s="23">
        <f t="shared" si="7"/>
        <v>0</v>
      </c>
      <c r="J60" s="23">
        <f t="shared" si="5"/>
        <v>0</v>
      </c>
      <c r="K60" s="23">
        <f t="shared" si="8"/>
        <v>0</v>
      </c>
      <c r="L60" s="23">
        <v>1</v>
      </c>
      <c r="M60" s="23">
        <f t="shared" si="9"/>
        <v>0</v>
      </c>
      <c r="N60" s="23" t="s">
        <v>938</v>
      </c>
      <c r="O60" s="43"/>
      <c r="P60" s="44"/>
      <c r="Q60" s="44"/>
      <c r="R60" s="46"/>
    </row>
    <row r="61" spans="1:18" ht="13.95" customHeight="1">
      <c r="A61" s="889" t="s">
        <v>555</v>
      </c>
      <c r="B61" s="890"/>
      <c r="C61" s="672"/>
      <c r="D61" s="23">
        <v>1.2</v>
      </c>
      <c r="E61" s="24">
        <f t="shared" si="6"/>
        <v>0</v>
      </c>
      <c r="F61" s="23">
        <v>0.3</v>
      </c>
      <c r="G61" s="23">
        <v>0.8</v>
      </c>
      <c r="H61" s="23">
        <v>0</v>
      </c>
      <c r="I61" s="23">
        <f t="shared" si="7"/>
        <v>0</v>
      </c>
      <c r="J61" s="23">
        <f t="shared" si="5"/>
        <v>0</v>
      </c>
      <c r="K61" s="23">
        <f t="shared" si="8"/>
        <v>0</v>
      </c>
      <c r="L61" s="23">
        <v>1</v>
      </c>
      <c r="M61" s="23">
        <f t="shared" si="9"/>
        <v>0</v>
      </c>
      <c r="N61" s="23" t="s">
        <v>936</v>
      </c>
      <c r="O61" s="43"/>
      <c r="P61" s="44"/>
      <c r="Q61" s="44"/>
      <c r="R61" s="46"/>
    </row>
    <row r="62" spans="1:18" ht="13.95" customHeight="1">
      <c r="A62" s="889" t="s">
        <v>939</v>
      </c>
      <c r="B62" s="892" t="s">
        <v>940</v>
      </c>
      <c r="C62" s="672"/>
      <c r="D62" s="23">
        <v>1.1499999999999999</v>
      </c>
      <c r="E62" s="24">
        <f t="shared" si="6"/>
        <v>0</v>
      </c>
      <c r="F62" s="23">
        <v>0.2</v>
      </c>
      <c r="G62" s="25">
        <v>0.5</v>
      </c>
      <c r="H62" s="23">
        <v>0</v>
      </c>
      <c r="I62" s="23">
        <f t="shared" si="7"/>
        <v>0</v>
      </c>
      <c r="J62" s="23">
        <f t="shared" si="5"/>
        <v>0</v>
      </c>
      <c r="K62" s="23">
        <f t="shared" si="8"/>
        <v>0</v>
      </c>
      <c r="L62" s="23">
        <v>0.7</v>
      </c>
      <c r="M62" s="23">
        <f t="shared" si="9"/>
        <v>0</v>
      </c>
      <c r="N62" s="23"/>
      <c r="O62" s="43"/>
      <c r="P62" s="44"/>
      <c r="Q62" s="44"/>
      <c r="R62" s="46"/>
    </row>
    <row r="63" spans="1:18">
      <c r="A63" s="889" t="s">
        <v>560</v>
      </c>
      <c r="B63" s="890"/>
      <c r="C63" s="672"/>
      <c r="D63" s="23">
        <v>1.4</v>
      </c>
      <c r="E63" s="24">
        <f t="shared" si="6"/>
        <v>0</v>
      </c>
      <c r="F63" s="23">
        <v>1.1000000000000001</v>
      </c>
      <c r="G63" s="23">
        <v>0.1</v>
      </c>
      <c r="H63" s="23">
        <v>0</v>
      </c>
      <c r="I63" s="23">
        <f t="shared" si="7"/>
        <v>0</v>
      </c>
      <c r="J63" s="23">
        <f t="shared" si="5"/>
        <v>0</v>
      </c>
      <c r="K63" s="23">
        <f t="shared" si="8"/>
        <v>0</v>
      </c>
      <c r="L63" s="23">
        <v>1</v>
      </c>
      <c r="M63" s="23">
        <f t="shared" si="9"/>
        <v>0</v>
      </c>
      <c r="N63" s="23">
        <v>35</v>
      </c>
      <c r="O63" s="43"/>
      <c r="P63" s="44"/>
      <c r="Q63" s="44"/>
      <c r="R63" s="46"/>
    </row>
    <row r="64" spans="1:18">
      <c r="A64" s="889" t="s">
        <v>562</v>
      </c>
      <c r="B64" s="890" t="s">
        <v>923</v>
      </c>
      <c r="C64" s="672"/>
      <c r="D64" s="23">
        <v>1.04</v>
      </c>
      <c r="E64" s="24">
        <f t="shared" si="6"/>
        <v>0</v>
      </c>
      <c r="F64" s="23">
        <v>1.6</v>
      </c>
      <c r="G64" s="23">
        <v>0.8</v>
      </c>
      <c r="H64" s="23">
        <v>0</v>
      </c>
      <c r="I64" s="23">
        <f t="shared" si="7"/>
        <v>0</v>
      </c>
      <c r="J64" s="23">
        <f t="shared" si="5"/>
        <v>0</v>
      </c>
      <c r="K64" s="23">
        <f t="shared" si="8"/>
        <v>0</v>
      </c>
      <c r="L64" s="23">
        <v>1</v>
      </c>
      <c r="M64" s="23">
        <f t="shared" si="9"/>
        <v>0</v>
      </c>
      <c r="N64" s="23" t="s">
        <v>930</v>
      </c>
      <c r="O64" s="43"/>
      <c r="P64" s="44"/>
      <c r="Q64" s="44"/>
      <c r="R64" s="46"/>
    </row>
    <row r="65" spans="1:18">
      <c r="A65" s="889" t="s">
        <v>564</v>
      </c>
      <c r="B65" s="890" t="s">
        <v>925</v>
      </c>
      <c r="C65" s="672"/>
      <c r="D65" s="23">
        <v>1.04</v>
      </c>
      <c r="E65" s="24">
        <f t="shared" si="6"/>
        <v>0</v>
      </c>
      <c r="F65" s="23">
        <v>1.6</v>
      </c>
      <c r="G65" s="23">
        <v>0.8</v>
      </c>
      <c r="H65" s="23">
        <v>0.12</v>
      </c>
      <c r="I65" s="23">
        <f t="shared" si="7"/>
        <v>0</v>
      </c>
      <c r="J65" s="23">
        <f t="shared" si="5"/>
        <v>0</v>
      </c>
      <c r="K65" s="23">
        <f t="shared" si="8"/>
        <v>0</v>
      </c>
      <c r="L65" s="23">
        <v>1</v>
      </c>
      <c r="M65" s="23">
        <f t="shared" si="9"/>
        <v>0</v>
      </c>
      <c r="N65" s="23" t="s">
        <v>930</v>
      </c>
      <c r="O65" s="43"/>
      <c r="P65" s="44"/>
      <c r="Q65" s="44"/>
      <c r="R65" s="46"/>
    </row>
    <row r="66" spans="1:18">
      <c r="A66" s="889" t="s">
        <v>566</v>
      </c>
      <c r="B66" s="890" t="s">
        <v>941</v>
      </c>
      <c r="C66" s="672"/>
      <c r="D66" s="23">
        <v>1</v>
      </c>
      <c r="E66" s="24">
        <f t="shared" si="6"/>
        <v>0</v>
      </c>
      <c r="F66" s="23">
        <v>1.3</v>
      </c>
      <c r="G66" s="25">
        <v>0.9</v>
      </c>
      <c r="H66" s="23">
        <v>1</v>
      </c>
      <c r="I66" s="23">
        <f t="shared" si="7"/>
        <v>0</v>
      </c>
      <c r="J66" s="23">
        <f t="shared" si="5"/>
        <v>0</v>
      </c>
      <c r="K66" s="23">
        <f t="shared" si="8"/>
        <v>0</v>
      </c>
      <c r="L66" s="23">
        <v>1</v>
      </c>
      <c r="M66" s="23">
        <f t="shared" si="9"/>
        <v>0</v>
      </c>
      <c r="N66" s="23">
        <v>35</v>
      </c>
      <c r="O66" s="43"/>
      <c r="P66" s="44"/>
      <c r="Q66" s="44"/>
      <c r="R66" s="46"/>
    </row>
    <row r="67" spans="1:18">
      <c r="A67" s="889" t="s">
        <v>568</v>
      </c>
      <c r="B67" s="890" t="s">
        <v>923</v>
      </c>
      <c r="C67" s="672"/>
      <c r="D67" s="23">
        <v>1.4</v>
      </c>
      <c r="E67" s="24">
        <f t="shared" si="6"/>
        <v>0</v>
      </c>
      <c r="F67" s="23">
        <v>0.95</v>
      </c>
      <c r="G67" s="23">
        <v>1.1000000000000001</v>
      </c>
      <c r="H67" s="23">
        <v>0.15</v>
      </c>
      <c r="I67" s="23">
        <f t="shared" si="7"/>
        <v>0</v>
      </c>
      <c r="J67" s="23">
        <f t="shared" si="5"/>
        <v>0</v>
      </c>
      <c r="K67" s="23">
        <f t="shared" si="8"/>
        <v>0</v>
      </c>
      <c r="L67" s="23">
        <v>1</v>
      </c>
      <c r="M67" s="23">
        <f t="shared" si="9"/>
        <v>0</v>
      </c>
      <c r="N67" s="23" t="s">
        <v>928</v>
      </c>
      <c r="O67" s="43"/>
      <c r="P67" s="44"/>
      <c r="Q67" s="44"/>
      <c r="R67" s="46"/>
    </row>
    <row r="68" spans="1:18">
      <c r="A68" s="889" t="s">
        <v>432</v>
      </c>
      <c r="B68" s="890" t="s">
        <v>925</v>
      </c>
      <c r="C68" s="672"/>
      <c r="D68" s="23">
        <v>1.4</v>
      </c>
      <c r="E68" s="24">
        <f t="shared" si="6"/>
        <v>0</v>
      </c>
      <c r="F68" s="23">
        <v>0.95</v>
      </c>
      <c r="G68" s="23">
        <v>1.1000000000000001</v>
      </c>
      <c r="H68" s="23">
        <v>0.3</v>
      </c>
      <c r="I68" s="23">
        <f t="shared" si="7"/>
        <v>0</v>
      </c>
      <c r="J68" s="23">
        <f t="shared" si="5"/>
        <v>0</v>
      </c>
      <c r="K68" s="23">
        <f t="shared" si="8"/>
        <v>0</v>
      </c>
      <c r="L68" s="23">
        <v>1</v>
      </c>
      <c r="M68" s="23">
        <f t="shared" si="9"/>
        <v>0</v>
      </c>
      <c r="N68" s="23" t="s">
        <v>928</v>
      </c>
      <c r="O68" s="43"/>
      <c r="P68" s="44"/>
      <c r="Q68" s="44"/>
      <c r="R68" s="46"/>
    </row>
    <row r="69" spans="1:18">
      <c r="A69" s="889" t="s">
        <v>432</v>
      </c>
      <c r="B69" s="890"/>
      <c r="C69" s="672"/>
      <c r="D69" s="23"/>
      <c r="E69" s="24">
        <f t="shared" si="6"/>
        <v>0</v>
      </c>
      <c r="F69" s="23"/>
      <c r="G69" s="23"/>
      <c r="H69" s="23"/>
      <c r="I69" s="23">
        <f t="shared" si="7"/>
        <v>0</v>
      </c>
      <c r="J69" s="23">
        <f t="shared" si="5"/>
        <v>0</v>
      </c>
      <c r="K69" s="23">
        <f t="shared" si="8"/>
        <v>0</v>
      </c>
      <c r="L69" s="23"/>
      <c r="M69" s="23">
        <f t="shared" si="9"/>
        <v>0</v>
      </c>
      <c r="N69" s="23"/>
      <c r="O69" s="43"/>
      <c r="P69" s="44"/>
      <c r="Q69" s="44"/>
      <c r="R69" s="46"/>
    </row>
    <row r="70" spans="1:18">
      <c r="A70" s="889" t="s">
        <v>571</v>
      </c>
      <c r="B70" s="890"/>
      <c r="C70" s="672"/>
      <c r="D70" s="23">
        <v>1</v>
      </c>
      <c r="E70" s="24">
        <f t="shared" si="6"/>
        <v>0</v>
      </c>
      <c r="F70" s="23">
        <v>1.5</v>
      </c>
      <c r="G70" s="23">
        <v>0.45</v>
      </c>
      <c r="H70" s="23">
        <v>0</v>
      </c>
      <c r="I70" s="23">
        <f t="shared" si="7"/>
        <v>0</v>
      </c>
      <c r="J70" s="23">
        <f t="shared" si="5"/>
        <v>0</v>
      </c>
      <c r="K70" s="23">
        <f t="shared" si="8"/>
        <v>0</v>
      </c>
      <c r="L70" s="23">
        <v>0.9</v>
      </c>
      <c r="M70" s="23">
        <f t="shared" si="9"/>
        <v>0</v>
      </c>
      <c r="N70" s="23">
        <v>10</v>
      </c>
      <c r="O70" s="43"/>
      <c r="P70" s="44"/>
      <c r="Q70" s="44"/>
      <c r="R70" s="46"/>
    </row>
    <row r="71" spans="1:18">
      <c r="A71" s="889" t="s">
        <v>572</v>
      </c>
      <c r="B71" s="890"/>
      <c r="C71" s="672"/>
      <c r="D71" s="23">
        <v>1</v>
      </c>
      <c r="E71" s="24">
        <f t="shared" si="6"/>
        <v>0</v>
      </c>
      <c r="F71" s="23">
        <v>2.2999999999999998</v>
      </c>
      <c r="G71" s="23">
        <v>0.55000000000000004</v>
      </c>
      <c r="H71" s="23">
        <v>0.4</v>
      </c>
      <c r="I71" s="23">
        <f t="shared" si="7"/>
        <v>0</v>
      </c>
      <c r="J71" s="23">
        <f t="shared" si="5"/>
        <v>0</v>
      </c>
      <c r="K71" s="23">
        <f t="shared" si="8"/>
        <v>0</v>
      </c>
      <c r="L71" s="23">
        <v>1.25</v>
      </c>
      <c r="M71" s="23">
        <f t="shared" si="9"/>
        <v>0</v>
      </c>
      <c r="N71" s="23" t="s">
        <v>928</v>
      </c>
      <c r="O71" s="43"/>
      <c r="P71" s="44"/>
      <c r="Q71" s="44"/>
      <c r="R71" s="46"/>
    </row>
    <row r="72" spans="1:18">
      <c r="A72" s="51" t="s">
        <v>942</v>
      </c>
      <c r="B72" s="890"/>
      <c r="C72" s="672"/>
      <c r="D72" s="23">
        <v>1</v>
      </c>
      <c r="E72" s="24">
        <f t="shared" si="6"/>
        <v>0</v>
      </c>
      <c r="F72" s="23">
        <v>1.5</v>
      </c>
      <c r="G72" s="23">
        <v>0.45</v>
      </c>
      <c r="H72" s="23">
        <v>0</v>
      </c>
      <c r="I72" s="23">
        <f t="shared" si="7"/>
        <v>0</v>
      </c>
      <c r="J72" s="23">
        <f t="shared" si="5"/>
        <v>0</v>
      </c>
      <c r="K72" s="23">
        <f t="shared" si="8"/>
        <v>0</v>
      </c>
      <c r="L72" s="23">
        <v>1</v>
      </c>
      <c r="M72" s="23">
        <f t="shared" si="9"/>
        <v>0</v>
      </c>
      <c r="N72" s="23">
        <v>25</v>
      </c>
      <c r="O72" s="43"/>
      <c r="P72" s="44"/>
      <c r="Q72" s="44"/>
      <c r="R72" s="46"/>
    </row>
    <row r="73" spans="1:18">
      <c r="A73" s="889" t="s">
        <v>593</v>
      </c>
      <c r="B73" s="890"/>
      <c r="C73" s="672"/>
      <c r="D73" s="23">
        <v>1.25</v>
      </c>
      <c r="E73" s="24">
        <f t="shared" si="6"/>
        <v>0</v>
      </c>
      <c r="F73" s="25">
        <v>2</v>
      </c>
      <c r="G73" s="23"/>
      <c r="H73" s="23">
        <v>0</v>
      </c>
      <c r="I73" s="23">
        <f t="shared" si="7"/>
        <v>0</v>
      </c>
      <c r="J73" s="23">
        <f t="shared" si="5"/>
        <v>0</v>
      </c>
      <c r="K73" s="23">
        <f t="shared" si="8"/>
        <v>0</v>
      </c>
      <c r="L73" s="23">
        <v>1</v>
      </c>
      <c r="M73" s="23">
        <f t="shared" si="9"/>
        <v>0</v>
      </c>
      <c r="N73" s="23"/>
      <c r="O73" s="43"/>
      <c r="P73" s="44"/>
      <c r="Q73" s="44"/>
      <c r="R73" s="46"/>
    </row>
    <row r="74" spans="1:18">
      <c r="A74" s="889" t="s">
        <v>595</v>
      </c>
      <c r="B74" s="890" t="s">
        <v>943</v>
      </c>
      <c r="C74" s="672">
        <v>700</v>
      </c>
      <c r="D74" s="23">
        <v>1</v>
      </c>
      <c r="E74" s="24">
        <f t="shared" si="6"/>
        <v>700</v>
      </c>
      <c r="F74" s="23">
        <v>0.6</v>
      </c>
      <c r="G74" s="23">
        <v>0.5</v>
      </c>
      <c r="H74" s="23">
        <v>0</v>
      </c>
      <c r="I74" s="23">
        <f t="shared" si="7"/>
        <v>3.5</v>
      </c>
      <c r="J74" s="23">
        <f t="shared" si="5"/>
        <v>4.2</v>
      </c>
      <c r="K74" s="23">
        <f t="shared" si="8"/>
        <v>0</v>
      </c>
      <c r="L74" s="23">
        <v>0.875</v>
      </c>
      <c r="M74" s="23">
        <f t="shared" si="9"/>
        <v>612.5</v>
      </c>
      <c r="N74" s="23" t="s">
        <v>944</v>
      </c>
      <c r="O74" s="43"/>
      <c r="P74" s="44"/>
      <c r="Q74" s="44"/>
      <c r="R74" s="56">
        <v>1</v>
      </c>
    </row>
    <row r="75" spans="1:18">
      <c r="A75" s="889" t="s">
        <v>596</v>
      </c>
      <c r="B75" s="890"/>
      <c r="C75" s="672"/>
      <c r="D75" s="23">
        <v>1</v>
      </c>
      <c r="E75" s="24">
        <f t="shared" si="6"/>
        <v>0</v>
      </c>
      <c r="F75" s="23">
        <v>1.3</v>
      </c>
      <c r="G75" s="25">
        <v>0.75</v>
      </c>
      <c r="H75" s="23">
        <v>0.15</v>
      </c>
      <c r="I75" s="23">
        <f t="shared" si="7"/>
        <v>0</v>
      </c>
      <c r="J75" s="23">
        <f t="shared" si="5"/>
        <v>0</v>
      </c>
      <c r="K75" s="23">
        <f t="shared" si="8"/>
        <v>0</v>
      </c>
      <c r="L75" s="23">
        <v>1</v>
      </c>
      <c r="M75" s="23">
        <f t="shared" si="9"/>
        <v>0</v>
      </c>
      <c r="N75" s="23"/>
      <c r="O75" s="43"/>
      <c r="P75" s="44"/>
      <c r="Q75" s="44"/>
      <c r="R75" s="46"/>
    </row>
    <row r="76" spans="1:18">
      <c r="A76" s="889" t="s">
        <v>599</v>
      </c>
      <c r="B76" s="890"/>
      <c r="C76" s="672"/>
      <c r="D76" s="23">
        <v>1.4</v>
      </c>
      <c r="E76" s="24">
        <f t="shared" si="6"/>
        <v>0</v>
      </c>
      <c r="F76" s="23">
        <v>0.2</v>
      </c>
      <c r="G76" s="25">
        <v>0.25</v>
      </c>
      <c r="H76" s="23">
        <v>0</v>
      </c>
      <c r="I76" s="23">
        <f t="shared" si="7"/>
        <v>0</v>
      </c>
      <c r="J76" s="23">
        <f t="shared" si="5"/>
        <v>0</v>
      </c>
      <c r="K76" s="23">
        <f t="shared" si="8"/>
        <v>0</v>
      </c>
      <c r="L76" s="23">
        <v>0.4</v>
      </c>
      <c r="M76" s="23">
        <f t="shared" si="9"/>
        <v>0</v>
      </c>
      <c r="N76" s="23"/>
      <c r="O76" s="43"/>
      <c r="P76" s="44"/>
      <c r="Q76" s="44"/>
      <c r="R76" s="46"/>
    </row>
    <row r="77" spans="1:18">
      <c r="A77" s="889" t="s">
        <v>600</v>
      </c>
      <c r="B77" s="890"/>
      <c r="C77" s="672"/>
      <c r="D77" s="23">
        <v>1</v>
      </c>
      <c r="E77" s="24">
        <f t="shared" si="6"/>
        <v>0</v>
      </c>
      <c r="F77" s="23">
        <v>2.2000000000000002</v>
      </c>
      <c r="G77" s="23">
        <v>0.55000000000000004</v>
      </c>
      <c r="H77" s="23">
        <v>0.4</v>
      </c>
      <c r="I77" s="23">
        <f t="shared" si="7"/>
        <v>0</v>
      </c>
      <c r="J77" s="23">
        <f t="shared" si="5"/>
        <v>0</v>
      </c>
      <c r="K77" s="23">
        <f t="shared" si="8"/>
        <v>0</v>
      </c>
      <c r="L77" s="23">
        <v>1.25</v>
      </c>
      <c r="M77" s="23">
        <f t="shared" si="9"/>
        <v>0</v>
      </c>
      <c r="N77" s="23">
        <v>40</v>
      </c>
      <c r="O77" s="43"/>
      <c r="P77" s="44"/>
      <c r="Q77" s="44"/>
      <c r="R77" s="46"/>
    </row>
    <row r="78" spans="1:18">
      <c r="A78" s="889" t="s">
        <v>945</v>
      </c>
      <c r="B78" s="893"/>
      <c r="C78" s="672"/>
      <c r="D78" s="23"/>
      <c r="E78" s="24">
        <f t="shared" si="6"/>
        <v>0</v>
      </c>
      <c r="F78" s="23"/>
      <c r="G78" s="23"/>
      <c r="H78" s="23"/>
      <c r="I78" s="23">
        <f t="shared" si="7"/>
        <v>0</v>
      </c>
      <c r="J78" s="23">
        <f t="shared" si="5"/>
        <v>0</v>
      </c>
      <c r="K78" s="23">
        <f t="shared" si="8"/>
        <v>0</v>
      </c>
      <c r="L78" s="23"/>
      <c r="M78" s="23">
        <f t="shared" si="9"/>
        <v>0</v>
      </c>
      <c r="N78" s="23"/>
      <c r="O78" s="43"/>
      <c r="P78" s="4"/>
      <c r="Q78" s="4"/>
      <c r="R78" s="46"/>
    </row>
    <row r="79" spans="1:18" ht="15" customHeight="1">
      <c r="A79" s="889" t="s">
        <v>667</v>
      </c>
      <c r="B79" s="893"/>
      <c r="C79" s="672"/>
      <c r="D79" s="23"/>
      <c r="E79" s="24">
        <f t="shared" si="6"/>
        <v>0</v>
      </c>
      <c r="F79" s="23"/>
      <c r="G79" s="23"/>
      <c r="H79" s="23"/>
      <c r="I79" s="23">
        <f t="shared" si="7"/>
        <v>0</v>
      </c>
      <c r="J79" s="23">
        <f t="shared" si="5"/>
        <v>0</v>
      </c>
      <c r="K79" s="23">
        <f t="shared" si="8"/>
        <v>0</v>
      </c>
      <c r="L79" s="23"/>
      <c r="M79" s="23">
        <f t="shared" si="9"/>
        <v>0</v>
      </c>
      <c r="N79" s="23"/>
      <c r="O79" s="43"/>
      <c r="P79" s="53"/>
      <c r="Q79" s="53"/>
      <c r="R79" s="46"/>
    </row>
    <row r="80" spans="1:18" ht="15" customHeight="1">
      <c r="A80" s="889" t="s">
        <v>668</v>
      </c>
      <c r="B80" s="893"/>
      <c r="C80" s="672"/>
      <c r="D80" s="23"/>
      <c r="E80" s="24">
        <f t="shared" si="6"/>
        <v>0</v>
      </c>
      <c r="F80" s="23"/>
      <c r="G80" s="23"/>
      <c r="H80" s="23"/>
      <c r="I80" s="23">
        <f t="shared" si="7"/>
        <v>0</v>
      </c>
      <c r="J80" s="23">
        <f t="shared" si="5"/>
        <v>0</v>
      </c>
      <c r="K80" s="23">
        <f t="shared" si="8"/>
        <v>0</v>
      </c>
      <c r="L80" s="23"/>
      <c r="M80" s="23">
        <f t="shared" si="9"/>
        <v>0</v>
      </c>
      <c r="N80" s="23"/>
      <c r="O80" s="43"/>
      <c r="P80" s="53"/>
      <c r="Q80" s="53"/>
      <c r="R80" s="46"/>
    </row>
    <row r="81" spans="1:18" ht="15" customHeight="1">
      <c r="A81" s="889" t="s">
        <v>670</v>
      </c>
      <c r="B81" s="891"/>
      <c r="C81" s="672"/>
      <c r="D81" s="23"/>
      <c r="E81" s="24">
        <f t="shared" si="6"/>
        <v>0</v>
      </c>
      <c r="F81" s="23"/>
      <c r="G81" s="23"/>
      <c r="H81" s="23"/>
      <c r="I81" s="23">
        <f t="shared" si="7"/>
        <v>0</v>
      </c>
      <c r="J81" s="23">
        <f t="shared" si="5"/>
        <v>0</v>
      </c>
      <c r="K81" s="23">
        <f t="shared" si="8"/>
        <v>0</v>
      </c>
      <c r="L81" s="23"/>
      <c r="M81" s="23">
        <f t="shared" si="9"/>
        <v>0</v>
      </c>
      <c r="N81" s="23"/>
      <c r="O81" s="54"/>
      <c r="P81" s="53"/>
      <c r="Q81" s="53"/>
      <c r="R81" s="46"/>
    </row>
    <row r="82" spans="1:18" ht="15" customHeight="1">
      <c r="A82" s="918" t="s">
        <v>946</v>
      </c>
      <c r="B82" s="1534"/>
      <c r="C82" s="1534"/>
      <c r="D82" s="1534"/>
      <c r="E82" s="1534"/>
      <c r="F82" s="1534"/>
      <c r="G82" s="1534"/>
      <c r="H82" s="1534"/>
      <c r="I82" s="1534"/>
      <c r="J82" s="1534"/>
      <c r="K82" s="1534"/>
      <c r="L82" s="1534"/>
      <c r="M82" s="1534"/>
      <c r="N82" s="921"/>
      <c r="O82" s="53"/>
      <c r="P82" s="53"/>
      <c r="Q82" s="53"/>
      <c r="R82" s="46"/>
    </row>
    <row r="83" spans="1:18" ht="6" customHeight="1">
      <c r="A83" s="52"/>
      <c r="B83" s="52"/>
      <c r="C83" s="52"/>
      <c r="D83" s="52"/>
      <c r="E83" s="52"/>
      <c r="F83" s="52"/>
      <c r="G83" s="52"/>
      <c r="H83" s="52"/>
      <c r="I83" s="52"/>
      <c r="J83" s="52"/>
      <c r="K83" s="52"/>
      <c r="L83" s="52"/>
      <c r="M83" s="52"/>
      <c r="N83" s="52"/>
      <c r="O83" s="53"/>
      <c r="P83" s="53"/>
      <c r="Q83" s="53"/>
      <c r="R83" s="46"/>
    </row>
    <row r="84" spans="1:18" ht="14.25" customHeight="1">
      <c r="A84" s="1532" t="s">
        <v>947</v>
      </c>
      <c r="B84" s="1532"/>
      <c r="C84" s="1532"/>
      <c r="D84" s="1532"/>
      <c r="E84" s="1532"/>
      <c r="F84" s="1532"/>
      <c r="G84" s="1532"/>
      <c r="H84" s="1532"/>
      <c r="I84" s="1532"/>
      <c r="J84" s="1532"/>
      <c r="K84" s="1532"/>
      <c r="L84" s="1532"/>
      <c r="M84" s="1532"/>
      <c r="N84" s="1532"/>
      <c r="O84" s="1532"/>
      <c r="P84" s="1532"/>
      <c r="Q84" s="4"/>
      <c r="R84" s="46"/>
    </row>
    <row r="85" spans="1:18" ht="6" customHeight="1">
      <c r="A85" s="673"/>
      <c r="B85" s="673"/>
      <c r="C85" s="673"/>
      <c r="D85" s="673"/>
      <c r="E85" s="673"/>
      <c r="F85" s="673"/>
      <c r="G85" s="673"/>
      <c r="H85" s="673"/>
      <c r="I85" s="673"/>
      <c r="J85" s="673"/>
      <c r="K85" s="673"/>
      <c r="L85" s="673"/>
      <c r="M85" s="673"/>
      <c r="N85" s="673"/>
      <c r="O85" s="673"/>
      <c r="P85" s="673"/>
      <c r="Q85" s="4"/>
      <c r="R85" s="46"/>
    </row>
    <row r="86" spans="1:18" ht="15.75" customHeight="1">
      <c r="A86" s="1533" t="s">
        <v>948</v>
      </c>
      <c r="B86" s="1355"/>
      <c r="C86" s="1355"/>
      <c r="D86" s="4"/>
      <c r="E86" s="4"/>
      <c r="F86" s="4"/>
      <c r="G86" s="3"/>
      <c r="H86" s="3"/>
      <c r="I86" s="55"/>
      <c r="J86" s="55"/>
      <c r="K86" s="55"/>
      <c r="L86" s="55"/>
      <c r="M86" s="55"/>
      <c r="N86" s="55"/>
      <c r="O86" s="55"/>
      <c r="P86" s="3"/>
      <c r="Q86" s="4"/>
      <c r="R86" s="46"/>
    </row>
    <row r="87" spans="1:18" ht="15.75" customHeight="1">
      <c r="A87" s="724"/>
      <c r="B87" s="724"/>
      <c r="C87" s="724"/>
      <c r="D87" s="724"/>
      <c r="E87" s="724"/>
      <c r="F87" s="724"/>
      <c r="G87" s="724"/>
      <c r="H87" s="724"/>
      <c r="I87" s="724"/>
      <c r="J87" s="724"/>
      <c r="K87" s="724"/>
      <c r="L87" s="724"/>
      <c r="M87" s="724"/>
      <c r="N87" s="724"/>
      <c r="O87" s="724"/>
      <c r="P87" s="724"/>
      <c r="Q87" s="724"/>
      <c r="R87" s="46"/>
    </row>
    <row r="88" spans="1:18" ht="13.2" customHeight="1">
      <c r="A88" s="724"/>
      <c r="B88" s="724"/>
      <c r="C88" s="724"/>
      <c r="D88" s="724"/>
      <c r="E88" s="724"/>
      <c r="F88" s="724"/>
      <c r="G88" s="724"/>
      <c r="H88" s="724"/>
      <c r="I88" s="724"/>
      <c r="J88" s="724"/>
      <c r="K88" s="724"/>
      <c r="L88" s="724"/>
      <c r="M88" s="724"/>
      <c r="N88" s="724"/>
      <c r="O88" s="724"/>
      <c r="P88" s="724"/>
      <c r="Q88" s="724"/>
      <c r="R88" s="46"/>
    </row>
    <row r="89" spans="1:18" ht="14.25" customHeight="1">
      <c r="A89" s="724"/>
      <c r="B89" s="724"/>
      <c r="C89" s="724"/>
      <c r="D89" s="724"/>
      <c r="E89" s="724"/>
      <c r="F89" s="724"/>
      <c r="G89" s="724"/>
      <c r="H89" s="724"/>
      <c r="I89" s="724"/>
      <c r="J89" s="724"/>
      <c r="K89" s="724"/>
      <c r="L89" s="724"/>
      <c r="M89" s="724"/>
      <c r="N89" s="724"/>
      <c r="O89" s="724"/>
      <c r="P89" s="724"/>
      <c r="Q89" s="724"/>
      <c r="R89" s="46"/>
    </row>
    <row r="90" spans="1:18" ht="14.25" customHeight="1">
      <c r="A90" s="724"/>
      <c r="B90" s="724"/>
      <c r="C90" s="724"/>
      <c r="D90" s="724"/>
      <c r="E90" s="724"/>
      <c r="F90" s="724"/>
      <c r="G90" s="724"/>
      <c r="H90" s="724"/>
      <c r="I90" s="724"/>
      <c r="J90" s="724"/>
      <c r="K90" s="724"/>
      <c r="L90" s="724"/>
      <c r="M90" s="724"/>
      <c r="N90" s="724"/>
      <c r="O90" s="724"/>
      <c r="P90" s="724"/>
      <c r="Q90" s="724"/>
      <c r="R90" s="46"/>
    </row>
    <row r="91" spans="1:18" ht="14.25" customHeight="1">
      <c r="A91" s="724"/>
      <c r="B91" s="724"/>
      <c r="C91" s="724"/>
      <c r="D91" s="724"/>
      <c r="E91" s="724"/>
      <c r="F91" s="724"/>
      <c r="G91" s="724"/>
      <c r="H91" s="724"/>
      <c r="I91" s="724"/>
      <c r="J91" s="724"/>
      <c r="K91" s="724"/>
      <c r="L91" s="724"/>
      <c r="M91" s="724"/>
      <c r="N91" s="724"/>
      <c r="O91" s="724"/>
      <c r="P91" s="724"/>
      <c r="Q91" s="724"/>
      <c r="R91" s="46"/>
    </row>
    <row r="92" spans="1:18" ht="13.2" customHeight="1">
      <c r="A92" s="724"/>
      <c r="B92" s="724"/>
      <c r="C92" s="724"/>
      <c r="D92" s="724"/>
      <c r="E92" s="724"/>
      <c r="F92" s="724"/>
      <c r="G92" s="724"/>
      <c r="H92" s="724"/>
      <c r="I92" s="724"/>
      <c r="J92" s="724"/>
      <c r="K92" s="724"/>
      <c r="L92" s="724"/>
      <c r="M92" s="724"/>
      <c r="N92" s="724"/>
      <c r="O92" s="724"/>
      <c r="P92" s="724"/>
      <c r="Q92" s="724"/>
      <c r="R92" s="46"/>
    </row>
    <row r="93" spans="1:18" ht="13.2" customHeight="1">
      <c r="A93" s="724"/>
      <c r="B93" s="724"/>
      <c r="C93" s="724"/>
      <c r="D93" s="724"/>
      <c r="E93" s="724"/>
      <c r="F93" s="724"/>
      <c r="G93" s="724"/>
      <c r="H93" s="724"/>
      <c r="I93" s="724"/>
      <c r="J93" s="724"/>
      <c r="K93" s="724"/>
      <c r="L93" s="724"/>
      <c r="M93" s="724"/>
      <c r="N93" s="724"/>
      <c r="O93" s="724"/>
      <c r="P93" s="724"/>
      <c r="Q93" s="724"/>
      <c r="R93" s="46"/>
    </row>
    <row r="94" spans="1:18">
      <c r="A94" s="3"/>
      <c r="B94" s="3"/>
      <c r="C94" s="3"/>
      <c r="D94" s="3"/>
      <c r="E94" s="3"/>
      <c r="F94" s="4"/>
      <c r="G94" s="4"/>
      <c r="H94" s="4"/>
      <c r="I94" s="3"/>
      <c r="J94" s="3"/>
      <c r="K94" s="3"/>
      <c r="L94" s="3"/>
      <c r="M94" s="3"/>
      <c r="N94" s="3"/>
      <c r="O94" s="4"/>
      <c r="P94" s="4"/>
      <c r="Q94" s="4"/>
      <c r="R94" s="46"/>
    </row>
    <row r="95" spans="1:18">
      <c r="A95" s="1535" t="s">
        <v>965</v>
      </c>
      <c r="B95" s="1535"/>
      <c r="C95" s="1535"/>
      <c r="D95" s="1535"/>
      <c r="E95" s="1535"/>
      <c r="F95" s="1535"/>
      <c r="G95" s="1535"/>
      <c r="H95" s="1535"/>
      <c r="I95" s="1535"/>
      <c r="J95" s="1535"/>
      <c r="K95" s="1535"/>
      <c r="L95" s="1535"/>
      <c r="M95" s="1535"/>
      <c r="N95" s="1535"/>
      <c r="O95" s="3"/>
      <c r="P95" s="1116" t="s">
        <v>969</v>
      </c>
      <c r="Q95" s="1116"/>
      <c r="R95" s="46"/>
    </row>
    <row r="96" spans="1:18">
      <c r="A96" s="866"/>
      <c r="B96" s="866"/>
      <c r="C96" s="866"/>
      <c r="D96" s="866"/>
      <c r="E96" s="866"/>
      <c r="F96" s="866"/>
      <c r="G96" s="866"/>
      <c r="H96" s="866"/>
      <c r="I96" s="866"/>
      <c r="J96" s="866"/>
      <c r="K96" s="866"/>
      <c r="L96" s="866"/>
      <c r="M96" s="866"/>
      <c r="N96" s="866"/>
      <c r="O96" s="3"/>
      <c r="P96" s="3"/>
      <c r="Q96" s="710"/>
      <c r="R96" s="46"/>
    </row>
    <row r="97" spans="1:18">
      <c r="A97" s="29"/>
      <c r="B97" s="29"/>
      <c r="C97" s="29"/>
      <c r="D97" s="29"/>
      <c r="E97" s="29"/>
      <c r="F97" s="487"/>
      <c r="G97" s="487"/>
      <c r="H97" s="487"/>
      <c r="I97" s="29"/>
      <c r="J97" s="29"/>
      <c r="K97" s="29"/>
      <c r="L97" s="29"/>
      <c r="M97" s="29"/>
      <c r="N97" s="29"/>
      <c r="O97" s="487"/>
      <c r="P97" s="487"/>
      <c r="Q97" s="487"/>
      <c r="R97" s="487"/>
    </row>
  </sheetData>
  <sheetProtection password="FA80" sheet="1" objects="1" scenarios="1" autoFilter="0"/>
  <mergeCells count="34">
    <mergeCell ref="A18:B19"/>
    <mergeCell ref="A16:B16"/>
    <mergeCell ref="D16:L16"/>
    <mergeCell ref="O19:Q19"/>
    <mergeCell ref="A15:B15"/>
    <mergeCell ref="D15:H15"/>
    <mergeCell ref="O16:Q16"/>
    <mergeCell ref="P95:Q95"/>
    <mergeCell ref="A84:P84"/>
    <mergeCell ref="A86:C86"/>
    <mergeCell ref="A82:N82"/>
    <mergeCell ref="A95:N95"/>
    <mergeCell ref="D13:F13"/>
    <mergeCell ref="G13:H13"/>
    <mergeCell ref="A6:B6"/>
    <mergeCell ref="L6:P6"/>
    <mergeCell ref="A8:B8"/>
    <mergeCell ref="D8:G8"/>
    <mergeCell ref="D9:H9"/>
    <mergeCell ref="L9:P10"/>
    <mergeCell ref="L13:P14"/>
    <mergeCell ref="A14:B14"/>
    <mergeCell ref="D14:F14"/>
    <mergeCell ref="G14:H14"/>
    <mergeCell ref="A10:B10"/>
    <mergeCell ref="D10:H10"/>
    <mergeCell ref="D11:H11"/>
    <mergeCell ref="A13:B13"/>
    <mergeCell ref="F1:O1"/>
    <mergeCell ref="A3:B3"/>
    <mergeCell ref="C3:G3"/>
    <mergeCell ref="A5:B5"/>
    <mergeCell ref="L5:P5"/>
    <mergeCell ref="H3:O3"/>
  </mergeCells>
  <hyperlinks>
    <hyperlink ref="A18:B18" location="Jam!B97" display="Please read the &quot;Disclaimer&quot; before using this spreadsheet." xr:uid="{00000000-0004-0000-0500-000000000000}"/>
    <hyperlink ref="A19:B19" location="Jam!B97" display="Jam!B97" xr:uid="{00000000-0004-0000-0500-000001000000}"/>
  </hyperlinks>
  <printOptions horizontalCentered="1"/>
  <pageMargins left="0.315278" right="0.315278" top="0.39374999999999999" bottom="0.39374999999999999" header="0.35972199999999999" footer="0.39374999999999999"/>
  <pageSetup paperSize="9" scale="55" fitToWidth="0"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INDEX</vt:lpstr>
      <vt:lpstr>General Calc's</vt:lpstr>
      <vt:lpstr>Wine &amp; Cider Calc</vt:lpstr>
      <vt:lpstr>Jame's Acid Calc</vt:lpstr>
      <vt:lpstr>Cocktail Calc</vt:lpstr>
      <vt:lpstr>Jam Calc</vt:lpstr>
      <vt:lpstr>'Wine &amp; Cider Calc'!_Toc275263954</vt:lpstr>
      <vt:lpstr>'Cocktail Calc'!Print_Area</vt:lpstr>
      <vt:lpstr>'General Calc''s'!Print_Area</vt:lpstr>
      <vt:lpstr>INDEX!Print_Area</vt:lpstr>
      <vt:lpstr>'Jam Calc'!Print_Area</vt:lpstr>
      <vt:lpstr>'Wine &amp; Cider Calc'!Print_Area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PJL</dc:creator>
  <cp:lastModifiedBy>James Smith</cp:lastModifiedBy>
  <cp:revision>0</cp:revision>
  <cp:lastPrinted>2022-07-12T14:28:00Z</cp:lastPrinted>
  <dcterms:created xsi:type="dcterms:W3CDTF">2016-03-23T14:40:00Z</dcterms:created>
  <dcterms:modified xsi:type="dcterms:W3CDTF">2025-01-19T16:50:14Z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4E3B3897BEE64B48A29FFFDD11A519F8</vt:lpwstr>
  </property>
  <property fmtid="{D5CDD505-2E9C-101B-9397-08002B2CF9AE}" pid="3" name="KSOProductBuildVer">
    <vt:lpwstr>2057-11.2.0.11440</vt:lpwstr>
  </property>
</Properties>
</file>